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drawings/drawing3.xml" ContentType="application/vnd.openxmlformats-officedocument.drawing+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TimourKoupeev\source\repos\ModelRisk-Examples\models\Oil and gas\"/>
    </mc:Choice>
  </mc:AlternateContent>
  <xr:revisionPtr revIDLastSave="0" documentId="8_{A38E30F2-2C21-4F5A-8A49-D5F9E9FED421}" xr6:coauthVersionLast="47" xr6:coauthVersionMax="47" xr10:uidLastSave="{00000000-0000-0000-0000-000000000000}"/>
  <bookViews>
    <workbookView xWindow="-98" yWindow="-98" windowWidth="21795" windowHeight="12975" xr2:uid="{00000000-000D-0000-FFFF-FFFF00000000}"/>
  </bookViews>
  <sheets>
    <sheet name="About" sheetId="1" r:id="rId1"/>
    <sheet name="Inputs" sheetId="2" r:id="rId2"/>
    <sheet name="Prospect" sheetId="3" r:id="rId3"/>
    <sheet name="Cash flow" sheetId="4" r:id="rId4"/>
    <sheet name="Results" sheetId="5" r:id="rId5"/>
    <sheet name="ModelRiskDSN" sheetId="6" state="hidden" r:id="rId6"/>
    <sheet name="ModelRiskSYS1" sheetId="7" state="hidden" r:id="rId7"/>
    <sheet name="ModelRiskCharts" sheetId="8" state="hidden" r:id="rId8"/>
  </sheets>
  <definedNames>
    <definedName name="AbandonCost">Prospect!$D$41</definedName>
    <definedName name="AbandonPct">Inputs!$D$60</definedName>
    <definedName name="Area">Inputs!$D$19</definedName>
    <definedName name="Area_Hi">Inputs!$H$19</definedName>
    <definedName name="Area_Lo">Inputs!$F$19</definedName>
    <definedName name="Area_Mean">Inputs!$I$19</definedName>
    <definedName name="AvgPrice">'Cash flow'!$D$78</definedName>
    <definedName name="BblPerAcreFt">Inputs!$D$28</definedName>
    <definedName name="Capacity">Prospect!$D$32</definedName>
    <definedName name="Capex_Base">Prospect!$D$37</definedName>
    <definedName name="Capex_Overrun">Prospect!$D$38</definedName>
    <definedName name="CapexPhase_Check">Inputs!$D$46</definedName>
    <definedName name="CapexPhase_Share">Inputs!$F$46:$H$46</definedName>
    <definedName name="CapexPhase_Year">Inputs!$F$45:$H$45</definedName>
    <definedName name="Chance_Geo">Prospect!$D$9</definedName>
    <definedName name="Chance_Reservoir">Inputs!$D$12</definedName>
    <definedName name="Chance_Seal">Inputs!$D$14</definedName>
    <definedName name="Chance_Source">Inputs!$D$11</definedName>
    <definedName name="Chance_Trap">Inputs!$D$13</definedName>
    <definedName name="Checks">'Cash flow'!$D$84:$D$87</definedName>
    <definedName name="Commercial">Prospect!$D$23</definedName>
    <definedName name="Corr_PhiSw">Inputs!$D$23</definedName>
    <definedName name="Cost_Appraisal">Inputs!$D$52</definedName>
    <definedName name="Cost_Appraisal_Hi">Inputs!$H$52</definedName>
    <definedName name="Cost_Appraisal_Lo">Inputs!$F$52</definedName>
    <definedName name="Cost_Appraisal_Mean">Inputs!$I$52</definedName>
    <definedName name="Cost_Appraisal_ML">Inputs!$G$52</definedName>
    <definedName name="Cost_ExplWell">Inputs!$D$51</definedName>
    <definedName name="Cost_ExplWell_Hi">Inputs!$H$51</definedName>
    <definedName name="Cost_ExplWell_Lo">Inputs!$F$51</definedName>
    <definedName name="Cost_ExplWell_Mean">Inputs!$I$51</definedName>
    <definedName name="Cost_ExplWell_ML">Inputs!$G$51</definedName>
    <definedName name="Cost_FacFixed">Inputs!$D$53</definedName>
    <definedName name="Cost_FacFixed_Hi">Inputs!$H$53</definedName>
    <definedName name="Cost_FacFixed_Lo">Inputs!$F$53</definedName>
    <definedName name="Cost_FacFixed_Mean">Inputs!$I$53</definedName>
    <definedName name="Cost_FacFixed_ML">Inputs!$G$53</definedName>
    <definedName name="Cost_Facilities">Prospect!$D$35</definedName>
    <definedName name="Cost_FacUnit">Inputs!$D$54</definedName>
    <definedName name="Cost_FacUnit_Hi">Inputs!$H$54</definedName>
    <definedName name="Cost_FacUnit_Lo">Inputs!$F$54</definedName>
    <definedName name="Cost_FacUnit_Mean">Inputs!$I$54</definedName>
    <definedName name="Cost_FacUnit_ML">Inputs!$G$54</definedName>
    <definedName name="Cost_Well">Inputs!$D$55</definedName>
    <definedName name="Cost_Well_Hi">Inputs!$H$55</definedName>
    <definedName name="Cost_Well_Lo">Inputs!$F$55</definedName>
    <definedName name="Cost_Well_Mean">Inputs!$I$55</definedName>
    <definedName name="Cost_Well_ML">Inputs!$G$55</definedName>
    <definedName name="Cost_Wells">Prospect!$D$36</definedName>
    <definedName name="DeclineRate">Prospect!$D$42</definedName>
    <definedName name="DevCapex">Prospect!$D$39</definedName>
    <definedName name="DiscRate">Inputs!$D$75</definedName>
    <definedName name="FieldLife">'Cash flow'!$D$79</definedName>
    <definedName name="FirstOilYear">Prospect!$D$30</definedName>
    <definedName name="FixedOpex">Prospect!$D$40</definedName>
    <definedName name="FixedOpexPct">Inputs!$D$58</definedName>
    <definedName name="FVF">Inputs!$D$26</definedName>
    <definedName name="FVF_Hi">Inputs!$H$26</definedName>
    <definedName name="FVF_Lo">Inputs!$F$26</definedName>
    <definedName name="FVF_Mean">Inputs!$I$26</definedName>
    <definedName name="FVF_ML">Inputs!$G$26</definedName>
    <definedName name="GeoSuccess">Prospect!$D$10</definedName>
    <definedName name="Injectors">Prospect!$D$34</definedName>
    <definedName name="InjPerProducer">Inputs!$D$40</definedName>
    <definedName name="InputMeans">Inputs!$I$19:$I$66</definedName>
    <definedName name="LargeEnough">Prospect!$D$22</definedName>
    <definedName name="MEFS">Inputs!$D$33</definedName>
    <definedName name="NetPay">Inputs!$D$20</definedName>
    <definedName name="NetPay_Hi">Inputs!$H$20</definedName>
    <definedName name="NetPay_Lo">Inputs!$F$20</definedName>
    <definedName name="NetPay_Mean">Inputs!$I$20</definedName>
    <definedName name="NPV_Dev">'Cash flow'!$D$76</definedName>
    <definedName name="NPV_Prospect">'Cash flow'!$D$77</definedName>
    <definedName name="Outcome">Prospect!$D$24</definedName>
    <definedName name="OutcomeText">Prospect!$D$25</definedName>
    <definedName name="Overrun_Frac">Inputs!$D$57</definedName>
    <definedName name="Overrun_Frac_Hi">Inputs!$H$57</definedName>
    <definedName name="Overrun_Frac_Lo">Inputs!$F$57</definedName>
    <definedName name="Overrun_Frac_Mean">Inputs!$I$57</definedName>
    <definedName name="Overrun_Frac_ML">Inputs!$G$57</definedName>
    <definedName name="PeakFunding">'Cash flow'!$D$80</definedName>
    <definedName name="PhaseNames">'Cash flow'!$B$13:$B$17</definedName>
    <definedName name="PhaseStarts">'Cash flow'!$D$13:$D$17</definedName>
    <definedName name="PlateauEndFrac">Inputs!$D$37</definedName>
    <definedName name="PlateauFrac">Inputs!$D$36</definedName>
    <definedName name="PlateauFrac_Hi">Inputs!$H$36</definedName>
    <definedName name="PlateauFrac_Lo">Inputs!$F$36</definedName>
    <definedName name="PlateauFrac_Mean">Inputs!$I$36</definedName>
    <definedName name="PlateauFrac_ML">Inputs!$G$36</definedName>
    <definedName name="PlateauRate">Prospect!$D$31</definedName>
    <definedName name="Porosity">Inputs!$D$21</definedName>
    <definedName name="Porosity_Hi">Inputs!$H$21</definedName>
    <definedName name="Porosity_Lo">Inputs!$F$21</definedName>
    <definedName name="Porosity_Mean">Inputs!$I$21</definedName>
    <definedName name="Porosity_ML">Inputs!$G$21</definedName>
    <definedName name="Price_Alpha">Inputs!$D$68</definedName>
    <definedName name="Price_LT">Inputs!$D$66</definedName>
    <definedName name="Price_LT_Hi">Inputs!$H$66</definedName>
    <definedName name="Price_LT_Lo">Inputs!$F$66</definedName>
    <definedName name="Price_LT_Mean">Inputs!$I$66</definedName>
    <definedName name="Price_LT_ML">Inputs!$G$66</definedName>
    <definedName name="Price_Vol">Inputs!$D$67</definedName>
    <definedName name="Price_Y0">Inputs!$D$65</definedName>
    <definedName name="_xlnm.Print_Area" localSheetId="4">Results!$A$1:$R$62</definedName>
    <definedName name="_xlnm.Print_Titles" localSheetId="3">'Cash flow'!$6:$8,'Cash flow'!$A:$D</definedName>
    <definedName name="_xlnm.Print_Titles" localSheetId="1">Inputs!$1:$4</definedName>
    <definedName name="_xlnm.Print_Titles" localSheetId="2">Prospect!$1:$4</definedName>
    <definedName name="_xlnm.Print_Titles" localSheetId="4">Results!$1:$4</definedName>
    <definedName name="Prob_Overrun">Inputs!$D$56</definedName>
    <definedName name="Producers">Prospect!$D$33</definedName>
    <definedName name="RampFactor">Inputs!$D$38</definedName>
    <definedName name="RecFactor">Inputs!$D$27</definedName>
    <definedName name="RecFactor_Hi">Inputs!$H$27</definedName>
    <definedName name="RecFactor_Lo">Inputs!$F$27</definedName>
    <definedName name="RecFactor_Mean">Inputs!$I$27</definedName>
    <definedName name="RecFactor_ML">Inputs!$G$27</definedName>
    <definedName name="Recoverable">Prospect!$D$16</definedName>
    <definedName name="Royalty">Inputs!$D$73</definedName>
    <definedName name="SimOpt_AccountDomain" hidden="1">""</definedName>
    <definedName name="SimOpt_AccountName" hidden="1">""</definedName>
    <definedName name="SimOpt_AccountPassword" hidden="1">""</definedName>
    <definedName name="SimOpt_CheckPrecisionAfter" hidden="1">10</definedName>
    <definedName name="SimOpt_GotoSample" hidden="1">0</definedName>
    <definedName name="SimOpt_Macros0" hidden="1">""</definedName>
    <definedName name="SimOpt_Macros1" hidden="1">""</definedName>
    <definedName name="SimOpt_Macros2" hidden="1">""</definedName>
    <definedName name="SimOpt_Macros3" hidden="1">""</definedName>
    <definedName name="SimOpt_MacrosUsage" hidden="1">0</definedName>
    <definedName name="SimOpt_MinSimBufferSize" hidden="1">0</definedName>
    <definedName name="SimOpt_RefreshExcel" hidden="1">0</definedName>
    <definedName name="SimOpt_RefreshRate" hidden="1">1</definedName>
    <definedName name="SimOpt_SamplesCount" hidden="1">10000</definedName>
    <definedName name="SimOpt_Seed0" hidden="1">1</definedName>
    <definedName name="SimOpt_SeedFixed" hidden="1">1</definedName>
    <definedName name="SimOpt_SeedMultiplyType" hidden="1">0</definedName>
    <definedName name="SimOpt_ServerAddress" hidden="1">""</definedName>
    <definedName name="SimOpt_ShowResultsAtEnd" hidden="1">1</definedName>
    <definedName name="SimOpt_ShowSparklines" hidden="1">0</definedName>
    <definedName name="SimOpt_SimsCount" hidden="1">1</definedName>
    <definedName name="SimOpt_SkipTurboConsistency" hidden="1">0</definedName>
    <definedName name="SimOpt_StopOnOutputError" hidden="1">0</definedName>
    <definedName name="SimOpt_TurboParityChecked" hidden="1">0</definedName>
    <definedName name="SimOpt_UploadEnabled" hidden="1">0</definedName>
    <definedName name="SimOpt_UploadModel" hidden="1">0</definedName>
    <definedName name="SimOpt_UploadProfile" hidden="1">"MODELRISK"</definedName>
    <definedName name="SimOpt_UploadRemotely" hidden="1">0</definedName>
    <definedName name="SimOpt_UseTurboByDefault" hidden="1">0</definedName>
    <definedName name="Start_Abandon">'Cash flow'!$D$17</definedName>
    <definedName name="Start_Appraise">'Cash flow'!$D$14</definedName>
    <definedName name="Start_Develop">'Cash flow'!$D$15</definedName>
    <definedName name="Start_Explore">'Cash flow'!$D$13</definedName>
    <definedName name="Start_Produce">'Cash flow'!$D$16</definedName>
    <definedName name="StartYear">Inputs!$D$76</definedName>
    <definedName name="STOIIP">Prospect!$D$15</definedName>
    <definedName name="TaxRate">Inputs!$D$74</definedName>
    <definedName name="TimeToFirstOil">Inputs!$D$34</definedName>
    <definedName name="TimeToFirstOil_Check">Inputs!$D$35</definedName>
    <definedName name="TimeToFirstOil_Mean">Inputs!$I$34</definedName>
    <definedName name="U_Phi">Inputs!$D$24</definedName>
    <definedName name="U_Sw">Inputs!$D$25</definedName>
    <definedName name="VarOpex">Inputs!$D$59</definedName>
    <definedName name="VarOpex_Hi">Inputs!$H$59</definedName>
    <definedName name="VarOpex_Lo">Inputs!$F$59</definedName>
    <definedName name="VarOpex_Mean">Inputs!$I$59</definedName>
    <definedName name="VarOpex_ML">Inputs!$G$59</definedName>
    <definedName name="WaterSat">Inputs!$D$22</definedName>
    <definedName name="WaterSat_Hi">Inputs!$H$22</definedName>
    <definedName name="WaterSat_Lo">Inputs!$F$22</definedName>
    <definedName name="WaterSat_Mean">Inputs!$I$22</definedName>
    <definedName name="WaterSat_ML">Inputs!$G$22</definedName>
    <definedName name="WellRate">Inputs!$D$39</definedName>
    <definedName name="WellRate_Hi">Inputs!$H$39</definedName>
    <definedName name="WellRate_Lo">Inputs!$F$39</definedName>
    <definedName name="WellRate_Mean">Inputs!$I$39</definedName>
    <definedName name="WellRate_ML">Inputs!$G$39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17" i="5" l="1"/>
  <c r="C116" i="5"/>
  <c r="C115" i="5"/>
  <c r="C114" i="5"/>
  <c r="C113" i="5"/>
  <c r="C112" i="5"/>
  <c r="C111" i="5"/>
  <c r="C110" i="5"/>
  <c r="C109" i="5"/>
  <c r="C108" i="5"/>
  <c r="C107" i="5"/>
  <c r="C106" i="5"/>
  <c r="C105" i="5"/>
  <c r="C104" i="5"/>
  <c r="C103" i="5"/>
  <c r="C102" i="5"/>
  <c r="C101" i="5"/>
  <c r="C100" i="5"/>
  <c r="C99" i="5"/>
  <c r="C98" i="5"/>
  <c r="C97" i="5"/>
  <c r="C96" i="5"/>
  <c r="C95" i="5"/>
  <c r="C94" i="5"/>
  <c r="C93" i="5"/>
  <c r="C92" i="5"/>
  <c r="C91" i="5"/>
  <c r="C90" i="5"/>
  <c r="C89" i="5"/>
  <c r="C88" i="5"/>
  <c r="C87" i="5"/>
  <c r="C86" i="5"/>
  <c r="C85" i="5"/>
  <c r="C84" i="5"/>
  <c r="C83" i="5"/>
  <c r="C82" i="5"/>
  <c r="C81" i="5"/>
  <c r="C80" i="5"/>
  <c r="C79" i="5"/>
  <c r="C78" i="5"/>
  <c r="C77" i="5"/>
  <c r="C76" i="5"/>
  <c r="C75" i="5"/>
  <c r="C74" i="5"/>
  <c r="C73" i="5"/>
  <c r="C72" i="5"/>
  <c r="C71" i="5"/>
  <c r="C70" i="5"/>
  <c r="C69" i="5"/>
  <c r="C68" i="5"/>
  <c r="F69" i="4"/>
  <c r="F53" i="4"/>
  <c r="F25" i="4"/>
  <c r="D14" i="4"/>
  <c r="F63" i="4"/>
  <c r="D13" i="4"/>
  <c r="F7" i="4"/>
  <c r="G6" i="4"/>
  <c r="G62" i="4" s="1"/>
  <c r="D21" i="3"/>
  <c r="D9" i="3"/>
  <c r="D19" i="5"/>
  <c r="D46" i="2"/>
  <c r="D86" i="4"/>
  <c r="D35" i="2"/>
  <c r="D87" i="4" s="1"/>
  <c r="D24" i="2" a="1"/>
  <c r="D25" i="2" s="1"/>
  <c r="H6" i="4"/>
  <c r="D10" i="3" a="1"/>
  <c r="D53" i="2" a="1"/>
  <c r="D52" i="2" a="1"/>
  <c r="D39" i="2" a="1"/>
  <c r="I54" i="2" a="1"/>
  <c r="D34" i="2" a="1"/>
  <c r="D19" i="2" a="1"/>
  <c r="D27" i="2" a="1"/>
  <c r="D22" i="2" a="1"/>
  <c r="D20" i="2" a="1"/>
  <c r="I21" i="2" a="1"/>
  <c r="I22" i="2" a="1"/>
  <c r="I34" i="2" a="1"/>
  <c r="I66" i="2" a="1"/>
  <c r="D66" i="2" a="1"/>
  <c r="D59" i="2" a="1"/>
  <c r="I20" i="2" a="1"/>
  <c r="I57" i="2" a="1"/>
  <c r="D54" i="2" a="1"/>
  <c r="D57" i="2" a="1"/>
  <c r="D55" i="2" a="1"/>
  <c r="I27" i="2" a="1"/>
  <c r="I53" i="2" a="1"/>
  <c r="I36" i="2" a="1"/>
  <c r="D36" i="2" a="1"/>
  <c r="D26" i="2" a="1"/>
  <c r="I39" i="2" a="1"/>
  <c r="I26" i="2" a="1"/>
  <c r="I52" i="2" a="1"/>
  <c r="D51" i="2" a="1"/>
  <c r="I51" i="2" a="1"/>
  <c r="I19" i="2" a="1"/>
  <c r="I55" i="2" a="1"/>
  <c r="I59" i="2" a="1"/>
  <c r="G69" i="4" l="1"/>
  <c r="G7" i="4"/>
  <c r="H62" i="4"/>
  <c r="I6" i="4"/>
  <c r="H63" i="4"/>
  <c r="H7" i="4"/>
  <c r="H69" i="4"/>
  <c r="D10" i="3"/>
  <c r="D24" i="2"/>
  <c r="I59" i="2"/>
  <c r="I55" i="2"/>
  <c r="I19" i="2"/>
  <c r="I51" i="2"/>
  <c r="D51" i="2"/>
  <c r="I52" i="2"/>
  <c r="I26" i="2"/>
  <c r="I39" i="2"/>
  <c r="D26" i="2"/>
  <c r="D36" i="2"/>
  <c r="D42" i="3" s="1"/>
  <c r="I36" i="2"/>
  <c r="I53" i="2"/>
  <c r="I27" i="2"/>
  <c r="D55" i="2"/>
  <c r="D57" i="2"/>
  <c r="D54" i="2"/>
  <c r="I57" i="2"/>
  <c r="I20" i="2"/>
  <c r="D59" i="2"/>
  <c r="D66" i="2"/>
  <c r="G25" i="4" s="1" a="1"/>
  <c r="I66" i="2"/>
  <c r="I34" i="2"/>
  <c r="I22" i="2"/>
  <c r="I21" i="2"/>
  <c r="D20" i="2"/>
  <c r="D22" i="2"/>
  <c r="D27" i="2"/>
  <c r="D19" i="2"/>
  <c r="D34" i="2"/>
  <c r="D30" i="3" s="1"/>
  <c r="H18" i="4" s="1"/>
  <c r="I54" i="2"/>
  <c r="D39" i="2"/>
  <c r="D52" i="2"/>
  <c r="D53" i="2"/>
  <c r="D16" i="5" a="1"/>
  <c r="D21" i="2" a="1"/>
  <c r="H20" i="4" l="1"/>
  <c r="G63" i="4"/>
  <c r="D16" i="5"/>
  <c r="F62" i="4"/>
  <c r="G20" i="4"/>
  <c r="F19" i="4"/>
  <c r="D15" i="4"/>
  <c r="G19" i="4"/>
  <c r="D16" i="4"/>
  <c r="F18" i="4"/>
  <c r="F20" i="4"/>
  <c r="G18" i="4"/>
  <c r="H19" i="4"/>
  <c r="R25" i="4"/>
  <c r="I25" i="4"/>
  <c r="M25" i="4"/>
  <c r="T25" i="4"/>
  <c r="O25" i="4"/>
  <c r="AA25" i="4"/>
  <c r="K25" i="4"/>
  <c r="G25" i="4"/>
  <c r="Y25" i="4"/>
  <c r="U25" i="4"/>
  <c r="AB25" i="4"/>
  <c r="AJ25" i="4"/>
  <c r="H25" i="4"/>
  <c r="S25" i="4"/>
  <c r="W25" i="4"/>
  <c r="AH25" i="4"/>
  <c r="AD25" i="4"/>
  <c r="L25" i="4"/>
  <c r="J25" i="4"/>
  <c r="V25" i="4"/>
  <c r="X25" i="4"/>
  <c r="AF25" i="4"/>
  <c r="Q25" i="4"/>
  <c r="AC25" i="4"/>
  <c r="P25" i="4"/>
  <c r="N25" i="4"/>
  <c r="Z25" i="4"/>
  <c r="AI25" i="4"/>
  <c r="AG25" i="4"/>
  <c r="AE25" i="4"/>
  <c r="J6" i="4"/>
  <c r="I69" i="4"/>
  <c r="I7" i="4"/>
  <c r="I20" i="4"/>
  <c r="I63" i="4"/>
  <c r="I19" i="4"/>
  <c r="I18" i="4"/>
  <c r="I62" i="4"/>
  <c r="D21" i="2"/>
  <c r="D15" i="3" s="1"/>
  <c r="D16" i="3" s="1" a="1"/>
  <c r="D16" i="3" s="1"/>
  <c r="D142" i="5" a="1"/>
  <c r="F99" i="5" a="1"/>
  <c r="F68" i="5" a="1"/>
  <c r="F92" i="5" a="1"/>
  <c r="F109" i="5" a="1"/>
  <c r="F98" i="5" a="1"/>
  <c r="F87" i="5" a="1"/>
  <c r="G38" i="5" a="1"/>
  <c r="F80" i="5" a="1"/>
  <c r="F105" i="5" a="1"/>
  <c r="F83" i="5" a="1"/>
  <c r="D32" i="5" a="1"/>
  <c r="F89" i="5" a="1"/>
  <c r="F101" i="5" a="1"/>
  <c r="D141" i="5" a="1"/>
  <c r="F86" i="5" a="1"/>
  <c r="F75" i="5" a="1"/>
  <c r="F116" i="5" a="1"/>
  <c r="F81" i="5" a="1"/>
  <c r="F114" i="5" a="1"/>
  <c r="F111" i="5" a="1"/>
  <c r="F71" i="5" a="1"/>
  <c r="F104" i="5" a="1"/>
  <c r="F77" i="5" a="1"/>
  <c r="F82" i="5" a="1"/>
  <c r="F79" i="5" a="1"/>
  <c r="F107" i="5" a="1"/>
  <c r="E32" i="5" a="1"/>
  <c r="F100" i="5" a="1"/>
  <c r="F69" i="5" a="1"/>
  <c r="F110" i="5" a="1"/>
  <c r="F85" i="5" a="1"/>
  <c r="F115" i="5" a="1"/>
  <c r="F103" i="5" a="1"/>
  <c r="F72" i="5" a="1"/>
  <c r="F96" i="5" a="1"/>
  <c r="F113" i="5" a="1"/>
  <c r="F78" i="5" a="1"/>
  <c r="F74" i="5" a="1"/>
  <c r="F91" i="5" a="1"/>
  <c r="F76" i="5" a="1"/>
  <c r="F108" i="5" a="1"/>
  <c r="F93" i="5" a="1"/>
  <c r="F117" i="5" a="1"/>
  <c r="F94" i="5" a="1"/>
  <c r="F70" i="5" a="1"/>
  <c r="F32" i="5" a="1"/>
  <c r="F88" i="5" a="1"/>
  <c r="F73" i="5" a="1"/>
  <c r="F90" i="5" a="1"/>
  <c r="F106" i="5" a="1"/>
  <c r="F95" i="5" a="1"/>
  <c r="F84" i="5" a="1"/>
  <c r="F112" i="5" a="1"/>
  <c r="F97" i="5" a="1"/>
  <c r="D140" i="5" a="1"/>
  <c r="G32" i="5" a="1"/>
  <c r="F102" i="5" a="1"/>
  <c r="F102" i="5" l="1"/>
  <c r="G32" i="5"/>
  <c r="D140" i="5"/>
  <c r="F97" i="5"/>
  <c r="F112" i="5"/>
  <c r="F84" i="5"/>
  <c r="F95" i="5"/>
  <c r="F106" i="5"/>
  <c r="F90" i="5"/>
  <c r="F73" i="5"/>
  <c r="F88" i="5"/>
  <c r="F32" i="5"/>
  <c r="F70" i="5"/>
  <c r="F94" i="5"/>
  <c r="F117" i="5"/>
  <c r="F93" i="5"/>
  <c r="F108" i="5"/>
  <c r="F76" i="5"/>
  <c r="F91" i="5"/>
  <c r="F74" i="5"/>
  <c r="F78" i="5"/>
  <c r="F113" i="5"/>
  <c r="F96" i="5"/>
  <c r="F72" i="5"/>
  <c r="F103" i="5"/>
  <c r="F115" i="5"/>
  <c r="F85" i="5"/>
  <c r="F110" i="5"/>
  <c r="F69" i="5"/>
  <c r="F100" i="5"/>
  <c r="E32" i="5"/>
  <c r="F107" i="5"/>
  <c r="F79" i="5"/>
  <c r="F82" i="5"/>
  <c r="F77" i="5"/>
  <c r="F104" i="5"/>
  <c r="F71" i="5"/>
  <c r="F111" i="5"/>
  <c r="F114" i="5"/>
  <c r="F81" i="5"/>
  <c r="F116" i="5"/>
  <c r="F75" i="5"/>
  <c r="F86" i="5"/>
  <c r="D141" i="5"/>
  <c r="F101" i="5"/>
  <c r="F89" i="5"/>
  <c r="D32" i="5"/>
  <c r="F83" i="5"/>
  <c r="F105" i="5"/>
  <c r="F80" i="5"/>
  <c r="G38" i="5"/>
  <c r="F87" i="5"/>
  <c r="F98" i="5"/>
  <c r="F109" i="5"/>
  <c r="F92" i="5"/>
  <c r="F68" i="5"/>
  <c r="F99" i="5"/>
  <c r="D142" i="5"/>
  <c r="F29" i="4"/>
  <c r="F31" i="4" s="1"/>
  <c r="J69" i="4"/>
  <c r="J7" i="4"/>
  <c r="J63" i="4"/>
  <c r="K6" i="4"/>
  <c r="J62" i="4"/>
  <c r="J19" i="4"/>
  <c r="J20" i="4"/>
  <c r="J18" i="4"/>
  <c r="D31" i="3"/>
  <c r="D22" i="3"/>
  <c r="D23" i="3" l="1" a="1"/>
  <c r="D23" i="3" s="1"/>
  <c r="D24" i="3" a="1"/>
  <c r="D24" i="3" s="1"/>
  <c r="K62" i="4"/>
  <c r="K63" i="4"/>
  <c r="K20" i="4"/>
  <c r="K30" i="4" s="1"/>
  <c r="L6" i="4"/>
  <c r="K18" i="4"/>
  <c r="K7" i="4"/>
  <c r="K69" i="4"/>
  <c r="K19" i="4"/>
  <c r="D32" i="3" a="1"/>
  <c r="D32" i="3" s="1"/>
  <c r="H30" i="4"/>
  <c r="J30" i="4"/>
  <c r="G30" i="4"/>
  <c r="F30" i="4"/>
  <c r="F32" i="4" s="1"/>
  <c r="I30" i="4"/>
  <c r="D14" i="5" a="1"/>
  <c r="D121" i="5" a="1"/>
  <c r="D120" i="5" a="1"/>
  <c r="D33" i="5" a="1"/>
  <c r="F33" i="5" a="1"/>
  <c r="E33" i="5" a="1"/>
  <c r="G33" i="5" a="1"/>
  <c r="D120" i="5" l="1"/>
  <c r="D24" i="5" s="1"/>
  <c r="D121" i="5"/>
  <c r="D14" i="5"/>
  <c r="D25" i="3"/>
  <c r="G33" i="5"/>
  <c r="E33" i="5"/>
  <c r="F33" i="5"/>
  <c r="D33" i="5"/>
  <c r="D33" i="3"/>
  <c r="D34" i="3" s="1"/>
  <c r="D36" i="3" s="1"/>
  <c r="D35" i="3"/>
  <c r="L69" i="4"/>
  <c r="M6" i="4"/>
  <c r="L7" i="4"/>
  <c r="L62" i="4"/>
  <c r="L20" i="4"/>
  <c r="L30" i="4" s="1"/>
  <c r="L63" i="4"/>
  <c r="L18" i="4"/>
  <c r="L19" i="4"/>
  <c r="D37" i="3" l="1"/>
  <c r="D25" i="5"/>
  <c r="D26" i="5"/>
  <c r="M7" i="4"/>
  <c r="M62" i="4"/>
  <c r="M20" i="4"/>
  <c r="M30" i="4" s="1"/>
  <c r="M63" i="4"/>
  <c r="M69" i="4"/>
  <c r="N6" i="4"/>
  <c r="M19" i="4"/>
  <c r="M18" i="4"/>
  <c r="D38" i="3"/>
  <c r="D39" i="3" a="1"/>
  <c r="D39" i="3" s="1"/>
  <c r="G34" i="5" a="1"/>
  <c r="E34" i="5" a="1"/>
  <c r="D34" i="5" a="1"/>
  <c r="F34" i="5" a="1"/>
  <c r="D27" i="5" l="1"/>
  <c r="F34" i="5"/>
  <c r="D34" i="5"/>
  <c r="E34" i="5"/>
  <c r="G34" i="5"/>
  <c r="F46" i="4"/>
  <c r="H46" i="4"/>
  <c r="M46" i="4"/>
  <c r="I46" i="4"/>
  <c r="L46" i="4"/>
  <c r="K46" i="4"/>
  <c r="J46" i="4"/>
  <c r="G46" i="4"/>
  <c r="N7" i="4"/>
  <c r="N18" i="4"/>
  <c r="N46" i="4" s="1"/>
  <c r="N63" i="4"/>
  <c r="N20" i="4"/>
  <c r="N30" i="4" s="1"/>
  <c r="N19" i="4"/>
  <c r="O6" i="4"/>
  <c r="N69" i="4"/>
  <c r="N62" i="4"/>
  <c r="D40" i="3"/>
  <c r="D41" i="3"/>
  <c r="F33" i="4" l="1"/>
  <c r="F34" i="4" s="1"/>
  <c r="F45" i="4" s="1"/>
  <c r="O62" i="4"/>
  <c r="O19" i="4"/>
  <c r="O18" i="4"/>
  <c r="O46" i="4" s="1"/>
  <c r="O69" i="4"/>
  <c r="O7" i="4"/>
  <c r="O20" i="4"/>
  <c r="O30" i="4" s="1"/>
  <c r="P6" i="4"/>
  <c r="O63" i="4"/>
  <c r="F35" i="4" l="1"/>
  <c r="P20" i="4"/>
  <c r="P30" i="4" s="1"/>
  <c r="P62" i="4"/>
  <c r="P19" i="4"/>
  <c r="P63" i="4"/>
  <c r="P18" i="4"/>
  <c r="P46" i="4" s="1"/>
  <c r="Q6" i="4"/>
  <c r="P69" i="4"/>
  <c r="P7" i="4"/>
  <c r="F42" i="4" l="1"/>
  <c r="F36" i="4"/>
  <c r="F37" i="4"/>
  <c r="F44" i="4"/>
  <c r="Q20" i="4"/>
  <c r="Q30" i="4" s="1"/>
  <c r="Q7" i="4"/>
  <c r="Q63" i="4"/>
  <c r="Q19" i="4"/>
  <c r="R6" i="4"/>
  <c r="Q62" i="4"/>
  <c r="Q69" i="4"/>
  <c r="Q18" i="4"/>
  <c r="Q46" i="4" s="1"/>
  <c r="G29" i="4" l="1"/>
  <c r="G31" i="4" s="1"/>
  <c r="G32" i="4" s="1"/>
  <c r="R69" i="4"/>
  <c r="R62" i="4"/>
  <c r="R7" i="4"/>
  <c r="S6" i="4"/>
  <c r="R19" i="4"/>
  <c r="R63" i="4"/>
  <c r="R20" i="4"/>
  <c r="R30" i="4" s="1"/>
  <c r="R18" i="4"/>
  <c r="R46" i="4" s="1"/>
  <c r="F43" i="4"/>
  <c r="G33" i="4" l="1"/>
  <c r="G34" i="4" s="1"/>
  <c r="G35" i="4" s="1"/>
  <c r="S7" i="4"/>
  <c r="S19" i="4"/>
  <c r="S20" i="4"/>
  <c r="S30" i="4" s="1"/>
  <c r="S63" i="4"/>
  <c r="S62" i="4"/>
  <c r="T6" i="4"/>
  <c r="S18" i="4"/>
  <c r="S46" i="4" s="1"/>
  <c r="S69" i="4"/>
  <c r="G42" i="4" l="1"/>
  <c r="G37" i="4"/>
  <c r="G44" i="4"/>
  <c r="G36" i="4"/>
  <c r="G45" i="4"/>
  <c r="T20" i="4"/>
  <c r="T30" i="4" s="1"/>
  <c r="T18" i="4"/>
  <c r="T46" i="4" s="1"/>
  <c r="T7" i="4"/>
  <c r="T62" i="4"/>
  <c r="T69" i="4"/>
  <c r="T63" i="4"/>
  <c r="U6" i="4"/>
  <c r="T19" i="4"/>
  <c r="U63" i="4" l="1"/>
  <c r="U20" i="4"/>
  <c r="U30" i="4" s="1"/>
  <c r="U19" i="4"/>
  <c r="U69" i="4"/>
  <c r="V6" i="4"/>
  <c r="U7" i="4"/>
  <c r="U62" i="4"/>
  <c r="U18" i="4"/>
  <c r="U46" i="4" s="1"/>
  <c r="H29" i="4"/>
  <c r="H31" i="4" s="1"/>
  <c r="H32" i="4" s="1"/>
  <c r="G43" i="4"/>
  <c r="H33" i="4" l="1"/>
  <c r="H34" i="4" s="1"/>
  <c r="V7" i="4"/>
  <c r="V63" i="4"/>
  <c r="V19" i="4"/>
  <c r="W6" i="4"/>
  <c r="V18" i="4"/>
  <c r="V46" i="4" s="1"/>
  <c r="V20" i="4"/>
  <c r="V30" i="4" s="1"/>
  <c r="V69" i="4"/>
  <c r="V62" i="4"/>
  <c r="H45" i="4" l="1"/>
  <c r="H35" i="4"/>
  <c r="W62" i="4"/>
  <c r="X6" i="4"/>
  <c r="W7" i="4"/>
  <c r="W69" i="4"/>
  <c r="W19" i="4"/>
  <c r="W63" i="4"/>
  <c r="W18" i="4"/>
  <c r="W46" i="4" s="1"/>
  <c r="W20" i="4"/>
  <c r="W30" i="4" s="1"/>
  <c r="X63" i="4" l="1"/>
  <c r="X62" i="4"/>
  <c r="X18" i="4"/>
  <c r="X46" i="4" s="1"/>
  <c r="X69" i="4"/>
  <c r="X7" i="4"/>
  <c r="X20" i="4"/>
  <c r="X30" i="4" s="1"/>
  <c r="Y6" i="4"/>
  <c r="X19" i="4"/>
  <c r="H42" i="4"/>
  <c r="H37" i="4"/>
  <c r="H44" i="4"/>
  <c r="H36" i="4"/>
  <c r="H43" i="4" l="1"/>
  <c r="I29" i="4"/>
  <c r="I31" i="4" s="1"/>
  <c r="I32" i="4" s="1"/>
  <c r="Y63" i="4"/>
  <c r="Y18" i="4"/>
  <c r="Y46" i="4" s="1"/>
  <c r="Y62" i="4"/>
  <c r="Z6" i="4"/>
  <c r="Y69" i="4"/>
  <c r="Y7" i="4"/>
  <c r="Y19" i="4"/>
  <c r="Y20" i="4"/>
  <c r="Y30" i="4" s="1"/>
  <c r="Z62" i="4" l="1"/>
  <c r="Z20" i="4"/>
  <c r="Z30" i="4" s="1"/>
  <c r="Z69" i="4"/>
  <c r="Z19" i="4"/>
  <c r="Z7" i="4"/>
  <c r="Z18" i="4"/>
  <c r="Z46" i="4" s="1"/>
  <c r="AA6" i="4"/>
  <c r="Z63" i="4"/>
  <c r="I33" i="4"/>
  <c r="I34" i="4" s="1"/>
  <c r="I45" i="4" l="1"/>
  <c r="AA63" i="4"/>
  <c r="AB6" i="4"/>
  <c r="AA18" i="4"/>
  <c r="AA46" i="4" s="1"/>
  <c r="AA69" i="4"/>
  <c r="AA7" i="4"/>
  <c r="AA19" i="4"/>
  <c r="AA62" i="4"/>
  <c r="AA20" i="4"/>
  <c r="AA30" i="4" s="1"/>
  <c r="I35" i="4"/>
  <c r="AB69" i="4" l="1"/>
  <c r="AB62" i="4"/>
  <c r="AB20" i="4"/>
  <c r="AB30" i="4" s="1"/>
  <c r="AB63" i="4"/>
  <c r="AB18" i="4"/>
  <c r="AB46" i="4" s="1"/>
  <c r="AB19" i="4"/>
  <c r="AC6" i="4"/>
  <c r="AB7" i="4"/>
  <c r="I37" i="4"/>
  <c r="I42" i="4"/>
  <c r="I44" i="4"/>
  <c r="I36" i="4"/>
  <c r="J29" i="4" l="1"/>
  <c r="J31" i="4" s="1"/>
  <c r="J32" i="4" s="1"/>
  <c r="I43" i="4"/>
  <c r="AC18" i="4"/>
  <c r="AC46" i="4" s="1"/>
  <c r="AD6" i="4"/>
  <c r="AC7" i="4"/>
  <c r="AC20" i="4"/>
  <c r="AC30" i="4" s="1"/>
  <c r="AC19" i="4"/>
  <c r="AC63" i="4"/>
  <c r="AC62" i="4"/>
  <c r="AC69" i="4"/>
  <c r="J33" i="4" l="1"/>
  <c r="J34" i="4" s="1"/>
  <c r="J35" i="4" s="1"/>
  <c r="AD18" i="4"/>
  <c r="AD46" i="4" s="1"/>
  <c r="AD20" i="4"/>
  <c r="AD30" i="4" s="1"/>
  <c r="AD62" i="4"/>
  <c r="AD19" i="4"/>
  <c r="AE6" i="4"/>
  <c r="AD7" i="4"/>
  <c r="AD69" i="4"/>
  <c r="AD63" i="4"/>
  <c r="J42" i="4" l="1"/>
  <c r="J37" i="4"/>
  <c r="J44" i="4"/>
  <c r="J36" i="4"/>
  <c r="AE63" i="4"/>
  <c r="AE19" i="4"/>
  <c r="AE69" i="4"/>
  <c r="AE18" i="4"/>
  <c r="AE46" i="4" s="1"/>
  <c r="AE20" i="4"/>
  <c r="AE30" i="4" s="1"/>
  <c r="AE7" i="4"/>
  <c r="AE62" i="4"/>
  <c r="AF6" i="4"/>
  <c r="J45" i="4"/>
  <c r="K29" i="4" l="1"/>
  <c r="K31" i="4" s="1"/>
  <c r="K32" i="4" s="1"/>
  <c r="AF20" i="4"/>
  <c r="AF30" i="4" s="1"/>
  <c r="AG6" i="4"/>
  <c r="AF7" i="4"/>
  <c r="AF62" i="4"/>
  <c r="AF18" i="4"/>
  <c r="AF46" i="4" s="1"/>
  <c r="AF69" i="4"/>
  <c r="AF19" i="4"/>
  <c r="AF63" i="4"/>
  <c r="J43" i="4"/>
  <c r="AG7" i="4" l="1"/>
  <c r="AG20" i="4"/>
  <c r="AG30" i="4" s="1"/>
  <c r="AG69" i="4"/>
  <c r="AH6" i="4"/>
  <c r="AG62" i="4"/>
  <c r="AG63" i="4"/>
  <c r="AG18" i="4"/>
  <c r="AG46" i="4" s="1"/>
  <c r="AG19" i="4"/>
  <c r="K33" i="4"/>
  <c r="K34" i="4" s="1"/>
  <c r="K35" i="4" s="1"/>
  <c r="K42" i="4" l="1"/>
  <c r="K37" i="4"/>
  <c r="K44" i="4"/>
  <c r="K36" i="4"/>
  <c r="AH7" i="4"/>
  <c r="AH20" i="4"/>
  <c r="AH30" i="4" s="1"/>
  <c r="AH69" i="4"/>
  <c r="AH63" i="4"/>
  <c r="AH62" i="4"/>
  <c r="AH18" i="4"/>
  <c r="AH46" i="4" s="1"/>
  <c r="AI6" i="4"/>
  <c r="AH19" i="4"/>
  <c r="K45" i="4"/>
  <c r="AI19" i="4" l="1"/>
  <c r="AI20" i="4"/>
  <c r="AI30" i="4" s="1"/>
  <c r="AI18" i="4"/>
  <c r="AI46" i="4" s="1"/>
  <c r="AI21" i="4"/>
  <c r="AI7" i="4"/>
  <c r="AI69" i="4"/>
  <c r="AI63" i="4"/>
  <c r="AI62" i="4"/>
  <c r="AJ6" i="4"/>
  <c r="AC21" i="4"/>
  <c r="AE21" i="4"/>
  <c r="L29" i="4"/>
  <c r="L31" i="4" s="1"/>
  <c r="L32" i="4" s="1"/>
  <c r="AG21" i="4"/>
  <c r="AF21" i="4"/>
  <c r="K43" i="4"/>
  <c r="L33" i="4" l="1"/>
  <c r="L34" i="4" s="1"/>
  <c r="L35" i="4" s="1"/>
  <c r="AJ21" i="4"/>
  <c r="AJ20" i="4"/>
  <c r="AJ30" i="4" s="1"/>
  <c r="AJ7" i="4"/>
  <c r="AJ69" i="4"/>
  <c r="AJ63" i="4"/>
  <c r="D63" i="4" s="1"/>
  <c r="AJ62" i="4"/>
  <c r="AJ19" i="4"/>
  <c r="AJ18" i="4"/>
  <c r="H21" i="4"/>
  <c r="H38" i="4" s="1"/>
  <c r="H47" i="4" s="1"/>
  <c r="H48" i="4" s="1"/>
  <c r="G21" i="4"/>
  <c r="G38" i="4" s="1"/>
  <c r="G47" i="4" s="1"/>
  <c r="G48" i="4" s="1"/>
  <c r="J21" i="4"/>
  <c r="J38" i="4" s="1"/>
  <c r="J47" i="4" s="1"/>
  <c r="J48" i="4" s="1"/>
  <c r="I21" i="4"/>
  <c r="I38" i="4" s="1"/>
  <c r="I47" i="4" s="1"/>
  <c r="I48" i="4" s="1"/>
  <c r="F21" i="4"/>
  <c r="F38" i="4" s="1"/>
  <c r="L21" i="4"/>
  <c r="K21" i="4"/>
  <c r="K38" i="4" s="1"/>
  <c r="K47" i="4" s="1"/>
  <c r="K48" i="4" s="1"/>
  <c r="N21" i="4"/>
  <c r="M21" i="4"/>
  <c r="R21" i="4"/>
  <c r="O21" i="4"/>
  <c r="P21" i="4"/>
  <c r="Q21" i="4"/>
  <c r="S21" i="4"/>
  <c r="V21" i="4"/>
  <c r="T21" i="4"/>
  <c r="W21" i="4"/>
  <c r="U21" i="4"/>
  <c r="X21" i="4"/>
  <c r="Y21" i="4"/>
  <c r="Z21" i="4"/>
  <c r="AA21" i="4"/>
  <c r="AH21" i="4"/>
  <c r="AB21" i="4"/>
  <c r="AD21" i="4"/>
  <c r="L37" i="4" l="1"/>
  <c r="L42" i="4"/>
  <c r="L44" i="4"/>
  <c r="L36" i="4"/>
  <c r="G52" i="4"/>
  <c r="D18" i="4"/>
  <c r="D85" i="4" s="1"/>
  <c r="AJ46" i="4"/>
  <c r="D46" i="4" s="1"/>
  <c r="J52" i="4"/>
  <c r="H52" i="4"/>
  <c r="K52" i="4"/>
  <c r="F47" i="4"/>
  <c r="L45" i="4"/>
  <c r="L38" i="4"/>
  <c r="L47" i="4" s="1"/>
  <c r="I52" i="4"/>
  <c r="D62" i="4"/>
  <c r="F48" i="4" l="1"/>
  <c r="M29" i="4"/>
  <c r="M31" i="4" s="1"/>
  <c r="M32" i="4" s="1"/>
  <c r="L43" i="4"/>
  <c r="L48" i="4" s="1"/>
  <c r="L52" i="4" l="1"/>
  <c r="F52" i="4"/>
  <c r="M33" i="4"/>
  <c r="M34" i="4" s="1"/>
  <c r="M45" i="4" l="1"/>
  <c r="M38" i="4"/>
  <c r="M35" i="4"/>
  <c r="F54" i="4"/>
  <c r="F55" i="4" l="1"/>
  <c r="G53" i="4" s="1"/>
  <c r="F56" i="4"/>
  <c r="M42" i="4"/>
  <c r="M37" i="4"/>
  <c r="M44" i="4"/>
  <c r="M36" i="4"/>
  <c r="M47" i="4"/>
  <c r="G54" i="4" l="1"/>
  <c r="N29" i="4"/>
  <c r="N31" i="4" s="1"/>
  <c r="N32" i="4" s="1"/>
  <c r="M43" i="4"/>
  <c r="M48" i="4" s="1"/>
  <c r="F57" i="4"/>
  <c r="M52" i="4" l="1"/>
  <c r="N33" i="4"/>
  <c r="N34" i="4" s="1"/>
  <c r="G56" i="4"/>
  <c r="F70" i="4"/>
  <c r="F58" i="4"/>
  <c r="F64" i="4"/>
  <c r="G55" i="4"/>
  <c r="H53" i="4" s="1"/>
  <c r="N45" i="4" l="1"/>
  <c r="N38" i="4"/>
  <c r="H54" i="4"/>
  <c r="N35" i="4"/>
  <c r="G57" i="4"/>
  <c r="F65" i="4"/>
  <c r="G58" i="4"/>
  <c r="N42" i="4" l="1"/>
  <c r="N37" i="4"/>
  <c r="N44" i="4"/>
  <c r="N36" i="4"/>
  <c r="H56" i="4"/>
  <c r="H55" i="4"/>
  <c r="I53" i="4" s="1"/>
  <c r="F71" i="4"/>
  <c r="N47" i="4"/>
  <c r="G70" i="4"/>
  <c r="G64" i="4"/>
  <c r="G65" i="4" l="1"/>
  <c r="I54" i="4"/>
  <c r="H57" i="4"/>
  <c r="O29" i="4"/>
  <c r="O31" i="4" s="1"/>
  <c r="O32" i="4" s="1"/>
  <c r="N43" i="4"/>
  <c r="N48" i="4" s="1"/>
  <c r="H70" i="4" l="1"/>
  <c r="H64" i="4"/>
  <c r="H58" i="4"/>
  <c r="I56" i="4"/>
  <c r="O33" i="4"/>
  <c r="O34" i="4" s="1"/>
  <c r="N52" i="4"/>
  <c r="I55" i="4"/>
  <c r="J53" i="4" s="1"/>
  <c r="G71" i="4"/>
  <c r="O45" i="4" l="1"/>
  <c r="O38" i="4"/>
  <c r="O35" i="4"/>
  <c r="I57" i="4"/>
  <c r="J54" i="4"/>
  <c r="H65" i="4"/>
  <c r="O47" i="4" l="1"/>
  <c r="H71" i="4"/>
  <c r="I70" i="4"/>
  <c r="I64" i="4"/>
  <c r="O42" i="4"/>
  <c r="O37" i="4"/>
  <c r="O44" i="4"/>
  <c r="O36" i="4"/>
  <c r="I58" i="4"/>
  <c r="J56" i="4"/>
  <c r="J55" i="4"/>
  <c r="K53" i="4" s="1"/>
  <c r="I65" i="4" l="1"/>
  <c r="K54" i="4"/>
  <c r="K56" i="4" s="1"/>
  <c r="K57" i="4" s="1"/>
  <c r="O43" i="4"/>
  <c r="O48" i="4" s="1"/>
  <c r="J57" i="4"/>
  <c r="P29" i="4"/>
  <c r="P31" i="4" s="1"/>
  <c r="P32" i="4" s="1"/>
  <c r="K70" i="4" l="1"/>
  <c r="K64" i="4"/>
  <c r="K65" i="4" s="1"/>
  <c r="K71" i="4" s="1"/>
  <c r="J70" i="4"/>
  <c r="J64" i="4"/>
  <c r="O52" i="4"/>
  <c r="P33" i="4"/>
  <c r="P34" i="4" s="1"/>
  <c r="P35" i="4" s="1"/>
  <c r="K55" i="4"/>
  <c r="L53" i="4" s="1"/>
  <c r="J58" i="4"/>
  <c r="I71" i="4"/>
  <c r="P42" i="4" l="1"/>
  <c r="P37" i="4"/>
  <c r="P44" i="4"/>
  <c r="P36" i="4"/>
  <c r="K58" i="4"/>
  <c r="J65" i="4"/>
  <c r="L54" i="4"/>
  <c r="L56" i="4" s="1"/>
  <c r="L57" i="4" s="1"/>
  <c r="P45" i="4"/>
  <c r="P38" i="4"/>
  <c r="P47" i="4" s="1"/>
  <c r="L58" i="4" l="1"/>
  <c r="L70" i="4"/>
  <c r="L64" i="4"/>
  <c r="L65" i="4" s="1"/>
  <c r="L71" i="4" s="1"/>
  <c r="L55" i="4"/>
  <c r="M53" i="4" s="1"/>
  <c r="J71" i="4"/>
  <c r="Q29" i="4"/>
  <c r="Q31" i="4" s="1"/>
  <c r="Q32" i="4" s="1"/>
  <c r="P43" i="4"/>
  <c r="P48" i="4" s="1"/>
  <c r="P52" i="4" l="1"/>
  <c r="Q33" i="4"/>
  <c r="Q34" i="4" s="1"/>
  <c r="Q35" i="4" s="1"/>
  <c r="M54" i="4"/>
  <c r="M56" i="4" s="1"/>
  <c r="M57" i="4" s="1"/>
  <c r="Q42" i="4" l="1"/>
  <c r="Q37" i="4"/>
  <c r="Q44" i="4"/>
  <c r="Q36" i="4"/>
  <c r="M70" i="4"/>
  <c r="M64" i="4"/>
  <c r="M65" i="4" s="1"/>
  <c r="M71" i="4" s="1"/>
  <c r="M58" i="4"/>
  <c r="M55" i="4"/>
  <c r="N53" i="4" s="1"/>
  <c r="Q45" i="4"/>
  <c r="Q38" i="4"/>
  <c r="Q47" i="4" s="1"/>
  <c r="N54" i="4" l="1"/>
  <c r="N56" i="4" s="1"/>
  <c r="N57" i="4" s="1"/>
  <c r="N58" i="4" s="1"/>
  <c r="R29" i="4"/>
  <c r="R31" i="4" s="1"/>
  <c r="R32" i="4" s="1"/>
  <c r="Q43" i="4"/>
  <c r="Q48" i="4" s="1"/>
  <c r="Q52" i="4" l="1"/>
  <c r="R33" i="4"/>
  <c r="R34" i="4" s="1"/>
  <c r="N70" i="4"/>
  <c r="N64" i="4"/>
  <c r="N65" i="4" s="1"/>
  <c r="N71" i="4" s="1"/>
  <c r="N55" i="4"/>
  <c r="O53" i="4" s="1"/>
  <c r="O54" i="4" l="1"/>
  <c r="O56" i="4" s="1"/>
  <c r="O57" i="4" s="1"/>
  <c r="R45" i="4"/>
  <c r="R38" i="4"/>
  <c r="R47" i="4" s="1"/>
  <c r="R35" i="4"/>
  <c r="O70" i="4" l="1"/>
  <c r="O64" i="4"/>
  <c r="O65" i="4" s="1"/>
  <c r="O71" i="4" s="1"/>
  <c r="O58" i="4"/>
  <c r="R42" i="4"/>
  <c r="R37" i="4"/>
  <c r="R44" i="4"/>
  <c r="R36" i="4"/>
  <c r="O55" i="4"/>
  <c r="P53" i="4" s="1"/>
  <c r="S29" i="4" l="1"/>
  <c r="S31" i="4" s="1"/>
  <c r="S32" i="4" s="1"/>
  <c r="P54" i="4"/>
  <c r="P56" i="4" s="1"/>
  <c r="P57" i="4" s="1"/>
  <c r="R43" i="4"/>
  <c r="R48" i="4" s="1"/>
  <c r="R52" i="4" l="1"/>
  <c r="P55" i="4"/>
  <c r="Q53" i="4" s="1"/>
  <c r="P70" i="4"/>
  <c r="P64" i="4"/>
  <c r="P65" i="4" s="1"/>
  <c r="P71" i="4" s="1"/>
  <c r="P58" i="4"/>
  <c r="S33" i="4"/>
  <c r="S34" i="4" s="1"/>
  <c r="S35" i="4" s="1"/>
  <c r="S42" i="4" l="1"/>
  <c r="S37" i="4"/>
  <c r="S44" i="4"/>
  <c r="S36" i="4"/>
  <c r="S45" i="4"/>
  <c r="S38" i="4"/>
  <c r="S47" i="4" s="1"/>
  <c r="Q54" i="4"/>
  <c r="Q56" i="4" s="1"/>
  <c r="Q57" i="4" s="1"/>
  <c r="Q70" i="4" l="1"/>
  <c r="Q64" i="4"/>
  <c r="Q65" i="4" s="1"/>
  <c r="Q71" i="4" s="1"/>
  <c r="Q55" i="4"/>
  <c r="R53" i="4" s="1"/>
  <c r="T29" i="4"/>
  <c r="T31" i="4" s="1"/>
  <c r="T32" i="4" s="1"/>
  <c r="Q58" i="4"/>
  <c r="S43" i="4"/>
  <c r="S48" i="4" s="1"/>
  <c r="S52" i="4" l="1"/>
  <c r="T33" i="4"/>
  <c r="T34" i="4" s="1"/>
  <c r="T35" i="4" s="1"/>
  <c r="R54" i="4"/>
  <c r="R56" i="4" s="1"/>
  <c r="R57" i="4" s="1"/>
  <c r="T37" i="4" l="1"/>
  <c r="T42" i="4"/>
  <c r="T44" i="4"/>
  <c r="T36" i="4"/>
  <c r="R70" i="4"/>
  <c r="R64" i="4"/>
  <c r="R65" i="4" s="1"/>
  <c r="R71" i="4" s="1"/>
  <c r="R55" i="4"/>
  <c r="S53" i="4" s="1"/>
  <c r="T45" i="4"/>
  <c r="T38" i="4"/>
  <c r="T47" i="4" s="1"/>
  <c r="R58" i="4"/>
  <c r="S54" i="4" l="1"/>
  <c r="S56" i="4" s="1"/>
  <c r="S57" i="4" s="1"/>
  <c r="S58" i="4" s="1"/>
  <c r="U29" i="4"/>
  <c r="U31" i="4" s="1"/>
  <c r="U32" i="4" s="1"/>
  <c r="T43" i="4"/>
  <c r="T48" i="4" s="1"/>
  <c r="T52" i="4" l="1"/>
  <c r="U33" i="4"/>
  <c r="U34" i="4" s="1"/>
  <c r="U35" i="4" s="1"/>
  <c r="S70" i="4"/>
  <c r="S64" i="4"/>
  <c r="S65" i="4" s="1"/>
  <c r="S71" i="4" s="1"/>
  <c r="S55" i="4"/>
  <c r="T53" i="4" s="1"/>
  <c r="U37" i="4" l="1"/>
  <c r="U42" i="4"/>
  <c r="U44" i="4"/>
  <c r="U36" i="4"/>
  <c r="U45" i="4"/>
  <c r="U38" i="4"/>
  <c r="U47" i="4" s="1"/>
  <c r="T54" i="4"/>
  <c r="T55" i="4" s="1"/>
  <c r="U53" i="4" s="1"/>
  <c r="T56" i="4" l="1"/>
  <c r="T57" i="4" s="1"/>
  <c r="T70" i="4" s="1"/>
  <c r="V29" i="4"/>
  <c r="V31" i="4" s="1"/>
  <c r="V32" i="4" s="1"/>
  <c r="U43" i="4"/>
  <c r="U48" i="4" s="1"/>
  <c r="T58" i="4" l="1"/>
  <c r="T64" i="4"/>
  <c r="T65" i="4" s="1"/>
  <c r="T71" i="4" s="1"/>
  <c r="V33" i="4"/>
  <c r="V34" i="4" s="1"/>
  <c r="V35" i="4" s="1"/>
  <c r="U52" i="4"/>
  <c r="V42" i="4" l="1"/>
  <c r="V37" i="4"/>
  <c r="V44" i="4"/>
  <c r="V36" i="4"/>
  <c r="U54" i="4"/>
  <c r="U55" i="4" s="1"/>
  <c r="V53" i="4" s="1"/>
  <c r="V45" i="4"/>
  <c r="V38" i="4"/>
  <c r="V47" i="4" s="1"/>
  <c r="U56" i="4" l="1"/>
  <c r="U57" i="4" s="1"/>
  <c r="W29" i="4"/>
  <c r="W31" i="4" s="1"/>
  <c r="W32" i="4" s="1"/>
  <c r="V43" i="4"/>
  <c r="V48" i="4" s="1"/>
  <c r="W33" i="4" l="1"/>
  <c r="W34" i="4" s="1"/>
  <c r="W35" i="4" s="1"/>
  <c r="V52" i="4"/>
  <c r="U70" i="4"/>
  <c r="U64" i="4"/>
  <c r="U65" i="4" s="1"/>
  <c r="U71" i="4" s="1"/>
  <c r="U58" i="4"/>
  <c r="V54" i="4" l="1"/>
  <c r="V55" i="4" s="1"/>
  <c r="W53" i="4" s="1"/>
  <c r="W42" i="4"/>
  <c r="W37" i="4"/>
  <c r="W44" i="4"/>
  <c r="W36" i="4"/>
  <c r="W45" i="4"/>
  <c r="W38" i="4"/>
  <c r="W47" i="4" s="1"/>
  <c r="X29" i="4" l="1"/>
  <c r="X31" i="4" s="1"/>
  <c r="X32" i="4" s="1"/>
  <c r="W43" i="4"/>
  <c r="W48" i="4" s="1"/>
  <c r="V56" i="4"/>
  <c r="V57" i="4" s="1"/>
  <c r="W52" i="4" l="1"/>
  <c r="V70" i="4"/>
  <c r="V64" i="4"/>
  <c r="V65" i="4" s="1"/>
  <c r="V71" i="4" s="1"/>
  <c r="V58" i="4"/>
  <c r="X33" i="4"/>
  <c r="X34" i="4" s="1"/>
  <c r="X45" i="4" l="1"/>
  <c r="X38" i="4"/>
  <c r="X47" i="4" s="1"/>
  <c r="X35" i="4"/>
  <c r="W54" i="4"/>
  <c r="W55" i="4" s="1"/>
  <c r="X53" i="4" s="1"/>
  <c r="X37" i="4" l="1"/>
  <c r="X42" i="4"/>
  <c r="X44" i="4"/>
  <c r="X36" i="4"/>
  <c r="W56" i="4"/>
  <c r="W57" i="4" s="1"/>
  <c r="Y29" i="4" l="1"/>
  <c r="Y31" i="4" s="1"/>
  <c r="Y32" i="4" s="1"/>
  <c r="W70" i="4"/>
  <c r="W64" i="4"/>
  <c r="W65" i="4" s="1"/>
  <c r="W71" i="4" s="1"/>
  <c r="W58" i="4"/>
  <c r="X43" i="4"/>
  <c r="X48" i="4" s="1"/>
  <c r="X52" i="4" l="1"/>
  <c r="Y33" i="4"/>
  <c r="Y34" i="4" s="1"/>
  <c r="Y35" i="4" s="1"/>
  <c r="Y42" i="4" l="1"/>
  <c r="Y37" i="4"/>
  <c r="Y44" i="4"/>
  <c r="Y36" i="4"/>
  <c r="Y45" i="4"/>
  <c r="Y38" i="4"/>
  <c r="Y47" i="4" s="1"/>
  <c r="X54" i="4"/>
  <c r="X55" i="4" s="1"/>
  <c r="Y53" i="4" s="1"/>
  <c r="X56" i="4" l="1"/>
  <c r="X57" i="4" s="1"/>
  <c r="X70" i="4" s="1"/>
  <c r="Z29" i="4"/>
  <c r="Z31" i="4" s="1"/>
  <c r="Z32" i="4" s="1"/>
  <c r="Y43" i="4"/>
  <c r="Y48" i="4" s="1"/>
  <c r="X64" i="4" l="1"/>
  <c r="X65" i="4" s="1"/>
  <c r="X71" i="4" s="1"/>
  <c r="X58" i="4"/>
  <c r="Y52" i="4"/>
  <c r="Z33" i="4"/>
  <c r="Z34" i="4" s="1"/>
  <c r="Z35" i="4" s="1"/>
  <c r="Z42" i="4" l="1"/>
  <c r="Z37" i="4"/>
  <c r="Z44" i="4"/>
  <c r="Z36" i="4"/>
  <c r="Z45" i="4"/>
  <c r="Z38" i="4"/>
  <c r="Z47" i="4" s="1"/>
  <c r="Y54" i="4"/>
  <c r="Y55" i="4" s="1"/>
  <c r="Z53" i="4" s="1"/>
  <c r="AA29" i="4" l="1"/>
  <c r="AA31" i="4" s="1"/>
  <c r="AA32" i="4" s="1"/>
  <c r="Y56" i="4"/>
  <c r="Y57" i="4" s="1"/>
  <c r="Z43" i="4"/>
  <c r="Z48" i="4" s="1"/>
  <c r="Z52" i="4" l="1"/>
  <c r="Y70" i="4"/>
  <c r="Y64" i="4"/>
  <c r="Y65" i="4" s="1"/>
  <c r="Y71" i="4" s="1"/>
  <c r="Y58" i="4"/>
  <c r="AA33" i="4"/>
  <c r="AA34" i="4" s="1"/>
  <c r="AA35" i="4" s="1"/>
  <c r="AA42" i="4" l="1"/>
  <c r="AA37" i="4"/>
  <c r="AA44" i="4"/>
  <c r="AA36" i="4"/>
  <c r="AA45" i="4"/>
  <c r="AA38" i="4"/>
  <c r="AA47" i="4" s="1"/>
  <c r="Z54" i="4"/>
  <c r="Z55" i="4" s="1"/>
  <c r="AA53" i="4" s="1"/>
  <c r="AB29" i="4" l="1"/>
  <c r="AB31" i="4" s="1"/>
  <c r="AB32" i="4" s="1"/>
  <c r="Z56" i="4"/>
  <c r="Z57" i="4" s="1"/>
  <c r="AA43" i="4"/>
  <c r="AA48" i="4" s="1"/>
  <c r="Z70" i="4" l="1"/>
  <c r="Z64" i="4"/>
  <c r="Z65" i="4" s="1"/>
  <c r="Z71" i="4" s="1"/>
  <c r="Z58" i="4"/>
  <c r="AA52" i="4"/>
  <c r="AB33" i="4"/>
  <c r="AB34" i="4" s="1"/>
  <c r="AB35" i="4" s="1"/>
  <c r="AB42" i="4" l="1"/>
  <c r="AB37" i="4"/>
  <c r="AB44" i="4"/>
  <c r="AB36" i="4"/>
  <c r="AB45" i="4"/>
  <c r="AB38" i="4"/>
  <c r="AB47" i="4" s="1"/>
  <c r="AA54" i="4"/>
  <c r="AA55" i="4" s="1"/>
  <c r="AB53" i="4" s="1"/>
  <c r="AA56" i="4" l="1"/>
  <c r="AA57" i="4" s="1"/>
  <c r="AC29" i="4"/>
  <c r="AC31" i="4" s="1"/>
  <c r="AC32" i="4" s="1"/>
  <c r="AB43" i="4"/>
  <c r="AB48" i="4" s="1"/>
  <c r="AB52" i="4" l="1"/>
  <c r="AC33" i="4"/>
  <c r="AC34" i="4" s="1"/>
  <c r="AA70" i="4"/>
  <c r="AA64" i="4"/>
  <c r="AA65" i="4" s="1"/>
  <c r="AA71" i="4" s="1"/>
  <c r="AA58" i="4"/>
  <c r="AC45" i="4" l="1"/>
  <c r="AC38" i="4"/>
  <c r="AC47" i="4" s="1"/>
  <c r="AC35" i="4"/>
  <c r="AB54" i="4"/>
  <c r="AB55" i="4" s="1"/>
  <c r="AC53" i="4" s="1"/>
  <c r="AB56" i="4" l="1"/>
  <c r="AB57" i="4" s="1"/>
  <c r="AC42" i="4"/>
  <c r="AC37" i="4"/>
  <c r="AC44" i="4"/>
  <c r="AC36" i="4"/>
  <c r="AC43" i="4" l="1"/>
  <c r="AC48" i="4" s="1"/>
  <c r="AD29" i="4"/>
  <c r="AD31" i="4" s="1"/>
  <c r="AD32" i="4" s="1"/>
  <c r="AB70" i="4"/>
  <c r="AB64" i="4"/>
  <c r="AB65" i="4" s="1"/>
  <c r="AB71" i="4" s="1"/>
  <c r="AB58" i="4"/>
  <c r="AC52" i="4" l="1"/>
  <c r="AD33" i="4"/>
  <c r="AD34" i="4" s="1"/>
  <c r="AD35" i="4" s="1"/>
  <c r="AD37" i="4" l="1"/>
  <c r="AD42" i="4"/>
  <c r="AD44" i="4"/>
  <c r="AD36" i="4"/>
  <c r="AD45" i="4"/>
  <c r="AD38" i="4"/>
  <c r="AD47" i="4" s="1"/>
  <c r="AC54" i="4"/>
  <c r="AC55" i="4" s="1"/>
  <c r="AD53" i="4" s="1"/>
  <c r="AE29" i="4" l="1"/>
  <c r="AE31" i="4" s="1"/>
  <c r="AE32" i="4" s="1"/>
  <c r="AD43" i="4"/>
  <c r="AD48" i="4" s="1"/>
  <c r="AC56" i="4"/>
  <c r="AC57" i="4" s="1"/>
  <c r="AD52" i="4" l="1"/>
  <c r="AC70" i="4"/>
  <c r="AC64" i="4"/>
  <c r="AC65" i="4" s="1"/>
  <c r="AC71" i="4" s="1"/>
  <c r="AC58" i="4"/>
  <c r="AE33" i="4"/>
  <c r="AE34" i="4" s="1"/>
  <c r="AE45" i="4" l="1"/>
  <c r="AE38" i="4"/>
  <c r="AE47" i="4" s="1"/>
  <c r="AE35" i="4"/>
  <c r="AD54" i="4"/>
  <c r="AD55" i="4" s="1"/>
  <c r="AE53" i="4" s="1"/>
  <c r="AE37" i="4" l="1"/>
  <c r="AE42" i="4"/>
  <c r="AE44" i="4"/>
  <c r="AE36" i="4"/>
  <c r="AD56" i="4"/>
  <c r="AD57" i="4" s="1"/>
  <c r="AD70" i="4" l="1"/>
  <c r="AD64" i="4"/>
  <c r="AD65" i="4" s="1"/>
  <c r="AD71" i="4" s="1"/>
  <c r="AD58" i="4"/>
  <c r="AF29" i="4"/>
  <c r="AF31" i="4" s="1"/>
  <c r="AF32" i="4" s="1"/>
  <c r="AE43" i="4"/>
  <c r="AE48" i="4" s="1"/>
  <c r="AF33" i="4" l="1"/>
  <c r="AF34" i="4" s="1"/>
  <c r="AE52" i="4"/>
  <c r="AE54" i="4" l="1"/>
  <c r="AE55" i="4" s="1"/>
  <c r="AF53" i="4" s="1"/>
  <c r="AF45" i="4"/>
  <c r="AF38" i="4"/>
  <c r="AF47" i="4" s="1"/>
  <c r="AF35" i="4"/>
  <c r="AE56" i="4" l="1"/>
  <c r="AE57" i="4" s="1"/>
  <c r="AE70" i="4" s="1"/>
  <c r="AF42" i="4"/>
  <c r="AF37" i="4"/>
  <c r="AF44" i="4"/>
  <c r="AF36" i="4"/>
  <c r="AE58" i="4" l="1"/>
  <c r="AE64" i="4"/>
  <c r="AE65" i="4" s="1"/>
  <c r="AE71" i="4" s="1"/>
  <c r="AG29" i="4"/>
  <c r="AG31" i="4" s="1"/>
  <c r="AG32" i="4" s="1"/>
  <c r="AF43" i="4"/>
  <c r="AF48" i="4" s="1"/>
  <c r="AF52" i="4" l="1"/>
  <c r="AG33" i="4"/>
  <c r="AG34" i="4" s="1"/>
  <c r="AG35" i="4" s="1"/>
  <c r="AG42" i="4" l="1"/>
  <c r="AG37" i="4"/>
  <c r="AG44" i="4"/>
  <c r="AG36" i="4"/>
  <c r="AG45" i="4"/>
  <c r="AG38" i="4"/>
  <c r="AG47" i="4" s="1"/>
  <c r="AF54" i="4"/>
  <c r="AF55" i="4" s="1"/>
  <c r="AG53" i="4" s="1"/>
  <c r="AH29" i="4" l="1"/>
  <c r="AH31" i="4" s="1"/>
  <c r="AH32" i="4" s="1"/>
  <c r="AF56" i="4"/>
  <c r="AF57" i="4" s="1"/>
  <c r="AG43" i="4"/>
  <c r="AG48" i="4" s="1"/>
  <c r="AG52" i="4" l="1"/>
  <c r="AF70" i="4"/>
  <c r="AF64" i="4"/>
  <c r="AF65" i="4" s="1"/>
  <c r="AF71" i="4" s="1"/>
  <c r="AF58" i="4"/>
  <c r="AH33" i="4"/>
  <c r="AH34" i="4" s="1"/>
  <c r="AH45" i="4" l="1"/>
  <c r="AH38" i="4"/>
  <c r="AH47" i="4" s="1"/>
  <c r="AH35" i="4"/>
  <c r="AG54" i="4"/>
  <c r="AG55" i="4" s="1"/>
  <c r="AH53" i="4" s="1"/>
  <c r="AG56" i="4" l="1"/>
  <c r="AG57" i="4" s="1"/>
  <c r="AH42" i="4"/>
  <c r="AH37" i="4"/>
  <c r="AH44" i="4"/>
  <c r="AH36" i="4"/>
  <c r="AI29" i="4" l="1"/>
  <c r="AI31" i="4" s="1"/>
  <c r="AI32" i="4" s="1"/>
  <c r="AH43" i="4"/>
  <c r="AH48" i="4" s="1"/>
  <c r="AG70" i="4"/>
  <c r="AG64" i="4"/>
  <c r="AG65" i="4" s="1"/>
  <c r="AG71" i="4" s="1"/>
  <c r="AG58" i="4"/>
  <c r="AH52" i="4" l="1"/>
  <c r="AI33" i="4"/>
  <c r="AI34" i="4" s="1"/>
  <c r="AI35" i="4" s="1"/>
  <c r="AI42" i="4" l="1"/>
  <c r="AI37" i="4"/>
  <c r="AI44" i="4"/>
  <c r="AI36" i="4"/>
  <c r="AI45" i="4"/>
  <c r="AI38" i="4"/>
  <c r="AI47" i="4" s="1"/>
  <c r="AH54" i="4"/>
  <c r="AH55" i="4" s="1"/>
  <c r="AI53" i="4" s="1"/>
  <c r="AH56" i="4" l="1"/>
  <c r="AH57" i="4" s="1"/>
  <c r="AH70" i="4" s="1"/>
  <c r="AJ29" i="4"/>
  <c r="AJ31" i="4" s="1"/>
  <c r="AJ32" i="4" s="1"/>
  <c r="AI43" i="4"/>
  <c r="AI48" i="4" s="1"/>
  <c r="AH58" i="4" l="1"/>
  <c r="AH64" i="4"/>
  <c r="AH65" i="4" s="1"/>
  <c r="AH71" i="4" s="1"/>
  <c r="AI52" i="4"/>
  <c r="AJ33" i="4"/>
  <c r="AJ34" i="4" s="1"/>
  <c r="AJ35" i="4" s="1"/>
  <c r="AJ42" i="4" l="1"/>
  <c r="AJ37" i="4"/>
  <c r="AJ44" i="4"/>
  <c r="D44" i="4" s="1"/>
  <c r="D35" i="4"/>
  <c r="D78" i="4" s="1" a="1"/>
  <c r="D78" i="4" s="1"/>
  <c r="AJ36" i="4"/>
  <c r="D84" i="4" s="1"/>
  <c r="B7" i="5" s="1"/>
  <c r="AJ45" i="4"/>
  <c r="D45" i="4" s="1"/>
  <c r="D34" i="4"/>
  <c r="D79" i="4" s="1" a="1"/>
  <c r="D79" i="4" s="1"/>
  <c r="AJ38" i="4"/>
  <c r="AI54" i="4"/>
  <c r="AI55" i="4" s="1"/>
  <c r="AJ53" i="4" s="1"/>
  <c r="G37" i="5" a="1"/>
  <c r="F37" i="5" a="1"/>
  <c r="E37" i="5" a="1"/>
  <c r="D37" i="5" a="1"/>
  <c r="D36" i="5" a="1"/>
  <c r="F36" i="5" a="1"/>
  <c r="G36" i="5" a="1"/>
  <c r="E36" i="5" a="1"/>
  <c r="AI56" i="4" l="1"/>
  <c r="AI57" i="4" s="1"/>
  <c r="E36" i="5"/>
  <c r="G36" i="5"/>
  <c r="F36" i="5"/>
  <c r="D36" i="5"/>
  <c r="D37" i="5"/>
  <c r="E37" i="5"/>
  <c r="F37" i="5"/>
  <c r="G37" i="5"/>
  <c r="D17" i="4"/>
  <c r="J8" i="4" s="1"/>
  <c r="AJ47" i="4"/>
  <c r="D47" i="4" s="1"/>
  <c r="D38" i="4"/>
  <c r="G8" i="4"/>
  <c r="F8" i="4"/>
  <c r="H8" i="4"/>
  <c r="I8" i="4"/>
  <c r="M8" i="4"/>
  <c r="N8" i="4"/>
  <c r="O8" i="4"/>
  <c r="P8" i="4"/>
  <c r="Q8" i="4"/>
  <c r="R8" i="4"/>
  <c r="T8" i="4"/>
  <c r="V8" i="4"/>
  <c r="W8" i="4"/>
  <c r="X8" i="4"/>
  <c r="Y8" i="4"/>
  <c r="Z8" i="4"/>
  <c r="AB8" i="4"/>
  <c r="AC8" i="4"/>
  <c r="AE8" i="4"/>
  <c r="AF8" i="4"/>
  <c r="AG8" i="4"/>
  <c r="AH8" i="4"/>
  <c r="AJ8" i="4"/>
  <c r="AI70" i="4"/>
  <c r="AI64" i="4"/>
  <c r="AI65" i="4" s="1"/>
  <c r="AI71" i="4" s="1"/>
  <c r="AI58" i="4"/>
  <c r="AJ43" i="4"/>
  <c r="D43" i="4" s="1"/>
  <c r="D42" i="4"/>
  <c r="AD8" i="4" l="1"/>
  <c r="U8" i="4"/>
  <c r="L8" i="4"/>
  <c r="AI8" i="4"/>
  <c r="AA8" i="4"/>
  <c r="S8" i="4"/>
  <c r="K8" i="4"/>
  <c r="AJ48" i="4"/>
  <c r="AJ52" i="4" l="1"/>
  <c r="D48" i="4"/>
  <c r="AJ54" i="4" l="1"/>
  <c r="D52" i="4"/>
  <c r="D54" i="4" l="1"/>
  <c r="AJ55" i="4"/>
  <c r="AJ56" i="4"/>
  <c r="D56" i="4" l="1"/>
  <c r="AJ57" i="4"/>
  <c r="AJ70" i="4" l="1"/>
  <c r="D70" i="4" s="1"/>
  <c r="D76" i="4" s="1" a="1"/>
  <c r="D76" i="4" s="1"/>
  <c r="AJ64" i="4"/>
  <c r="D57" i="4"/>
  <c r="AJ58" i="4"/>
  <c r="D80" i="4" s="1"/>
  <c r="E90" i="5" a="1"/>
  <c r="E86" i="5" a="1"/>
  <c r="E117" i="5" a="1"/>
  <c r="E106" i="5" a="1"/>
  <c r="D35" i="5" a="1"/>
  <c r="E91" i="5" a="1"/>
  <c r="E72" i="5" a="1"/>
  <c r="E73" i="5" a="1"/>
  <c r="E94" i="5" a="1"/>
  <c r="E95" i="5" a="1"/>
  <c r="E87" i="5" a="1"/>
  <c r="E116" i="5" a="1"/>
  <c r="E93" i="5" a="1"/>
  <c r="E79" i="5" a="1"/>
  <c r="E83" i="5" a="1"/>
  <c r="E112" i="5" a="1"/>
  <c r="E89" i="5" a="1"/>
  <c r="E75" i="5" a="1"/>
  <c r="E107" i="5" a="1"/>
  <c r="E101" i="5" a="1"/>
  <c r="E109" i="5" a="1"/>
  <c r="E92" i="5" a="1"/>
  <c r="E88" i="5" a="1"/>
  <c r="E85" i="5" a="1"/>
  <c r="E78" i="5" a="1"/>
  <c r="E114" i="5" a="1"/>
  <c r="E74" i="5" a="1"/>
  <c r="E103" i="5" a="1"/>
  <c r="E80" i="5" a="1"/>
  <c r="E69" i="5" a="1"/>
  <c r="E77" i="5" a="1"/>
  <c r="E108" i="5" a="1"/>
  <c r="E82" i="5" a="1"/>
  <c r="E71" i="5" a="1"/>
  <c r="E104" i="5" a="1"/>
  <c r="E84" i="5" a="1"/>
  <c r="E110" i="5" a="1"/>
  <c r="G35" i="5" a="1"/>
  <c r="E99" i="5" a="1"/>
  <c r="E76" i="5" a="1"/>
  <c r="E97" i="5" a="1"/>
  <c r="E105" i="5" a="1"/>
  <c r="E102" i="5" a="1"/>
  <c r="E68" i="5" a="1"/>
  <c r="E35" i="5" a="1"/>
  <c r="E113" i="5" a="1"/>
  <c r="E98" i="5" a="1"/>
  <c r="G39" i="5" a="1"/>
  <c r="E111" i="5" a="1"/>
  <c r="E96" i="5" a="1"/>
  <c r="F35" i="5" a="1"/>
  <c r="D124" i="5" a="1"/>
  <c r="E81" i="5" a="1"/>
  <c r="B44" i="5" a="1"/>
  <c r="E70" i="5" a="1"/>
  <c r="E115" i="5" a="1"/>
  <c r="E100" i="5" a="1"/>
  <c r="E100" i="5" l="1"/>
  <c r="E115" i="5"/>
  <c r="E70" i="5"/>
  <c r="C44" i="5"/>
  <c r="B54" i="5"/>
  <c r="B136" i="5" s="1"/>
  <c r="E53" i="5"/>
  <c r="E52" i="5"/>
  <c r="D49" i="5"/>
  <c r="E46" i="5"/>
  <c r="C51" i="5"/>
  <c r="D45" i="5"/>
  <c r="D50" i="5"/>
  <c r="C54" i="5"/>
  <c r="E51" i="5"/>
  <c r="B50" i="5"/>
  <c r="B132" i="5" s="1"/>
  <c r="B47" i="5"/>
  <c r="B129" i="5" s="1"/>
  <c r="D54" i="5"/>
  <c r="E48" i="5"/>
  <c r="D55" i="5"/>
  <c r="B48" i="5"/>
  <c r="B130" i="5" s="1"/>
  <c r="C48" i="5"/>
  <c r="E45" i="5"/>
  <c r="E44" i="5"/>
  <c r="E54" i="5"/>
  <c r="D53" i="5"/>
  <c r="C53" i="5"/>
  <c r="C45" i="5"/>
  <c r="C46" i="5"/>
  <c r="B44" i="5"/>
  <c r="B126" i="5" s="1"/>
  <c r="B55" i="5"/>
  <c r="B137" i="5" s="1"/>
  <c r="B52" i="5"/>
  <c r="B134" i="5" s="1"/>
  <c r="D46" i="5"/>
  <c r="B51" i="5"/>
  <c r="B133" i="5" s="1"/>
  <c r="B53" i="5"/>
  <c r="B135" i="5" s="1"/>
  <c r="E55" i="5"/>
  <c r="C55" i="5"/>
  <c r="D52" i="5"/>
  <c r="C49" i="5"/>
  <c r="D48" i="5"/>
  <c r="E50" i="5"/>
  <c r="D44" i="5"/>
  <c r="D47" i="5"/>
  <c r="C52" i="5"/>
  <c r="D51" i="5"/>
  <c r="C50" i="5"/>
  <c r="B49" i="5"/>
  <c r="B131" i="5" s="1"/>
  <c r="E49" i="5"/>
  <c r="B46" i="5"/>
  <c r="B128" i="5" s="1"/>
  <c r="E47" i="5"/>
  <c r="B45" i="5"/>
  <c r="B127" i="5" s="1"/>
  <c r="C47" i="5"/>
  <c r="E81" i="5"/>
  <c r="D124" i="5"/>
  <c r="F35" i="5"/>
  <c r="E96" i="5"/>
  <c r="E111" i="5"/>
  <c r="G39" i="5"/>
  <c r="E98" i="5"/>
  <c r="E113" i="5"/>
  <c r="E35" i="5"/>
  <c r="E68" i="5"/>
  <c r="E102" i="5"/>
  <c r="E105" i="5"/>
  <c r="E97" i="5"/>
  <c r="E76" i="5"/>
  <c r="E99" i="5"/>
  <c r="G35" i="5"/>
  <c r="E110" i="5"/>
  <c r="E84" i="5"/>
  <c r="E104" i="5"/>
  <c r="E71" i="5"/>
  <c r="E82" i="5"/>
  <c r="E108" i="5"/>
  <c r="E77" i="5"/>
  <c r="E69" i="5"/>
  <c r="E80" i="5"/>
  <c r="E103" i="5"/>
  <c r="E74" i="5"/>
  <c r="E114" i="5"/>
  <c r="E78" i="5"/>
  <c r="E85" i="5"/>
  <c r="E88" i="5"/>
  <c r="E92" i="5"/>
  <c r="E109" i="5"/>
  <c r="E101" i="5"/>
  <c r="E107" i="5"/>
  <c r="E75" i="5"/>
  <c r="E89" i="5"/>
  <c r="E112" i="5"/>
  <c r="E83" i="5"/>
  <c r="E79" i="5"/>
  <c r="E93" i="5"/>
  <c r="E116" i="5"/>
  <c r="E87" i="5"/>
  <c r="E95" i="5"/>
  <c r="E94" i="5"/>
  <c r="E73" i="5"/>
  <c r="E72" i="5"/>
  <c r="E91" i="5"/>
  <c r="D35" i="5"/>
  <c r="E106" i="5"/>
  <c r="E117" i="5"/>
  <c r="E86" i="5"/>
  <c r="E90" i="5"/>
  <c r="AJ65" i="4"/>
  <c r="D64" i="4"/>
  <c r="G128" i="5" l="1"/>
  <c r="F129" i="5"/>
  <c r="G135" i="5"/>
  <c r="G133" i="5"/>
  <c r="F128" i="5"/>
  <c r="F131" i="5"/>
  <c r="F130" i="5"/>
  <c r="G131" i="5"/>
  <c r="G132" i="5"/>
  <c r="F134" i="5"/>
  <c r="G130" i="5"/>
  <c r="G136" i="5"/>
  <c r="F133" i="5"/>
  <c r="G137" i="5"/>
  <c r="F132" i="5"/>
  <c r="G126" i="5"/>
  <c r="G129" i="5"/>
  <c r="G134" i="5"/>
  <c r="G127" i="5"/>
  <c r="F137" i="5"/>
  <c r="F127" i="5"/>
  <c r="F126" i="5"/>
  <c r="F135" i="5"/>
  <c r="F136" i="5"/>
  <c r="AJ71" i="4"/>
  <c r="D71" i="4" s="1"/>
  <c r="D77" i="4" s="1" a="1"/>
  <c r="D77" i="4" s="1"/>
  <c r="D65" i="4"/>
  <c r="D113" i="5" a="1"/>
  <c r="D75" i="5" a="1"/>
  <c r="D86" i="5" a="1"/>
  <c r="D81" i="5" a="1"/>
  <c r="D98" i="5" a="1"/>
  <c r="D83" i="5" a="1"/>
  <c r="D80" i="5" a="1"/>
  <c r="D116" i="5" a="1"/>
  <c r="D69" i="5" a="1"/>
  <c r="D76" i="5" a="1"/>
  <c r="D94" i="5" a="1"/>
  <c r="D72" i="5" a="1"/>
  <c r="D79" i="5" a="1"/>
  <c r="D104" i="5" a="1"/>
  <c r="D82" i="5" a="1"/>
  <c r="D78" i="5" a="1"/>
  <c r="B6" i="5" a="1"/>
  <c r="D115" i="5" a="1"/>
  <c r="D107" i="5" a="1"/>
  <c r="D84" i="5" a="1"/>
  <c r="D90" i="5" a="1"/>
  <c r="D97" i="5" a="1"/>
  <c r="D70" i="5" a="1"/>
  <c r="D100" i="5" a="1"/>
  <c r="D74" i="5" a="1"/>
  <c r="D95" i="5" a="1"/>
  <c r="D89" i="5" a="1"/>
  <c r="D114" i="5" a="1"/>
  <c r="D91" i="5" a="1"/>
  <c r="D103" i="5" a="1"/>
  <c r="D12" i="5" a="1"/>
  <c r="D117" i="5" a="1"/>
  <c r="D101" i="5" a="1"/>
  <c r="D111" i="5" a="1"/>
  <c r="D93" i="5" a="1"/>
  <c r="D68" i="5" a="1"/>
  <c r="D85" i="5" a="1"/>
  <c r="D102" i="5" a="1"/>
  <c r="D87" i="5" a="1"/>
  <c r="D112" i="5" a="1"/>
  <c r="D88" i="5" a="1"/>
  <c r="D109" i="5" a="1"/>
  <c r="D77" i="5" a="1"/>
  <c r="D110" i="5" a="1"/>
  <c r="D15" i="5" a="1"/>
  <c r="D71" i="5" a="1"/>
  <c r="D17" i="5" a="1"/>
  <c r="D96" i="5" a="1"/>
  <c r="D105" i="5" a="1"/>
  <c r="D73" i="5" a="1"/>
  <c r="D106" i="5" a="1"/>
  <c r="D99" i="5" a="1"/>
  <c r="D18" i="5" a="1"/>
  <c r="D108" i="5" a="1"/>
  <c r="D92" i="5" a="1"/>
  <c r="D92" i="5" l="1"/>
  <c r="D108" i="5"/>
  <c r="D18" i="5"/>
  <c r="D99" i="5"/>
  <c r="D106" i="5"/>
  <c r="D73" i="5"/>
  <c r="D105" i="5"/>
  <c r="D96" i="5"/>
  <c r="D17" i="5"/>
  <c r="D71" i="5"/>
  <c r="D15" i="5"/>
  <c r="D110" i="5"/>
  <c r="D77" i="5"/>
  <c r="D109" i="5"/>
  <c r="D88" i="5"/>
  <c r="D112" i="5"/>
  <c r="D87" i="5"/>
  <c r="D102" i="5"/>
  <c r="D85" i="5"/>
  <c r="D68" i="5"/>
  <c r="D93" i="5"/>
  <c r="D111" i="5"/>
  <c r="D101" i="5"/>
  <c r="D117" i="5"/>
  <c r="D12" i="5"/>
  <c r="D13" i="5" s="1"/>
  <c r="D103" i="5"/>
  <c r="D91" i="5"/>
  <c r="D114" i="5"/>
  <c r="D89" i="5"/>
  <c r="D95" i="5"/>
  <c r="D74" i="5"/>
  <c r="D100" i="5"/>
  <c r="D70" i="5"/>
  <c r="D97" i="5"/>
  <c r="D90" i="5"/>
  <c r="D84" i="5"/>
  <c r="D107" i="5"/>
  <c r="D115" i="5"/>
  <c r="B6" i="5"/>
  <c r="D78" i="5"/>
  <c r="D82" i="5"/>
  <c r="D104" i="5"/>
  <c r="D79" i="5"/>
  <c r="D72" i="5"/>
  <c r="D94" i="5"/>
  <c r="D76" i="5"/>
  <c r="D69" i="5"/>
  <c r="D116" i="5"/>
  <c r="D80" i="5"/>
  <c r="D83" i="5"/>
  <c r="D98" i="5"/>
  <c r="D81" i="5"/>
  <c r="D86" i="5"/>
  <c r="D75" i="5"/>
  <c r="D113" i="5"/>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<sst xmlns="http://schemas.openxmlformats.org/spreadsheetml/2006/main" count="688" uniqueCount="473">
  <si>
    <t>Exploration Prospect Economics</t>
  </si>
  <si>
    <t>ModelRisk example  ·  Oil and gas  ·  OG-05</t>
  </si>
  <si>
    <t>Should we drill the exploration well?  Expected monetary value of an oil prospect — from geological chance to discounted cash flow.</t>
  </si>
  <si>
    <t>Next:  Inputs  ▸</t>
  </si>
  <si>
    <t>Model card</t>
  </si>
  <si>
    <t>Industry</t>
  </si>
  <si>
    <t>Oil and gas</t>
  </si>
  <si>
    <t>Difficulty</t>
  </si>
  <si>
    <t>★★★★☆   Several sheets, correlated inputs, a risk event, a stochastic price path and a 30-year cash flow.</t>
  </si>
  <si>
    <t>Business question</t>
  </si>
  <si>
    <t>What is the expected monetary value (EMV) of drilling the Kestrel exploration prospect, how likely is a commercial discovery, and which uncertainties drive the value of a discovery?</t>
  </si>
  <si>
    <t>Who it is for</t>
  </si>
  <si>
    <t>Exploration teams, petroleum economists, portfolio managers and investment committees.</t>
  </si>
  <si>
    <t>Main outputs</t>
  </si>
  <si>
    <t>EMV of drilling · chance of a dry hole, a sub-commercial and a commercial discovery · success-case volumes and NPV · ranking of value drivers.</t>
  </si>
  <si>
    <t>ModelRisk techniques</t>
  </si>
  <si>
    <t>Chance of success (Bernoulli) · expert estimates as PERT and Lognormal P90/P10 · correlation with a copula · risk event · mean-reverting price time series · named inputs and outputs · live simulation statistics in the workbook.</t>
  </si>
  <si>
    <t>File</t>
  </si>
  <si>
    <t>OG-05 Exploration prospect economics  ·  Version 1.0  ·  October 2026  ·  built with ModelRisk 10</t>
  </si>
  <si>
    <t>The business question</t>
  </si>
  <si>
    <t>An exploration well on the Kestrel prospect will cost around US$40 million. The exploration team puts the chance of finding oil at about 30%, and if oil is found its volume is highly uncertain. A discovery is developed only if it is larger than the minimum economic field size; its value then depends on how much oil can be produced, how soon, at what cost and at what oil price. The model combines all of these uncertainties to answer three questions:  (1) is the expected monetary value of drilling positive?  (2) what are the chances of a dry hole, a discovery too small to develop and a commercial discovery?  (3) which uncertainties drive the value of a discovery, and so where should appraisal focus?</t>
  </si>
  <si>
    <t>How the model works</t>
  </si>
  <si>
    <t>Four sheets after this one, read from left to right. Each one feeds the next.</t>
  </si>
  <si>
    <t>1  Inputs</t>
  </si>
  <si>
    <t>Every assumption in one place. Expert ranges are entered as PERT (minimum, most likely, maximum) or Lognormal (P90, P10) distributions; porosity and water saturation are correlated with a Normal copula.</t>
  </si>
  <si>
    <t>2  Prospect</t>
  </si>
  <si>
    <t>The geological chance of success, Pg, is the product of four independent risk factors, and a Bernoulli trial decides whether this simulated well finds oil. The volumetric equation gives the recoverable volume. A discovery is commercial if it reaches the minimum economic field size; the wells, facilities and capex are sized from its plateau rate, and a risk event adds a possible major cost overrun.</t>
  </si>
  <si>
    <t>3  Cash flow</t>
  </si>
  <si>
    <t>An annual model of the success case: plateau-then-decline production, one random path of a mean-reverting oil price (VoseTimeGBMVR), royalty, operating and abandonment costs, and tax with immediate expensing and loss carry-forward. Production stops at the economic limit. The risked cash flow then applies the outcome of the well: exploration is always paid for, appraisal only after a discovery, development only after a commercial discovery.</t>
  </si>
  <si>
    <t>4  Results</t>
  </si>
  <si>
    <t>The mean of the risked Prospect NPV over all samples is the EMV. VoseSim… functions bring the simulation statistics back into the workbook: outcome probabilities, P90 / P50 / P10 ranges, value drivers and charts.</t>
  </si>
  <si>
    <t>How to use it</t>
  </si>
  <si>
    <t>Step 1</t>
  </si>
  <si>
    <t>Review the assumptions on the Inputs sheet and change the yellow cells to reflect your own prospect. Everything else is calculated.</t>
  </si>
  <si>
    <t>Step 2</t>
  </si>
  <si>
    <t>Press F9 a few times and watch the Prospect and Cash flow sheets: each recalculation is one possible outcome of drilling the well.</t>
  </si>
  <si>
    <t>Step 3</t>
  </si>
  <si>
    <t>Run a simulation from the ModelRisk ribbon. The model is set to 10,000 samples with a fixed seed, so the results are reproducible.</t>
  </si>
  <si>
    <t>Step 4</t>
  </si>
  <si>
    <t>Read the Results sheet; it fills in automatically. Open the ModelRisk Results Viewer for tornado, spider and scatter plots of any input or output.</t>
  </si>
  <si>
    <t>Step 5</t>
  </si>
  <si>
    <t>Save the workbook under a new name before adapting it. The Model checks at the bottom of the Cash flow sheet should all read OK.</t>
  </si>
  <si>
    <t>Workbook map</t>
  </si>
  <si>
    <t>Inputs</t>
  </si>
  <si>
    <t>All assumptions, their uncertainty (distribution and range) and their basis.</t>
  </si>
  <si>
    <t>Prospect</t>
  </si>
  <si>
    <t>Chance of success, volumes, commercial screen and development concept — single values for this iteration.</t>
  </si>
  <si>
    <t>Cash flow</t>
  </si>
  <si>
    <t>Annual success-case cash flow from Year 0 to Year 30, the risked cash flow, NPVs, key outputs and model checks.</t>
  </si>
  <si>
    <t>Results</t>
  </si>
  <si>
    <t>Simulation results: EMV, outcome probabilities, success-case ranges, value drivers and charts.</t>
  </si>
  <si>
    <t>Colour key</t>
  </si>
  <si>
    <t>Input</t>
  </si>
  <si>
    <t>An assumption you may change. Only these cells are inputs.</t>
  </si>
  <si>
    <t>Uncertain variable</t>
  </si>
  <si>
    <t>A ModelRisk distribution: a new random value is drawn at every recalculation (F9) and every simulation sample.</t>
  </si>
  <si>
    <t>Calculation</t>
  </si>
  <si>
    <t>A formula. Do not overwrite.</t>
  </si>
  <si>
    <t>Key output</t>
  </si>
  <si>
    <t>Marked with VoseOutput; its full distribution is recorded when you simulate.</t>
  </si>
  <si>
    <t>Simulation result</t>
  </si>
  <si>
    <t>A VoseSim… function: a statistic of the last simulation, filled in automatically.</t>
  </si>
  <si>
    <t>Units and conventions</t>
  </si>
  <si>
    <t>Money</t>
  </si>
  <si>
    <t>US$ million in real (2026) terms; costs are negative in the cash flow.</t>
  </si>
  <si>
    <t>Volumes</t>
  </si>
  <si>
    <t>MMbbl = million barrels; MMstb = million stock-tank barrels; kbbl/d = thousand barrels per day.</t>
  </si>
  <si>
    <t>Percentiles</t>
  </si>
  <si>
    <t>Petroleum convention: P90 is the low estimate (90% chance of being exceeded), P10 the high estimate.</t>
  </si>
  <si>
    <t>Timing</t>
  </si>
  <si>
    <t>Year 0 is the exploration well. Annual cash flows are discounted mid-year to the start of Year 0.</t>
  </si>
  <si>
    <t>Key assumptions and limitations</t>
  </si>
  <si>
    <t>Chance</t>
  </si>
  <si>
    <t>Risk factors are independent fixed probabilities; there is no uncertainty about Pg itself.</t>
  </si>
  <si>
    <t>Appraisal</t>
  </si>
  <si>
    <t>Appraisal reveals the true volume, and the development decision uses the minimum economic field size rather than a full value-of-information analysis.</t>
  </si>
  <si>
    <t>Tax</t>
  </si>
  <si>
    <t>Stand-alone, ring-fenced project: exploration and appraisal costs are not offset against tax; development capex is expensed immediately.</t>
  </si>
  <si>
    <t>Scope</t>
  </si>
  <si>
    <t>Oil only, real terms, no hedging; operating costs do not move with the oil price.</t>
  </si>
  <si>
    <t>Data</t>
  </si>
  <si>
    <t>All figures are illustrative. Kestrel is not a real prospect.</t>
  </si>
  <si>
    <t>ModelRisk functions used</t>
  </si>
  <si>
    <t>VoseBernoulli</t>
  </si>
  <si>
    <t>Whether the well finds oil.</t>
  </si>
  <si>
    <t>VoseLognormalAlt</t>
  </si>
  <si>
    <t>Area and net pay, entered as P90 and P10 estimates.</t>
  </si>
  <si>
    <t>VosePERT</t>
  </si>
  <si>
    <t>Expert three-point estimates (minimum, most likely, maximum).</t>
  </si>
  <si>
    <t>VoseCopulaBiNormal</t>
  </si>
  <si>
    <t>Correlates porosity and water saturation through the U argument of their distributions.</t>
  </si>
  <si>
    <t>VoseDiscrete</t>
  </si>
  <si>
    <t>Time from discovery to first oil.</t>
  </si>
  <si>
    <t>VoseRiskEvent, VosePERTObject</t>
  </si>
  <si>
    <t>A possible major cost overrun: probability of occurrence and size if it occurs.</t>
  </si>
  <si>
    <t>VoseTimeGBMVR</t>
  </si>
  <si>
    <t>A mean-reverting oil price path over 30 years (array function).</t>
  </si>
  <si>
    <t>VoseInput, VoseOutput</t>
  </si>
  <si>
    <t>Name the uncertain inputs and the key outputs for the Results Viewer and sensitivity analysis.</t>
  </si>
  <si>
    <t>VoseSimMean, VoseSimPercentile, VoseSimProbability</t>
  </si>
  <si>
    <t>Bring simulation statistics back into the workbook on the Results sheet.</t>
  </si>
  <si>
    <t>VoseSimSensitivityMean</t>
  </si>
  <si>
    <t>The tornado chart: the twelve VoseInputs that move the mean development NPV most across their range, ranked.</t>
  </si>
  <si>
    <t>Further reading</t>
  </si>
  <si>
    <t>Risk analysis</t>
  </si>
  <si>
    <t>Vose, D. (2008). Risk Analysis: A Quantitative Guide, 3rd edition. Wiley.</t>
  </si>
  <si>
    <t>Exploration</t>
  </si>
  <si>
    <t>Rose, P. R. (2001). Risk Analysis and Management of Petroleum Exploration Ventures. AAPG Methods in Exploration 12.</t>
  </si>
  <si>
    <t>Resources</t>
  </si>
  <si>
    <t>SPE / WPC / AAPG / SPEE / SEG / SPWLA / EAGE (2018). Petroleum Resources Management System (PRMS).</t>
  </si>
  <si>
    <t>ModelRisk help</t>
  </si>
  <si>
    <t>Time series ▸ VoseTimeGBMVR;  Modeling correlation ▸ copulas;  Simulation results functions.</t>
  </si>
  <si>
    <t>© 2026 Vose Software   ·   www.vosesoftware.com   ·   An illustrative example: the figures are invented for teaching and do not describe a real company, project or asset.</t>
  </si>
  <si>
    <t>INPUTS   ·   Every assumption the model uses, with its uncertainty and its basis. Change only the yellow cells.</t>
  </si>
  <si>
    <t>◂  About</t>
  </si>
  <si>
    <t>Next:  Prospect  ▸</t>
  </si>
  <si>
    <t>How to read this sheet:  yellow cells are inputs.  Orange cells hold ModelRisk distributions and show the current random sample (press F9 to draw again).  Low / Most likely / High are the minimum, most likely and maximum for PERT; the P90 (low) and P10 (high) estimates for Lognormal — P90 means a 90% chance of being exceeded; the possible outcomes for Discrete.  Mean is the distribution's average (VoseMean); it shows ✗ if a range is out of order.  A phasing table gives the year of each payment and the share of the cost paid in it.</t>
  </si>
  <si>
    <t>1   Geological chance of success</t>
  </si>
  <si>
    <t>Probability that each element needed for an oil accumulation is present. Treated as independent; their product is the geological chance of success, Pg.</t>
  </si>
  <si>
    <t>Assumption</t>
  </si>
  <si>
    <t>Unit</t>
  </si>
  <si>
    <t>Value in model</t>
  </si>
  <si>
    <t>Uncertainty</t>
  </si>
  <si>
    <t>Basis / source (illustrative)</t>
  </si>
  <si>
    <t>Source rock and charge</t>
  </si>
  <si>
    <t>probability</t>
  </si>
  <si>
    <t>Fixed</t>
  </si>
  <si>
    <t>Proven oil-prone source rock in the basin; migration into this closure is the main doubt.</t>
  </si>
  <si>
    <t>Reservoir presence and quality</t>
  </si>
  <si>
    <t>Shallow-marine sands seen in two offset wells 8 km away; thickness at the crest uncertain.</t>
  </si>
  <si>
    <t>Trap (closure)</t>
  </si>
  <si>
    <t>Four-way dip closure mapped on good-quality 3D seismic; some depth-conversion risk.</t>
  </si>
  <si>
    <t>Seal (containment)</t>
  </si>
  <si>
    <t>Regional shale seal; fault reactivation could breach the crest.</t>
  </si>
  <si>
    <t>2   Volumetrics (if oil is found)</t>
  </si>
  <si>
    <t>Inputs to the volumetric equation for oil in place and recoverable volume. They describe how big a discovery could be.</t>
  </si>
  <si>
    <t>Low</t>
  </si>
  <si>
    <t>Most likely</t>
  </si>
  <si>
    <t>High</t>
  </si>
  <si>
    <t>Mean</t>
  </si>
  <si>
    <t>Productive area</t>
  </si>
  <si>
    <t>acres</t>
  </si>
  <si>
    <t>Lognormal  · P90, P10</t>
  </si>
  <si>
    <t>–</t>
  </si>
  <si>
    <t>Mapped closure area; P90 and P10 from the low and high depth-conversion cases.</t>
  </si>
  <si>
    <t>Average net pay</t>
  </si>
  <si>
    <t>ft</t>
  </si>
  <si>
    <t>Offset-well logs scaled to the prospect's gross-thickness map.</t>
  </si>
  <si>
    <t>Porosity</t>
  </si>
  <si>
    <t>fraction</t>
  </si>
  <si>
    <t>PERT  · correlated</t>
  </si>
  <si>
    <t>Core and log porosity in analogue fields.</t>
  </si>
  <si>
    <t>Water saturation</t>
  </si>
  <si>
    <t>Log-derived saturation in offset wells; higher in poorer-quality rock.</t>
  </si>
  <si>
    <t>Correlation: porosity vs water saturation</t>
  </si>
  <si>
    <t>Normal copula</t>
  </si>
  <si>
    <t>Fixed  · copula</t>
  </si>
  <si>
    <t>Better-quality (more porous) rock tends to hold less water. Offset-well data suggest a correlation of about -0.5.</t>
  </si>
  <si>
    <t>Copula draw for porosity (U)</t>
  </si>
  <si>
    <t>0 – 1</t>
  </si>
  <si>
    <t>Calculated</t>
  </si>
  <si>
    <t>Generated by VoseCopulaBiNormal and passed to the U argument of the distribution it correlates. Do not edit.</t>
  </si>
  <si>
    <t>Copula draw for water saturation (U)</t>
  </si>
  <si>
    <t>Both draws come from one copula, so the two inputs move together as specified.</t>
  </si>
  <si>
    <t>Oil formation volume factor, Bo</t>
  </si>
  <si>
    <t>rb/stb</t>
  </si>
  <si>
    <t>PERT</t>
  </si>
  <si>
    <t>PVT data from light-oil analogues in the basin (reservoir barrels per stock-tank barrel).</t>
  </si>
  <si>
    <t>Recovery factor</t>
  </si>
  <si>
    <t>Analogue fields developed with water injection.</t>
  </si>
  <si>
    <t>Barrels per acre-foot</t>
  </si>
  <si>
    <t>bbl/acre-ft</t>
  </si>
  <si>
    <t>Unit conversion constant (acre-feet to barrels). Do not change.</t>
  </si>
  <si>
    <t>3   Development and production (if commercial)</t>
  </si>
  <si>
    <t>How a commercial discovery is developed and produced: the size threshold, timing, plateau-then-decline profile and well count.</t>
  </si>
  <si>
    <t>Minimum economic field size</t>
  </si>
  <si>
    <t>MMbbl</t>
  </si>
  <si>
    <t>Smallest recoverable volume worth developing here (screening study). Smaller discoveries are not developed.</t>
  </si>
  <si>
    <t>Time from discovery to first oil</t>
  </si>
  <si>
    <t>years</t>
  </si>
  <si>
    <t>Discrete</t>
  </si>
  <si>
    <t>Appraisal, concept selection, approvals and construction.</t>
  </si>
  <si>
    <t>probability of each outcome</t>
  </si>
  <si>
    <t>must total 100%</t>
  </si>
  <si>
    <t>The probabilities must add up to 100%.</t>
  </si>
  <si>
    <t>Plateau rate</t>
  </si>
  <si>
    <t>share of volume / yr</t>
  </si>
  <si>
    <t>Annual offtake on plateau as a share of the recoverable volume (reservoir and facility limits).</t>
  </si>
  <si>
    <t>Share of volume produced before decline</t>
  </si>
  <si>
    <t>The plateau ends once this share of the recoverable volume has been produced; exponential decline follows.</t>
  </si>
  <si>
    <t>First-year production</t>
  </si>
  <si>
    <t>share of plateau</t>
  </si>
  <si>
    <t>Ramp-up while wells are brought on stream.</t>
  </si>
  <si>
    <t>Production rate per well</t>
  </si>
  <si>
    <t>kbbl/d</t>
  </si>
  <si>
    <t>Initial rates of analogue wells.</t>
  </si>
  <si>
    <t>Water injectors per production well</t>
  </si>
  <si>
    <t>ratio</t>
  </si>
  <si>
    <t>Water injection for pressure support.</t>
  </si>
  <si>
    <t>4   Development capex phasing</t>
  </si>
  <si>
    <t>When the development capex is paid, in years relative to first oil (−2 = two years before).</t>
  </si>
  <si>
    <t>Total</t>
  </si>
  <si>
    <t>Payment 1</t>
  </si>
  <si>
    <t>Payment 2</t>
  </si>
  <si>
    <t>Payment 3</t>
  </si>
  <si>
    <t>Development capex: paid in year (first oil = 0)</t>
  </si>
  <si>
    <t>year</t>
  </si>
  <si>
    <t>Fixed  · phasing</t>
  </si>
  <si>
    <t>Long-lead items and fabrication; installation and drilling; completion and commissioning.</t>
  </si>
  <si>
    <t>share of the cost paid</t>
  </si>
  <si>
    <t>share</t>
  </si>
  <si>
    <t>The shares must add up to 100%.</t>
  </si>
  <si>
    <t>5   Costs (US$ million, real 2026 terms)</t>
  </si>
  <si>
    <t>Capital, operating and abandonment costs. Development costs scale with the plateau rate; a risk event adds a possible major overrun.</t>
  </si>
  <si>
    <t>Exploration well (dry-hole cost)</t>
  </si>
  <si>
    <t>US$m</t>
  </si>
  <si>
    <t>Rig rate × planned days plus services. Spent whatever the result.</t>
  </si>
  <si>
    <t>Appraisal programme (if oil is found)</t>
  </si>
  <si>
    <t>One appraisal well and a well test, after a discovery.</t>
  </si>
  <si>
    <t>Facilities: fixed cost</t>
  </si>
  <si>
    <t>Platform or subsea infrastructure that does not scale with production rate.</t>
  </si>
  <si>
    <t>Facilities: cost per unit of capacity</t>
  </si>
  <si>
    <t>US$m per kbbl/d</t>
  </si>
  <si>
    <t>Processing and export capacity.</t>
  </si>
  <si>
    <t>Development well cost</t>
  </si>
  <si>
    <t>US$m per well</t>
  </si>
  <si>
    <t>Development well, drilled and completed.</t>
  </si>
  <si>
    <t>Probability of a major cost overrun</t>
  </si>
  <si>
    <t>Roughly one in four offshore projects suffers a major overrun.</t>
  </si>
  <si>
    <t>Overrun, if it occurs</t>
  </si>
  <si>
    <t>share of capex</t>
  </si>
  <si>
    <t>Risk event  · PERT</t>
  </si>
  <si>
    <t>Extra spend as a share of base development capex. Zero when the risk event does not occur.</t>
  </si>
  <si>
    <t>Fixed operating cost</t>
  </si>
  <si>
    <t>share of capex / yr</t>
  </si>
  <si>
    <t>Facility operation, logistics and maintenance, paid each producing year.</t>
  </si>
  <si>
    <t>Variable operating cost</t>
  </si>
  <si>
    <t>US$/bbl</t>
  </si>
  <si>
    <t>Per-barrel costs: chemicals, power, water handling and export tariff.</t>
  </si>
  <si>
    <t>Abandonment cost</t>
  </si>
  <si>
    <t>Decommissioning, paid in the year after production stops.</t>
  </si>
  <si>
    <t>6   Oil price (Brent, real 2026 US$/bbl)</t>
  </si>
  <si>
    <t>The price follows a mean-reverting random walk in log terms (VoseTimeGBMVR) around an uncertain long-term level.</t>
  </si>
  <si>
    <t>Oil price in Year 0</t>
  </si>
  <si>
    <t>Current Brent price.</t>
  </si>
  <si>
    <t>Long-term oil price (level the price reverts to)</t>
  </si>
  <si>
    <t>Range of the company's long-term planning cases. Uncertainty about the level itself, on top of year-to-year volatility.</t>
  </si>
  <si>
    <t>Price volatility</t>
  </si>
  <si>
    <t>per year (log)</t>
  </si>
  <si>
    <t>Standard deviation of the annual change in log price.</t>
  </si>
  <si>
    <t>Mean-reversion factor</t>
  </si>
  <si>
    <t>per year</t>
  </si>
  <si>
    <t>Share of the gap to the long-term level closed each year (between 0 and 1).</t>
  </si>
  <si>
    <t>7   Fiscal terms and economics</t>
  </si>
  <si>
    <t>Illustrative concession terms; cash flows are discounted at a real hurdle rate.</t>
  </si>
  <si>
    <t>Royalty rate</t>
  </si>
  <si>
    <t>share of revenue</t>
  </si>
  <si>
    <t>Paid on gross oil revenue.</t>
  </si>
  <si>
    <t>Corporate income tax rate</t>
  </si>
  <si>
    <t>share of profit</t>
  </si>
  <si>
    <t>Development capex is expensed immediately; tax losses are carried forward without limit.</t>
  </si>
  <si>
    <t>Discount rate (real)</t>
  </si>
  <si>
    <t>Company hurdle rate for exploration investments.</t>
  </si>
  <si>
    <t>Calendar year of Year 0</t>
  </si>
  <si>
    <t>The exploration well is drilled in Year 0.</t>
  </si>
  <si>
    <t>PROSPECT   ·   Does the well find oil, how much, is it commercial — and how would it be developed?</t>
  </si>
  <si>
    <t>◂  Inputs</t>
  </si>
  <si>
    <t>Next:  Cash flow  ▸</t>
  </si>
  <si>
    <t>1   Chance of success</t>
  </si>
  <si>
    <t>Will the exploration well find oil?</t>
  </si>
  <si>
    <t>Quantity</t>
  </si>
  <si>
    <t>Value</t>
  </si>
  <si>
    <t>How it is calculated</t>
  </si>
  <si>
    <t>Geological chance of success, Pg</t>
  </si>
  <si>
    <t>Pg = source × reservoir × trap × seal  (independent risk factors, from Inputs)</t>
  </si>
  <si>
    <t>Oil found?  (1 = yes, 0 = dry hole)</t>
  </si>
  <si>
    <t>1 / 0</t>
  </si>
  <si>
    <t>Bernoulli trial: 1 with probability Pg, otherwise 0</t>
  </si>
  <si>
    <t>2   Size of the accumulation (success case)</t>
  </si>
  <si>
    <t>Volumes if oil is found. They are calculated in every iteration, whether or not this well finds oil, so the success case can be analysed on its own.</t>
  </si>
  <si>
    <t>Oil initially in place (STOIIP)</t>
  </si>
  <si>
    <t>MMstb</t>
  </si>
  <si>
    <t>7,758 × area × net pay × porosity × (1 − water saturation) ÷ Bo ÷ 1,000,000</t>
  </si>
  <si>
    <t>Recoverable volume</t>
  </si>
  <si>
    <t>Oil in place × recovery factor</t>
  </si>
  <si>
    <t>3   Commercial screen</t>
  </si>
  <si>
    <t>A discovery is developed only if it is at least the minimum economic field size.</t>
  </si>
  <si>
    <t>From Inputs</t>
  </si>
  <si>
    <t>Large enough to develop?  (1 = yes)</t>
  </si>
  <si>
    <t>1 if the recoverable volume is at least the minimum economic field size</t>
  </si>
  <si>
    <t>Commercial discovery?  (1 = yes)</t>
  </si>
  <si>
    <t>Oil found AND large enough to develop</t>
  </si>
  <si>
    <t>Drilling outcome  (code)</t>
  </si>
  <si>
    <t>1 / 2 / 3</t>
  </si>
  <si>
    <t>1 = dry hole,  2 = discovery too small to develop,  3 = commercial discovery</t>
  </si>
  <si>
    <t>Drilling outcome</t>
  </si>
  <si>
    <t>The outcome of this iteration in words</t>
  </si>
  <si>
    <t>4   Development concept (success case)</t>
  </si>
  <si>
    <t>How a discovery of this size would be developed. These quantities drive the success-case cash flow.</t>
  </si>
  <si>
    <t>First oil</t>
  </si>
  <si>
    <t>model year</t>
  </si>
  <si>
    <t>Discovery in Year 0, so first oil comes 'time to first oil' years later</t>
  </si>
  <si>
    <t>MMbbl / yr</t>
  </si>
  <si>
    <t>Recoverable volume × plateau rate (share of volume per year)</t>
  </si>
  <si>
    <t>Plateau capacity</t>
  </si>
  <si>
    <t>Plateau rate in thousand barrels per day</t>
  </si>
  <si>
    <t>Production wells</t>
  </si>
  <si>
    <t>wells</t>
  </si>
  <si>
    <t>Capacity ÷ production rate per well, rounded up</t>
  </si>
  <si>
    <t>Water injection wells</t>
  </si>
  <si>
    <t>Production wells × injectors per producer, rounded up</t>
  </si>
  <si>
    <t>Facilities cost</t>
  </si>
  <si>
    <t>Fixed facilities cost + cost per kbbl/d × capacity</t>
  </si>
  <si>
    <t>Development wells cost</t>
  </si>
  <si>
    <t>(Production wells + injection wells) × cost per well</t>
  </si>
  <si>
    <t>Base development capex</t>
  </si>
  <si>
    <t>Facilities + wells</t>
  </si>
  <si>
    <t>Major cost overrun</t>
  </si>
  <si>
    <t>Base capex × overrun share; zero unless the overrun risk event occurs</t>
  </si>
  <si>
    <t>Development capex</t>
  </si>
  <si>
    <t>Base capex + overrun</t>
  </si>
  <si>
    <t>US$m / yr</t>
  </si>
  <si>
    <t>Development capex × fixed operating cost share, each producing year</t>
  </si>
  <si>
    <t>Development capex × abandonment share, paid after production stops</t>
  </si>
  <si>
    <t>Decline after plateau</t>
  </si>
  <si>
    <t>Share of the remaining volume produced each year once the plateau ends (exponential decline)</t>
  </si>
  <si>
    <t>CASH FLOW   ·   A 30-year annual model of the success case, then the risked cash flow of drilling the prospect.</t>
  </si>
  <si>
    <t>◂  Prospect</t>
  </si>
  <si>
    <t>Next:  Results  ▸</t>
  </si>
  <si>
    <t>Year</t>
  </si>
  <si>
    <t>Open</t>
  </si>
  <si>
    <t>Calendar year</t>
  </si>
  <si>
    <t>Phase (success case)</t>
  </si>
  <si>
    <t>1   Timing</t>
  </si>
  <si>
    <t>When each phase starts in this iteration (first oil comes from the Prospect sheet), and what that means year by year. The Phase row at the top reads the starts: the last phase that has begun.</t>
  </si>
  <si>
    <t>Explore</t>
  </si>
  <si>
    <t>The exploration well is drilled in Year 0</t>
  </si>
  <si>
    <t>Appraise</t>
  </si>
  <si>
    <t>Appraisal, the year after a discovery</t>
  </si>
  <si>
    <t>Develop</t>
  </si>
  <si>
    <t>Two years before first oil: the first capex payment</t>
  </si>
  <si>
    <t>Produce</t>
  </si>
  <si>
    <t>Abandon</t>
  </si>
  <si>
    <t>The year after the last producing year</t>
  </si>
  <si>
    <t>Development capex phasing</t>
  </si>
  <si>
    <t>On stream  (1 = year of first oil or later)</t>
  </si>
  <si>
    <t>Ramp-up factor</t>
  </si>
  <si>
    <t>Final year of the model  (1 = yes)</t>
  </si>
  <si>
    <t>2   Oil price</t>
  </si>
  <si>
    <t>Year 0 is today's price; Years 1-30 are one random path of the mean-reverting price model (an array formula).</t>
  </si>
  <si>
    <t>Oil price (Brent, real)</t>
  </si>
  <si>
    <t>3   Production (success case)</t>
  </si>
  <si>
    <t>Plateau, then exponential decline. Production stops for good at the economic limit, when a year's operating margin would be negative.</t>
  </si>
  <si>
    <t>Remaining volume, start of year</t>
  </si>
  <si>
    <t>Plateau limit</t>
  </si>
  <si>
    <t>Decline limit</t>
  </si>
  <si>
    <t>Potential production  (the lower limit, once on stream)</t>
  </si>
  <si>
    <t>Operating margin if produced</t>
  </si>
  <si>
    <t>Producing  (1 = yes)</t>
  </si>
  <si>
    <t>Oil production</t>
  </si>
  <si>
    <t>Cumulative production</t>
  </si>
  <si>
    <t>Average production rate</t>
  </si>
  <si>
    <t>Abandonment  (1 = this year)</t>
  </si>
  <si>
    <t>4   Cash flow (success case, US$ million)</t>
  </si>
  <si>
    <t>What a discovery of this size would generate if developed. Costs are negative.</t>
  </si>
  <si>
    <t>Oil revenue</t>
  </si>
  <si>
    <t>Royalty</t>
  </si>
  <si>
    <t>Abandonment</t>
  </si>
  <si>
    <t>Pre-tax cash flow</t>
  </si>
  <si>
    <t>5   Tax</t>
  </si>
  <si>
    <t>Development capex and abandonment are expensed immediately, so taxable income equals pre-tax cash flow; losses are carried forward.</t>
  </si>
  <si>
    <t>Taxable income</t>
  </si>
  <si>
    <t>Tax losses brought forward</t>
  </si>
  <si>
    <t>Tax losses used</t>
  </si>
  <si>
    <t>Tax losses carried forward</t>
  </si>
  <si>
    <t>Tax paid</t>
  </si>
  <si>
    <t>Post-tax cash flow (success case)</t>
  </si>
  <si>
    <t>Cumulative post-tax cash flow</t>
  </si>
  <si>
    <t>6   Risked cash flow of drilling the prospect (US$ million)</t>
  </si>
  <si>
    <t>What actually happens in this iteration: the well is always paid for, appraisal only if oil is found, development only if the discovery is commercial.</t>
  </si>
  <si>
    <t>Exploration well</t>
  </si>
  <si>
    <t>Appraisal  (if oil is found)</t>
  </si>
  <si>
    <t>Development  (if the discovery is commercial)</t>
  </si>
  <si>
    <t>Net cash flow of drilling the prospect</t>
  </si>
  <si>
    <t>7   Discounting</t>
  </si>
  <si>
    <t>Mid-year discounting to the start of Year 0 at the real discount rate.</t>
  </si>
  <si>
    <t>Discount factor</t>
  </si>
  <si>
    <t>Present value, success case</t>
  </si>
  <si>
    <t>Present value, risked</t>
  </si>
  <si>
    <t>8   Value in this iteration</t>
  </si>
  <si>
    <t>Key outputs, recorded by ModelRisk at every sample (VoseOutput). Their statistics appear on the Results sheet.</t>
  </si>
  <si>
    <t>Output</t>
  </si>
  <si>
    <t>Meaning</t>
  </si>
  <si>
    <t>Development NPV if developed (success case)</t>
  </si>
  <si>
    <t>Value of developing a discovery of this size, at the time of the discovery decision; excludes exploration and appraisal.</t>
  </si>
  <si>
    <t>Prospect NPV (risked)</t>
  </si>
  <si>
    <t>Value of drilling the exploration well, whatever it finds. Its mean over all samples is the EMV.</t>
  </si>
  <si>
    <t>Average realised oil price (success case)</t>
  </si>
  <si>
    <t>Production-weighted average of the price path.</t>
  </si>
  <si>
    <t>Field life (success case)</t>
  </si>
  <si>
    <t>Number of producing years before the economic limit.</t>
  </si>
  <si>
    <t>Peak funding requirement (success case)</t>
  </si>
  <si>
    <t>Largest cumulative cash outlay before the development pays back.</t>
  </si>
  <si>
    <t>9   Model checks</t>
  </si>
  <si>
    <t>Should all read OK. A CHECK means an input has been set outside the range the model is built for.</t>
  </si>
  <si>
    <t>Cumulative production never exceeds the recoverable volume</t>
  </si>
  <si>
    <t>Development capex is fully spent within the model horizon</t>
  </si>
  <si>
    <t>Capex phasing shares add up to 100%</t>
  </si>
  <si>
    <t>Time-to-first-oil probabilities add up to 100%</t>
  </si>
  <si>
    <t>10   This recalculation at a glance</t>
  </si>
  <si>
    <t>Production profile and price path of the current iteration. Press F9 to see another possible future.</t>
  </si>
  <si>
    <t>RESULTS   ·   Filled in automatically from the last simulation. Run a simulation after changing any input.</t>
  </si>
  <si>
    <t>◂  Cash flow</t>
  </si>
  <si>
    <t>1   The drilling decision</t>
  </si>
  <si>
    <t>Value of drilling — cumulative probability</t>
  </si>
  <si>
    <t>Expected monetary value (EMV) = the average value of drilling over all simulated wells, dry holes included.</t>
  </si>
  <si>
    <t>Measure</t>
  </si>
  <si>
    <t>Expected monetary value of drilling, EMV</t>
  </si>
  <si>
    <t>Recommendation</t>
  </si>
  <si>
    <t>Chance of a commercial discovery</t>
  </si>
  <si>
    <t>Chance the well loses money  (Prospect NPV &lt; 0)</t>
  </si>
  <si>
    <t>Exploration well cost  (mean, spent whatever the result)</t>
  </si>
  <si>
    <t>Prospect NPV, P90  (low)</t>
  </si>
  <si>
    <t>Prospect NPV, P10  (high)</t>
  </si>
  <si>
    <t>Geological chance of success, Pg  (input, for comparison)</t>
  </si>
  <si>
    <t>2   Outcomes of drilling the well</t>
  </si>
  <si>
    <t>Simulated share of wells ending in each outcome.</t>
  </si>
  <si>
    <t>Outcome</t>
  </si>
  <si>
    <t>Probability</t>
  </si>
  <si>
    <t>Dry hole</t>
  </si>
  <si>
    <t>Oil found, but too small to develop</t>
  </si>
  <si>
    <t>Commercial discovery</t>
  </si>
  <si>
    <t>Recoverable volume if oil is found — expectation curve</t>
  </si>
  <si>
    <t>3   What a discovery would be worth (success case)</t>
  </si>
  <si>
    <t>Before the chance of success is applied. P90 = low case (90% chance of being exceeded), P10 = high case.</t>
  </si>
  <si>
    <t>P90 (low)</t>
  </si>
  <si>
    <t>P50</t>
  </si>
  <si>
    <t>P10 (high)</t>
  </si>
  <si>
    <t>Plateau production</t>
  </si>
  <si>
    <t>Development NPV if developed</t>
  </si>
  <si>
    <t>Average realised oil price</t>
  </si>
  <si>
    <t>Field life</t>
  </si>
  <si>
    <t>Chance a discovery is too small to develop</t>
  </si>
  <si>
    <t>Chance a development would lose money  (NPV &lt; 0)</t>
  </si>
  <si>
    <t>4   What drives the value of a discovery</t>
  </si>
  <si>
    <t>What drives the value of a discovery  (US$m)</t>
  </si>
  <si>
    <t>Lowest and highest mean development NPV over ten equal groups of each input (VoseSimSensitivityMean), drawn from the overall mean.</t>
  </si>
  <si>
    <t>Input (ranked by influence)</t>
  </si>
  <si>
    <t>Lowest mean</t>
  </si>
  <si>
    <t>Highest mean</t>
  </si>
  <si>
    <t>Rank</t>
  </si>
  <si>
    <t>5   How to read these results</t>
  </si>
  <si>
    <t>•  EMV is the average Prospect NPV over all simulated wells, dry holes included. A positive EMV means that drilling adds value on average, even though most individual wells lose money.</t>
  </si>
  <si>
    <t>•  The most likely single outcome is a dry hole, so the median Prospect NPV is simply the cost of the well. Judge the prospect by its EMV and by the downside the company can afford — not by the median.</t>
  </si>
  <si>
    <t>•  Success-case figures describe a discovery before the chance of success is applied. The petroleum convention is used: P90 is the low case (90% chance of being exceeded) and P10 the high case.</t>
  </si>
  <si>
    <t>•  Value drivers at the top of the ranking are where appraisal data or better estimates would most reduce the uncertainty about a discovery's value.</t>
  </si>
  <si>
    <t>•  Precision: with 10,000 samples, the probability of a commercial discovery is estimated to within about ±0.9 percentage points (95% confidence). For tornado, spider and scatter plots of any input or output, open the ModelRisk Results Viewer.</t>
  </si>
  <si>
    <t>Chart data</t>
  </si>
  <si>
    <t>Statistics of the last simulation behind the charts and the ranking above. Grouped: click + in the left margin to show them.</t>
  </si>
  <si>
    <t>Cumulative probability</t>
  </si>
  <si>
    <t>Exceedance</t>
  </si>
  <si>
    <t>NPV_Prospect</t>
  </si>
  <si>
    <t>NPV_Dev</t>
  </si>
  <si>
    <t>Recoverable</t>
  </si>
  <si>
    <t>Outcome helper: Outcome</t>
  </si>
  <si>
    <t>Below</t>
  </si>
  <si>
    <t>Cumulative</t>
  </si>
  <si>
    <t>Overall mean of NPV_Dev</t>
  </si>
  <si>
    <t>Ranked input (chart)</t>
  </si>
  <si>
    <t>Highest − mean</t>
  </si>
  <si>
    <t>Lowest − mean</t>
  </si>
  <si>
    <t>Marker</t>
  </si>
  <si>
    <t>DSN Files Count: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</si>
</sst>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64" formatCode="#,##0_);\(#,##0\);&quot;–&quot;_)"/>
    <numFmt numFmtId="165" formatCode="0.0%"/>
    <numFmt numFmtId="166" formatCode="0.000"/>
    <numFmt numFmtId="167" formatCode="#,##0.0_);\(#,##0.0\);&quot;–&quot;_)"/>
    <numFmt numFmtId="168" formatCode="#,##0.00_);\(#,##0.00\);&quot;–&quot;_)"/>
    <numFmt numFmtId="169" formatCode="#,##0.0_);\(#,##0.0\);&quot;–&quot;_);&quot;–&quot;"/>
    <numFmt numFmtId="170" formatCode="0.0%;\-0.0%;0.0%;&quot;–&quot;"/>
    <numFmt numFmtId="171" formatCode="0;\-0;0;&quot;–&quot;"/>
    <numFmt numFmtId="172" formatCode="0.0"/>
  </numFmts>
  <fonts count="28" x14ac:knownFonts="1">
    <font>
      <sz val="11"/>
      <color theme="1"/>
      <name val="Calibri"/>
      <family val="2"/>
      <scheme val="minor"/>
    </font>
    <font>
      <sz val="10"/>
      <color rgb="FF0E4F92"/>
      <name val="Calibri"/>
    </font>
    <font>
      <sz val="10"/>
      <color rgb="FF9A3412"/>
      <name val="Calibri"/>
    </font>
    <font>
      <sz val="10"/>
      <color rgb="FF0F2A47"/>
      <name val="Calibri"/>
    </font>
    <font>
      <b/>
      <sz val="10"/>
      <color rgb="FF14532D"/>
      <name val="Calibri"/>
    </font>
    <font>
      <b/>
      <sz val="16"/>
      <color rgb="FFFFFFFF"/>
      <name val="Calibri"/>
    </font>
    <font>
      <sz val="10"/>
      <color rgb="FFD6E2F0"/>
      <name val="Calibri"/>
    </font>
    <font>
      <sz val="9"/>
      <color rgb="FFD6E2F0"/>
      <name val="Calibri"/>
    </font>
    <font>
      <u/>
      <sz val="9"/>
      <color rgb="FF0E4F92"/>
      <name val="Calibri"/>
    </font>
    <font>
      <b/>
      <sz val="20"/>
      <color rgb="FFFFFFFF"/>
      <name val="Calibri"/>
    </font>
    <font>
      <b/>
      <sz val="12"/>
      <color rgb="FF0E4F92"/>
      <name val="Calibri"/>
    </font>
    <font>
      <b/>
      <sz val="10"/>
      <color rgb="FF3F5876"/>
      <name val="Calibri"/>
    </font>
    <font>
      <b/>
      <sz val="10"/>
      <color rgb="FF0F2A47"/>
      <name val="Calibri"/>
    </font>
    <font>
      <i/>
      <sz val="9"/>
      <color rgb="FF3F5876"/>
      <name val="Calibri"/>
    </font>
    <font>
      <u/>
      <sz val="10"/>
      <color rgb="FF0E4F92"/>
      <name val="Calibri"/>
    </font>
    <font>
      <b/>
      <sz val="10"/>
      <color rgb="FF0E4F92"/>
      <name val="Calibri"/>
    </font>
    <font>
      <i/>
      <sz val="9"/>
      <color rgb="FF8AA0BA"/>
      <name val="Calibri"/>
    </font>
    <font>
      <b/>
      <sz val="9"/>
      <color rgb="FF3F5876"/>
      <name val="Calibri"/>
    </font>
    <font>
      <sz val="9"/>
      <color rgb="FF3F5876"/>
      <name val="Calibri"/>
    </font>
    <font>
      <sz val="9"/>
      <color rgb="FF8AA0BA"/>
      <name val="Calibri"/>
    </font>
    <font>
      <sz val="10"/>
      <color rgb="FF3F5876"/>
      <name val="Calibri"/>
    </font>
    <font>
      <b/>
      <sz val="9"/>
      <color rgb="FF0F2A47"/>
      <name val="Calibri"/>
    </font>
    <font>
      <b/>
      <sz val="9"/>
      <color rgb="FF8AA0BA"/>
      <name val="Calibri"/>
    </font>
    <font>
      <sz val="10"/>
      <color rgb="FF8AA0BA"/>
      <name val="Calibri"/>
    </font>
    <font>
      <sz val="8"/>
      <color rgb="FF3F5876"/>
      <name val="Calibri"/>
    </font>
    <font>
      <b/>
      <sz val="10"/>
      <color rgb="FF15803D"/>
      <name val="Calibri"/>
    </font>
    <font>
      <b/>
      <sz val="13"/>
      <color rgb="FF0E4F92"/>
      <name val="Calibri"/>
    </font>
    <font>
      <b/>
      <sz val="11"/>
      <color rgb="FF0E4F92"/>
      <name val="Calibri"/>
    </font>
  </fonts>
  <fills count="8">
    <fill>
      <patternFill patternType="none"/>
    </fill>
    <fill>
      <patternFill patternType="gray125"/>
    </fill>
    <fill>
      <patternFill patternType="solid">
        <fgColor rgb="FFFFF4CC"/>
        <bgColor rgb="FFFFF4CC"/>
      </patternFill>
    </fill>
    <fill>
      <patternFill patternType="solid">
        <fgColor rgb="FFFCE4D6"/>
        <bgColor rgb="FFFCE4D6"/>
      </patternFill>
    </fill>
    <fill>
      <patternFill patternType="solid">
        <fgColor rgb="FFE3F1E6"/>
        <bgColor rgb="FFE3F1E6"/>
      </patternFill>
    </fill>
    <fill>
      <patternFill patternType="solid">
        <fgColor rgb="FFE8EEF7"/>
        <bgColor rgb="FFE8EEF7"/>
      </patternFill>
    </fill>
    <fill>
      <patternFill patternType="solid">
        <fgColor rgb="FF0E4F92"/>
        <bgColor rgb="FF0E4F92"/>
      </patternFill>
    </fill>
    <fill>
      <patternFill patternType="solid">
        <fgColor rgb="FFEEF1F5"/>
        <bgColor rgb="FFEEF1F5"/>
      </patternFill>
    </fill>
  </fills>
  <borders count="13">
    <border>
      <left/>
      <right/>
      <top/>
      <bottom/>
      <diagonal/>
    </border>
    <border>
      <left style="thin">
        <color rgb="FFC6D1DF"/>
      </left>
      <right style="thin">
        <color rgb="FFC6D1DF"/>
      </right>
      <top style="thin">
        <color rgb="FFC6D1DF"/>
      </top>
      <bottom style="thin">
        <color rgb="FFC6D1DF"/>
      </bottom>
      <diagonal/>
    </border>
    <border>
      <left/>
      <right/>
      <top/>
      <bottom/>
      <diagonal/>
    </border>
    <border>
      <left style="thin">
        <color rgb="FF15803D"/>
      </left>
      <right style="thin">
        <color rgb="FF15803D"/>
      </right>
      <top style="thin">
        <color rgb="FF15803D"/>
      </top>
      <bottom style="thin">
        <color rgb="FF15803D"/>
      </bottom>
      <diagonal/>
    </border>
    <border>
      <left/>
      <right/>
      <top/>
      <bottom style="thin">
        <color rgb="FFC6D1DF"/>
      </bottom>
      <diagonal/>
    </border>
    <border>
      <left/>
      <right/>
      <top/>
      <bottom style="medium">
        <color rgb="FF0E4F92"/>
      </bottom>
      <diagonal/>
    </border>
    <border>
      <left/>
      <right/>
      <top/>
      <bottom style="thin">
        <color rgb="FFE4E9F0"/>
      </bottom>
      <diagonal/>
    </border>
    <border>
      <left style="thin">
        <color rgb="FFC6D1DF"/>
      </left>
      <right style="thin">
        <color rgb="FFC6D1DF"/>
      </right>
      <top style="thin">
        <color rgb="FFC6D1DF"/>
      </top>
      <bottom style="thin">
        <color rgb="FFE4E9F0"/>
      </bottom>
      <diagonal/>
    </border>
    <border>
      <left/>
      <right/>
      <top/>
      <bottom style="thin">
        <color rgb="FFE4E9F0"/>
      </bottom>
      <diagonal/>
    </border>
    <border>
      <left style="thin">
        <color rgb="FF15803D"/>
      </left>
      <right style="thin">
        <color rgb="FF15803D"/>
      </right>
      <top style="thin">
        <color rgb="FF15803D"/>
      </top>
      <bottom style="thin">
        <color rgb="FFE4E9F0"/>
      </bottom>
      <diagonal/>
    </border>
    <border>
      <left/>
      <right/>
      <top style="thin">
        <color rgb="FF3F5876"/>
      </top>
      <bottom style="thin">
        <color rgb="FFE4E9F0"/>
      </bottom>
      <diagonal/>
    </border>
    <border>
      <left/>
      <right/>
      <top style="thin">
        <color rgb="FFC6D1DF"/>
      </top>
      <bottom style="thin">
        <color rgb="FFC6D1DF"/>
      </bottom>
      <diagonal/>
    </border>
    <border>
      <left/>
      <right/>
      <top style="thin">
        <color rgb="FF3F5876"/>
      </top>
      <bottom/>
      <diagonal/>
    </border>
  </borders>
  <cellStyleXfs count="6">
    <xf numFmtId="0" fontId="0" fillId="0" borderId="0"/>
    <xf numFmtId="0" fontId="1" fillId="2" borderId="1">
      <alignment horizontal="right" vertical="center"/>
    </xf>
    <xf numFmtId="0" fontId="2" fillId="3" borderId="1">
      <alignment horizontal="right" vertical="center"/>
    </xf>
    <xf numFmtId="0" fontId="3" fillId="0" borderId="2">
      <alignment horizontal="right" vertical="center"/>
    </xf>
    <xf numFmtId="0" fontId="4" fillId="4" borderId="3">
      <alignment horizontal="right" vertical="center"/>
    </xf>
    <xf numFmtId="0" fontId="1" fillId="5" borderId="1">
      <alignment horizontal="right" vertical="center"/>
    </xf>
  </cellStyleXfs>
  <cellXfs count="104">
    <xf numFmtId="0" fontId="0" fillId="0" borderId="0" xfId="0"/>
    <xf numFmtId="0" fontId="0" fillId="6" borderId="0" xfId="0" applyFill="1"/>
    <xf numFmtId="0" fontId="9" fillId="6" borderId="0" xfId="0" applyFont="1" applyFill="1" applyAlignment="1">
      <alignment vertical="center"/>
    </xf>
    <xf numFmtId="0" fontId="7" fillId="6" borderId="0" xfId="0" applyFont="1" applyFill="1" applyAlignment="1">
      <alignment horizontal="right" vertical="center"/>
    </xf>
    <xf numFmtId="0" fontId="6" fillId="6" borderId="0" xfId="0" applyFont="1" applyFill="1" applyAlignment="1">
      <alignment vertical="center"/>
    </xf>
    <xf numFmtId="0" fontId="0" fillId="7" borderId="4" xfId="0" applyFill="1" applyBorder="1"/>
    <xf numFmtId="0" fontId="8" fillId="7" borderId="4" xfId="0" applyFont="1" applyFill="1" applyBorder="1" applyAlignment="1">
      <alignment horizontal="right" vertical="center"/>
    </xf>
    <xf numFmtId="0" fontId="10" fillId="0" borderId="5" xfId="0" applyFont="1" applyBorder="1"/>
    <xf numFmtId="0" fontId="0" fillId="0" borderId="5" xfId="0" applyBorder="1"/>
    <xf numFmtId="0" fontId="11" fillId="0" borderId="6" xfId="0" applyFont="1" applyBorder="1" applyAlignment="1">
      <alignment horizontal="left" vertical="top" indent="1"/>
    </xf>
    <xf numFmtId="0" fontId="3" fillId="0" borderId="6" xfId="0" applyFont="1" applyBorder="1" applyAlignment="1">
      <alignment horizontal="left" vertical="top" wrapText="1" indent="1"/>
    </xf>
    <xf numFmtId="0" fontId="12" fillId="0" borderId="6" xfId="0" applyFont="1" applyBorder="1" applyAlignment="1">
      <alignment horizontal="left" vertical="top" wrapText="1" indent="1"/>
    </xf>
    <xf numFmtId="0" fontId="3" fillId="0" borderId="0" xfId="0" applyFont="1" applyAlignment="1">
      <alignment horizontal="left" vertical="top" wrapText="1" indent="1"/>
    </xf>
    <xf numFmtId="0" fontId="13" fillId="0" borderId="0" xfId="0" applyFont="1" applyAlignment="1">
      <alignment vertical="center"/>
    </xf>
    <xf numFmtId="0" fontId="14" fillId="0" borderId="6" xfId="0" applyFont="1" applyBorder="1" applyAlignment="1">
      <alignment horizontal="left" vertical="center" indent="1"/>
    </xf>
    <xf numFmtId="0" fontId="1" fillId="2" borderId="1" xfId="1" applyAlignment="1">
      <alignment horizontal="center" vertical="center"/>
    </xf>
    <xf numFmtId="0" fontId="2" fillId="3" borderId="1" xfId="2" applyAlignment="1">
      <alignment horizontal="center" vertical="center"/>
    </xf>
    <xf numFmtId="0" fontId="3" fillId="0" borderId="2" xfId="3" applyAlignment="1">
      <alignment horizontal="center" vertical="center"/>
    </xf>
    <xf numFmtId="0" fontId="4" fillId="4" borderId="3" xfId="4" applyAlignment="1">
      <alignment horizontal="center" vertical="center"/>
    </xf>
    <xf numFmtId="0" fontId="1" fillId="5" borderId="1" xfId="5" applyAlignment="1">
      <alignment horizontal="center" vertical="center"/>
    </xf>
    <xf numFmtId="0" fontId="15" fillId="0" borderId="6" xfId="0" applyFont="1" applyBorder="1" applyAlignment="1">
      <alignment horizontal="left" vertical="top" wrapText="1" indent="1"/>
    </xf>
    <xf numFmtId="0" fontId="5" fillId="6" borderId="0" xfId="0" applyFont="1" applyFill="1" applyAlignment="1">
      <alignment vertical="center"/>
    </xf>
    <xf numFmtId="0" fontId="8" fillId="7" borderId="4" xfId="0" applyFont="1" applyFill="1" applyBorder="1" applyAlignment="1">
      <alignment vertical="center"/>
    </xf>
    <xf numFmtId="0" fontId="17" fillId="7" borderId="4" xfId="0" applyFont="1" applyFill="1" applyBorder="1" applyAlignment="1">
      <alignment horizontal="left" vertical="center" wrapText="1" indent="1"/>
    </xf>
    <xf numFmtId="0" fontId="17" fillId="7" borderId="4" xfId="0" applyFont="1" applyFill="1" applyBorder="1" applyAlignment="1">
      <alignment horizontal="right" vertical="center" wrapText="1"/>
    </xf>
    <xf numFmtId="0" fontId="3" fillId="0" borderId="6" xfId="0" applyFont="1" applyBorder="1" applyAlignment="1">
      <alignment horizontal="left" vertical="center" indent="1"/>
    </xf>
    <xf numFmtId="0" fontId="18" fillId="0" borderId="6" xfId="0" applyFont="1" applyBorder="1" applyAlignment="1">
      <alignment horizontal="left" vertical="center" indent="1"/>
    </xf>
    <xf numFmtId="9" fontId="1" fillId="2" borderId="7" xfId="1" applyNumberFormat="1" applyBorder="1">
      <alignment horizontal="right" vertical="center"/>
    </xf>
    <xf numFmtId="0" fontId="0" fillId="0" borderId="6" xfId="0" applyBorder="1"/>
    <xf numFmtId="0" fontId="18" fillId="0" borderId="6" xfId="0" applyFont="1" applyBorder="1" applyAlignment="1">
      <alignment horizontal="left" vertical="center" wrapText="1" indent="1"/>
    </xf>
    <xf numFmtId="164" fontId="2" fillId="3" borderId="7" xfId="2" applyNumberFormat="1" applyBorder="1">
      <alignment horizontal="right" vertical="center"/>
    </xf>
    <xf numFmtId="164" fontId="1" fillId="2" borderId="7" xfId="1" applyNumberFormat="1" applyBorder="1">
      <alignment horizontal="right" vertical="center"/>
    </xf>
    <xf numFmtId="0" fontId="19" fillId="0" borderId="6" xfId="0" applyFont="1" applyBorder="1" applyAlignment="1">
      <alignment horizontal="center" vertical="center"/>
    </xf>
    <xf numFmtId="164" fontId="3" fillId="0" borderId="8" xfId="3" applyNumberFormat="1" applyBorder="1">
      <alignment horizontal="right" vertical="center"/>
    </xf>
    <xf numFmtId="165" fontId="2" fillId="3" borderId="7" xfId="2" applyNumberFormat="1" applyBorder="1">
      <alignment horizontal="right" vertical="center"/>
    </xf>
    <xf numFmtId="165" fontId="1" fillId="2" borderId="7" xfId="1" applyNumberFormat="1" applyBorder="1">
      <alignment horizontal="right" vertical="center"/>
    </xf>
    <xf numFmtId="165" fontId="3" fillId="0" borderId="8" xfId="3" applyNumberFormat="1" applyBorder="1">
      <alignment horizontal="right" vertical="center"/>
    </xf>
    <xf numFmtId="2" fontId="1" fillId="2" borderId="7" xfId="1" applyNumberFormat="1" applyBorder="1">
      <alignment horizontal="right" vertical="center"/>
    </xf>
    <xf numFmtId="0" fontId="20" fillId="0" borderId="6" xfId="0" applyFont="1" applyBorder="1" applyAlignment="1">
      <alignment horizontal="left" vertical="center" indent="3"/>
    </xf>
    <xf numFmtId="166" fontId="2" fillId="3" borderId="7" xfId="2" applyNumberFormat="1" applyBorder="1">
      <alignment horizontal="right" vertical="center"/>
    </xf>
    <xf numFmtId="2" fontId="2" fillId="3" borderId="7" xfId="2" applyNumberFormat="1" applyBorder="1">
      <alignment horizontal="right" vertical="center"/>
    </xf>
    <xf numFmtId="2" fontId="3" fillId="0" borderId="8" xfId="3" applyNumberFormat="1" applyBorder="1">
      <alignment horizontal="right" vertical="center"/>
    </xf>
    <xf numFmtId="167" fontId="1" fillId="2" borderId="7" xfId="1" applyNumberFormat="1" applyBorder="1">
      <alignment horizontal="right" vertical="center"/>
    </xf>
    <xf numFmtId="1" fontId="2" fillId="3" borderId="7" xfId="2" applyNumberFormat="1" applyBorder="1">
      <alignment horizontal="right" vertical="center"/>
    </xf>
    <xf numFmtId="1" fontId="1" fillId="2" borderId="7" xfId="1" applyNumberFormat="1" applyBorder="1">
      <alignment horizontal="right" vertical="center"/>
    </xf>
    <xf numFmtId="167" fontId="3" fillId="0" borderId="8" xfId="3" applyNumberFormat="1" applyBorder="1">
      <alignment horizontal="right" vertical="center"/>
    </xf>
    <xf numFmtId="9" fontId="3" fillId="0" borderId="8" xfId="3" applyNumberFormat="1" applyBorder="1">
      <alignment horizontal="right" vertical="center"/>
    </xf>
    <xf numFmtId="167" fontId="2" fillId="3" borderId="7" xfId="2" applyNumberFormat="1" applyBorder="1">
      <alignment horizontal="right" vertical="center"/>
    </xf>
    <xf numFmtId="167" fontId="4" fillId="4" borderId="9" xfId="4" applyNumberFormat="1" applyBorder="1">
      <alignment horizontal="right" vertical="center"/>
    </xf>
    <xf numFmtId="1" fontId="3" fillId="0" borderId="8" xfId="3" applyNumberFormat="1" applyBorder="1">
      <alignment horizontal="right" vertical="center"/>
    </xf>
    <xf numFmtId="1" fontId="4" fillId="4" borderId="9" xfId="4" applyNumberFormat="1" applyBorder="1">
      <alignment horizontal="right" vertical="center"/>
    </xf>
    <xf numFmtId="0" fontId="12" fillId="0" borderId="8" xfId="3" applyFont="1" applyBorder="1">
      <alignment horizontal="right" vertical="center"/>
    </xf>
    <xf numFmtId="168" fontId="3" fillId="0" borderId="8" xfId="3" applyNumberFormat="1" applyBorder="1">
      <alignment horizontal="right" vertical="center"/>
    </xf>
    <xf numFmtId="0" fontId="17" fillId="7" borderId="0" xfId="0" applyFont="1" applyFill="1" applyAlignment="1">
      <alignment horizontal="left" vertical="center" indent="1"/>
    </xf>
    <xf numFmtId="0" fontId="0" fillId="7" borderId="0" xfId="0" applyFill="1"/>
    <xf numFmtId="0" fontId="17" fillId="7" borderId="0" xfId="0" applyFont="1" applyFill="1" applyAlignment="1">
      <alignment horizontal="right" vertical="center"/>
    </xf>
    <xf numFmtId="0" fontId="22" fillId="7" borderId="0" xfId="0" applyFont="1" applyFill="1" applyAlignment="1">
      <alignment horizontal="right" vertical="center"/>
    </xf>
    <xf numFmtId="1" fontId="21" fillId="7" borderId="0" xfId="0" applyNumberFormat="1" applyFont="1" applyFill="1" applyAlignment="1">
      <alignment horizontal="right" vertical="center"/>
    </xf>
    <xf numFmtId="1" fontId="18" fillId="7" borderId="0" xfId="0" applyNumberFormat="1" applyFont="1" applyFill="1" applyAlignment="1">
      <alignment horizontal="right" vertical="center"/>
    </xf>
    <xf numFmtId="0" fontId="17" fillId="7" borderId="4" xfId="0" applyFont="1" applyFill="1" applyBorder="1" applyAlignment="1">
      <alignment horizontal="left" vertical="center" indent="1"/>
    </xf>
    <xf numFmtId="0" fontId="24" fillId="7" borderId="4" xfId="0" applyFont="1" applyFill="1" applyBorder="1" applyAlignment="1">
      <alignment horizontal="center" vertical="center"/>
    </xf>
    <xf numFmtId="0" fontId="17" fillId="7" borderId="4" xfId="0" applyFont="1" applyFill="1" applyBorder="1" applyAlignment="1">
      <alignment horizontal="right" vertical="center"/>
    </xf>
    <xf numFmtId="9" fontId="12" fillId="0" borderId="8" xfId="3" applyNumberFormat="1" applyFont="1" applyBorder="1">
      <alignment horizontal="right" vertical="center"/>
    </xf>
    <xf numFmtId="1" fontId="12" fillId="0" borderId="8" xfId="3" applyNumberFormat="1" applyFont="1" applyBorder="1">
      <alignment horizontal="right" vertical="center"/>
    </xf>
    <xf numFmtId="1" fontId="23" fillId="0" borderId="8" xfId="3" applyNumberFormat="1" applyFont="1" applyBorder="1">
      <alignment horizontal="right" vertical="center"/>
    </xf>
    <xf numFmtId="168" fontId="12" fillId="0" borderId="8" xfId="3" applyNumberFormat="1" applyFont="1" applyBorder="1">
      <alignment horizontal="right" vertical="center"/>
    </xf>
    <xf numFmtId="168" fontId="23" fillId="0" borderId="8" xfId="3" applyNumberFormat="1" applyFont="1" applyBorder="1">
      <alignment horizontal="right" vertical="center"/>
    </xf>
    <xf numFmtId="164" fontId="12" fillId="0" borderId="8" xfId="3" applyNumberFormat="1" applyFont="1" applyBorder="1">
      <alignment horizontal="right" vertical="center"/>
    </xf>
    <xf numFmtId="0" fontId="12" fillId="0" borderId="10" xfId="0" applyFont="1" applyBorder="1" applyAlignment="1">
      <alignment horizontal="left" vertical="center" indent="1"/>
    </xf>
    <xf numFmtId="0" fontId="18" fillId="0" borderId="10" xfId="0" applyFont="1" applyBorder="1" applyAlignment="1">
      <alignment horizontal="left" vertical="center" indent="1"/>
    </xf>
    <xf numFmtId="164" fontId="12" fillId="0" borderId="10" xfId="3" applyNumberFormat="1" applyFont="1" applyBorder="1">
      <alignment horizontal="right" vertical="center"/>
    </xf>
    <xf numFmtId="0" fontId="0" fillId="0" borderId="10" xfId="0" applyBorder="1"/>
    <xf numFmtId="164" fontId="23" fillId="0" borderId="8" xfId="3" applyNumberFormat="1" applyFont="1" applyBorder="1">
      <alignment horizontal="right" vertical="center"/>
    </xf>
    <xf numFmtId="166" fontId="3" fillId="0" borderId="8" xfId="3" applyNumberFormat="1" applyBorder="1">
      <alignment horizontal="right" vertical="center"/>
    </xf>
    <xf numFmtId="0" fontId="25" fillId="0" borderId="6" xfId="0" applyFont="1" applyBorder="1" applyAlignment="1">
      <alignment horizontal="center" vertical="center"/>
    </xf>
    <xf numFmtId="0" fontId="15" fillId="5" borderId="11" xfId="0" applyFont="1" applyFill="1" applyBorder="1" applyAlignment="1">
      <alignment horizontal="left" vertical="center" indent="1"/>
    </xf>
    <xf numFmtId="0" fontId="0" fillId="5" borderId="11" xfId="0" applyFill="1" applyBorder="1"/>
    <xf numFmtId="0" fontId="18" fillId="0" borderId="0" xfId="0" applyFont="1" applyAlignment="1">
      <alignment horizontal="left" vertical="center" indent="1"/>
    </xf>
    <xf numFmtId="0" fontId="27" fillId="0" borderId="5" xfId="0" applyFont="1" applyBorder="1"/>
    <xf numFmtId="0" fontId="12" fillId="0" borderId="6" xfId="0" applyFont="1" applyBorder="1" applyAlignment="1">
      <alignment horizontal="left" vertical="center" indent="1"/>
    </xf>
    <xf numFmtId="169" fontId="26" fillId="5" borderId="7" xfId="5" applyNumberFormat="1" applyFont="1" applyBorder="1">
      <alignment horizontal="right" vertical="center"/>
    </xf>
    <xf numFmtId="170" fontId="1" fillId="5" borderId="7" xfId="5" applyNumberFormat="1" applyBorder="1">
      <alignment horizontal="right" vertical="center"/>
    </xf>
    <xf numFmtId="169" fontId="1" fillId="5" borderId="7" xfId="5" applyNumberFormat="1" applyBorder="1">
      <alignment horizontal="right" vertical="center"/>
    </xf>
    <xf numFmtId="0" fontId="20" fillId="0" borderId="6" xfId="0" applyFont="1" applyBorder="1" applyAlignment="1">
      <alignment horizontal="left" vertical="center" indent="1"/>
    </xf>
    <xf numFmtId="170" fontId="1" fillId="5" borderId="1" xfId="5" applyNumberFormat="1">
      <alignment horizontal="right" vertical="center"/>
    </xf>
    <xf numFmtId="0" fontId="12" fillId="0" borderId="12" xfId="0" applyFont="1" applyBorder="1" applyAlignment="1">
      <alignment horizontal="left" vertical="center" indent="1"/>
    </xf>
    <xf numFmtId="0" fontId="0" fillId="0" borderId="12" xfId="0" applyBorder="1"/>
    <xf numFmtId="170" fontId="12" fillId="0" borderId="12" xfId="3" applyNumberFormat="1" applyFont="1" applyBorder="1">
      <alignment horizontal="right" vertical="center"/>
    </xf>
    <xf numFmtId="0" fontId="17" fillId="7" borderId="4" xfId="0" applyFont="1" applyFill="1" applyBorder="1" applyAlignment="1">
      <alignment horizontal="center" vertical="center" wrapText="1"/>
    </xf>
    <xf numFmtId="171" fontId="1" fillId="5" borderId="7" xfId="5" applyNumberFormat="1" applyBorder="1" applyAlignment="1">
      <alignment horizontal="center" vertical="center"/>
    </xf>
    <xf numFmtId="9" fontId="3" fillId="0" borderId="2" xfId="3" applyNumberFormat="1">
      <alignment horizontal="right" vertical="center"/>
    </xf>
    <xf numFmtId="4" fontId="3" fillId="0" borderId="2" xfId="3" applyNumberFormat="1">
      <alignment horizontal="right" vertical="center"/>
    </xf>
    <xf numFmtId="0" fontId="20" fillId="0" borderId="0" xfId="0" applyFont="1"/>
    <xf numFmtId="172" fontId="3" fillId="0" borderId="2" xfId="3" applyNumberFormat="1">
      <alignment horizontal="right" vertical="center"/>
    </xf>
    <xf numFmtId="170" fontId="3" fillId="0" borderId="2" xfId="3" applyNumberFormat="1">
      <alignment horizontal="right" vertical="center"/>
    </xf>
    <xf numFmtId="0" fontId="3" fillId="0" borderId="0" xfId="0" applyFont="1" applyAlignment="1">
      <alignment horizontal="left" vertical="center" indent="1"/>
    </xf>
    <xf numFmtId="169" fontId="1" fillId="5" borderId="1" xfId="5" applyNumberFormat="1">
      <alignment horizontal="right" vertical="center"/>
    </xf>
    <xf numFmtId="0" fontId="20" fillId="0" borderId="0" xfId="0" applyFont="1" applyAlignment="1">
      <alignment horizontal="left" vertical="center" indent="1"/>
    </xf>
    <xf numFmtId="167" fontId="3" fillId="0" borderId="2" xfId="3" applyNumberFormat="1">
      <alignment horizontal="right" vertical="center"/>
    </xf>
    <xf numFmtId="0" fontId="16" fillId="0" borderId="0" xfId="0" applyFont="1"/>
    <xf numFmtId="0" fontId="0" fillId="0" borderId="0" xfId="0"/>
    <xf numFmtId="0" fontId="3" fillId="0" borderId="0" xfId="0" applyFont="1" applyAlignment="1">
      <alignment horizontal="left" vertical="top" wrapText="1" indent="1"/>
    </xf>
    <xf numFmtId="0" fontId="13" fillId="0" borderId="0" xfId="0" applyFont="1" applyAlignment="1">
      <alignment horizontal="left" vertical="center" wrapText="1" indent="1"/>
    </xf>
    <xf numFmtId="0" fontId="0" fillId="0" borderId="0" xfId="0" applyAlignment="1"/>
  </cellXfs>
  <cellStyles count="6">
    <cellStyle name="Normal" xfId="0" builtinId="0"/>
    <cellStyle name="Vose Calculation" xfId="3" xr:uid="{00000000-0005-0000-0000-000003000000}"/>
    <cellStyle name="Vose Input" xfId="1" xr:uid="{00000000-0005-0000-0000-000001000000}"/>
    <cellStyle name="Vose Output" xfId="4" xr:uid="{00000000-0005-0000-0000-000004000000}"/>
    <cellStyle name="Vose Sim Result" xfId="5" xr:uid="{00000000-0005-0000-0000-000005000000}"/>
    <cellStyle name="Vose Uncertain" xfId="2" xr:uid="{00000000-0005-0000-0000-000002000000}"/>
  </cellStyles>
  <dxfs count="27">
    <dxf>
      <font>
        <color rgb="FF8AA0BA"/>
      </font>
    </dxf>
    <dxf>
      <font>
        <color rgb="FF8AA0BA"/>
      </font>
    </dxf>
    <dxf>
      <font>
        <color rgb="FF8AA0BA"/>
      </font>
    </dxf>
    <dxf>
      <font>
        <color rgb="FFB91C1C"/>
      </font>
    </dxf>
    <dxf>
      <font>
        <color rgb="FF15803D"/>
      </font>
    </dxf>
    <dxf>
      <font>
        <color rgb="FFB45309"/>
      </font>
      <fill>
        <patternFill patternType="solid">
          <fgColor rgb="FFFEF3C7"/>
          <bgColor rgb="FFFEF3C7"/>
        </patternFill>
      </fill>
    </dxf>
    <dxf>
      <font>
        <b/>
        <color rgb="FFB91C1C"/>
      </font>
    </dxf>
    <dxf>
      <font>
        <color rgb="FF3F5876"/>
      </font>
      <fill>
        <patternFill patternType="solid">
          <fgColor rgb="FFE5E7EB"/>
          <bgColor rgb="FFE5E7EB"/>
        </patternFill>
      </fill>
    </dxf>
    <dxf>
      <font>
        <color rgb="FF15803D"/>
      </font>
      <fill>
        <patternFill patternType="solid">
          <fgColor rgb="FFDCFCE7"/>
          <bgColor rgb="FFDCFCE7"/>
        </patternFill>
      </fill>
    </dxf>
    <dxf>
      <font>
        <color rgb="FF0E4F92"/>
      </font>
      <fill>
        <patternFill patternType="solid">
          <fgColor rgb="FFDBEAFE"/>
          <bgColor rgb="FFDBEAFE"/>
        </patternFill>
      </fill>
    </dxf>
    <dxf>
      <font>
        <color rgb="FFB45309"/>
      </font>
      <fill>
        <patternFill patternType="solid">
          <fgColor rgb="FFFEF3C7"/>
          <bgColor rgb="FFFEF3C7"/>
        </patternFill>
      </fill>
    </dxf>
    <dxf>
      <font>
        <color rgb="FFB45309"/>
      </font>
      <fill>
        <patternFill patternType="solid">
          <fgColor rgb="FFFEF3C7"/>
          <bgColor rgb="FFFEF3C7"/>
        </patternFill>
      </fill>
    </dxf>
    <dxf>
      <font>
        <b/>
        <color rgb="FFB91C1C"/>
      </font>
      <fill>
        <patternFill patternType="solid">
          <fgColor rgb="FFFEE2E2"/>
          <bgColor rgb="FFFEE2E2"/>
        </patternFill>
      </fill>
    </dxf>
    <dxf>
      <font>
        <color rgb="FF15803D"/>
      </font>
      <fill>
        <patternFill patternType="solid">
          <fgColor rgb="FFDCFCE7"/>
          <bgColor rgb="FFDCFCE7"/>
        </patternFill>
      </fill>
    </dxf>
    <dxf>
      <font>
        <color rgb="FFB45309"/>
      </font>
      <fill>
        <patternFill patternType="solid">
          <fgColor rgb="FFFEF3C7"/>
          <bgColor rgb="FFFEF3C7"/>
        </patternFill>
      </fill>
    </dxf>
    <dxf>
      <font>
        <color rgb="FFB91C1C"/>
      </font>
      <fill>
        <patternFill patternType="solid">
          <fgColor rgb="FFFEE2E2"/>
          <bgColor rgb="FFFEE2E2"/>
        </patternFill>
      </fill>
    </dxf>
    <dxf>
      <font>
        <b/>
        <color rgb="FFB91C1C"/>
      </font>
      <fill>
        <patternFill patternType="solid">
          <fgColor rgb="FFFEE2E2"/>
          <bgColor rgb="FFFEE2E2"/>
        </patternFill>
      </fill>
    </dxf>
    <dxf>
      <font>
        <b/>
        <color rgb="FFB91C1C"/>
      </font>
      <fill>
        <patternFill patternType="solid">
          <fgColor rgb="FFFEE2E2"/>
          <bgColor rgb="FFFEE2E2"/>
        </patternFill>
      </fill>
    </dxf>
    <dxf>
      <font>
        <b/>
        <color rgb="FFB91C1C"/>
      </font>
      <fill>
        <patternFill patternType="solid">
          <fgColor rgb="FFFEE2E2"/>
          <bgColor rgb="FFFEE2E2"/>
        </patternFill>
      </fill>
    </dxf>
    <dxf>
      <font>
        <b/>
        <color rgb="FFB91C1C"/>
      </font>
      <fill>
        <patternFill patternType="solid">
          <fgColor rgb="FFFEE2E2"/>
          <bgColor rgb="FFFEE2E2"/>
        </patternFill>
      </fill>
    </dxf>
    <dxf>
      <font>
        <b/>
        <color rgb="FFB91C1C"/>
      </font>
      <fill>
        <patternFill patternType="solid">
          <fgColor rgb="FFFEE2E2"/>
          <bgColor rgb="FFFEE2E2"/>
        </patternFill>
      </fill>
    </dxf>
    <dxf>
      <font>
        <b/>
        <color rgb="FFB91C1C"/>
      </font>
      <fill>
        <patternFill patternType="solid">
          <fgColor rgb="FFFEE2E2"/>
          <bgColor rgb="FFFEE2E2"/>
        </patternFill>
      </fill>
    </dxf>
    <dxf>
      <font>
        <b/>
        <color rgb="FFB91C1C"/>
      </font>
      <fill>
        <patternFill patternType="solid">
          <fgColor rgb="FFFEE2E2"/>
          <bgColor rgb="FFFEE2E2"/>
        </patternFill>
      </fill>
    </dxf>
    <dxf>
      <font>
        <b/>
        <color rgb="FFB91C1C"/>
      </font>
      <fill>
        <patternFill patternType="solid">
          <fgColor rgb="FFFEE2E2"/>
          <bgColor rgb="FFFEE2E2"/>
        </patternFill>
      </fill>
    </dxf>
    <dxf>
      <font>
        <b/>
        <color rgb="FFB91C1C"/>
      </font>
      <fill>
        <patternFill patternType="solid">
          <fgColor rgb="FFFEE2E2"/>
          <bgColor rgb="FFFEE2E2"/>
        </patternFill>
      </fill>
    </dxf>
    <dxf>
      <font>
        <b/>
        <color rgb="FFB91C1C"/>
      </font>
      <fill>
        <patternFill patternType="solid">
          <fgColor rgb="FFFEE2E2"/>
          <bgColor rgb="FFFEE2E2"/>
        </patternFill>
      </fill>
    </dxf>
    <dxf>
      <font>
        <b/>
        <color rgb="FFB91C1C"/>
      </font>
      <fill>
        <patternFill patternType="solid">
          <fgColor rgb="FFFEE2E2"/>
          <bgColor rgb="FFFEE2E2"/>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barChart>
        <c:barDir val="col"/>
        <c:grouping val="clustered"/>
        <c:varyColors val="0"/>
        <c:ser>
          <c:idx val="0"/>
          <c:order val="0"/>
          <c:tx>
            <c:v>Oil production (kbbl/d, left axis)</c:v>
          </c:tx>
          <c:spPr>
            <a:solidFill>
              <a:srgbClr val="0E4F92"/>
            </a:solidFill>
            <a:ln>
              <a:noFill/>
              <a:prstDash val="solid"/>
            </a:ln>
          </c:spPr>
          <c:invertIfNegative val="1"/>
          <c:cat>
            <c:numRef>
              <c:f>'Cash flow'!$F$7:$AJ$7</c:f>
              <c:numCache>
                <c:formatCode>0</c:formatCode>
                <c:ptCount val="31"/>
                <c:pt idx="0">
                  <c:v>2027</c:v>
                </c:pt>
                <c:pt idx="1">
                  <c:v>2028</c:v>
                </c:pt>
                <c:pt idx="2">
                  <c:v>2029</c:v>
                </c:pt>
                <c:pt idx="3">
                  <c:v>2030</c:v>
                </c:pt>
                <c:pt idx="4">
                  <c:v>2031</c:v>
                </c:pt>
                <c:pt idx="5">
                  <c:v>2032</c:v>
                </c:pt>
                <c:pt idx="6">
                  <c:v>2033</c:v>
                </c:pt>
                <c:pt idx="7">
                  <c:v>2034</c:v>
                </c:pt>
                <c:pt idx="8">
                  <c:v>2035</c:v>
                </c:pt>
                <c:pt idx="9">
                  <c:v>2036</c:v>
                </c:pt>
                <c:pt idx="10">
                  <c:v>2037</c:v>
                </c:pt>
                <c:pt idx="11">
                  <c:v>2038</c:v>
                </c:pt>
                <c:pt idx="12">
                  <c:v>2039</c:v>
                </c:pt>
                <c:pt idx="13">
                  <c:v>2040</c:v>
                </c:pt>
                <c:pt idx="14">
                  <c:v>2041</c:v>
                </c:pt>
                <c:pt idx="15">
                  <c:v>2042</c:v>
                </c:pt>
                <c:pt idx="16">
                  <c:v>2043</c:v>
                </c:pt>
                <c:pt idx="17">
                  <c:v>2044</c:v>
                </c:pt>
                <c:pt idx="18">
                  <c:v>2045</c:v>
                </c:pt>
                <c:pt idx="19">
                  <c:v>2046</c:v>
                </c:pt>
                <c:pt idx="20">
                  <c:v>2047</c:v>
                </c:pt>
                <c:pt idx="21">
                  <c:v>2048</c:v>
                </c:pt>
                <c:pt idx="22">
                  <c:v>2049</c:v>
                </c:pt>
                <c:pt idx="23">
                  <c:v>2050</c:v>
                </c:pt>
                <c:pt idx="24">
                  <c:v>2051</c:v>
                </c:pt>
                <c:pt idx="25">
                  <c:v>2052</c:v>
                </c:pt>
                <c:pt idx="26">
                  <c:v>2053</c:v>
                </c:pt>
                <c:pt idx="27">
                  <c:v>2054</c:v>
                </c:pt>
                <c:pt idx="28">
                  <c:v>2055</c:v>
                </c:pt>
                <c:pt idx="29">
                  <c:v>2056</c:v>
                </c:pt>
                <c:pt idx="30">
                  <c:v>2057</c:v>
                </c:pt>
              </c:numCache>
            </c:numRef>
          </c:cat>
          <c:val>
            <c:numRef>
              <c:f>'Cash flow'!$F$37:$AJ$37</c:f>
              <c:numCache>
                <c:formatCode>#,##0.0_);\(#,##0.0\);"–"_)</c:formatCode>
                <c:ptCount val="31"/>
                <c:pt idx="0">
                  <c:v>0</c:v>
                </c:pt>
                <c:pt idx="1">
                  <c:v>0</c:v>
                </c:pt>
                <c:pt idx="2">
                  <c:v>0</c:v>
                </c:pt>
                <c:pt idx="3">
                  <c:v>8.7489205957442735</c:v>
                </c:pt>
                <c:pt idx="4">
                  <c:v>17.497841191488547</c:v>
                </c:pt>
                <c:pt idx="5">
                  <c:v>17.497841191488547</c:v>
                </c:pt>
                <c:pt idx="6">
                  <c:v>17.497841191488547</c:v>
                </c:pt>
                <c:pt idx="7">
                  <c:v>17.497841191488547</c:v>
                </c:pt>
                <c:pt idx="8">
                  <c:v>16.275314106741021</c:v>
                </c:pt>
                <c:pt idx="9">
                  <c:v>13.611464815377825</c:v>
                </c:pt>
                <c:pt idx="10">
                  <c:v>11.383618970741173</c:v>
                </c:pt>
                <c:pt idx="11">
                  <c:v>9.5204140501186227</c:v>
                </c:pt>
                <c:pt idx="12">
                  <c:v>7.9621677358193166</c:v>
                </c:pt>
                <c:pt idx="13">
                  <c:v>6.6589661667637463</c:v>
                </c:pt>
                <c:pt idx="14">
                  <c:v>5.5690650939974731</c:v>
                </c:pt>
                <c:pt idx="15">
                  <c:v>4.6575527258241207</c:v>
                </c:pt>
                <c:pt idx="16">
                  <c:v>3.8952314307140954</c:v>
                </c:pt>
                <c:pt idx="17">
                  <c:v>3.2576824766139918</c:v>
                </c:pt>
                <c:pt idx="18">
                  <c:v>2.7244838483171567</c:v>
                </c:pt>
                <c:pt idx="19">
                  <c:v>2.2785560879635707</c:v>
                </c:pt>
                <c:pt idx="20">
                  <c:v>0</c:v>
                </c:pt>
                <c:pt idx="21">
                  <c:v>0</c:v>
                </c:pt>
                <c:pt idx="22">
                  <c:v>0</c:v>
                </c:pt>
                <c:pt idx="23">
                  <c:v>0</c:v>
                </c:pt>
                <c:pt idx="24">
                  <c:v>0</c:v>
                </c:pt>
                <c:pt idx="25">
                  <c:v>0</c:v>
                </c:pt>
                <c:pt idx="26">
                  <c:v>0</c:v>
                </c:pt>
                <c:pt idx="27">
                  <c:v>0</c:v>
                </c:pt>
                <c:pt idx="28">
                  <c:v>0</c:v>
                </c:pt>
                <c:pt idx="29">
                  <c:v>0</c:v>
                </c:pt>
                <c:pt idx="30">
                  <c:v>0</c:v>
                </c:pt>
              </c:numCache>
            </c:numRef>
          </c:val>
          <c:extLst>
            <c:ext xmlns:c14="http://schemas.microsoft.com/office/drawing/2007/8/2/chart" uri="{6F2FDCE9-48DA-4B69-8628-5D25D57E5C99}">
              <c14:invertSolidFillFmt>
                <c14:spPr xmlns:c14="http://schemas.microsoft.com/office/drawing/2007/8/2/chart">
                  <a:solidFill>
                    <a:srgbClr val="FFFFFF"/>
                  </a:solidFill>
                  <a:ln>
                    <a:noFill/>
                    <a:prstDash val="solid"/>
                  </a:ln>
                </c14:spPr>
              </c14:invertSolidFillFmt>
            </c:ext>
            <c:ext xmlns:c16="http://schemas.microsoft.com/office/drawing/2014/chart" uri="{C3380CC4-5D6E-409C-BE32-E72D297353CC}">
              <c16:uniqueId val="{00000000-551E-43C2-BE01-973F9F0D6634}"/>
            </c:ext>
          </c:extLst>
        </c:ser>
        <c:dLbls>
          <c:showLegendKey val="0"/>
          <c:showVal val="0"/>
          <c:showCatName val="0"/>
          <c:showSerName val="0"/>
          <c:showPercent val="0"/>
          <c:showBubbleSize val="0"/>
        </c:dLbls>
        <c:gapWidth val="40"/>
        <c:axId val="10"/>
        <c:axId val="100"/>
      </c:barChart>
      <c:lineChart>
        <c:grouping val="standard"/>
        <c:varyColors val="1"/>
        <c:ser>
          <c:idx val="1"/>
          <c:order val="1"/>
          <c:tx>
            <c:v>Oil price (US$/bbl, right axis)</c:v>
          </c:tx>
          <c:spPr>
            <a:ln w="22000">
              <a:solidFill>
                <a:srgbClr val="B45309"/>
              </a:solidFill>
              <a:prstDash val="solid"/>
            </a:ln>
          </c:spPr>
          <c:marker>
            <c:symbol val="none"/>
          </c:marker>
          <c:val>
            <c:numRef>
              <c:f>'Cash flow'!$F$25:$AJ$25</c:f>
              <c:numCache>
                <c:formatCode>#,##0.0_);\(#,##0.0\);"–"_)</c:formatCode>
                <c:ptCount val="31"/>
                <c:pt idx="0">
                  <c:v>75</c:v>
                </c:pt>
                <c:pt idx="1">
                  <c:v>55.667399171328505</c:v>
                </c:pt>
                <c:pt idx="2">
                  <c:v>53.746553818636727</c:v>
                </c:pt>
                <c:pt idx="3">
                  <c:v>69.416968148161317</c:v>
                </c:pt>
                <c:pt idx="4">
                  <c:v>66.22953105607246</c:v>
                </c:pt>
                <c:pt idx="5">
                  <c:v>65.867086247379902</c:v>
                </c:pt>
                <c:pt idx="6">
                  <c:v>79.273972541332739</c:v>
                </c:pt>
                <c:pt idx="7">
                  <c:v>127.66150893746341</c:v>
                </c:pt>
                <c:pt idx="8">
                  <c:v>90.763386722366818</c:v>
                </c:pt>
                <c:pt idx="9">
                  <c:v>72.540415646058761</c:v>
                </c:pt>
                <c:pt idx="10">
                  <c:v>76.660482490270027</c:v>
                </c:pt>
                <c:pt idx="11">
                  <c:v>74.949951726710196</c:v>
                </c:pt>
                <c:pt idx="12">
                  <c:v>63.679698231814818</c:v>
                </c:pt>
                <c:pt idx="13">
                  <c:v>60.052747267346142</c:v>
                </c:pt>
                <c:pt idx="14">
                  <c:v>59.61763036174807</c:v>
                </c:pt>
                <c:pt idx="15">
                  <c:v>43.871352173408589</c:v>
                </c:pt>
                <c:pt idx="16">
                  <c:v>45.992211728248002</c:v>
                </c:pt>
                <c:pt idx="17">
                  <c:v>66.579339471546632</c:v>
                </c:pt>
                <c:pt idx="18">
                  <c:v>52.338822652207014</c:v>
                </c:pt>
                <c:pt idx="19">
                  <c:v>60.799250013726784</c:v>
                </c:pt>
                <c:pt idx="20">
                  <c:v>62.033391227625074</c:v>
                </c:pt>
                <c:pt idx="21">
                  <c:v>57.713619953608244</c:v>
                </c:pt>
                <c:pt idx="22">
                  <c:v>36.589459452876973</c:v>
                </c:pt>
                <c:pt idx="23">
                  <c:v>55.154482166297228</c:v>
                </c:pt>
                <c:pt idx="24">
                  <c:v>56.73555171919422</c:v>
                </c:pt>
                <c:pt idx="25">
                  <c:v>49.362280848066398</c:v>
                </c:pt>
                <c:pt idx="26">
                  <c:v>53.171732641818025</c:v>
                </c:pt>
                <c:pt idx="27">
                  <c:v>72.925821791100489</c:v>
                </c:pt>
                <c:pt idx="28">
                  <c:v>58.879794840202692</c:v>
                </c:pt>
                <c:pt idx="29">
                  <c:v>33.338770807134779</c:v>
                </c:pt>
                <c:pt idx="30">
                  <c:v>33.481158848724348</c:v>
                </c:pt>
              </c:numCache>
            </c:numRef>
          </c:val>
          <c:smooth val="0"/>
          <c:extLst>
            <c:ext xmlns:c16="http://schemas.microsoft.com/office/drawing/2014/chart" uri="{C3380CC4-5D6E-409C-BE32-E72D297353CC}">
              <c16:uniqueId val="{00000001-551E-43C2-BE01-973F9F0D6634}"/>
            </c:ext>
          </c:extLst>
        </c:ser>
        <c:dLbls>
          <c:showLegendKey val="0"/>
          <c:showVal val="0"/>
          <c:showCatName val="0"/>
          <c:showSerName val="0"/>
          <c:showPercent val="0"/>
          <c:showBubbleSize val="0"/>
        </c:dLbls>
        <c:marker val="1"/>
        <c:smooth val="0"/>
        <c:axId val="10"/>
        <c:axId val="200"/>
      </c:lineChart>
      <c:catAx>
        <c:axId val="10"/>
        <c:scaling>
          <c:orientation val="minMax"/>
        </c:scaling>
        <c:delete val="0"/>
        <c:axPos val="b"/>
        <c:numFmt formatCode="0" sourceLinked="1"/>
        <c:majorTickMark val="none"/>
        <c:minorTickMark val="none"/>
        <c:tickLblPos val="nextTo"/>
        <c:crossAx val="100"/>
        <c:crosses val="autoZero"/>
        <c:auto val="1"/>
        <c:lblAlgn val="ctr"/>
        <c:lblOffset val="100"/>
        <c:tickLblSkip val="2"/>
        <c:noMultiLvlLbl val="1"/>
      </c:catAx>
      <c:valAx>
        <c:axId val="100"/>
        <c:scaling>
          <c:orientation val="minMax"/>
        </c:scaling>
        <c:delete val="0"/>
        <c:axPos val="l"/>
        <c:majorGridlines>
          <c:spPr>
            <a:ln>
              <a:solidFill>
                <a:srgbClr val="E4E9F0"/>
              </a:solidFill>
              <a:prstDash val="solid"/>
            </a:ln>
          </c:spPr>
        </c:majorGridlines>
        <c:numFmt formatCode="#,##0" sourceLinked="0"/>
        <c:majorTickMark val="none"/>
        <c:minorTickMark val="none"/>
        <c:tickLblPos val="nextTo"/>
        <c:crossAx val="10"/>
        <c:crosses val="autoZero"/>
        <c:crossBetween val="between"/>
      </c:valAx>
      <c:valAx>
        <c:axId val="200"/>
        <c:scaling>
          <c:orientation val="minMax"/>
        </c:scaling>
        <c:delete val="0"/>
        <c:axPos val="r"/>
        <c:numFmt formatCode="#,##0" sourceLinked="0"/>
        <c:majorTickMark val="none"/>
        <c:minorTickMark val="none"/>
        <c:tickLblPos val="nextTo"/>
        <c:crossAx val="10"/>
        <c:crosses val="max"/>
        <c:crossBetween val="between"/>
      </c:valAx>
    </c:plotArea>
    <c:legend>
      <c:legendPos val="b"/>
      <c:overlay val="0"/>
    </c:legend>
    <c:plotVisOnly val="1"/>
    <c:dispBlanksAs val="gap"/>
    <c:showDLblsOverMax val="1"/>
  </c:chart>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13"/>
  <c:chart>
    <c:autoTitleDeleted val="1"/>
    <c:plotArea>
      <c:layout/>
      <c:scatterChart>
        <c:scatterStyle val="lineMarker"/>
        <c:varyColors val="0"/>
        <c:ser>
          <c:idx val="0"/>
          <c:order val="0"/>
          <c:tx>
            <c:v>Prospect NPV (risked)</c:v>
          </c:tx>
          <c:spPr>
            <a:ln w="25400">
              <a:solidFill>
                <a:srgbClr val="0E4F92"/>
              </a:solidFill>
              <a:prstDash val="solid"/>
            </a:ln>
          </c:spPr>
          <c:marker>
            <c:symbol val="none"/>
          </c:marker>
          <c:xVal>
            <c:numRef>
              <c:f>Results!$D$68:$D$117</c:f>
              <c:numCache>
                <c:formatCode>#,##0.00</c:formatCode>
                <c:ptCount val="50"/>
                <c:pt idx="0">
                  <c:v>-153.97249429719392</c:v>
                </c:pt>
                <c:pt idx="1">
                  <c:v>-80.225267132386449</c:v>
                </c:pt>
                <c:pt idx="2">
                  <c:v>-63.309972601958904</c:v>
                </c:pt>
                <c:pt idx="3">
                  <c:v>-51.935321804445977</c:v>
                </c:pt>
                <c:pt idx="4">
                  <c:v>-46.891857415659253</c:v>
                </c:pt>
                <c:pt idx="5">
                  <c:v>-45.359056673723323</c:v>
                </c:pt>
                <c:pt idx="6">
                  <c:v>-44.34039592997042</c:v>
                </c:pt>
                <c:pt idx="7">
                  <c:v>-43.587842966186919</c:v>
                </c:pt>
                <c:pt idx="8">
                  <c:v>-42.805281831867624</c:v>
                </c:pt>
                <c:pt idx="9">
                  <c:v>-42.191428757712885</c:v>
                </c:pt>
                <c:pt idx="10">
                  <c:v>-41.682370538148994</c:v>
                </c:pt>
                <c:pt idx="11">
                  <c:v>-41.20288982680291</c:v>
                </c:pt>
                <c:pt idx="12">
                  <c:v>-40.726434872321143</c:v>
                </c:pt>
                <c:pt idx="13">
                  <c:v>-40.296843486496797</c:v>
                </c:pt>
                <c:pt idx="14">
                  <c:v>-39.860577589492259</c:v>
                </c:pt>
                <c:pt idx="15">
                  <c:v>-39.458787530639235</c:v>
                </c:pt>
                <c:pt idx="16">
                  <c:v>-39.056848455360203</c:v>
                </c:pt>
                <c:pt idx="17">
                  <c:v>-38.687091797465229</c:v>
                </c:pt>
                <c:pt idx="18">
                  <c:v>-38.321567127942039</c:v>
                </c:pt>
                <c:pt idx="19">
                  <c:v>-38.010385490576653</c:v>
                </c:pt>
                <c:pt idx="20">
                  <c:v>-37.675621140119475</c:v>
                </c:pt>
                <c:pt idx="21">
                  <c:v>-37.318794067684046</c:v>
                </c:pt>
                <c:pt idx="22">
                  <c:v>-36.978159646508622</c:v>
                </c:pt>
                <c:pt idx="23">
                  <c:v>-36.650895586151954</c:v>
                </c:pt>
                <c:pt idx="24">
                  <c:v>-36.344123699426895</c:v>
                </c:pt>
                <c:pt idx="25">
                  <c:v>-35.973344263752239</c:v>
                </c:pt>
                <c:pt idx="26">
                  <c:v>-35.609398944843242</c:v>
                </c:pt>
                <c:pt idx="27">
                  <c:v>-35.300363176833812</c:v>
                </c:pt>
                <c:pt idx="28">
                  <c:v>-34.968462053748993</c:v>
                </c:pt>
                <c:pt idx="29">
                  <c:v>-34.645444879987174</c:v>
                </c:pt>
                <c:pt idx="30">
                  <c:v>-34.304773775872398</c:v>
                </c:pt>
                <c:pt idx="31">
                  <c:v>-33.90673090390532</c:v>
                </c:pt>
                <c:pt idx="32">
                  <c:v>-33.554676635279201</c:v>
                </c:pt>
                <c:pt idx="33">
                  <c:v>-33.126176627629938</c:v>
                </c:pt>
                <c:pt idx="34">
                  <c:v>-32.673837464526052</c:v>
                </c:pt>
                <c:pt idx="35">
                  <c:v>-32.219133970964513</c:v>
                </c:pt>
                <c:pt idx="36">
                  <c:v>-31.741671216077467</c:v>
                </c:pt>
                <c:pt idx="37">
                  <c:v>-31.175449492909024</c:v>
                </c:pt>
                <c:pt idx="38">
                  <c:v>-30.424524476475852</c:v>
                </c:pt>
                <c:pt idx="39">
                  <c:v>-20.221517992798145</c:v>
                </c:pt>
                <c:pt idx="40">
                  <c:v>27.702498771483285</c:v>
                </c:pt>
                <c:pt idx="41">
                  <c:v>67.186905933216423</c:v>
                </c:pt>
                <c:pt idx="42">
                  <c:v>112.61610080000976</c:v>
                </c:pt>
                <c:pt idx="43">
                  <c:v>164.29226750775419</c:v>
                </c:pt>
                <c:pt idx="44">
                  <c:v>222.66140897743333</c:v>
                </c:pt>
                <c:pt idx="45">
                  <c:v>285.26806590437792</c:v>
                </c:pt>
                <c:pt idx="46">
                  <c:v>368.81687441543767</c:v>
                </c:pt>
                <c:pt idx="47">
                  <c:v>482.27924628275292</c:v>
                </c:pt>
                <c:pt idx="48">
                  <c:v>658.11238757522699</c:v>
                </c:pt>
                <c:pt idx="49">
                  <c:v>1107.9401794770577</c:v>
                </c:pt>
              </c:numCache>
            </c:numRef>
          </c:xVal>
          <c:yVal>
            <c:numRef>
              <c:f>Results!$B$68:$B$117</c:f>
              <c:numCache>
                <c:formatCode>0%</c:formatCode>
                <c:ptCount val="50"/>
                <c:pt idx="0">
                  <c:v>0.01</c:v>
                </c:pt>
                <c:pt idx="1">
                  <c:v>0.03</c:v>
                </c:pt>
                <c:pt idx="2">
                  <c:v>0.05</c:v>
                </c:pt>
                <c:pt idx="3">
                  <c:v>7.0000000000000007E-2</c:v>
                </c:pt>
                <c:pt idx="4">
                  <c:v>0.09</c:v>
                </c:pt>
                <c:pt idx="5">
                  <c:v>0.11</c:v>
                </c:pt>
                <c:pt idx="6">
                  <c:v>0.13</c:v>
                </c:pt>
                <c:pt idx="7">
                  <c:v>0.15</c:v>
                </c:pt>
                <c:pt idx="8">
                  <c:v>0.17</c:v>
                </c:pt>
                <c:pt idx="9">
                  <c:v>0.19</c:v>
                </c:pt>
                <c:pt idx="10">
                  <c:v>0.21</c:v>
                </c:pt>
                <c:pt idx="11">
                  <c:v>0.23</c:v>
                </c:pt>
                <c:pt idx="12">
                  <c:v>0.25</c:v>
                </c:pt>
                <c:pt idx="13">
                  <c:v>0.27</c:v>
                </c:pt>
                <c:pt idx="14">
                  <c:v>0.28999999999999998</c:v>
                </c:pt>
                <c:pt idx="15">
                  <c:v>0.31</c:v>
                </c:pt>
                <c:pt idx="16">
                  <c:v>0.33</c:v>
                </c:pt>
                <c:pt idx="17">
                  <c:v>0.35</c:v>
                </c:pt>
                <c:pt idx="18">
                  <c:v>0.37</c:v>
                </c:pt>
                <c:pt idx="19">
                  <c:v>0.39</c:v>
                </c:pt>
                <c:pt idx="20">
                  <c:v>0.41</c:v>
                </c:pt>
                <c:pt idx="21">
                  <c:v>0.43</c:v>
                </c:pt>
                <c:pt idx="22">
                  <c:v>0.45</c:v>
                </c:pt>
                <c:pt idx="23">
                  <c:v>0.47</c:v>
                </c:pt>
                <c:pt idx="24">
                  <c:v>0.49</c:v>
                </c:pt>
                <c:pt idx="25">
                  <c:v>0.51</c:v>
                </c:pt>
                <c:pt idx="26">
                  <c:v>0.53</c:v>
                </c:pt>
                <c:pt idx="27">
                  <c:v>0.55000000000000004</c:v>
                </c:pt>
                <c:pt idx="28">
                  <c:v>0.56999999999999995</c:v>
                </c:pt>
                <c:pt idx="29">
                  <c:v>0.59</c:v>
                </c:pt>
                <c:pt idx="30">
                  <c:v>0.61</c:v>
                </c:pt>
                <c:pt idx="31">
                  <c:v>0.63</c:v>
                </c:pt>
                <c:pt idx="32">
                  <c:v>0.65</c:v>
                </c:pt>
                <c:pt idx="33">
                  <c:v>0.67</c:v>
                </c:pt>
                <c:pt idx="34">
                  <c:v>0.69</c:v>
                </c:pt>
                <c:pt idx="35">
                  <c:v>0.71</c:v>
                </c:pt>
                <c:pt idx="36">
                  <c:v>0.73</c:v>
                </c:pt>
                <c:pt idx="37">
                  <c:v>0.75</c:v>
                </c:pt>
                <c:pt idx="38">
                  <c:v>0.77</c:v>
                </c:pt>
                <c:pt idx="39">
                  <c:v>0.79</c:v>
                </c:pt>
                <c:pt idx="40">
                  <c:v>0.81</c:v>
                </c:pt>
                <c:pt idx="41">
                  <c:v>0.83</c:v>
                </c:pt>
                <c:pt idx="42">
                  <c:v>0.85</c:v>
                </c:pt>
                <c:pt idx="43">
                  <c:v>0.87</c:v>
                </c:pt>
                <c:pt idx="44">
                  <c:v>0.89</c:v>
                </c:pt>
                <c:pt idx="45">
                  <c:v>0.91</c:v>
                </c:pt>
                <c:pt idx="46">
                  <c:v>0.93</c:v>
                </c:pt>
                <c:pt idx="47">
                  <c:v>0.95</c:v>
                </c:pt>
                <c:pt idx="48">
                  <c:v>0.97</c:v>
                </c:pt>
                <c:pt idx="49">
                  <c:v>0.99</c:v>
                </c:pt>
              </c:numCache>
            </c:numRef>
          </c:yVal>
          <c:smooth val="1"/>
          <c:extLst>
            <c:ext xmlns:c16="http://schemas.microsoft.com/office/drawing/2014/chart" uri="{C3380CC4-5D6E-409C-BE32-E72D297353CC}">
              <c16:uniqueId val="{00000000-2D44-403B-84F4-5E094A44BE3C}"/>
            </c:ext>
          </c:extLst>
        </c:ser>
        <c:ser>
          <c:idx val="1"/>
          <c:order val="1"/>
          <c:tx>
            <c:v>Development NPV (success case)</c:v>
          </c:tx>
          <c:spPr>
            <a:ln w="25400">
              <a:solidFill>
                <a:srgbClr val="B45309"/>
              </a:solidFill>
              <a:prstDash val="dash"/>
            </a:ln>
          </c:spPr>
          <c:marker>
            <c:symbol val="none"/>
          </c:marker>
          <c:xVal>
            <c:numRef>
              <c:f>Results!$E$68:$E$117</c:f>
              <c:numCache>
                <c:formatCode>#,##0.00</c:formatCode>
                <c:ptCount val="50"/>
                <c:pt idx="0">
                  <c:v>-189.23817113560474</c:v>
                </c:pt>
                <c:pt idx="1">
                  <c:v>-131.12792055967168</c:v>
                </c:pt>
                <c:pt idx="2">
                  <c:v>-100.06647751522438</c:v>
                </c:pt>
                <c:pt idx="3">
                  <c:v>-79.868262621327432</c:v>
                </c:pt>
                <c:pt idx="4">
                  <c:v>-62.948380079013205</c:v>
                </c:pt>
                <c:pt idx="5">
                  <c:v>-46.856670674570886</c:v>
                </c:pt>
                <c:pt idx="6">
                  <c:v>-34.813512698569816</c:v>
                </c:pt>
                <c:pt idx="7">
                  <c:v>-23.052496744675096</c:v>
                </c:pt>
                <c:pt idx="8">
                  <c:v>-11.443609465993317</c:v>
                </c:pt>
                <c:pt idx="9">
                  <c:v>1.3292069614360313</c:v>
                </c:pt>
                <c:pt idx="10">
                  <c:v>13.719389142347879</c:v>
                </c:pt>
                <c:pt idx="11">
                  <c:v>25.211428617694022</c:v>
                </c:pt>
                <c:pt idx="12">
                  <c:v>35.575230118719304</c:v>
                </c:pt>
                <c:pt idx="13">
                  <c:v>46.636492036540091</c:v>
                </c:pt>
                <c:pt idx="14">
                  <c:v>58.113084647849156</c:v>
                </c:pt>
                <c:pt idx="15">
                  <c:v>68.599553092838519</c:v>
                </c:pt>
                <c:pt idx="16">
                  <c:v>79.582900927482754</c:v>
                </c:pt>
                <c:pt idx="17">
                  <c:v>90.116848044888329</c:v>
                </c:pt>
                <c:pt idx="18">
                  <c:v>101.06464228917864</c:v>
                </c:pt>
                <c:pt idx="19">
                  <c:v>112.55643656909012</c:v>
                </c:pt>
                <c:pt idx="20">
                  <c:v>125.64098453723864</c:v>
                </c:pt>
                <c:pt idx="21">
                  <c:v>137.9333508940787</c:v>
                </c:pt>
                <c:pt idx="22">
                  <c:v>149.03793939410028</c:v>
                </c:pt>
                <c:pt idx="23">
                  <c:v>163.13523279952165</c:v>
                </c:pt>
                <c:pt idx="24">
                  <c:v>176.23983657931467</c:v>
                </c:pt>
                <c:pt idx="25">
                  <c:v>189.97652723381958</c:v>
                </c:pt>
                <c:pt idx="26">
                  <c:v>203.80699406099808</c:v>
                </c:pt>
                <c:pt idx="27">
                  <c:v>217.97361074313224</c:v>
                </c:pt>
                <c:pt idx="28">
                  <c:v>232.36802625438398</c:v>
                </c:pt>
                <c:pt idx="29">
                  <c:v>246.8251312702013</c:v>
                </c:pt>
                <c:pt idx="30">
                  <c:v>262.31913434046686</c:v>
                </c:pt>
                <c:pt idx="31">
                  <c:v>280.09733829692618</c:v>
                </c:pt>
                <c:pt idx="32">
                  <c:v>299.55935623043388</c:v>
                </c:pt>
                <c:pt idx="33">
                  <c:v>318.05463952616145</c:v>
                </c:pt>
                <c:pt idx="34">
                  <c:v>338.62544420444453</c:v>
                </c:pt>
                <c:pt idx="35">
                  <c:v>363.27635293289387</c:v>
                </c:pt>
                <c:pt idx="36">
                  <c:v>383.53144566705367</c:v>
                </c:pt>
                <c:pt idx="37">
                  <c:v>406.2624153970321</c:v>
                </c:pt>
                <c:pt idx="38">
                  <c:v>439.57924440535203</c:v>
                </c:pt>
                <c:pt idx="39">
                  <c:v>473.44574978228673</c:v>
                </c:pt>
                <c:pt idx="40">
                  <c:v>509.12244985476605</c:v>
                </c:pt>
                <c:pt idx="41">
                  <c:v>547.23731309546838</c:v>
                </c:pt>
                <c:pt idx="42">
                  <c:v>594.8657636151828</c:v>
                </c:pt>
                <c:pt idx="43">
                  <c:v>646.7052593358967</c:v>
                </c:pt>
                <c:pt idx="44">
                  <c:v>708.02571491888386</c:v>
                </c:pt>
                <c:pt idx="45">
                  <c:v>780.47245095652988</c:v>
                </c:pt>
                <c:pt idx="46">
                  <c:v>887.51499913180669</c:v>
                </c:pt>
                <c:pt idx="47">
                  <c:v>1021.9058346597756</c:v>
                </c:pt>
                <c:pt idx="48">
                  <c:v>1251.193184910954</c:v>
                </c:pt>
                <c:pt idx="49">
                  <c:v>1867.7080643862369</c:v>
                </c:pt>
              </c:numCache>
            </c:numRef>
          </c:xVal>
          <c:yVal>
            <c:numRef>
              <c:f>Results!$B$68:$B$117</c:f>
              <c:numCache>
                <c:formatCode>0%</c:formatCode>
                <c:ptCount val="50"/>
                <c:pt idx="0">
                  <c:v>0.01</c:v>
                </c:pt>
                <c:pt idx="1">
                  <c:v>0.03</c:v>
                </c:pt>
                <c:pt idx="2">
                  <c:v>0.05</c:v>
                </c:pt>
                <c:pt idx="3">
                  <c:v>7.0000000000000007E-2</c:v>
                </c:pt>
                <c:pt idx="4">
                  <c:v>0.09</c:v>
                </c:pt>
                <c:pt idx="5">
                  <c:v>0.11</c:v>
                </c:pt>
                <c:pt idx="6">
                  <c:v>0.13</c:v>
                </c:pt>
                <c:pt idx="7">
                  <c:v>0.15</c:v>
                </c:pt>
                <c:pt idx="8">
                  <c:v>0.17</c:v>
                </c:pt>
                <c:pt idx="9">
                  <c:v>0.19</c:v>
                </c:pt>
                <c:pt idx="10">
                  <c:v>0.21</c:v>
                </c:pt>
                <c:pt idx="11">
                  <c:v>0.23</c:v>
                </c:pt>
                <c:pt idx="12">
                  <c:v>0.25</c:v>
                </c:pt>
                <c:pt idx="13">
                  <c:v>0.27</c:v>
                </c:pt>
                <c:pt idx="14">
                  <c:v>0.28999999999999998</c:v>
                </c:pt>
                <c:pt idx="15">
                  <c:v>0.31</c:v>
                </c:pt>
                <c:pt idx="16">
                  <c:v>0.33</c:v>
                </c:pt>
                <c:pt idx="17">
                  <c:v>0.35</c:v>
                </c:pt>
                <c:pt idx="18">
                  <c:v>0.37</c:v>
                </c:pt>
                <c:pt idx="19">
                  <c:v>0.39</c:v>
                </c:pt>
                <c:pt idx="20">
                  <c:v>0.41</c:v>
                </c:pt>
                <c:pt idx="21">
                  <c:v>0.43</c:v>
                </c:pt>
                <c:pt idx="22">
                  <c:v>0.45</c:v>
                </c:pt>
                <c:pt idx="23">
                  <c:v>0.47</c:v>
                </c:pt>
                <c:pt idx="24">
                  <c:v>0.49</c:v>
                </c:pt>
                <c:pt idx="25">
                  <c:v>0.51</c:v>
                </c:pt>
                <c:pt idx="26">
                  <c:v>0.53</c:v>
                </c:pt>
                <c:pt idx="27">
                  <c:v>0.55000000000000004</c:v>
                </c:pt>
                <c:pt idx="28">
                  <c:v>0.56999999999999995</c:v>
                </c:pt>
                <c:pt idx="29">
                  <c:v>0.59</c:v>
                </c:pt>
                <c:pt idx="30">
                  <c:v>0.61</c:v>
                </c:pt>
                <c:pt idx="31">
                  <c:v>0.63</c:v>
                </c:pt>
                <c:pt idx="32">
                  <c:v>0.65</c:v>
                </c:pt>
                <c:pt idx="33">
                  <c:v>0.67</c:v>
                </c:pt>
                <c:pt idx="34">
                  <c:v>0.69</c:v>
                </c:pt>
                <c:pt idx="35">
                  <c:v>0.71</c:v>
                </c:pt>
                <c:pt idx="36">
                  <c:v>0.73</c:v>
                </c:pt>
                <c:pt idx="37">
                  <c:v>0.75</c:v>
                </c:pt>
                <c:pt idx="38">
                  <c:v>0.77</c:v>
                </c:pt>
                <c:pt idx="39">
                  <c:v>0.79</c:v>
                </c:pt>
                <c:pt idx="40">
                  <c:v>0.81</c:v>
                </c:pt>
                <c:pt idx="41">
                  <c:v>0.83</c:v>
                </c:pt>
                <c:pt idx="42">
                  <c:v>0.85</c:v>
                </c:pt>
                <c:pt idx="43">
                  <c:v>0.87</c:v>
                </c:pt>
                <c:pt idx="44">
                  <c:v>0.89</c:v>
                </c:pt>
                <c:pt idx="45">
                  <c:v>0.91</c:v>
                </c:pt>
                <c:pt idx="46">
                  <c:v>0.93</c:v>
                </c:pt>
                <c:pt idx="47">
                  <c:v>0.95</c:v>
                </c:pt>
                <c:pt idx="48">
                  <c:v>0.97</c:v>
                </c:pt>
                <c:pt idx="49">
                  <c:v>0.99</c:v>
                </c:pt>
              </c:numCache>
            </c:numRef>
          </c:yVal>
          <c:smooth val="1"/>
          <c:extLst>
            <c:ext xmlns:c16="http://schemas.microsoft.com/office/drawing/2014/chart" uri="{C3380CC4-5D6E-409C-BE32-E72D297353CC}">
              <c16:uniqueId val="{00000001-2D44-403B-84F4-5E094A44BE3C}"/>
            </c:ext>
          </c:extLst>
        </c:ser>
        <c:dLbls>
          <c:showLegendKey val="0"/>
          <c:showVal val="0"/>
          <c:showCatName val="0"/>
          <c:showSerName val="0"/>
          <c:showPercent val="0"/>
          <c:showBubbleSize val="0"/>
        </c:dLbls>
        <c:axId val="10"/>
        <c:axId val="20"/>
      </c:scatterChart>
      <c:valAx>
        <c:axId val="10"/>
        <c:scaling>
          <c:orientation val="minMax"/>
        </c:scaling>
        <c:delete val="0"/>
        <c:axPos val="b"/>
        <c:title>
          <c:tx>
            <c:rich>
              <a:bodyPr/>
              <a:lstStyle/>
              <a:p>
                <a:pPr>
                  <a:defRPr/>
                </a:pPr>
                <a:r>
                  <a:rPr lang="en-US"/>
                  <a:t>NPV (US$ million)</a:t>
                </a:r>
              </a:p>
            </c:rich>
          </c:tx>
          <c:overlay val="0"/>
        </c:title>
        <c:numFmt formatCode="#,##0" sourceLinked="0"/>
        <c:majorTickMark val="none"/>
        <c:minorTickMark val="none"/>
        <c:tickLblPos val="nextTo"/>
        <c:crossAx val="20"/>
        <c:crosses val="autoZero"/>
        <c:crossBetween val="midCat"/>
      </c:valAx>
      <c:valAx>
        <c:axId val="20"/>
        <c:scaling>
          <c:orientation val="minMax"/>
          <c:max val="1"/>
          <c:min val="0"/>
        </c:scaling>
        <c:delete val="0"/>
        <c:axPos val="l"/>
        <c:majorGridlines>
          <c:spPr>
            <a:ln>
              <a:solidFill>
                <a:srgbClr val="E4E9F0"/>
              </a:solidFill>
              <a:prstDash val="solid"/>
            </a:ln>
          </c:spPr>
        </c:majorGridlines>
        <c:title>
          <c:tx>
            <c:rich>
              <a:bodyPr/>
              <a:lstStyle/>
              <a:p>
                <a:pPr>
                  <a:defRPr/>
                </a:pPr>
                <a:r>
                  <a:rPr lang="en-US"/>
                  <a:t>Cumulative probability</a:t>
                </a:r>
              </a:p>
            </c:rich>
          </c:tx>
          <c:overlay val="0"/>
        </c:title>
        <c:numFmt formatCode="0%" sourceLinked="0"/>
        <c:majorTickMark val="none"/>
        <c:minorTickMark val="none"/>
        <c:tickLblPos val="nextTo"/>
        <c:crossAx val="10"/>
        <c:crosses val="min"/>
        <c:crossBetween val="midCat"/>
      </c:valAx>
    </c:plotArea>
    <c:legend>
      <c:legendPos val="b"/>
      <c:overlay val="0"/>
    </c:legend>
    <c:plotVisOnly val="0"/>
    <c:dispBlanksAs val="gap"/>
    <c:showDLblsOverMax val="1"/>
  </c:chart>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13"/>
  <c:chart>
    <c:autoTitleDeleted val="1"/>
    <c:plotArea>
      <c:layout/>
      <c:scatterChart>
        <c:scatterStyle val="lineMarker"/>
        <c:varyColors val="0"/>
        <c:ser>
          <c:idx val="0"/>
          <c:order val="0"/>
          <c:tx>
            <c:v>Chance of at least this volume</c:v>
          </c:tx>
          <c:spPr>
            <a:ln w="25400">
              <a:solidFill>
                <a:srgbClr val="0E4F92"/>
              </a:solidFill>
              <a:prstDash val="solid"/>
            </a:ln>
          </c:spPr>
          <c:marker>
            <c:symbol val="none"/>
          </c:marker>
          <c:xVal>
            <c:numRef>
              <c:f>Results!$F$68:$F$117</c:f>
              <c:numCache>
                <c:formatCode>#,##0.00</c:formatCode>
                <c:ptCount val="50"/>
                <c:pt idx="0">
                  <c:v>9.7902339349118357</c:v>
                </c:pt>
                <c:pt idx="1">
                  <c:v>13.19912199132178</c:v>
                </c:pt>
                <c:pt idx="2">
                  <c:v>15.335214769999439</c:v>
                </c:pt>
                <c:pt idx="3">
                  <c:v>16.966463318444358</c:v>
                </c:pt>
                <c:pt idx="4">
                  <c:v>18.480985814398174</c:v>
                </c:pt>
                <c:pt idx="5">
                  <c:v>19.779402532253467</c:v>
                </c:pt>
                <c:pt idx="6">
                  <c:v>21.025928207421234</c:v>
                </c:pt>
                <c:pt idx="7">
                  <c:v>22.056053804295331</c:v>
                </c:pt>
                <c:pt idx="8">
                  <c:v>23.289926923015397</c:v>
                </c:pt>
                <c:pt idx="9">
                  <c:v>24.334568725941889</c:v>
                </c:pt>
                <c:pt idx="10">
                  <c:v>25.404857298202213</c:v>
                </c:pt>
                <c:pt idx="11">
                  <c:v>26.616997436640091</c:v>
                </c:pt>
                <c:pt idx="12">
                  <c:v>27.68565778825587</c:v>
                </c:pt>
                <c:pt idx="13">
                  <c:v>28.730640079923703</c:v>
                </c:pt>
                <c:pt idx="14">
                  <c:v>29.713924567269469</c:v>
                </c:pt>
                <c:pt idx="15">
                  <c:v>30.737527967490415</c:v>
                </c:pt>
                <c:pt idx="16">
                  <c:v>31.734279772925142</c:v>
                </c:pt>
                <c:pt idx="17">
                  <c:v>32.7917698466551</c:v>
                </c:pt>
                <c:pt idx="18">
                  <c:v>33.976159361967092</c:v>
                </c:pt>
                <c:pt idx="19">
                  <c:v>35.060039485031588</c:v>
                </c:pt>
                <c:pt idx="20">
                  <c:v>36.164499890225223</c:v>
                </c:pt>
                <c:pt idx="21">
                  <c:v>37.301870087102358</c:v>
                </c:pt>
                <c:pt idx="22">
                  <c:v>38.472062505109427</c:v>
                </c:pt>
                <c:pt idx="23">
                  <c:v>39.630189373417913</c:v>
                </c:pt>
                <c:pt idx="24">
                  <c:v>40.823158594777773</c:v>
                </c:pt>
                <c:pt idx="25">
                  <c:v>42.145731272524138</c:v>
                </c:pt>
                <c:pt idx="26">
                  <c:v>43.461795527298101</c:v>
                </c:pt>
                <c:pt idx="27">
                  <c:v>44.76464169922918</c:v>
                </c:pt>
                <c:pt idx="28">
                  <c:v>46.084296910036407</c:v>
                </c:pt>
                <c:pt idx="29">
                  <c:v>47.477949590067936</c:v>
                </c:pt>
                <c:pt idx="30">
                  <c:v>48.938416371138729</c:v>
                </c:pt>
                <c:pt idx="31">
                  <c:v>50.319848239913021</c:v>
                </c:pt>
                <c:pt idx="32">
                  <c:v>51.908889222668144</c:v>
                </c:pt>
                <c:pt idx="33">
                  <c:v>53.699522073388763</c:v>
                </c:pt>
                <c:pt idx="34">
                  <c:v>55.563558208950212</c:v>
                </c:pt>
                <c:pt idx="35">
                  <c:v>57.457089044420876</c:v>
                </c:pt>
                <c:pt idx="36">
                  <c:v>59.693546564437206</c:v>
                </c:pt>
                <c:pt idx="37">
                  <c:v>61.910127058486843</c:v>
                </c:pt>
                <c:pt idx="38">
                  <c:v>64.017239172211674</c:v>
                </c:pt>
                <c:pt idx="39">
                  <c:v>66.403130032768573</c:v>
                </c:pt>
                <c:pt idx="40">
                  <c:v>69.427453681538623</c:v>
                </c:pt>
                <c:pt idx="41">
                  <c:v>72.625984304713839</c:v>
                </c:pt>
                <c:pt idx="42">
                  <c:v>76.39798611639786</c:v>
                </c:pt>
                <c:pt idx="43">
                  <c:v>81.376870535529335</c:v>
                </c:pt>
                <c:pt idx="44">
                  <c:v>86.003763895255091</c:v>
                </c:pt>
                <c:pt idx="45">
                  <c:v>92.589651109231554</c:v>
                </c:pt>
                <c:pt idx="46">
                  <c:v>100.86293817184337</c:v>
                </c:pt>
                <c:pt idx="47">
                  <c:v>111.237833219404</c:v>
                </c:pt>
                <c:pt idx="48">
                  <c:v>129.81586870977284</c:v>
                </c:pt>
                <c:pt idx="49">
                  <c:v>170.56071888493994</c:v>
                </c:pt>
              </c:numCache>
            </c:numRef>
          </c:xVal>
          <c:yVal>
            <c:numRef>
              <c:f>Results!$C$68:$C$117</c:f>
              <c:numCache>
                <c:formatCode>0%</c:formatCode>
                <c:ptCount val="50"/>
                <c:pt idx="0">
                  <c:v>0.99</c:v>
                </c:pt>
                <c:pt idx="1">
                  <c:v>0.97</c:v>
                </c:pt>
                <c:pt idx="2">
                  <c:v>0.95</c:v>
                </c:pt>
                <c:pt idx="3">
                  <c:v>0.92999999999999994</c:v>
                </c:pt>
                <c:pt idx="4">
                  <c:v>0.91</c:v>
                </c:pt>
                <c:pt idx="5">
                  <c:v>0.89</c:v>
                </c:pt>
                <c:pt idx="6">
                  <c:v>0.87</c:v>
                </c:pt>
                <c:pt idx="7">
                  <c:v>0.85</c:v>
                </c:pt>
                <c:pt idx="8">
                  <c:v>0.83</c:v>
                </c:pt>
                <c:pt idx="9">
                  <c:v>0.81</c:v>
                </c:pt>
                <c:pt idx="10">
                  <c:v>0.79</c:v>
                </c:pt>
                <c:pt idx="11">
                  <c:v>0.77</c:v>
                </c:pt>
                <c:pt idx="12">
                  <c:v>0.75</c:v>
                </c:pt>
                <c:pt idx="13">
                  <c:v>0.73</c:v>
                </c:pt>
                <c:pt idx="14">
                  <c:v>0.71</c:v>
                </c:pt>
                <c:pt idx="15">
                  <c:v>0.69</c:v>
                </c:pt>
                <c:pt idx="16">
                  <c:v>0.66999999999999993</c:v>
                </c:pt>
                <c:pt idx="17">
                  <c:v>0.65</c:v>
                </c:pt>
                <c:pt idx="18">
                  <c:v>0.63</c:v>
                </c:pt>
                <c:pt idx="19">
                  <c:v>0.61</c:v>
                </c:pt>
                <c:pt idx="20">
                  <c:v>0.59000000000000008</c:v>
                </c:pt>
                <c:pt idx="21">
                  <c:v>0.57000000000000006</c:v>
                </c:pt>
                <c:pt idx="22">
                  <c:v>0.55000000000000004</c:v>
                </c:pt>
                <c:pt idx="23">
                  <c:v>0.53</c:v>
                </c:pt>
                <c:pt idx="24">
                  <c:v>0.51</c:v>
                </c:pt>
                <c:pt idx="25">
                  <c:v>0.49</c:v>
                </c:pt>
                <c:pt idx="26">
                  <c:v>0.47</c:v>
                </c:pt>
                <c:pt idx="27">
                  <c:v>0.44999999999999996</c:v>
                </c:pt>
                <c:pt idx="28">
                  <c:v>0.43000000000000005</c:v>
                </c:pt>
                <c:pt idx="29">
                  <c:v>0.41000000000000003</c:v>
                </c:pt>
                <c:pt idx="30">
                  <c:v>0.39</c:v>
                </c:pt>
                <c:pt idx="31">
                  <c:v>0.37</c:v>
                </c:pt>
                <c:pt idx="32">
                  <c:v>0.35</c:v>
                </c:pt>
                <c:pt idx="33">
                  <c:v>0.32999999999999996</c:v>
                </c:pt>
                <c:pt idx="34">
                  <c:v>0.31000000000000005</c:v>
                </c:pt>
                <c:pt idx="35">
                  <c:v>0.29000000000000004</c:v>
                </c:pt>
                <c:pt idx="36">
                  <c:v>0.27</c:v>
                </c:pt>
                <c:pt idx="37">
                  <c:v>0.25</c:v>
                </c:pt>
                <c:pt idx="38">
                  <c:v>0.22999999999999998</c:v>
                </c:pt>
                <c:pt idx="39">
                  <c:v>0.20999999999999996</c:v>
                </c:pt>
                <c:pt idx="40">
                  <c:v>0.18999999999999995</c:v>
                </c:pt>
                <c:pt idx="41">
                  <c:v>0.17000000000000004</c:v>
                </c:pt>
                <c:pt idx="42">
                  <c:v>0.15000000000000002</c:v>
                </c:pt>
                <c:pt idx="43">
                  <c:v>0.13</c:v>
                </c:pt>
                <c:pt idx="44">
                  <c:v>0.10999999999999999</c:v>
                </c:pt>
                <c:pt idx="45">
                  <c:v>8.9999999999999969E-2</c:v>
                </c:pt>
                <c:pt idx="46">
                  <c:v>6.9999999999999951E-2</c:v>
                </c:pt>
                <c:pt idx="47">
                  <c:v>5.0000000000000044E-2</c:v>
                </c:pt>
                <c:pt idx="48">
                  <c:v>3.0000000000000027E-2</c:v>
                </c:pt>
                <c:pt idx="49">
                  <c:v>1.0000000000000009E-2</c:v>
                </c:pt>
              </c:numCache>
            </c:numRef>
          </c:yVal>
          <c:smooth val="1"/>
          <c:extLst>
            <c:ext xmlns:c16="http://schemas.microsoft.com/office/drawing/2014/chart" uri="{C3380CC4-5D6E-409C-BE32-E72D297353CC}">
              <c16:uniqueId val="{00000000-673C-4729-B7C2-EA497B98E20B}"/>
            </c:ext>
          </c:extLst>
        </c:ser>
        <c:ser>
          <c:idx val="1"/>
          <c:order val="1"/>
          <c:tx>
            <c:v>P90 / P50 / P10</c:v>
          </c:tx>
          <c:spPr>
            <a:ln>
              <a:noFill/>
              <a:prstDash val="solid"/>
            </a:ln>
          </c:spPr>
          <c:marker>
            <c:symbol val="circle"/>
            <c:size val="7"/>
            <c:spPr>
              <a:solidFill>
                <a:srgbClr val="B45309"/>
              </a:solidFill>
              <a:ln>
                <a:solidFill>
                  <a:srgbClr val="B45309"/>
                </a:solidFill>
                <a:prstDash val="solid"/>
              </a:ln>
            </c:spPr>
          </c:marker>
          <c:xVal>
            <c:numRef>
              <c:f>Results!$D$140:$D$142</c:f>
              <c:numCache>
                <c:formatCode>#,##0.00</c:formatCode>
                <c:ptCount val="3"/>
                <c:pt idx="0">
                  <c:v>19.128369261654306</c:v>
                </c:pt>
                <c:pt idx="1">
                  <c:v>41.486277103522795</c:v>
                </c:pt>
                <c:pt idx="2">
                  <c:v>89.155263169763288</c:v>
                </c:pt>
              </c:numCache>
            </c:numRef>
          </c:xVal>
          <c:yVal>
            <c:numRef>
              <c:f>Results!$C$140:$C$142</c:f>
              <c:numCache>
                <c:formatCode>0%</c:formatCode>
                <c:ptCount val="3"/>
                <c:pt idx="0">
                  <c:v>0.9</c:v>
                </c:pt>
                <c:pt idx="1">
                  <c:v>0.5</c:v>
                </c:pt>
                <c:pt idx="2">
                  <c:v>0.1</c:v>
                </c:pt>
              </c:numCache>
            </c:numRef>
          </c:yVal>
          <c:smooth val="1"/>
          <c:extLst>
            <c:ext xmlns:c16="http://schemas.microsoft.com/office/drawing/2014/chart" uri="{C3380CC4-5D6E-409C-BE32-E72D297353CC}">
              <c16:uniqueId val="{00000001-673C-4729-B7C2-EA497B98E20B}"/>
            </c:ext>
          </c:extLst>
        </c:ser>
        <c:dLbls>
          <c:showLegendKey val="0"/>
          <c:showVal val="0"/>
          <c:showCatName val="0"/>
          <c:showSerName val="0"/>
          <c:showPercent val="0"/>
          <c:showBubbleSize val="0"/>
        </c:dLbls>
        <c:axId val="10"/>
        <c:axId val="20"/>
      </c:scatterChart>
      <c:valAx>
        <c:axId val="10"/>
        <c:scaling>
          <c:orientation val="minMax"/>
        </c:scaling>
        <c:delete val="0"/>
        <c:axPos val="b"/>
        <c:title>
          <c:tx>
            <c:rich>
              <a:bodyPr/>
              <a:lstStyle/>
              <a:p>
                <a:pPr>
                  <a:defRPr/>
                </a:pPr>
                <a:r>
                  <a:rPr lang="en-US"/>
                  <a:t>Recoverable volume (MMbbl)</a:t>
                </a:r>
              </a:p>
            </c:rich>
          </c:tx>
          <c:overlay val="0"/>
        </c:title>
        <c:numFmt formatCode="#,##0" sourceLinked="0"/>
        <c:majorTickMark val="none"/>
        <c:minorTickMark val="none"/>
        <c:tickLblPos val="nextTo"/>
        <c:crossAx val="20"/>
        <c:crosses val="autoZero"/>
        <c:crossBetween val="midCat"/>
      </c:valAx>
      <c:valAx>
        <c:axId val="20"/>
        <c:scaling>
          <c:orientation val="minMax"/>
          <c:max val="1"/>
          <c:min val="0"/>
        </c:scaling>
        <c:delete val="0"/>
        <c:axPos val="l"/>
        <c:majorGridlines>
          <c:spPr>
            <a:ln>
              <a:solidFill>
                <a:srgbClr val="E4E9F0"/>
              </a:solidFill>
              <a:prstDash val="solid"/>
            </a:ln>
          </c:spPr>
        </c:majorGridlines>
        <c:title>
          <c:tx>
            <c:rich>
              <a:bodyPr/>
              <a:lstStyle/>
              <a:p>
                <a:pPr>
                  <a:defRPr/>
                </a:pPr>
                <a:r>
                  <a:rPr lang="en-US"/>
                  <a:t>Probability of at least this value</a:t>
                </a:r>
              </a:p>
            </c:rich>
          </c:tx>
          <c:overlay val="0"/>
        </c:title>
        <c:numFmt formatCode="0%" sourceLinked="0"/>
        <c:majorTickMark val="none"/>
        <c:minorTickMark val="none"/>
        <c:tickLblPos val="nextTo"/>
        <c:crossAx val="10"/>
        <c:crosses val="min"/>
        <c:crossBetween val="midCat"/>
      </c:valAx>
    </c:plotArea>
    <c:legend>
      <c:legendPos val="b"/>
      <c:overlay val="0"/>
    </c:legend>
    <c:plotVisOnly val="0"/>
    <c:dispBlanksAs val="gap"/>
    <c:showDLblsOverMax val="1"/>
  </c:chart>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barChart>
        <c:barDir val="bar"/>
        <c:grouping val="clustered"/>
        <c:varyColors val="0"/>
        <c:ser>
          <c:idx val="0"/>
          <c:order val="0"/>
          <c:tx>
            <c:v>Highest group mean</c:v>
          </c:tx>
          <c:spPr>
            <a:solidFill>
              <a:srgbClr val="0E4F92"/>
            </a:solidFill>
            <a:ln>
              <a:noFill/>
              <a:prstDash val="solid"/>
            </a:ln>
          </c:spPr>
          <c:invertIfNegative val="0"/>
          <c:cat>
            <c:strRef>
              <c:f>Results!$B$126:$B$137</c:f>
              <c:strCache>
                <c:ptCount val="12"/>
                <c:pt idx="0">
                  <c:v>Productive area</c:v>
                </c:pt>
                <c:pt idx="1">
                  <c:v>Net pay</c:v>
                </c:pt>
                <c:pt idx="2">
                  <c:v>Long-term oil price</c:v>
                </c:pt>
                <c:pt idx="3">
                  <c:v>Recovery factor</c:v>
                </c:pt>
                <c:pt idx="4">
                  <c:v>Porosity</c:v>
                </c:pt>
                <c:pt idx="5">
                  <c:v>Water saturation</c:v>
                </c:pt>
                <c:pt idx="6">
                  <c:v>Major cost overrun</c:v>
                </c:pt>
                <c:pt idx="7">
                  <c:v>Production rate per well</c:v>
                </c:pt>
                <c:pt idx="8">
                  <c:v>Facilities cost per kbbl/d</c:v>
                </c:pt>
                <c:pt idx="9">
                  <c:v>Facilities fixed cost</c:v>
                </c:pt>
                <c:pt idx="10">
                  <c:v>Development well cost</c:v>
                </c:pt>
                <c:pt idx="11">
                  <c:v>Formation volume factor</c:v>
                </c:pt>
              </c:strCache>
            </c:strRef>
          </c:cat>
          <c:val>
            <c:numRef>
              <c:f>Results!$F$126:$F$137</c:f>
              <c:numCache>
                <c:formatCode>#,##0.0_);\(#,##0.0\);"–"_)</c:formatCode>
                <c:ptCount val="12"/>
                <c:pt idx="0">
                  <c:v>458.88116080025821</c:v>
                </c:pt>
                <c:pt idx="1">
                  <c:v>347.38121260812608</c:v>
                </c:pt>
                <c:pt idx="2">
                  <c:v>171.69044612520474</c:v>
                </c:pt>
                <c:pt idx="3">
                  <c:v>107.83881668784068</c:v>
                </c:pt>
                <c:pt idx="4">
                  <c:v>87.238155095315619</c:v>
                </c:pt>
                <c:pt idx="5">
                  <c:v>74.190115159140475</c:v>
                </c:pt>
                <c:pt idx="6">
                  <c:v>29.72119438820863</c:v>
                </c:pt>
                <c:pt idx="7">
                  <c:v>50.671229158649794</c:v>
                </c:pt>
                <c:pt idx="8">
                  <c:v>46.107400545926055</c:v>
                </c:pt>
                <c:pt idx="9">
                  <c:v>33.957472157131349</c:v>
                </c:pt>
                <c:pt idx="10">
                  <c:v>34.005761031122574</c:v>
                </c:pt>
                <c:pt idx="11">
                  <c:v>41.328683822638027</c:v>
                </c:pt>
              </c:numCache>
            </c:numRef>
          </c:val>
          <c:extLst>
            <c:ext xmlns:c16="http://schemas.microsoft.com/office/drawing/2014/chart" uri="{C3380CC4-5D6E-409C-BE32-E72D297353CC}">
              <c16:uniqueId val="{00000000-0594-4387-BF48-1B0B1F70ECC9}"/>
            </c:ext>
          </c:extLst>
        </c:ser>
        <c:ser>
          <c:idx val="1"/>
          <c:order val="1"/>
          <c:tx>
            <c:v>Lowest group mean</c:v>
          </c:tx>
          <c:spPr>
            <a:solidFill>
              <a:srgbClr val="B91C1C"/>
            </a:solidFill>
            <a:ln>
              <a:noFill/>
              <a:prstDash val="solid"/>
            </a:ln>
          </c:spPr>
          <c:invertIfNegative val="0"/>
          <c:cat>
            <c:strRef>
              <c:f>Results!$B$126:$B$137</c:f>
              <c:strCache>
                <c:ptCount val="12"/>
                <c:pt idx="0">
                  <c:v>Productive area</c:v>
                </c:pt>
                <c:pt idx="1">
                  <c:v>Net pay</c:v>
                </c:pt>
                <c:pt idx="2">
                  <c:v>Long-term oil price</c:v>
                </c:pt>
                <c:pt idx="3">
                  <c:v>Recovery factor</c:v>
                </c:pt>
                <c:pt idx="4">
                  <c:v>Porosity</c:v>
                </c:pt>
                <c:pt idx="5">
                  <c:v>Water saturation</c:v>
                </c:pt>
                <c:pt idx="6">
                  <c:v>Major cost overrun</c:v>
                </c:pt>
                <c:pt idx="7">
                  <c:v>Production rate per well</c:v>
                </c:pt>
                <c:pt idx="8">
                  <c:v>Facilities cost per kbbl/d</c:v>
                </c:pt>
                <c:pt idx="9">
                  <c:v>Facilities fixed cost</c:v>
                </c:pt>
                <c:pt idx="10">
                  <c:v>Development well cost</c:v>
                </c:pt>
                <c:pt idx="11">
                  <c:v>Formation volume factor</c:v>
                </c:pt>
              </c:strCache>
            </c:strRef>
          </c:cat>
          <c:val>
            <c:numRef>
              <c:f>Results!$G$126:$G$137</c:f>
              <c:numCache>
                <c:formatCode>#,##0.0_);\(#,##0.0\);"–"_)</c:formatCode>
                <c:ptCount val="12"/>
                <c:pt idx="0">
                  <c:v>-252.83091738687835</c:v>
                </c:pt>
                <c:pt idx="1">
                  <c:v>-221.86870010686926</c:v>
                </c:pt>
                <c:pt idx="2">
                  <c:v>-131.08525485656452</c:v>
                </c:pt>
                <c:pt idx="3">
                  <c:v>-111.8435760230692</c:v>
                </c:pt>
                <c:pt idx="4">
                  <c:v>-102.14277425785386</c:v>
                </c:pt>
                <c:pt idx="5">
                  <c:v>-85.586039440186312</c:v>
                </c:pt>
                <c:pt idx="6">
                  <c:v>-127.43151895219225</c:v>
                </c:pt>
                <c:pt idx="7">
                  <c:v>-50.1144676127482</c:v>
                </c:pt>
                <c:pt idx="8">
                  <c:v>-54.404966918743014</c:v>
                </c:pt>
                <c:pt idx="9">
                  <c:v>-48.827432465531928</c:v>
                </c:pt>
                <c:pt idx="10">
                  <c:v>-44.723906070573065</c:v>
                </c:pt>
                <c:pt idx="11">
                  <c:v>-35.956052889480901</c:v>
                </c:pt>
              </c:numCache>
            </c:numRef>
          </c:val>
          <c:extLst>
            <c:ext xmlns:c16="http://schemas.microsoft.com/office/drawing/2014/chart" uri="{C3380CC4-5D6E-409C-BE32-E72D297353CC}">
              <c16:uniqueId val="{00000001-0594-4387-BF48-1B0B1F70ECC9}"/>
            </c:ext>
          </c:extLst>
        </c:ser>
        <c:dLbls>
          <c:showLegendKey val="0"/>
          <c:showVal val="0"/>
          <c:showCatName val="0"/>
          <c:showSerName val="0"/>
          <c:showPercent val="0"/>
          <c:showBubbleSize val="0"/>
        </c:dLbls>
        <c:gapWidth val="35"/>
        <c:overlap val="100"/>
        <c:axId val="10"/>
        <c:axId val="100"/>
      </c:barChart>
      <c:catAx>
        <c:axId val="10"/>
        <c:scaling>
          <c:orientation val="maxMin"/>
        </c:scaling>
        <c:delete val="0"/>
        <c:axPos val="l"/>
        <c:numFmt formatCode="General" sourceLinked="1"/>
        <c:majorTickMark val="none"/>
        <c:minorTickMark val="none"/>
        <c:tickLblPos val="low"/>
        <c:crossAx val="100"/>
        <c:crosses val="autoZero"/>
        <c:auto val="1"/>
        <c:lblAlgn val="ctr"/>
        <c:lblOffset val="100"/>
        <c:noMultiLvlLbl val="1"/>
      </c:catAx>
      <c:valAx>
        <c:axId val="100"/>
        <c:scaling>
          <c:orientation val="minMax"/>
        </c:scaling>
        <c:delete val="0"/>
        <c:axPos val="b"/>
        <c:majorGridlines>
          <c:spPr>
            <a:ln>
              <a:solidFill>
                <a:srgbClr val="E4E9F0"/>
              </a:solidFill>
              <a:prstDash val="solid"/>
            </a:ln>
          </c:spPr>
        </c:majorGridlines>
        <c:numFmt formatCode="#,##0" sourceLinked="0"/>
        <c:majorTickMark val="none"/>
        <c:minorTickMark val="none"/>
        <c:tickLblPos val="nextTo"/>
        <c:crossAx val="10"/>
        <c:crosses val="max"/>
        <c:crossBetween val="between"/>
      </c:valAx>
    </c:plotArea>
    <c:legend>
      <c:legendPos val="b"/>
      <c:overlay val="0"/>
    </c:legend>
    <c:plotVisOnly val="0"/>
    <c:dispBlanksAs val="gap"/>
    <c:showDLblsOverMax val="1"/>
  </c:chart>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3" Type="http://schemas.openxmlformats.org/officeDocument/2006/relationships/chart" Target="../charts/chart4.xml"/><Relationship Id="rId2" Type="http://schemas.openxmlformats.org/officeDocument/2006/relationships/chart" Target="../charts/chart3.xml"/><Relationship Id="rId1" Type="http://schemas.openxmlformats.org/officeDocument/2006/relationships/chart" Target="../charts/chart2.xml"/></Relationships>
</file>

<file path=xl/drawings/drawing1.xml><?xml version="1.0" encoding="utf-8"?>
<xdr:wsDr xmlns:xdr="http://schemas.openxmlformats.org/drawingml/2006/spreadsheetDrawing" xmlns:a="http://schemas.openxmlformats.org/drawingml/2006/main">
  <xdr:oneCellAnchor>
    <xdr:from>
      <xdr:col>1</xdr:col>
      <xdr:colOff>0</xdr:colOff>
      <xdr:row>19</xdr:row>
      <xdr:rowOff>0</xdr:rowOff>
    </xdr:from>
    <xdr:ext cx="9144000" cy="1524000"/>
    <xdr:pic>
      <xdr:nvPicPr>
        <xdr:cNvPr id="2" name="Image 1" descr="Picture">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90</xdr:row>
      <xdr:rowOff>0</xdr:rowOff>
    </xdr:from>
    <xdr:ext cx="8640000" cy="2592000"/>
    <xdr:graphicFrame macro="">
      <xdr:nvGraphicFramePr>
        <xdr:cNvPr id="2" name="Chart 1">
          <a:extLst>
            <a:ext uri="{FF2B5EF4-FFF2-40B4-BE49-F238E27FC236}">
              <a16:creationId xmlns:a16="http://schemas.microsoft.com/office/drawing/2014/main" id="{00000000-0008-0000-03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wsDr>
</file>

<file path=xl/drawings/drawing3.xml><?xml version="1.0" encoding="utf-8"?>
<xdr:wsDr xmlns:xdr="http://schemas.openxmlformats.org/drawingml/2006/spreadsheetDrawing" xmlns:a="http://schemas.openxmlformats.org/drawingml/2006/main">
  <xdr:oneCellAnchor>
    <xdr:from>
      <xdr:col>8</xdr:col>
      <xdr:colOff>0</xdr:colOff>
      <xdr:row>9</xdr:row>
      <xdr:rowOff>0</xdr:rowOff>
    </xdr:from>
    <xdr:ext cx="6263999" cy="2664000"/>
    <xdr:graphicFrame macro="">
      <xdr:nvGraphicFramePr>
        <xdr:cNvPr id="2" name="Chart 1">
          <a:extLst>
            <a:ext uri="{FF2B5EF4-FFF2-40B4-BE49-F238E27FC236}">
              <a16:creationId xmlns:a16="http://schemas.microsoft.com/office/drawing/2014/main" id="{00000000-0008-0000-04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oneCellAnchor>
    <xdr:from>
      <xdr:col>8</xdr:col>
      <xdr:colOff>0</xdr:colOff>
      <xdr:row>26</xdr:row>
      <xdr:rowOff>0</xdr:rowOff>
    </xdr:from>
    <xdr:ext cx="6263999" cy="2376000"/>
    <xdr:graphicFrame macro="">
      <xdr:nvGraphicFramePr>
        <xdr:cNvPr id="3" name="Chart 2">
          <a:extLst>
            <a:ext uri="{FF2B5EF4-FFF2-40B4-BE49-F238E27FC236}">
              <a16:creationId xmlns:a16="http://schemas.microsoft.com/office/drawing/2014/main" id="{00000000-0008-0000-04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oneCellAnchor>
  <xdr:oneCellAnchor>
    <xdr:from>
      <xdr:col>8</xdr:col>
      <xdr:colOff>0</xdr:colOff>
      <xdr:row>41</xdr:row>
      <xdr:rowOff>0</xdr:rowOff>
    </xdr:from>
    <xdr:ext cx="6263999" cy="2808000"/>
    <xdr:graphicFrame macro="">
      <xdr:nvGraphicFramePr>
        <xdr:cNvPr id="4" name="Chart 3">
          <a:extLst>
            <a:ext uri="{FF2B5EF4-FFF2-40B4-BE49-F238E27FC236}">
              <a16:creationId xmlns:a16="http://schemas.microsoft.com/office/drawing/2014/main" id="{00000000-0008-0000-04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E4F92"/>
    <pageSetUpPr fitToPage="1"/>
  </sheetPr>
  <dimension ref="A1:D84"/>
  <sheetViews>
    <sheetView showGridLines="0" tabSelected="1" workbookViewId="0">
      <pane ySplit="5" topLeftCell="A6" activePane="bottomLeft" state="frozen"/>
      <selection pane="bottomLeft"/>
    </sheetView>
  </sheetViews>
  <sheetFormatPr defaultRowHeight="14.25" x14ac:dyDescent="0.45"/>
  <cols>
    <col min="1" max="1" width="2" customWidth="1"/>
    <col min="2" max="2" width="26" customWidth="1"/>
    <col min="3" max="3" width="112" customWidth="1"/>
    <col min="4" max="4" width="2" customWidth="1"/>
    <col min="6" max="6" width="9.06640625" customWidth="1"/>
  </cols>
  <sheetData>
    <row r="1" spans="1:4" ht="6" customHeight="1" x14ac:dyDescent="0.45"/>
    <row r="2" spans="1:4" ht="34.049999999999997" customHeight="1" x14ac:dyDescent="0.45">
      <c r="A2" s="1"/>
      <c r="B2" s="2" t="s">
        <v>0</v>
      </c>
      <c r="C2" s="1"/>
      <c r="D2" s="3" t="s">
        <v>1</v>
      </c>
    </row>
    <row r="3" spans="1:4" ht="20" customHeight="1" x14ac:dyDescent="0.45">
      <c r="A3" s="1"/>
      <c r="B3" s="4" t="s">
        <v>2</v>
      </c>
      <c r="C3" s="1"/>
      <c r="D3" s="1"/>
    </row>
    <row r="4" spans="1:4" ht="20" customHeight="1" x14ac:dyDescent="0.45">
      <c r="A4" s="5"/>
      <c r="B4" s="5"/>
      <c r="C4" s="5"/>
      <c r="D4" s="6" t="s">
        <v>3</v>
      </c>
    </row>
    <row r="5" spans="1:4" ht="8" customHeight="1" x14ac:dyDescent="0.45"/>
    <row r="6" spans="1:4" ht="22.05" customHeight="1" x14ac:dyDescent="0.5">
      <c r="B6" s="7" t="s">
        <v>4</v>
      </c>
      <c r="C6" s="8"/>
    </row>
    <row r="7" spans="1:4" x14ac:dyDescent="0.45">
      <c r="B7" s="9" t="s">
        <v>5</v>
      </c>
      <c r="C7" s="10" t="s">
        <v>6</v>
      </c>
    </row>
    <row r="8" spans="1:4" x14ac:dyDescent="0.45">
      <c r="B8" s="9" t="s">
        <v>7</v>
      </c>
      <c r="C8" s="10" t="s">
        <v>8</v>
      </c>
    </row>
    <row r="9" spans="1:4" ht="26.25" x14ac:dyDescent="0.45">
      <c r="B9" s="9" t="s">
        <v>9</v>
      </c>
      <c r="C9" s="11" t="s">
        <v>10</v>
      </c>
    </row>
    <row r="10" spans="1:4" x14ac:dyDescent="0.45">
      <c r="B10" s="9" t="s">
        <v>11</v>
      </c>
      <c r="C10" s="10" t="s">
        <v>12</v>
      </c>
    </row>
    <row r="11" spans="1:4" x14ac:dyDescent="0.45">
      <c r="B11" s="9" t="s">
        <v>13</v>
      </c>
      <c r="C11" s="10" t="s">
        <v>14</v>
      </c>
    </row>
    <row r="12" spans="1:4" ht="26.25" x14ac:dyDescent="0.45">
      <c r="B12" s="9" t="s">
        <v>15</v>
      </c>
      <c r="C12" s="10" t="s">
        <v>16</v>
      </c>
    </row>
    <row r="13" spans="1:4" x14ac:dyDescent="0.45">
      <c r="B13" s="9" t="s">
        <v>17</v>
      </c>
      <c r="C13" s="10" t="s">
        <v>18</v>
      </c>
    </row>
    <row r="14" spans="1:4" ht="12" customHeight="1" x14ac:dyDescent="0.45"/>
    <row r="15" spans="1:4" ht="22.05" customHeight="1" x14ac:dyDescent="0.5">
      <c r="B15" s="7" t="s">
        <v>19</v>
      </c>
      <c r="C15" s="8"/>
    </row>
    <row r="16" spans="1:4" ht="57" customHeight="1" x14ac:dyDescent="0.45">
      <c r="B16" s="101" t="s">
        <v>20</v>
      </c>
      <c r="C16" s="100"/>
    </row>
    <row r="17" spans="2:3" ht="12" customHeight="1" x14ac:dyDescent="0.45"/>
    <row r="18" spans="2:3" ht="22.05" customHeight="1" x14ac:dyDescent="0.5">
      <c r="B18" s="7" t="s">
        <v>21</v>
      </c>
      <c r="C18" s="8"/>
    </row>
    <row r="19" spans="2:3" ht="18" customHeight="1" x14ac:dyDescent="0.45">
      <c r="B19" s="13" t="s">
        <v>22</v>
      </c>
    </row>
    <row r="20" spans="2:3" ht="15" customHeight="1" x14ac:dyDescent="0.45"/>
    <row r="21" spans="2:3" ht="15" customHeight="1" x14ac:dyDescent="0.45"/>
    <row r="22" spans="2:3" ht="15" customHeight="1" x14ac:dyDescent="0.45"/>
    <row r="23" spans="2:3" ht="15" customHeight="1" x14ac:dyDescent="0.45"/>
    <row r="24" spans="2:3" ht="15" customHeight="1" x14ac:dyDescent="0.45"/>
    <row r="25" spans="2:3" ht="15" customHeight="1" x14ac:dyDescent="0.45"/>
    <row r="26" spans="2:3" ht="15" customHeight="1" x14ac:dyDescent="0.45"/>
    <row r="27" spans="2:3" ht="15" customHeight="1" x14ac:dyDescent="0.45"/>
    <row r="28" spans="2:3" ht="26.25" x14ac:dyDescent="0.45">
      <c r="B28" s="9" t="s">
        <v>23</v>
      </c>
      <c r="C28" s="10" t="s">
        <v>24</v>
      </c>
    </row>
    <row r="29" spans="2:3" ht="39.4" x14ac:dyDescent="0.45">
      <c r="B29" s="9" t="s">
        <v>25</v>
      </c>
      <c r="C29" s="10" t="s">
        <v>26</v>
      </c>
    </row>
    <row r="30" spans="2:3" ht="52.5" x14ac:dyDescent="0.45">
      <c r="B30" s="9" t="s">
        <v>27</v>
      </c>
      <c r="C30" s="10" t="s">
        <v>28</v>
      </c>
    </row>
    <row r="31" spans="2:3" ht="26.25" x14ac:dyDescent="0.45">
      <c r="B31" s="9" t="s">
        <v>29</v>
      </c>
      <c r="C31" s="10" t="s">
        <v>30</v>
      </c>
    </row>
    <row r="32" spans="2:3" ht="12" customHeight="1" x14ac:dyDescent="0.45"/>
    <row r="33" spans="2:3" ht="22.05" customHeight="1" x14ac:dyDescent="0.5">
      <c r="B33" s="7" t="s">
        <v>31</v>
      </c>
      <c r="C33" s="8"/>
    </row>
    <row r="34" spans="2:3" x14ac:dyDescent="0.45">
      <c r="B34" s="9" t="s">
        <v>32</v>
      </c>
      <c r="C34" s="10" t="s">
        <v>33</v>
      </c>
    </row>
    <row r="35" spans="2:3" x14ac:dyDescent="0.45">
      <c r="B35" s="9" t="s">
        <v>34</v>
      </c>
      <c r="C35" s="10" t="s">
        <v>35</v>
      </c>
    </row>
    <row r="36" spans="2:3" x14ac:dyDescent="0.45">
      <c r="B36" s="9" t="s">
        <v>36</v>
      </c>
      <c r="C36" s="10" t="s">
        <v>37</v>
      </c>
    </row>
    <row r="37" spans="2:3" x14ac:dyDescent="0.45">
      <c r="B37" s="9" t="s">
        <v>38</v>
      </c>
      <c r="C37" s="10" t="s">
        <v>39</v>
      </c>
    </row>
    <row r="38" spans="2:3" x14ac:dyDescent="0.45">
      <c r="B38" s="9" t="s">
        <v>40</v>
      </c>
      <c r="C38" s="10" t="s">
        <v>41</v>
      </c>
    </row>
    <row r="39" spans="2:3" ht="12" customHeight="1" x14ac:dyDescent="0.45"/>
    <row r="40" spans="2:3" ht="22.05" customHeight="1" x14ac:dyDescent="0.5">
      <c r="B40" s="7" t="s">
        <v>42</v>
      </c>
      <c r="C40" s="8"/>
    </row>
    <row r="41" spans="2:3" x14ac:dyDescent="0.45">
      <c r="B41" s="14" t="s">
        <v>43</v>
      </c>
      <c r="C41" s="10" t="s">
        <v>44</v>
      </c>
    </row>
    <row r="42" spans="2:3" x14ac:dyDescent="0.45">
      <c r="B42" s="14" t="s">
        <v>45</v>
      </c>
      <c r="C42" s="10" t="s">
        <v>46</v>
      </c>
    </row>
    <row r="43" spans="2:3" x14ac:dyDescent="0.45">
      <c r="B43" s="14" t="s">
        <v>47</v>
      </c>
      <c r="C43" s="10" t="s">
        <v>48</v>
      </c>
    </row>
    <row r="44" spans="2:3" x14ac:dyDescent="0.45">
      <c r="B44" s="14" t="s">
        <v>49</v>
      </c>
      <c r="C44" s="10" t="s">
        <v>50</v>
      </c>
    </row>
    <row r="45" spans="2:3" ht="12" customHeight="1" x14ac:dyDescent="0.45"/>
    <row r="46" spans="2:3" ht="22.05" customHeight="1" x14ac:dyDescent="0.5">
      <c r="B46" s="7" t="s">
        <v>51</v>
      </c>
      <c r="C46" s="8"/>
    </row>
    <row r="47" spans="2:3" x14ac:dyDescent="0.45">
      <c r="B47" s="15" t="s">
        <v>52</v>
      </c>
      <c r="C47" s="12" t="s">
        <v>53</v>
      </c>
    </row>
    <row r="48" spans="2:3" x14ac:dyDescent="0.45">
      <c r="B48" s="16" t="s">
        <v>54</v>
      </c>
      <c r="C48" s="12" t="s">
        <v>55</v>
      </c>
    </row>
    <row r="49" spans="2:3" x14ac:dyDescent="0.45">
      <c r="B49" s="17" t="s">
        <v>56</v>
      </c>
      <c r="C49" s="12" t="s">
        <v>57</v>
      </c>
    </row>
    <row r="50" spans="2:3" x14ac:dyDescent="0.45">
      <c r="B50" s="18" t="s">
        <v>58</v>
      </c>
      <c r="C50" s="12" t="s">
        <v>59</v>
      </c>
    </row>
    <row r="51" spans="2:3" x14ac:dyDescent="0.45">
      <c r="B51" s="19" t="s">
        <v>60</v>
      </c>
      <c r="C51" s="12" t="s">
        <v>61</v>
      </c>
    </row>
    <row r="52" spans="2:3" ht="12" customHeight="1" x14ac:dyDescent="0.45"/>
    <row r="53" spans="2:3" ht="22.05" customHeight="1" x14ac:dyDescent="0.5">
      <c r="B53" s="7" t="s">
        <v>62</v>
      </c>
      <c r="C53" s="8"/>
    </row>
    <row r="54" spans="2:3" x14ac:dyDescent="0.45">
      <c r="B54" s="9" t="s">
        <v>63</v>
      </c>
      <c r="C54" s="10" t="s">
        <v>64</v>
      </c>
    </row>
    <row r="55" spans="2:3" x14ac:dyDescent="0.45">
      <c r="B55" s="9" t="s">
        <v>65</v>
      </c>
      <c r="C55" s="10" t="s">
        <v>66</v>
      </c>
    </row>
    <row r="56" spans="2:3" x14ac:dyDescent="0.45">
      <c r="B56" s="9" t="s">
        <v>67</v>
      </c>
      <c r="C56" s="10" t="s">
        <v>68</v>
      </c>
    </row>
    <row r="57" spans="2:3" x14ac:dyDescent="0.45">
      <c r="B57" s="9" t="s">
        <v>69</v>
      </c>
      <c r="C57" s="10" t="s">
        <v>70</v>
      </c>
    </row>
    <row r="58" spans="2:3" ht="12" customHeight="1" x14ac:dyDescent="0.45"/>
    <row r="59" spans="2:3" ht="22.05" customHeight="1" x14ac:dyDescent="0.5">
      <c r="B59" s="7" t="s">
        <v>71</v>
      </c>
      <c r="C59" s="8"/>
    </row>
    <row r="60" spans="2:3" x14ac:dyDescent="0.45">
      <c r="B60" s="9" t="s">
        <v>72</v>
      </c>
      <c r="C60" s="10" t="s">
        <v>73</v>
      </c>
    </row>
    <row r="61" spans="2:3" ht="26.25" x14ac:dyDescent="0.45">
      <c r="B61" s="9" t="s">
        <v>74</v>
      </c>
      <c r="C61" s="10" t="s">
        <v>75</v>
      </c>
    </row>
    <row r="62" spans="2:3" x14ac:dyDescent="0.45">
      <c r="B62" s="9" t="s">
        <v>76</v>
      </c>
      <c r="C62" s="10" t="s">
        <v>77</v>
      </c>
    </row>
    <row r="63" spans="2:3" x14ac:dyDescent="0.45">
      <c r="B63" s="9" t="s">
        <v>78</v>
      </c>
      <c r="C63" s="10" t="s">
        <v>79</v>
      </c>
    </row>
    <row r="64" spans="2:3" x14ac:dyDescent="0.45">
      <c r="B64" s="9" t="s">
        <v>80</v>
      </c>
      <c r="C64" s="10" t="s">
        <v>81</v>
      </c>
    </row>
    <row r="65" spans="2:3" ht="12" customHeight="1" x14ac:dyDescent="0.45"/>
    <row r="66" spans="2:3" ht="22.05" customHeight="1" x14ac:dyDescent="0.5">
      <c r="B66" s="7" t="s">
        <v>82</v>
      </c>
      <c r="C66" s="8"/>
    </row>
    <row r="67" spans="2:3" x14ac:dyDescent="0.45">
      <c r="B67" s="20" t="s">
        <v>83</v>
      </c>
      <c r="C67" s="10" t="s">
        <v>84</v>
      </c>
    </row>
    <row r="68" spans="2:3" x14ac:dyDescent="0.45">
      <c r="B68" s="20" t="s">
        <v>85</v>
      </c>
      <c r="C68" s="10" t="s">
        <v>86</v>
      </c>
    </row>
    <row r="69" spans="2:3" x14ac:dyDescent="0.45">
      <c r="B69" s="20" t="s">
        <v>87</v>
      </c>
      <c r="C69" s="10" t="s">
        <v>88</v>
      </c>
    </row>
    <row r="70" spans="2:3" x14ac:dyDescent="0.45">
      <c r="B70" s="20" t="s">
        <v>89</v>
      </c>
      <c r="C70" s="10" t="s">
        <v>90</v>
      </c>
    </row>
    <row r="71" spans="2:3" x14ac:dyDescent="0.45">
      <c r="B71" s="20" t="s">
        <v>91</v>
      </c>
      <c r="C71" s="10" t="s">
        <v>92</v>
      </c>
    </row>
    <row r="72" spans="2:3" ht="26.25" x14ac:dyDescent="0.45">
      <c r="B72" s="20" t="s">
        <v>93</v>
      </c>
      <c r="C72" s="10" t="s">
        <v>94</v>
      </c>
    </row>
    <row r="73" spans="2:3" x14ac:dyDescent="0.45">
      <c r="B73" s="20" t="s">
        <v>95</v>
      </c>
      <c r="C73" s="10" t="s">
        <v>96</v>
      </c>
    </row>
    <row r="74" spans="2:3" x14ac:dyDescent="0.45">
      <c r="B74" s="20" t="s">
        <v>97</v>
      </c>
      <c r="C74" s="10" t="s">
        <v>98</v>
      </c>
    </row>
    <row r="75" spans="2:3" ht="39.4" x14ac:dyDescent="0.45">
      <c r="B75" s="20" t="s">
        <v>99</v>
      </c>
      <c r="C75" s="10" t="s">
        <v>100</v>
      </c>
    </row>
    <row r="76" spans="2:3" x14ac:dyDescent="0.45">
      <c r="B76" s="20" t="s">
        <v>101</v>
      </c>
      <c r="C76" s="10" t="s">
        <v>102</v>
      </c>
    </row>
    <row r="77" spans="2:3" ht="12" customHeight="1" x14ac:dyDescent="0.45"/>
    <row r="78" spans="2:3" ht="22.05" customHeight="1" x14ac:dyDescent="0.5">
      <c r="B78" s="7" t="s">
        <v>103</v>
      </c>
      <c r="C78" s="8"/>
    </row>
    <row r="79" spans="2:3" x14ac:dyDescent="0.45">
      <c r="B79" s="9" t="s">
        <v>104</v>
      </c>
      <c r="C79" s="10" t="s">
        <v>105</v>
      </c>
    </row>
    <row r="80" spans="2:3" x14ac:dyDescent="0.45">
      <c r="B80" s="9" t="s">
        <v>106</v>
      </c>
      <c r="C80" s="10" t="s">
        <v>107</v>
      </c>
    </row>
    <row r="81" spans="2:3" x14ac:dyDescent="0.45">
      <c r="B81" s="9" t="s">
        <v>108</v>
      </c>
      <c r="C81" s="10" t="s">
        <v>109</v>
      </c>
    </row>
    <row r="82" spans="2:3" x14ac:dyDescent="0.45">
      <c r="B82" s="9" t="s">
        <v>110</v>
      </c>
      <c r="C82" s="10" t="s">
        <v>111</v>
      </c>
    </row>
    <row r="83" spans="2:3" ht="16.05" customHeight="1" x14ac:dyDescent="0.45"/>
    <row r="84" spans="2:3" x14ac:dyDescent="0.45">
      <c r="B84" s="99" t="s">
        <v>112</v>
      </c>
      <c r="C84" s="100"/>
    </row>
  </sheetData>
  <mergeCells count="2">
    <mergeCell ref="B84:C84"/>
    <mergeCell ref="B16:C16"/>
  </mergeCells>
  <hyperlinks>
    <hyperlink ref="D4" location="'Inputs'!A1" display="Next:  Inputs  ▸" xr:uid="{00000000-0004-0000-0000-000000000000}"/>
    <hyperlink ref="B41" location="'Inputs'!A1" display="Inputs" xr:uid="{00000000-0004-0000-0000-000001000000}"/>
    <hyperlink ref="B42" location="'Prospect'!A1" display="Prospect" xr:uid="{00000000-0004-0000-0000-000002000000}"/>
    <hyperlink ref="B43" location="'Cash flow'!A1" display="Cash flow" xr:uid="{00000000-0004-0000-0000-000003000000}"/>
    <hyperlink ref="B44" location="'Results'!A1" display="Results" xr:uid="{00000000-0004-0000-0000-000004000000}"/>
  </hyperlinks>
  <printOptions horizontalCentered="1"/>
  <pageMargins left="0.4" right="0.4" top="0.5" bottom="0.6" header="0.25" footer="0.25"/>
  <pageSetup paperSize="9" scale="67" fitToHeight="0" orientation="portrait" r:id="rId1"/>
  <headerFooter>
    <oddFooter>&amp;L&amp;K3F5876&amp;8&amp;F · &amp;A&amp;R&amp;K3F5876&amp;8Page &amp;P of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E0A800"/>
    <pageSetUpPr fitToPage="1"/>
  </sheetPr>
  <dimension ref="A1:J77"/>
  <sheetViews>
    <sheetView showGridLines="0" workbookViewId="0">
      <pane ySplit="5" topLeftCell="A6" activePane="bottomLeft" state="frozen"/>
      <selection pane="bottomLeft"/>
    </sheetView>
  </sheetViews>
  <sheetFormatPr defaultRowHeight="14.25" x14ac:dyDescent="0.45"/>
  <cols>
    <col min="1" max="1" width="2" customWidth="1"/>
    <col min="2" max="2" width="44" customWidth="1"/>
    <col min="3" max="3" width="19" customWidth="1"/>
    <col min="4" max="4" width="13" customWidth="1"/>
    <col min="5" max="5" width="19" customWidth="1"/>
    <col min="6" max="9" width="10" customWidth="1"/>
    <col min="10" max="10" width="59" customWidth="1"/>
    <col min="12" max="12" width="9.06640625" customWidth="1"/>
  </cols>
  <sheetData>
    <row r="1" spans="1:10" ht="6" customHeight="1" x14ac:dyDescent="0.45"/>
    <row r="2" spans="1:10" ht="30" customHeight="1" x14ac:dyDescent="0.45">
      <c r="A2" s="1"/>
      <c r="B2" s="21" t="s">
        <v>0</v>
      </c>
      <c r="C2" s="1"/>
      <c r="D2" s="1"/>
      <c r="E2" s="1"/>
      <c r="F2" s="1"/>
      <c r="G2" s="1"/>
      <c r="H2" s="1"/>
      <c r="I2" s="1"/>
      <c r="J2" s="3" t="s">
        <v>1</v>
      </c>
    </row>
    <row r="3" spans="1:10" ht="20" customHeight="1" x14ac:dyDescent="0.45">
      <c r="A3" s="1"/>
      <c r="B3" s="4" t="s">
        <v>113</v>
      </c>
      <c r="C3" s="1"/>
      <c r="D3" s="1"/>
      <c r="E3" s="1"/>
      <c r="F3" s="1"/>
      <c r="G3" s="1"/>
      <c r="H3" s="1"/>
      <c r="I3" s="1"/>
      <c r="J3" s="1"/>
    </row>
    <row r="4" spans="1:10" ht="20" customHeight="1" x14ac:dyDescent="0.45">
      <c r="A4" s="5"/>
      <c r="B4" s="22" t="s">
        <v>114</v>
      </c>
      <c r="C4" s="5"/>
      <c r="D4" s="5"/>
      <c r="E4" s="5"/>
      <c r="F4" s="5"/>
      <c r="G4" s="5"/>
      <c r="H4" s="5"/>
      <c r="I4" s="5"/>
      <c r="J4" s="6" t="s">
        <v>115</v>
      </c>
    </row>
    <row r="5" spans="1:10" ht="8" customHeight="1" x14ac:dyDescent="0.45"/>
    <row r="6" spans="1:10" ht="30" customHeight="1" x14ac:dyDescent="0.45">
      <c r="B6" s="102" t="s">
        <v>116</v>
      </c>
      <c r="C6" s="100"/>
      <c r="D6" s="100"/>
      <c r="E6" s="100"/>
      <c r="F6" s="100"/>
      <c r="G6" s="100"/>
      <c r="H6" s="100"/>
      <c r="I6" s="100"/>
      <c r="J6" s="100"/>
    </row>
    <row r="7" spans="1:10" ht="6" customHeight="1" x14ac:dyDescent="0.45"/>
    <row r="8" spans="1:10" ht="22.05" customHeight="1" x14ac:dyDescent="0.5">
      <c r="B8" s="7" t="s">
        <v>117</v>
      </c>
      <c r="C8" s="8"/>
      <c r="D8" s="8"/>
      <c r="E8" s="8"/>
      <c r="F8" s="8"/>
      <c r="G8" s="8"/>
      <c r="H8" s="8"/>
      <c r="I8" s="8"/>
      <c r="J8" s="8"/>
    </row>
    <row r="9" spans="1:10" ht="18" customHeight="1" x14ac:dyDescent="0.45">
      <c r="B9" s="13" t="s">
        <v>118</v>
      </c>
    </row>
    <row r="10" spans="1:10" ht="18" customHeight="1" x14ac:dyDescent="0.45">
      <c r="B10" s="23" t="s">
        <v>119</v>
      </c>
      <c r="C10" s="23" t="s">
        <v>120</v>
      </c>
      <c r="D10" s="24" t="s">
        <v>121</v>
      </c>
      <c r="E10" s="23" t="s">
        <v>122</v>
      </c>
      <c r="F10" s="5"/>
      <c r="G10" s="5"/>
      <c r="H10" s="5"/>
      <c r="I10" s="5"/>
      <c r="J10" s="23" t="s">
        <v>123</v>
      </c>
    </row>
    <row r="11" spans="1:10" ht="23.25" x14ac:dyDescent="0.45">
      <c r="B11" s="25" t="s">
        <v>124</v>
      </c>
      <c r="C11" s="26" t="s">
        <v>125</v>
      </c>
      <c r="D11" s="27">
        <v>0.8</v>
      </c>
      <c r="E11" s="26" t="s">
        <v>126</v>
      </c>
      <c r="F11" s="28"/>
      <c r="G11" s="28"/>
      <c r="H11" s="28"/>
      <c r="I11" s="28"/>
      <c r="J11" s="29" t="s">
        <v>127</v>
      </c>
    </row>
    <row r="12" spans="1:10" ht="23.25" x14ac:dyDescent="0.45">
      <c r="B12" s="25" t="s">
        <v>128</v>
      </c>
      <c r="C12" s="26" t="s">
        <v>125</v>
      </c>
      <c r="D12" s="27">
        <v>0.7</v>
      </c>
      <c r="E12" s="26" t="s">
        <v>126</v>
      </c>
      <c r="F12" s="28"/>
      <c r="G12" s="28"/>
      <c r="H12" s="28"/>
      <c r="I12" s="28"/>
      <c r="J12" s="29" t="s">
        <v>129</v>
      </c>
    </row>
    <row r="13" spans="1:10" ht="23.25" x14ac:dyDescent="0.45">
      <c r="B13" s="25" t="s">
        <v>130</v>
      </c>
      <c r="C13" s="26" t="s">
        <v>125</v>
      </c>
      <c r="D13" s="27">
        <v>0.75</v>
      </c>
      <c r="E13" s="26" t="s">
        <v>126</v>
      </c>
      <c r="F13" s="28"/>
      <c r="G13" s="28"/>
      <c r="H13" s="28"/>
      <c r="I13" s="28"/>
      <c r="J13" s="29" t="s">
        <v>131</v>
      </c>
    </row>
    <row r="14" spans="1:10" x14ac:dyDescent="0.45">
      <c r="B14" s="25" t="s">
        <v>132</v>
      </c>
      <c r="C14" s="26" t="s">
        <v>125</v>
      </c>
      <c r="D14" s="27">
        <v>0.7</v>
      </c>
      <c r="E14" s="26" t="s">
        <v>126</v>
      </c>
      <c r="F14" s="28"/>
      <c r="G14" s="28"/>
      <c r="H14" s="28"/>
      <c r="I14" s="28"/>
      <c r="J14" s="29" t="s">
        <v>133</v>
      </c>
    </row>
    <row r="15" spans="1:10" ht="8" customHeight="1" x14ac:dyDescent="0.45"/>
    <row r="16" spans="1:10" ht="22.05" customHeight="1" x14ac:dyDescent="0.5">
      <c r="B16" s="7" t="s">
        <v>134</v>
      </c>
      <c r="C16" s="8"/>
      <c r="D16" s="8"/>
      <c r="E16" s="8"/>
      <c r="F16" s="8"/>
      <c r="G16" s="8"/>
      <c r="H16" s="8"/>
      <c r="I16" s="8"/>
      <c r="J16" s="8"/>
    </row>
    <row r="17" spans="2:10" ht="18" customHeight="1" x14ac:dyDescent="0.45">
      <c r="B17" s="13" t="s">
        <v>135</v>
      </c>
    </row>
    <row r="18" spans="2:10" ht="18" customHeight="1" x14ac:dyDescent="0.45">
      <c r="B18" s="23" t="s">
        <v>119</v>
      </c>
      <c r="C18" s="23" t="s">
        <v>120</v>
      </c>
      <c r="D18" s="24" t="s">
        <v>121</v>
      </c>
      <c r="E18" s="23" t="s">
        <v>122</v>
      </c>
      <c r="F18" s="24" t="s">
        <v>136</v>
      </c>
      <c r="G18" s="24" t="s">
        <v>137</v>
      </c>
      <c r="H18" s="24" t="s">
        <v>138</v>
      </c>
      <c r="I18" s="24" t="s">
        <v>139</v>
      </c>
      <c r="J18" s="23" t="s">
        <v>123</v>
      </c>
    </row>
    <row r="19" spans="2:10" x14ac:dyDescent="0.45">
      <c r="B19" s="25" t="s">
        <v>140</v>
      </c>
      <c r="C19" s="26" t="s">
        <v>141</v>
      </c>
      <c r="D19" s="30" cm="1">
        <f t="array" aca="1" ref="D19" ca="1">_xll.VoseInput("Productive area","acres")+_xll.VoseLognormalAlt(F19,0.1,H19,0.9,0)</f>
        <v>3028.2432771914932</v>
      </c>
      <c r="E19" s="26" t="s">
        <v>142</v>
      </c>
      <c r="F19" s="31">
        <v>1500</v>
      </c>
      <c r="G19" s="32" t="s">
        <v>143</v>
      </c>
      <c r="H19" s="31">
        <v>4500</v>
      </c>
      <c r="I19" s="33" cm="1">
        <f t="array" ref="I19">IF(AND(F19&gt;0,F19&lt;H19),_xll.VoseMean(_xll.VoseLognormalAltObject(F19,0.1,H19,0.9,0)),"✗ range")</f>
        <v>2848.0407939950442</v>
      </c>
      <c r="J19" s="29" t="s">
        <v>144</v>
      </c>
    </row>
    <row r="20" spans="2:10" x14ac:dyDescent="0.45">
      <c r="B20" s="25" t="s">
        <v>145</v>
      </c>
      <c r="C20" s="26" t="s">
        <v>146</v>
      </c>
      <c r="D20" s="30" cm="1">
        <f t="array" aca="1" ref="D20" ca="1">_xll.VoseInput("Net pay","ft")+_xll.VoseLognormalAlt(F20,0.1,H20,0.9,0)</f>
        <v>89.198180489614487</v>
      </c>
      <c r="E20" s="26" t="s">
        <v>142</v>
      </c>
      <c r="F20" s="31">
        <v>35</v>
      </c>
      <c r="G20" s="32" t="s">
        <v>143</v>
      </c>
      <c r="H20" s="31">
        <v>90</v>
      </c>
      <c r="I20" s="33" cm="1">
        <f t="array" ref="I20">IF(AND(F20&gt;0,F20&lt;H20),_xll.VoseMean(_xll.VoseLognormalAltObject(F20,0.1,H20,0.9,0)),"✗ range")</f>
        <v>60.067502275170582</v>
      </c>
      <c r="J20" s="29" t="s">
        <v>147</v>
      </c>
    </row>
    <row r="21" spans="2:10" x14ac:dyDescent="0.45">
      <c r="B21" s="25" t="s">
        <v>148</v>
      </c>
      <c r="C21" s="26" t="s">
        <v>149</v>
      </c>
      <c r="D21" s="34" cm="1">
        <f t="array" aca="1" ref="D21" ca="1">_xll.VoseInput("Porosity","fraction")+_xll.VosePERT(F21,G21,H21,U_Phi)</f>
        <v>0.19885710619348862</v>
      </c>
      <c r="E21" s="26" t="s">
        <v>150</v>
      </c>
      <c r="F21" s="35">
        <v>0.15</v>
      </c>
      <c r="G21" s="35">
        <v>0.21</v>
      </c>
      <c r="H21" s="35">
        <v>0.26</v>
      </c>
      <c r="I21" s="36" cm="1">
        <f t="array" ref="I21">IF(AND(F21&lt;=G21,G21&lt;=H21,F21&lt;H21,F21&gt;=0,H21&lt;=1),_xll.VoseMean(_xll.VosePERTObject(F21,G21,H21)),"✗ range")</f>
        <v>0.20833333333333334</v>
      </c>
      <c r="J21" s="29" t="s">
        <v>151</v>
      </c>
    </row>
    <row r="22" spans="2:10" x14ac:dyDescent="0.45">
      <c r="B22" s="25" t="s">
        <v>152</v>
      </c>
      <c r="C22" s="26" t="s">
        <v>149</v>
      </c>
      <c r="D22" s="34" cm="1">
        <f t="array" aca="1" ref="D22" ca="1">_xll.VoseInput("Water saturation","fraction")+_xll.VosePERT(F22,G22,H22,U_Sw)</f>
        <v>0.29965450411189509</v>
      </c>
      <c r="E22" s="26" t="s">
        <v>150</v>
      </c>
      <c r="F22" s="35">
        <v>0.2</v>
      </c>
      <c r="G22" s="35">
        <v>0.3</v>
      </c>
      <c r="H22" s="35">
        <v>0.45</v>
      </c>
      <c r="I22" s="36" cm="1">
        <f t="array" ref="I22">IF(AND(F22&lt;=G22,G22&lt;=H22,F22&lt;H22,F22&gt;=0,H22&lt;=1),_xll.VoseMean(_xll.VosePERTObject(F22,G22,H22)),"✗ range")</f>
        <v>0.30833333333333329</v>
      </c>
      <c r="J22" s="29" t="s">
        <v>153</v>
      </c>
    </row>
    <row r="23" spans="2:10" ht="23.25" x14ac:dyDescent="0.45">
      <c r="B23" s="25" t="s">
        <v>154</v>
      </c>
      <c r="C23" s="26" t="s">
        <v>155</v>
      </c>
      <c r="D23" s="37">
        <v>-0.5</v>
      </c>
      <c r="E23" s="26" t="s">
        <v>156</v>
      </c>
      <c r="F23" s="28"/>
      <c r="G23" s="28"/>
      <c r="H23" s="28"/>
      <c r="I23" s="28"/>
      <c r="J23" s="29" t="s">
        <v>157</v>
      </c>
    </row>
    <row r="24" spans="2:10" ht="23.25" x14ac:dyDescent="0.45">
      <c r="B24" s="38" t="s">
        <v>158</v>
      </c>
      <c r="C24" s="26" t="s">
        <v>159</v>
      </c>
      <c r="D24" s="39">
        <f t="array" aca="1" ref="D24:D25" ca="1">_xll.VoseCopulaBiNormal(Corr_PhiSw)</f>
        <v>0.33627144721319591</v>
      </c>
      <c r="E24" s="26" t="s">
        <v>160</v>
      </c>
      <c r="F24" s="28"/>
      <c r="G24" s="28"/>
      <c r="H24" s="28"/>
      <c r="I24" s="28"/>
      <c r="J24" s="29" t="s">
        <v>161</v>
      </c>
    </row>
    <row r="25" spans="2:10" x14ac:dyDescent="0.45">
      <c r="B25" s="38" t="s">
        <v>162</v>
      </c>
      <c r="C25" s="26" t="s">
        <v>159</v>
      </c>
      <c r="D25" s="39">
        <f ca="1"/>
        <v>0.44886941181815287</v>
      </c>
      <c r="E25" s="26" t="s">
        <v>160</v>
      </c>
      <c r="F25" s="28"/>
      <c r="G25" s="28"/>
      <c r="H25" s="28"/>
      <c r="I25" s="28"/>
      <c r="J25" s="29" t="s">
        <v>163</v>
      </c>
    </row>
    <row r="26" spans="2:10" x14ac:dyDescent="0.45">
      <c r="B26" s="25" t="s">
        <v>164</v>
      </c>
      <c r="C26" s="26" t="s">
        <v>165</v>
      </c>
      <c r="D26" s="40" cm="1">
        <f t="array" aca="1" ref="D26" ca="1">_xll.VoseInput("Formation volume factor","rb/stb")+_xll.VosePERT(F26,G26,H26)</f>
        <v>1.2014399795270601</v>
      </c>
      <c r="E26" s="26" t="s">
        <v>166</v>
      </c>
      <c r="F26" s="37">
        <v>1.1499999999999999</v>
      </c>
      <c r="G26" s="37">
        <v>1.25</v>
      </c>
      <c r="H26" s="37">
        <v>1.4</v>
      </c>
      <c r="I26" s="41" cm="1">
        <f t="array" ref="I26">IF(AND(F26&lt;=G26,G26&lt;=H26,F26&lt;H26),_xll.VoseMean(_xll.VosePERTObject(F26,G26,H26)),"✗ range")</f>
        <v>1.2583333333333335</v>
      </c>
      <c r="J26" s="29" t="s">
        <v>167</v>
      </c>
    </row>
    <row r="27" spans="2:10" x14ac:dyDescent="0.45">
      <c r="B27" s="25" t="s">
        <v>168</v>
      </c>
      <c r="C27" s="26" t="s">
        <v>149</v>
      </c>
      <c r="D27" s="34" cm="1">
        <f t="array" aca="1" ref="D27" ca="1">_xll.VoseInput("Recovery factor","fraction")+_xll.VosePERT(F27,G27,H27)</f>
        <v>0.26773053441571948</v>
      </c>
      <c r="E27" s="26" t="s">
        <v>166</v>
      </c>
      <c r="F27" s="35">
        <v>0.2</v>
      </c>
      <c r="G27" s="35">
        <v>0.32</v>
      </c>
      <c r="H27" s="35">
        <v>0.45</v>
      </c>
      <c r="I27" s="36" cm="1">
        <f t="array" ref="I27">IF(AND(F27&lt;=G27,G27&lt;=H27,F27&lt;H27,F27&gt;=0,H27&lt;=1),_xll.VoseMean(_xll.VosePERTObject(F27,G27,H27)),"✗ range")</f>
        <v>0.32166666666666666</v>
      </c>
      <c r="J27" s="29" t="s">
        <v>169</v>
      </c>
    </row>
    <row r="28" spans="2:10" x14ac:dyDescent="0.45">
      <c r="B28" s="25" t="s">
        <v>170</v>
      </c>
      <c r="C28" s="26" t="s">
        <v>171</v>
      </c>
      <c r="D28" s="31">
        <v>7758</v>
      </c>
      <c r="E28" s="26" t="s">
        <v>126</v>
      </c>
      <c r="F28" s="28"/>
      <c r="G28" s="28"/>
      <c r="H28" s="28"/>
      <c r="I28" s="28"/>
      <c r="J28" s="29" t="s">
        <v>172</v>
      </c>
    </row>
    <row r="29" spans="2:10" ht="8" customHeight="1" x14ac:dyDescent="0.45"/>
    <row r="30" spans="2:10" ht="22.05" customHeight="1" x14ac:dyDescent="0.5">
      <c r="B30" s="7" t="s">
        <v>173</v>
      </c>
      <c r="C30" s="8"/>
      <c r="D30" s="8"/>
      <c r="E30" s="8"/>
      <c r="F30" s="8"/>
      <c r="G30" s="8"/>
      <c r="H30" s="8"/>
      <c r="I30" s="8"/>
      <c r="J30" s="8"/>
    </row>
    <row r="31" spans="2:10" ht="18" customHeight="1" x14ac:dyDescent="0.45">
      <c r="B31" s="13" t="s">
        <v>174</v>
      </c>
    </row>
    <row r="32" spans="2:10" ht="18" customHeight="1" x14ac:dyDescent="0.45">
      <c r="B32" s="23" t="s">
        <v>119</v>
      </c>
      <c r="C32" s="23" t="s">
        <v>120</v>
      </c>
      <c r="D32" s="24" t="s">
        <v>121</v>
      </c>
      <c r="E32" s="23" t="s">
        <v>122</v>
      </c>
      <c r="F32" s="24" t="s">
        <v>136</v>
      </c>
      <c r="G32" s="24" t="s">
        <v>137</v>
      </c>
      <c r="H32" s="24" t="s">
        <v>138</v>
      </c>
      <c r="I32" s="24" t="s">
        <v>139</v>
      </c>
      <c r="J32" s="23" t="s">
        <v>123</v>
      </c>
    </row>
    <row r="33" spans="2:10" ht="23.25" x14ac:dyDescent="0.45">
      <c r="B33" s="25" t="s">
        <v>175</v>
      </c>
      <c r="C33" s="26" t="s">
        <v>176</v>
      </c>
      <c r="D33" s="42">
        <v>20</v>
      </c>
      <c r="E33" s="26" t="s">
        <v>126</v>
      </c>
      <c r="F33" s="28"/>
      <c r="G33" s="28"/>
      <c r="H33" s="28"/>
      <c r="I33" s="28"/>
      <c r="J33" s="29" t="s">
        <v>177</v>
      </c>
    </row>
    <row r="34" spans="2:10" x14ac:dyDescent="0.45">
      <c r="B34" s="25" t="s">
        <v>178</v>
      </c>
      <c r="C34" s="26" t="s">
        <v>179</v>
      </c>
      <c r="D34" s="43" cm="1">
        <f t="array" aca="1" ref="D34" ca="1">_xll.VoseInput("Time to first oil","years")+_xll.VoseDiscrete(F34:H34,F35:H35)</f>
        <v>3</v>
      </c>
      <c r="E34" s="26" t="s">
        <v>180</v>
      </c>
      <c r="F34" s="44">
        <v>3</v>
      </c>
      <c r="G34" s="44">
        <v>4</v>
      </c>
      <c r="H34" s="44">
        <v>5</v>
      </c>
      <c r="I34" s="45" cm="1">
        <f t="array" ref="I34">IF(ABS(SUM(F35:H35)-1)&lt;0.000001,_xll.VoseMean(_xll.VoseDiscreteObject(F34:H34,F35:H35)),"✗ range")</f>
        <v>3.9</v>
      </c>
      <c r="J34" s="29" t="s">
        <v>181</v>
      </c>
    </row>
    <row r="35" spans="2:10" x14ac:dyDescent="0.45">
      <c r="B35" s="38" t="s">
        <v>182</v>
      </c>
      <c r="C35" s="26" t="s">
        <v>125</v>
      </c>
      <c r="D35" s="46">
        <f>SUM(F35:H35)</f>
        <v>1</v>
      </c>
      <c r="E35" s="26" t="s">
        <v>183</v>
      </c>
      <c r="F35" s="27">
        <v>0.3</v>
      </c>
      <c r="G35" s="27">
        <v>0.5</v>
      </c>
      <c r="H35" s="27">
        <v>0.2</v>
      </c>
      <c r="I35" s="28"/>
      <c r="J35" s="29" t="s">
        <v>184</v>
      </c>
    </row>
    <row r="36" spans="2:10" ht="23.25" x14ac:dyDescent="0.45">
      <c r="B36" s="25" t="s">
        <v>185</v>
      </c>
      <c r="C36" s="26" t="s">
        <v>186</v>
      </c>
      <c r="D36" s="34" cm="1">
        <f t="array" aca="1" ref="D36" ca="1">_xll.VoseInput("Plateau rate","share of volume per year")+_xll.VosePERT(F36,G36,H36)</f>
        <v>9.8204530145191968E-2</v>
      </c>
      <c r="E36" s="26" t="s">
        <v>166</v>
      </c>
      <c r="F36" s="35">
        <v>0.08</v>
      </c>
      <c r="G36" s="35">
        <v>0.1</v>
      </c>
      <c r="H36" s="35">
        <v>0.13</v>
      </c>
      <c r="I36" s="36" cm="1">
        <f t="array" ref="I36">IF(AND(F36&lt;=G36,G36&lt;=H36,F36&lt;H36,F36&gt;=0,H36&lt;=1),_xll.VoseMean(_xll.VosePERTObject(F36,G36,H36)),"✗ range")</f>
        <v>0.10166666666666668</v>
      </c>
      <c r="J36" s="29" t="s">
        <v>187</v>
      </c>
    </row>
    <row r="37" spans="2:10" ht="23.25" x14ac:dyDescent="0.45">
      <c r="B37" s="25" t="s">
        <v>188</v>
      </c>
      <c r="C37" s="26" t="s">
        <v>149</v>
      </c>
      <c r="D37" s="27">
        <v>0.4</v>
      </c>
      <c r="E37" s="26" t="s">
        <v>126</v>
      </c>
      <c r="F37" s="28"/>
      <c r="G37" s="28"/>
      <c r="H37" s="28"/>
      <c r="I37" s="28"/>
      <c r="J37" s="29" t="s">
        <v>189</v>
      </c>
    </row>
    <row r="38" spans="2:10" x14ac:dyDescent="0.45">
      <c r="B38" s="25" t="s">
        <v>190</v>
      </c>
      <c r="C38" s="26" t="s">
        <v>191</v>
      </c>
      <c r="D38" s="27">
        <v>0.5</v>
      </c>
      <c r="E38" s="26" t="s">
        <v>126</v>
      </c>
      <c r="F38" s="28"/>
      <c r="G38" s="28"/>
      <c r="H38" s="28"/>
      <c r="I38" s="28"/>
      <c r="J38" s="29" t="s">
        <v>192</v>
      </c>
    </row>
    <row r="39" spans="2:10" x14ac:dyDescent="0.45">
      <c r="B39" s="25" t="s">
        <v>193</v>
      </c>
      <c r="C39" s="26" t="s">
        <v>194</v>
      </c>
      <c r="D39" s="47" cm="1">
        <f t="array" aca="1" ref="D39" ca="1">_xll.VoseInput("Production rate per well","kbbl/d")+_xll.VosePERT(F39,G39,H39)</f>
        <v>3.8867368546300689</v>
      </c>
      <c r="E39" s="26" t="s">
        <v>166</v>
      </c>
      <c r="F39" s="42">
        <v>2.5</v>
      </c>
      <c r="G39" s="42">
        <v>4</v>
      </c>
      <c r="H39" s="42">
        <v>5.5</v>
      </c>
      <c r="I39" s="45" cm="1">
        <f t="array" ref="I39">IF(AND(F39&lt;=G39,G39&lt;=H39,F39&lt;H39),_xll.VoseMean(_xll.VosePERTObject(F39,G39,H39)),"✗ range")</f>
        <v>4</v>
      </c>
      <c r="J39" s="29" t="s">
        <v>195</v>
      </c>
    </row>
    <row r="40" spans="2:10" x14ac:dyDescent="0.45">
      <c r="B40" s="25" t="s">
        <v>196</v>
      </c>
      <c r="C40" s="26" t="s">
        <v>197</v>
      </c>
      <c r="D40" s="37">
        <v>0.5</v>
      </c>
      <c r="E40" s="26" t="s">
        <v>126</v>
      </c>
      <c r="F40" s="28"/>
      <c r="G40" s="28"/>
      <c r="H40" s="28"/>
      <c r="I40" s="28"/>
      <c r="J40" s="29" t="s">
        <v>198</v>
      </c>
    </row>
    <row r="41" spans="2:10" ht="8" customHeight="1" x14ac:dyDescent="0.45"/>
    <row r="42" spans="2:10" ht="22.05" customHeight="1" x14ac:dyDescent="0.5">
      <c r="B42" s="7" t="s">
        <v>199</v>
      </c>
      <c r="C42" s="8"/>
      <c r="D42" s="8"/>
      <c r="E42" s="8"/>
      <c r="F42" s="8"/>
      <c r="G42" s="8"/>
      <c r="H42" s="8"/>
      <c r="I42" s="8"/>
      <c r="J42" s="8"/>
    </row>
    <row r="43" spans="2:10" ht="18" customHeight="1" x14ac:dyDescent="0.45">
      <c r="B43" s="13" t="s">
        <v>200</v>
      </c>
    </row>
    <row r="44" spans="2:10" ht="18" customHeight="1" x14ac:dyDescent="0.45">
      <c r="B44" s="23" t="s">
        <v>119</v>
      </c>
      <c r="C44" s="23" t="s">
        <v>120</v>
      </c>
      <c r="D44" s="24" t="s">
        <v>201</v>
      </c>
      <c r="E44" s="23" t="s">
        <v>122</v>
      </c>
      <c r="F44" s="24" t="s">
        <v>202</v>
      </c>
      <c r="G44" s="24" t="s">
        <v>203</v>
      </c>
      <c r="H44" s="24" t="s">
        <v>204</v>
      </c>
      <c r="I44" s="5"/>
      <c r="J44" s="23" t="s">
        <v>123</v>
      </c>
    </row>
    <row r="45" spans="2:10" ht="23.25" x14ac:dyDescent="0.45">
      <c r="B45" s="25" t="s">
        <v>205</v>
      </c>
      <c r="C45" s="26" t="s">
        <v>206</v>
      </c>
      <c r="D45" s="28"/>
      <c r="E45" s="26" t="s">
        <v>207</v>
      </c>
      <c r="F45" s="44">
        <v>-2</v>
      </c>
      <c r="G45" s="44">
        <v>-1</v>
      </c>
      <c r="H45" s="44">
        <v>0</v>
      </c>
      <c r="I45" s="28"/>
      <c r="J45" s="29" t="s">
        <v>208</v>
      </c>
    </row>
    <row r="46" spans="2:10" x14ac:dyDescent="0.45">
      <c r="B46" s="38" t="s">
        <v>209</v>
      </c>
      <c r="C46" s="26" t="s">
        <v>210</v>
      </c>
      <c r="D46" s="46">
        <f>SUM(F46:H46)</f>
        <v>1</v>
      </c>
      <c r="E46" s="26" t="s">
        <v>183</v>
      </c>
      <c r="F46" s="27">
        <v>0.3</v>
      </c>
      <c r="G46" s="27">
        <v>0.5</v>
      </c>
      <c r="H46" s="27">
        <v>0.2</v>
      </c>
      <c r="I46" s="28"/>
      <c r="J46" s="29" t="s">
        <v>211</v>
      </c>
    </row>
    <row r="47" spans="2:10" ht="8" customHeight="1" x14ac:dyDescent="0.45"/>
    <row r="48" spans="2:10" ht="22.05" customHeight="1" x14ac:dyDescent="0.5">
      <c r="B48" s="7" t="s">
        <v>212</v>
      </c>
      <c r="C48" s="8"/>
      <c r="D48" s="8"/>
      <c r="E48" s="8"/>
      <c r="F48" s="8"/>
      <c r="G48" s="8"/>
      <c r="H48" s="8"/>
      <c r="I48" s="8"/>
      <c r="J48" s="8"/>
    </row>
    <row r="49" spans="2:10" ht="18" customHeight="1" x14ac:dyDescent="0.45">
      <c r="B49" s="13" t="s">
        <v>213</v>
      </c>
    </row>
    <row r="50" spans="2:10" ht="18" customHeight="1" x14ac:dyDescent="0.45">
      <c r="B50" s="23" t="s">
        <v>119</v>
      </c>
      <c r="C50" s="23" t="s">
        <v>120</v>
      </c>
      <c r="D50" s="24" t="s">
        <v>121</v>
      </c>
      <c r="E50" s="23" t="s">
        <v>122</v>
      </c>
      <c r="F50" s="24" t="s">
        <v>136</v>
      </c>
      <c r="G50" s="24" t="s">
        <v>137</v>
      </c>
      <c r="H50" s="24" t="s">
        <v>138</v>
      </c>
      <c r="I50" s="24" t="s">
        <v>139</v>
      </c>
      <c r="J50" s="23" t="s">
        <v>123</v>
      </c>
    </row>
    <row r="51" spans="2:10" x14ac:dyDescent="0.45">
      <c r="B51" s="25" t="s">
        <v>214</v>
      </c>
      <c r="C51" s="26" t="s">
        <v>215</v>
      </c>
      <c r="D51" s="47" cm="1">
        <f t="array" aca="1" ref="D51" ca="1">_xll.VoseInput("Exploration well cost","US$m")+_xll.VosePERT(F51,G51,H51)</f>
        <v>44.05909813439002</v>
      </c>
      <c r="E51" s="26" t="s">
        <v>166</v>
      </c>
      <c r="F51" s="42">
        <v>30</v>
      </c>
      <c r="G51" s="42">
        <v>38</v>
      </c>
      <c r="H51" s="42">
        <v>55</v>
      </c>
      <c r="I51" s="45" cm="1">
        <f t="array" ref="I51">IF(AND(F51&lt;=G51,G51&lt;=H51,F51&lt;H51),_xll.VoseMean(_xll.VosePERTObject(F51,G51,H51)),"✗ range")</f>
        <v>39.5</v>
      </c>
      <c r="J51" s="29" t="s">
        <v>216</v>
      </c>
    </row>
    <row r="52" spans="2:10" x14ac:dyDescent="0.45">
      <c r="B52" s="25" t="s">
        <v>217</v>
      </c>
      <c r="C52" s="26" t="s">
        <v>215</v>
      </c>
      <c r="D52" s="47" cm="1">
        <f t="array" aca="1" ref="D52" ca="1">_xll.VoseInput("Appraisal cost","US$m")+_xll.VosePERT(F52,G52,H52)</f>
        <v>20.997836343605957</v>
      </c>
      <c r="E52" s="26" t="s">
        <v>166</v>
      </c>
      <c r="F52" s="42">
        <v>20</v>
      </c>
      <c r="G52" s="42">
        <v>28</v>
      </c>
      <c r="H52" s="42">
        <v>45</v>
      </c>
      <c r="I52" s="45" cm="1">
        <f t="array" ref="I52">IF(AND(F52&lt;=G52,G52&lt;=H52,F52&lt;H52),_xll.VoseMean(_xll.VosePERTObject(F52,G52,H52)),"✗ range")</f>
        <v>29.5</v>
      </c>
      <c r="J52" s="29" t="s">
        <v>218</v>
      </c>
    </row>
    <row r="53" spans="2:10" x14ac:dyDescent="0.45">
      <c r="B53" s="25" t="s">
        <v>219</v>
      </c>
      <c r="C53" s="26" t="s">
        <v>215</v>
      </c>
      <c r="D53" s="47" cm="1">
        <f t="array" aca="1" ref="D53" ca="1">_xll.VoseInput("Facilities fixed cost","US$m")+_xll.VosePERT(F53,G53,H53)</f>
        <v>108.07892204574182</v>
      </c>
      <c r="E53" s="26" t="s">
        <v>166</v>
      </c>
      <c r="F53" s="42">
        <v>100</v>
      </c>
      <c r="G53" s="42">
        <v>140</v>
      </c>
      <c r="H53" s="42">
        <v>220</v>
      </c>
      <c r="I53" s="45" cm="1">
        <f t="array" ref="I53">IF(AND(F53&lt;=G53,G53&lt;=H53,F53&lt;H53),_xll.VoseMean(_xll.VosePERTObject(F53,G53,H53)),"✗ range")</f>
        <v>146.66666666666666</v>
      </c>
      <c r="J53" s="29" t="s">
        <v>220</v>
      </c>
    </row>
    <row r="54" spans="2:10" x14ac:dyDescent="0.45">
      <c r="B54" s="25" t="s">
        <v>221</v>
      </c>
      <c r="C54" s="26" t="s">
        <v>222</v>
      </c>
      <c r="D54" s="47" cm="1">
        <f t="array" aca="1" ref="D54" ca="1">_xll.VoseInput("Facilities cost per kbbl/d","US$m per kbbl/d")+_xll.VosePERT(F54,G54,H54)</f>
        <v>21.186016278858347</v>
      </c>
      <c r="E54" s="26" t="s">
        <v>166</v>
      </c>
      <c r="F54" s="42">
        <v>15</v>
      </c>
      <c r="G54" s="42">
        <v>20</v>
      </c>
      <c r="H54" s="42">
        <v>28</v>
      </c>
      <c r="I54" s="45" cm="1">
        <f t="array" ref="I54">IF(AND(F54&lt;=G54,G54&lt;=H54,F54&lt;H54),_xll.VoseMean(_xll.VosePERTObject(F54,G54,H54)),"✗ range")</f>
        <v>20.5</v>
      </c>
      <c r="J54" s="29" t="s">
        <v>223</v>
      </c>
    </row>
    <row r="55" spans="2:10" x14ac:dyDescent="0.45">
      <c r="B55" s="25" t="s">
        <v>224</v>
      </c>
      <c r="C55" s="26" t="s">
        <v>225</v>
      </c>
      <c r="D55" s="47" cm="1">
        <f t="array" aca="1" ref="D55" ca="1">_xll.VoseInput("Development well cost","US$m per well")+_xll.VosePERT(F55,G55,H55)</f>
        <v>34.159480383615339</v>
      </c>
      <c r="E55" s="26" t="s">
        <v>166</v>
      </c>
      <c r="F55" s="42">
        <v>28</v>
      </c>
      <c r="G55" s="42">
        <v>35</v>
      </c>
      <c r="H55" s="42">
        <v>50</v>
      </c>
      <c r="I55" s="45" cm="1">
        <f t="array" ref="I55">IF(AND(F55&lt;=G55,G55&lt;=H55,F55&lt;H55),_xll.VoseMean(_xll.VosePERTObject(F55,G55,H55)),"✗ range")</f>
        <v>36.333333333333336</v>
      </c>
      <c r="J55" s="29" t="s">
        <v>226</v>
      </c>
    </row>
    <row r="56" spans="2:10" x14ac:dyDescent="0.45">
      <c r="B56" s="25" t="s">
        <v>227</v>
      </c>
      <c r="C56" s="26" t="s">
        <v>125</v>
      </c>
      <c r="D56" s="27">
        <v>0.25</v>
      </c>
      <c r="E56" s="26" t="s">
        <v>126</v>
      </c>
      <c r="F56" s="28"/>
      <c r="G56" s="28"/>
      <c r="H56" s="28"/>
      <c r="I56" s="28"/>
      <c r="J56" s="29" t="s">
        <v>228</v>
      </c>
    </row>
    <row r="57" spans="2:10" ht="23.25" x14ac:dyDescent="0.45">
      <c r="B57" s="25" t="s">
        <v>229</v>
      </c>
      <c r="C57" s="26" t="s">
        <v>230</v>
      </c>
      <c r="D57" s="34" cm="1">
        <f t="array" aca="1" ref="D57" ca="1">_xll.VoseInput("Major cost overrun","share of capex")+_xll.VoseRiskEvent(Prob_Overrun,_xll.VosePERTObject(F57,G57,H57))</f>
        <v>0.15432320567290014</v>
      </c>
      <c r="E57" s="26" t="s">
        <v>231</v>
      </c>
      <c r="F57" s="35">
        <v>0.1</v>
      </c>
      <c r="G57" s="35">
        <v>0.2</v>
      </c>
      <c r="H57" s="35">
        <v>0.45</v>
      </c>
      <c r="I57" s="36" cm="1">
        <f t="array" ref="I57">IF(AND(F57&lt;=G57,G57&lt;=H57,F57&lt;H57),_xll.VoseMean(_xll.VoseRiskEventObject(Prob_Overrun,_xll.VosePERTObject(F57,G57,H57))),"✗ range")</f>
        <v>5.6250000000000001E-2</v>
      </c>
      <c r="J57" s="29" t="s">
        <v>232</v>
      </c>
    </row>
    <row r="58" spans="2:10" x14ac:dyDescent="0.45">
      <c r="B58" s="25" t="s">
        <v>233</v>
      </c>
      <c r="C58" s="26" t="s">
        <v>234</v>
      </c>
      <c r="D58" s="35">
        <v>0.04</v>
      </c>
      <c r="E58" s="26" t="s">
        <v>126</v>
      </c>
      <c r="F58" s="28"/>
      <c r="G58" s="28"/>
      <c r="H58" s="28"/>
      <c r="I58" s="28"/>
      <c r="J58" s="29" t="s">
        <v>235</v>
      </c>
    </row>
    <row r="59" spans="2:10" x14ac:dyDescent="0.45">
      <c r="B59" s="25" t="s">
        <v>236</v>
      </c>
      <c r="C59" s="26" t="s">
        <v>237</v>
      </c>
      <c r="D59" s="47" cm="1">
        <f t="array" aca="1" ref="D59" ca="1">_xll.VoseInput("Variable operating cost","US$/bbl")+_xll.VosePERT(F59,G59,H59)</f>
        <v>8.4605725946542041</v>
      </c>
      <c r="E59" s="26" t="s">
        <v>166</v>
      </c>
      <c r="F59" s="42">
        <v>7</v>
      </c>
      <c r="G59" s="42">
        <v>9</v>
      </c>
      <c r="H59" s="42">
        <v>13</v>
      </c>
      <c r="I59" s="45" cm="1">
        <f t="array" ref="I59">IF(AND(F59&lt;=G59,G59&lt;=H59,F59&lt;H59),_xll.VoseMean(_xll.VosePERTObject(F59,G59,H59)),"✗ range")</f>
        <v>9.3333333333333339</v>
      </c>
      <c r="J59" s="29" t="s">
        <v>238</v>
      </c>
    </row>
    <row r="60" spans="2:10" x14ac:dyDescent="0.45">
      <c r="B60" s="25" t="s">
        <v>239</v>
      </c>
      <c r="C60" s="26" t="s">
        <v>230</v>
      </c>
      <c r="D60" s="27">
        <v>0.15</v>
      </c>
      <c r="E60" s="26" t="s">
        <v>126</v>
      </c>
      <c r="F60" s="28"/>
      <c r="G60" s="28"/>
      <c r="H60" s="28"/>
      <c r="I60" s="28"/>
      <c r="J60" s="29" t="s">
        <v>240</v>
      </c>
    </row>
    <row r="61" spans="2:10" ht="8" customHeight="1" x14ac:dyDescent="0.45"/>
    <row r="62" spans="2:10" ht="22.05" customHeight="1" x14ac:dyDescent="0.5">
      <c r="B62" s="7" t="s">
        <v>241</v>
      </c>
      <c r="C62" s="8"/>
      <c r="D62" s="8"/>
      <c r="E62" s="8"/>
      <c r="F62" s="8"/>
      <c r="G62" s="8"/>
      <c r="H62" s="8"/>
      <c r="I62" s="8"/>
      <c r="J62" s="8"/>
    </row>
    <row r="63" spans="2:10" ht="18" customHeight="1" x14ac:dyDescent="0.45">
      <c r="B63" s="13" t="s">
        <v>242</v>
      </c>
    </row>
    <row r="64" spans="2:10" ht="18" customHeight="1" x14ac:dyDescent="0.45">
      <c r="B64" s="23" t="s">
        <v>119</v>
      </c>
      <c r="C64" s="23" t="s">
        <v>120</v>
      </c>
      <c r="D64" s="24" t="s">
        <v>121</v>
      </c>
      <c r="E64" s="23" t="s">
        <v>122</v>
      </c>
      <c r="F64" s="24" t="s">
        <v>136</v>
      </c>
      <c r="G64" s="24" t="s">
        <v>137</v>
      </c>
      <c r="H64" s="24" t="s">
        <v>138</v>
      </c>
      <c r="I64" s="24" t="s">
        <v>139</v>
      </c>
      <c r="J64" s="23" t="s">
        <v>123</v>
      </c>
    </row>
    <row r="65" spans="2:10" x14ac:dyDescent="0.45">
      <c r="B65" s="25" t="s">
        <v>243</v>
      </c>
      <c r="C65" s="26" t="s">
        <v>237</v>
      </c>
      <c r="D65" s="42">
        <v>75</v>
      </c>
      <c r="E65" s="26" t="s">
        <v>126</v>
      </c>
      <c r="F65" s="28"/>
      <c r="G65" s="28"/>
      <c r="H65" s="28"/>
      <c r="I65" s="28"/>
      <c r="J65" s="29" t="s">
        <v>244</v>
      </c>
    </row>
    <row r="66" spans="2:10" ht="23.25" x14ac:dyDescent="0.45">
      <c r="B66" s="25" t="s">
        <v>245</v>
      </c>
      <c r="C66" s="26" t="s">
        <v>237</v>
      </c>
      <c r="D66" s="47" cm="1">
        <f t="array" aca="1" ref="D66" ca="1">_xll.VoseInput("Long-term oil price","US$/bbl")+_xll.VosePERT(F66,G66,H66)</f>
        <v>57.779983761118146</v>
      </c>
      <c r="E66" s="26" t="s">
        <v>166</v>
      </c>
      <c r="F66" s="42">
        <v>55</v>
      </c>
      <c r="G66" s="42">
        <v>70</v>
      </c>
      <c r="H66" s="42">
        <v>95</v>
      </c>
      <c r="I66" s="45" cm="1">
        <f t="array" ref="I66">IF(AND(F66&lt;=G66,G66&lt;=H66,F66&lt;H66),_xll.VoseMean(_xll.VosePERTObject(F66,G66,H66)),"✗ range")</f>
        <v>71.666666666666671</v>
      </c>
      <c r="J66" s="29" t="s">
        <v>246</v>
      </c>
    </row>
    <row r="67" spans="2:10" x14ac:dyDescent="0.45">
      <c r="B67" s="25" t="s">
        <v>247</v>
      </c>
      <c r="C67" s="26" t="s">
        <v>248</v>
      </c>
      <c r="D67" s="27">
        <v>0.25</v>
      </c>
      <c r="E67" s="26" t="s">
        <v>126</v>
      </c>
      <c r="F67" s="28"/>
      <c r="G67" s="28"/>
      <c r="H67" s="28"/>
      <c r="I67" s="28"/>
      <c r="J67" s="29" t="s">
        <v>249</v>
      </c>
    </row>
    <row r="68" spans="2:10" x14ac:dyDescent="0.45">
      <c r="B68" s="25" t="s">
        <v>250</v>
      </c>
      <c r="C68" s="26" t="s">
        <v>251</v>
      </c>
      <c r="D68" s="37">
        <v>0.35</v>
      </c>
      <c r="E68" s="26" t="s">
        <v>126</v>
      </c>
      <c r="F68" s="28"/>
      <c r="G68" s="28"/>
      <c r="H68" s="28"/>
      <c r="I68" s="28"/>
      <c r="J68" s="29" t="s">
        <v>252</v>
      </c>
    </row>
    <row r="69" spans="2:10" ht="8" customHeight="1" x14ac:dyDescent="0.45"/>
    <row r="70" spans="2:10" ht="22.05" customHeight="1" x14ac:dyDescent="0.5">
      <c r="B70" s="7" t="s">
        <v>253</v>
      </c>
      <c r="C70" s="8"/>
      <c r="D70" s="8"/>
      <c r="E70" s="8"/>
      <c r="F70" s="8"/>
      <c r="G70" s="8"/>
      <c r="H70" s="8"/>
      <c r="I70" s="8"/>
      <c r="J70" s="8"/>
    </row>
    <row r="71" spans="2:10" ht="18" customHeight="1" x14ac:dyDescent="0.45">
      <c r="B71" s="13" t="s">
        <v>254</v>
      </c>
    </row>
    <row r="72" spans="2:10" ht="18" customHeight="1" x14ac:dyDescent="0.45">
      <c r="B72" s="23" t="s">
        <v>119</v>
      </c>
      <c r="C72" s="23" t="s">
        <v>120</v>
      </c>
      <c r="D72" s="24" t="s">
        <v>121</v>
      </c>
      <c r="E72" s="23" t="s">
        <v>122</v>
      </c>
      <c r="F72" s="5"/>
      <c r="G72" s="5"/>
      <c r="H72" s="5"/>
      <c r="I72" s="5"/>
      <c r="J72" s="23" t="s">
        <v>123</v>
      </c>
    </row>
    <row r="73" spans="2:10" x14ac:dyDescent="0.45">
      <c r="B73" s="25" t="s">
        <v>255</v>
      </c>
      <c r="C73" s="26" t="s">
        <v>256</v>
      </c>
      <c r="D73" s="27">
        <v>0.1</v>
      </c>
      <c r="E73" s="26" t="s">
        <v>126</v>
      </c>
      <c r="F73" s="28"/>
      <c r="G73" s="28"/>
      <c r="H73" s="28"/>
      <c r="I73" s="28"/>
      <c r="J73" s="29" t="s">
        <v>257</v>
      </c>
    </row>
    <row r="74" spans="2:10" ht="23.25" x14ac:dyDescent="0.45">
      <c r="B74" s="25" t="s">
        <v>258</v>
      </c>
      <c r="C74" s="26" t="s">
        <v>259</v>
      </c>
      <c r="D74" s="27">
        <v>0.3</v>
      </c>
      <c r="E74" s="26" t="s">
        <v>126</v>
      </c>
      <c r="F74" s="28"/>
      <c r="G74" s="28"/>
      <c r="H74" s="28"/>
      <c r="I74" s="28"/>
      <c r="J74" s="29" t="s">
        <v>260</v>
      </c>
    </row>
    <row r="75" spans="2:10" x14ac:dyDescent="0.45">
      <c r="B75" s="25" t="s">
        <v>261</v>
      </c>
      <c r="C75" s="26" t="s">
        <v>251</v>
      </c>
      <c r="D75" s="35">
        <v>0.1</v>
      </c>
      <c r="E75" s="26" t="s">
        <v>126</v>
      </c>
      <c r="F75" s="28"/>
      <c r="G75" s="28"/>
      <c r="H75" s="28"/>
      <c r="I75" s="28"/>
      <c r="J75" s="29" t="s">
        <v>262</v>
      </c>
    </row>
    <row r="76" spans="2:10" x14ac:dyDescent="0.45">
      <c r="B76" s="25" t="s">
        <v>263</v>
      </c>
      <c r="C76" s="26" t="s">
        <v>206</v>
      </c>
      <c r="D76" s="44">
        <v>2027</v>
      </c>
      <c r="E76" s="26" t="s">
        <v>126</v>
      </c>
      <c r="F76" s="28"/>
      <c r="G76" s="28"/>
      <c r="H76" s="28"/>
      <c r="I76" s="28"/>
      <c r="J76" s="29" t="s">
        <v>264</v>
      </c>
    </row>
    <row r="77" spans="2:10" ht="8" customHeight="1" x14ac:dyDescent="0.45"/>
  </sheetData>
  <mergeCells count="1">
    <mergeCell ref="B6:J6"/>
  </mergeCells>
  <conditionalFormatting sqref="D35">
    <cfRule type="expression" dxfId="26" priority="8">
      <formula>ABS($D$35-1)&gt;0.000001</formula>
    </cfRule>
  </conditionalFormatting>
  <conditionalFormatting sqref="D46">
    <cfRule type="expression" dxfId="25" priority="11">
      <formula>ABS($D$46-1)&gt;0.000001</formula>
    </cfRule>
  </conditionalFormatting>
  <conditionalFormatting sqref="I19:I22">
    <cfRule type="expression" dxfId="24" priority="1">
      <formula>LEFT($I19,1)="✗"</formula>
    </cfRule>
  </conditionalFormatting>
  <conditionalFormatting sqref="I26:I27">
    <cfRule type="expression" dxfId="23" priority="5">
      <formula>LEFT($I26,1)="✗"</formula>
    </cfRule>
  </conditionalFormatting>
  <conditionalFormatting sqref="I34">
    <cfRule type="expression" dxfId="22" priority="7">
      <formula>LEFT($I34,1)="✗"</formula>
    </cfRule>
  </conditionalFormatting>
  <conditionalFormatting sqref="I36">
    <cfRule type="expression" dxfId="21" priority="9">
      <formula>LEFT($I36,1)="✗"</formula>
    </cfRule>
  </conditionalFormatting>
  <conditionalFormatting sqref="I39">
    <cfRule type="expression" dxfId="20" priority="10">
      <formula>LEFT($I39,1)="✗"</formula>
    </cfRule>
  </conditionalFormatting>
  <conditionalFormatting sqref="I51:I55">
    <cfRule type="expression" dxfId="19" priority="12">
      <formula>LEFT($I51,1)="✗"</formula>
    </cfRule>
  </conditionalFormatting>
  <conditionalFormatting sqref="I57">
    <cfRule type="expression" dxfId="18" priority="17">
      <formula>LEFT($I57,1)="✗"</formula>
    </cfRule>
  </conditionalFormatting>
  <conditionalFormatting sqref="I59">
    <cfRule type="expression" dxfId="17" priority="18">
      <formula>LEFT($I59,1)="✗"</formula>
    </cfRule>
  </conditionalFormatting>
  <conditionalFormatting sqref="I66">
    <cfRule type="expression" dxfId="16" priority="19">
      <formula>LEFT($I66,1)="✗"</formula>
    </cfRule>
  </conditionalFormatting>
  <dataValidations count="10">
    <dataValidation type="decimal" showErrorMessage="1" errorTitle="Probability" error="Enter a value between 0% and 100%." sqref="D73:D75 D60 D58 D56 D37:D38 F35:H35 D11:D14" xr:uid="{00000000-0002-0000-0100-000000000000}">
      <formula1>0</formula1>
      <formula2>1</formula2>
    </dataValidation>
    <dataValidation type="custom" showErrorMessage="1" errorTitle="Lognormal range" error="The low estimate must be above the minimum and below the high estimate." sqref="F19:H20" xr:uid="{00000000-0002-0000-0100-000004000000}">
      <formula1>AND($F19&gt;0,$F19&lt;$H19)</formula1>
    </dataValidation>
    <dataValidation type="custom" showErrorMessage="1" errorTitle="PERT range" error="Low must be below High, with Most likely between them, all between 0% and 100%." sqref="F36:H36 F27:H27 F21:H22" xr:uid="{00000000-0002-0000-0100-000006000000}">
      <formula1>AND($F21&lt;=$G21,$G21&lt;=$H21,$F21&lt;$H21,$F21&gt;=0,$H21&lt;=1)</formula1>
    </dataValidation>
    <dataValidation type="decimal" showErrorMessage="1" errorTitle="Correlation" error="Enter a correlation between -0.99 and 0.99." sqref="D23" xr:uid="{00000000-0002-0000-0100-000008000000}">
      <formula1>-0.99</formula1>
      <formula2>0.99</formula2>
    </dataValidation>
    <dataValidation type="custom" showErrorMessage="1" errorTitle="PERT range" error="Low must be below High, with Most likely between them." sqref="F26:H26 F66:H66 F59:H59 F57:H57 F51:H55 F39:H39" xr:uid="{00000000-0002-0000-0100-000009000000}">
      <formula1>AND($F26&lt;=$G26,$G26&lt;=$H26,$F26&lt;$H26)</formula1>
    </dataValidation>
    <dataValidation type="decimal" operator="greaterThan" showErrorMessage="1" errorTitle="Positive value" error="Enter a value greater than zero." sqref="D33 D67 D65 D40" xr:uid="{00000000-0002-0000-0100-00000B000000}">
      <formula1>0</formula1>
    </dataValidation>
    <dataValidation type="whole" showErrorMessage="1" errorTitle="Year" error="Enter a whole number of years." sqref="F45:H45" xr:uid="{00000000-0002-0000-0100-000012000000}">
      <formula1>-100</formula1>
      <formula2>1000</formula2>
    </dataValidation>
    <dataValidation type="decimal" showErrorMessage="1" errorTitle="Share" error="Enter a value between 0% and 100%." sqref="F46:H46" xr:uid="{00000000-0002-0000-0100-000013000000}">
      <formula1>0</formula1>
      <formula2>1</formula2>
    </dataValidation>
    <dataValidation type="decimal" showErrorMessage="1" errorTitle="Factor" error="Enter a value strictly between 0 and 1." sqref="D68" xr:uid="{00000000-0002-0000-0100-000021000000}">
      <formula1>0.01</formula1>
      <formula2>0.99</formula2>
    </dataValidation>
    <dataValidation type="whole" showErrorMessage="1" errorTitle="Year" error="Enter a calendar year." sqref="D76" xr:uid="{00000000-0002-0000-0100-000025000000}">
      <formula1>1900</formula1>
      <formula2>2200</formula2>
    </dataValidation>
  </dataValidations>
  <hyperlinks>
    <hyperlink ref="B4" location="'About'!A1" display="◂  About" xr:uid="{00000000-0004-0000-0100-000000000000}"/>
    <hyperlink ref="J4" location="'Prospect'!A1" display="Next:  Prospect  ▸" xr:uid="{00000000-0004-0000-0100-000001000000}"/>
  </hyperlinks>
  <printOptions horizontalCentered="1"/>
  <pageMargins left="0.4" right="0.4" top="0.5" bottom="0.6" header="0.25" footer="0.25"/>
  <pageSetup paperSize="9" scale="70" fitToHeight="0" orientation="landscape" r:id="rId1"/>
  <headerFooter>
    <oddFooter>&amp;L&amp;K3F5876&amp;8&amp;F · &amp;A&amp;R&amp;K3F5876&amp;8Page &amp;P of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8AA0BA"/>
    <pageSetUpPr fitToPage="1"/>
  </sheetPr>
  <dimension ref="A1:F42"/>
  <sheetViews>
    <sheetView showGridLines="0" workbookViewId="0">
      <pane ySplit="5" topLeftCell="A6" activePane="bottomLeft" state="frozen"/>
      <selection pane="bottomLeft"/>
    </sheetView>
  </sheetViews>
  <sheetFormatPr defaultRowHeight="14.25" x14ac:dyDescent="0.45"/>
  <cols>
    <col min="1" max="1" width="2" customWidth="1"/>
    <col min="2" max="2" width="46" customWidth="1"/>
    <col min="3" max="3" width="15" customWidth="1"/>
    <col min="4" max="4" width="13" customWidth="1"/>
    <col min="5" max="5" width="2" customWidth="1"/>
    <col min="6" max="6" width="86" customWidth="1"/>
  </cols>
  <sheetData>
    <row r="1" spans="1:6" ht="6" customHeight="1" x14ac:dyDescent="0.45"/>
    <row r="2" spans="1:6" ht="30" customHeight="1" x14ac:dyDescent="0.45">
      <c r="A2" s="1"/>
      <c r="B2" s="21" t="s">
        <v>0</v>
      </c>
      <c r="C2" s="1"/>
      <c r="D2" s="1"/>
      <c r="E2" s="1"/>
      <c r="F2" s="3" t="s">
        <v>1</v>
      </c>
    </row>
    <row r="3" spans="1:6" ht="20" customHeight="1" x14ac:dyDescent="0.45">
      <c r="A3" s="1"/>
      <c r="B3" s="4" t="s">
        <v>265</v>
      </c>
      <c r="C3" s="1"/>
      <c r="D3" s="1"/>
      <c r="E3" s="1"/>
      <c r="F3" s="1"/>
    </row>
    <row r="4" spans="1:6" ht="20" customHeight="1" x14ac:dyDescent="0.45">
      <c r="A4" s="5"/>
      <c r="B4" s="22" t="s">
        <v>266</v>
      </c>
      <c r="C4" s="5"/>
      <c r="D4" s="5"/>
      <c r="E4" s="5"/>
      <c r="F4" s="6" t="s">
        <v>267</v>
      </c>
    </row>
    <row r="5" spans="1:6" ht="8" customHeight="1" x14ac:dyDescent="0.45"/>
    <row r="6" spans="1:6" ht="22.05" customHeight="1" x14ac:dyDescent="0.5">
      <c r="B6" s="7" t="s">
        <v>268</v>
      </c>
      <c r="C6" s="8"/>
      <c r="D6" s="8"/>
      <c r="E6" s="8"/>
      <c r="F6" s="8"/>
    </row>
    <row r="7" spans="1:6" ht="18" customHeight="1" x14ac:dyDescent="0.45">
      <c r="B7" s="13" t="s">
        <v>269</v>
      </c>
    </row>
    <row r="8" spans="1:6" ht="18" customHeight="1" x14ac:dyDescent="0.45">
      <c r="B8" s="23" t="s">
        <v>270</v>
      </c>
      <c r="C8" s="23" t="s">
        <v>120</v>
      </c>
      <c r="D8" s="24" t="s">
        <v>271</v>
      </c>
      <c r="E8" s="5"/>
      <c r="F8" s="23" t="s">
        <v>272</v>
      </c>
    </row>
    <row r="9" spans="1:6" x14ac:dyDescent="0.45">
      <c r="B9" s="25" t="s">
        <v>273</v>
      </c>
      <c r="C9" s="26" t="s">
        <v>125</v>
      </c>
      <c r="D9" s="36">
        <f>Chance_Source*Chance_Reservoir*Chance_Trap*Chance_Seal</f>
        <v>0.29399999999999993</v>
      </c>
      <c r="E9" s="28"/>
      <c r="F9" s="26" t="s">
        <v>274</v>
      </c>
    </row>
    <row r="10" spans="1:6" x14ac:dyDescent="0.45">
      <c r="B10" s="25" t="s">
        <v>275</v>
      </c>
      <c r="C10" s="26" t="s">
        <v>276</v>
      </c>
      <c r="D10" s="43" cm="1">
        <f t="array" aca="1" ref="D10" ca="1">_xll.VoseInput("Geological success","1 = oil found")+_xll.VoseBernoulli(Chance_Geo)</f>
        <v>0</v>
      </c>
      <c r="E10" s="28"/>
      <c r="F10" s="26" t="s">
        <v>277</v>
      </c>
    </row>
    <row r="11" spans="1:6" ht="8" customHeight="1" x14ac:dyDescent="0.45"/>
    <row r="12" spans="1:6" ht="22.05" customHeight="1" x14ac:dyDescent="0.5">
      <c r="B12" s="7" t="s">
        <v>278</v>
      </c>
      <c r="C12" s="8"/>
      <c r="D12" s="8"/>
      <c r="E12" s="8"/>
      <c r="F12" s="8"/>
    </row>
    <row r="13" spans="1:6" ht="18" customHeight="1" x14ac:dyDescent="0.45">
      <c r="B13" s="13" t="s">
        <v>279</v>
      </c>
    </row>
    <row r="14" spans="1:6" ht="18" customHeight="1" x14ac:dyDescent="0.45">
      <c r="B14" s="23" t="s">
        <v>270</v>
      </c>
      <c r="C14" s="23" t="s">
        <v>120</v>
      </c>
      <c r="D14" s="24" t="s">
        <v>271</v>
      </c>
      <c r="E14" s="5"/>
      <c r="F14" s="23" t="s">
        <v>272</v>
      </c>
    </row>
    <row r="15" spans="1:6" x14ac:dyDescent="0.45">
      <c r="B15" s="25" t="s">
        <v>280</v>
      </c>
      <c r="C15" s="26" t="s">
        <v>281</v>
      </c>
      <c r="D15" s="45">
        <f ca="1">BblPerAcreFt*Area*NetPay*Porosity*(1-WaterSat)/FVF/10^6</f>
        <v>242.91140616652143</v>
      </c>
      <c r="E15" s="28"/>
      <c r="F15" s="26" t="s">
        <v>282</v>
      </c>
    </row>
    <row r="16" spans="1:6" x14ac:dyDescent="0.45">
      <c r="B16" s="25" t="s">
        <v>283</v>
      </c>
      <c r="C16" s="26" t="s">
        <v>176</v>
      </c>
      <c r="D16" s="48" cm="1">
        <f t="array" aca="1" ref="D16" ca="1">_xll.VoseOutput("Recoverable volume (success case)","MMbbl")+STOIIP*RecFactor</f>
        <v>65.034800588636685</v>
      </c>
      <c r="E16" s="28"/>
      <c r="F16" s="26" t="s">
        <v>284</v>
      </c>
    </row>
    <row r="17" spans="2:6" ht="8" customHeight="1" x14ac:dyDescent="0.45"/>
    <row r="18" spans="2:6" ht="22.05" customHeight="1" x14ac:dyDescent="0.5">
      <c r="B18" s="7" t="s">
        <v>285</v>
      </c>
      <c r="C18" s="8"/>
      <c r="D18" s="8"/>
      <c r="E18" s="8"/>
      <c r="F18" s="8"/>
    </row>
    <row r="19" spans="2:6" ht="18" customHeight="1" x14ac:dyDescent="0.45">
      <c r="B19" s="13" t="s">
        <v>286</v>
      </c>
    </row>
    <row r="20" spans="2:6" ht="18" customHeight="1" x14ac:dyDescent="0.45">
      <c r="B20" s="23" t="s">
        <v>270</v>
      </c>
      <c r="C20" s="23" t="s">
        <v>120</v>
      </c>
      <c r="D20" s="24" t="s">
        <v>271</v>
      </c>
      <c r="E20" s="5"/>
      <c r="F20" s="23" t="s">
        <v>272</v>
      </c>
    </row>
    <row r="21" spans="2:6" x14ac:dyDescent="0.45">
      <c r="B21" s="25" t="s">
        <v>175</v>
      </c>
      <c r="C21" s="26" t="s">
        <v>176</v>
      </c>
      <c r="D21" s="45">
        <f>MEFS</f>
        <v>20</v>
      </c>
      <c r="E21" s="28"/>
      <c r="F21" s="26" t="s">
        <v>287</v>
      </c>
    </row>
    <row r="22" spans="2:6" x14ac:dyDescent="0.45">
      <c r="B22" s="25" t="s">
        <v>288</v>
      </c>
      <c r="C22" s="26" t="s">
        <v>276</v>
      </c>
      <c r="D22" s="49">
        <f ca="1">IF(Recoverable&gt;=MEFS,1,0)</f>
        <v>1</v>
      </c>
      <c r="E22" s="28"/>
      <c r="F22" s="26" t="s">
        <v>289</v>
      </c>
    </row>
    <row r="23" spans="2:6" x14ac:dyDescent="0.45">
      <c r="B23" s="25" t="s">
        <v>290</v>
      </c>
      <c r="C23" s="26" t="s">
        <v>276</v>
      </c>
      <c r="D23" s="50" cm="1">
        <f t="array" aca="1" ref="D23" ca="1">_xll.VoseOutput("Commercial discovery","1 = yes")+GeoSuccess*LargeEnough</f>
        <v>0</v>
      </c>
      <c r="E23" s="28"/>
      <c r="F23" s="26" t="s">
        <v>291</v>
      </c>
    </row>
    <row r="24" spans="2:6" x14ac:dyDescent="0.45">
      <c r="B24" s="25" t="s">
        <v>292</v>
      </c>
      <c r="C24" s="26" t="s">
        <v>293</v>
      </c>
      <c r="D24" s="50" cm="1">
        <f t="array" aca="1" ref="D24" ca="1">_xll.VoseOutput("Drilling outcome","1 dry, 2 too small, 3 commercial")+IF(GeoSuccess=0,1,IF(LargeEnough=1,3,2))</f>
        <v>1</v>
      </c>
      <c r="E24" s="28"/>
      <c r="F24" s="26" t="s">
        <v>294</v>
      </c>
    </row>
    <row r="25" spans="2:6" x14ac:dyDescent="0.45">
      <c r="B25" s="25" t="s">
        <v>295</v>
      </c>
      <c r="C25" s="26"/>
      <c r="D25" s="51" t="str">
        <f ca="1">CHOOSE(Outcome,"Dry hole","Too small to develop","Commercial discovery")</f>
        <v>Dry hole</v>
      </c>
      <c r="E25" s="28"/>
      <c r="F25" s="26" t="s">
        <v>296</v>
      </c>
    </row>
    <row r="26" spans="2:6" ht="8" customHeight="1" x14ac:dyDescent="0.45"/>
    <row r="27" spans="2:6" ht="22.05" customHeight="1" x14ac:dyDescent="0.5">
      <c r="B27" s="7" t="s">
        <v>297</v>
      </c>
      <c r="C27" s="8"/>
      <c r="D27" s="8"/>
      <c r="E27" s="8"/>
      <c r="F27" s="8"/>
    </row>
    <row r="28" spans="2:6" ht="18" customHeight="1" x14ac:dyDescent="0.45">
      <c r="B28" s="13" t="s">
        <v>298</v>
      </c>
    </row>
    <row r="29" spans="2:6" ht="18" customHeight="1" x14ac:dyDescent="0.45">
      <c r="B29" s="23" t="s">
        <v>270</v>
      </c>
      <c r="C29" s="23" t="s">
        <v>120</v>
      </c>
      <c r="D29" s="24" t="s">
        <v>271</v>
      </c>
      <c r="E29" s="5"/>
      <c r="F29" s="23" t="s">
        <v>272</v>
      </c>
    </row>
    <row r="30" spans="2:6" x14ac:dyDescent="0.45">
      <c r="B30" s="25" t="s">
        <v>299</v>
      </c>
      <c r="C30" s="26" t="s">
        <v>300</v>
      </c>
      <c r="D30" s="49">
        <f ca="1">TimeToFirstOil</f>
        <v>3</v>
      </c>
      <c r="E30" s="28"/>
      <c r="F30" s="26" t="s">
        <v>301</v>
      </c>
    </row>
    <row r="31" spans="2:6" x14ac:dyDescent="0.45">
      <c r="B31" s="25" t="s">
        <v>185</v>
      </c>
      <c r="C31" s="26" t="s">
        <v>302</v>
      </c>
      <c r="D31" s="52">
        <f ca="1">Recoverable*PlateauFrac</f>
        <v>6.3867120348933195</v>
      </c>
      <c r="E31" s="28"/>
      <c r="F31" s="26" t="s">
        <v>303</v>
      </c>
    </row>
    <row r="32" spans="2:6" x14ac:dyDescent="0.45">
      <c r="B32" s="25" t="s">
        <v>304</v>
      </c>
      <c r="C32" s="26" t="s">
        <v>194</v>
      </c>
      <c r="D32" s="48" cm="1">
        <f t="array" aca="1" ref="D32" ca="1">_xll.VoseOutput("Plateau production (success case)","kbbl/d")+PlateauRate*1000/365</f>
        <v>17.497841191488547</v>
      </c>
      <c r="E32" s="28"/>
      <c r="F32" s="26" t="s">
        <v>305</v>
      </c>
    </row>
    <row r="33" spans="2:6" x14ac:dyDescent="0.45">
      <c r="B33" s="25" t="s">
        <v>306</v>
      </c>
      <c r="C33" s="26" t="s">
        <v>307</v>
      </c>
      <c r="D33" s="49">
        <f ca="1">ROUNDUP(Capacity/WellRate,0)</f>
        <v>5</v>
      </c>
      <c r="E33" s="28"/>
      <c r="F33" s="26" t="s">
        <v>308</v>
      </c>
    </row>
    <row r="34" spans="2:6" x14ac:dyDescent="0.45">
      <c r="B34" s="25" t="s">
        <v>309</v>
      </c>
      <c r="C34" s="26" t="s">
        <v>307</v>
      </c>
      <c r="D34" s="49">
        <f ca="1">ROUNDUP(Producers*InjPerProducer,0)</f>
        <v>3</v>
      </c>
      <c r="E34" s="28"/>
      <c r="F34" s="26" t="s">
        <v>310</v>
      </c>
    </row>
    <row r="35" spans="2:6" x14ac:dyDescent="0.45">
      <c r="B35" s="25" t="s">
        <v>311</v>
      </c>
      <c r="C35" s="26" t="s">
        <v>215</v>
      </c>
      <c r="D35" s="45">
        <f ca="1">Cost_FacFixed+Cost_FacUnit*Capacity</f>
        <v>478.7884703734963</v>
      </c>
      <c r="E35" s="28"/>
      <c r="F35" s="26" t="s">
        <v>312</v>
      </c>
    </row>
    <row r="36" spans="2:6" x14ac:dyDescent="0.45">
      <c r="B36" s="25" t="s">
        <v>313</v>
      </c>
      <c r="C36" s="26" t="s">
        <v>215</v>
      </c>
      <c r="D36" s="45">
        <f ca="1">(Producers+Injectors)*Cost_Well</f>
        <v>273.27584306892271</v>
      </c>
      <c r="E36" s="28"/>
      <c r="F36" s="26" t="s">
        <v>314</v>
      </c>
    </row>
    <row r="37" spans="2:6" x14ac:dyDescent="0.45">
      <c r="B37" s="25" t="s">
        <v>315</v>
      </c>
      <c r="C37" s="26" t="s">
        <v>215</v>
      </c>
      <c r="D37" s="45">
        <f ca="1">Cost_Facilities+Cost_Wells</f>
        <v>752.06431344241901</v>
      </c>
      <c r="E37" s="28"/>
      <c r="F37" s="26" t="s">
        <v>316</v>
      </c>
    </row>
    <row r="38" spans="2:6" x14ac:dyDescent="0.45">
      <c r="B38" s="25" t="s">
        <v>317</v>
      </c>
      <c r="C38" s="26" t="s">
        <v>215</v>
      </c>
      <c r="D38" s="45">
        <f ca="1">Capex_Base*Overrun_Frac</f>
        <v>116.06097572262287</v>
      </c>
      <c r="E38" s="28"/>
      <c r="F38" s="26" t="s">
        <v>318</v>
      </c>
    </row>
    <row r="39" spans="2:6" x14ac:dyDescent="0.45">
      <c r="B39" s="25" t="s">
        <v>319</v>
      </c>
      <c r="C39" s="26" t="s">
        <v>215</v>
      </c>
      <c r="D39" s="48" cm="1">
        <f t="array" aca="1" ref="D39" ca="1">_xll.VoseOutput("Development capex (success case)","US$m")+Capex_Base+Capex_Overrun</f>
        <v>868.12528916504186</v>
      </c>
      <c r="E39" s="28"/>
      <c r="F39" s="26" t="s">
        <v>320</v>
      </c>
    </row>
    <row r="40" spans="2:6" x14ac:dyDescent="0.45">
      <c r="B40" s="25" t="s">
        <v>233</v>
      </c>
      <c r="C40" s="26" t="s">
        <v>321</v>
      </c>
      <c r="D40" s="45">
        <f ca="1">DevCapex*FixedOpexPct</f>
        <v>34.725011566601673</v>
      </c>
      <c r="E40" s="28"/>
      <c r="F40" s="26" t="s">
        <v>322</v>
      </c>
    </row>
    <row r="41" spans="2:6" x14ac:dyDescent="0.45">
      <c r="B41" s="25" t="s">
        <v>239</v>
      </c>
      <c r="C41" s="26" t="s">
        <v>215</v>
      </c>
      <c r="D41" s="45">
        <f ca="1">DevCapex*AbandonPct</f>
        <v>130.21879337475627</v>
      </c>
      <c r="E41" s="28"/>
      <c r="F41" s="26" t="s">
        <v>323</v>
      </c>
    </row>
    <row r="42" spans="2:6" x14ac:dyDescent="0.45">
      <c r="B42" s="25" t="s">
        <v>324</v>
      </c>
      <c r="C42" s="26" t="s">
        <v>251</v>
      </c>
      <c r="D42" s="36">
        <f ca="1">PlateauFrac/(1-PlateauEndFrac)</f>
        <v>0.16367421690865327</v>
      </c>
      <c r="E42" s="28"/>
      <c r="F42" s="26" t="s">
        <v>325</v>
      </c>
    </row>
  </sheetData>
  <conditionalFormatting sqref="D25">
    <cfRule type="expression" dxfId="15" priority="1">
      <formula>Outcome=1</formula>
    </cfRule>
    <cfRule type="expression" dxfId="14" priority="2">
      <formula>Outcome=2</formula>
    </cfRule>
    <cfRule type="expression" dxfId="13" priority="3">
      <formula>Outcome=3</formula>
    </cfRule>
  </conditionalFormatting>
  <hyperlinks>
    <hyperlink ref="B4" location="'Inputs'!A1" display="◂  Inputs" xr:uid="{00000000-0004-0000-0200-000000000000}"/>
    <hyperlink ref="F4" location="'Cash flow'!A1" display="Next:  Cash flow  ▸" xr:uid="{00000000-0004-0000-0200-000001000000}"/>
  </hyperlinks>
  <printOptions horizontalCentered="1"/>
  <pageMargins left="0.4" right="0.4" top="0.5" bottom="0.6" header="0.25" footer="0.25"/>
  <pageSetup paperSize="9" scale="58" fitToHeight="0" orientation="portrait" r:id="rId1"/>
  <headerFooter>
    <oddFooter>&amp;L&amp;K3F5876&amp;8&amp;F · &amp;A&amp;R&amp;K3F5876&amp;8Page &amp;P of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8AA0BA"/>
    <pageSetUpPr fitToPage="1"/>
  </sheetPr>
  <dimension ref="A1:AJ90"/>
  <sheetViews>
    <sheetView showGridLines="0" workbookViewId="0">
      <pane xSplit="5" ySplit="8" topLeftCell="F9" activePane="bottomRight" state="frozen"/>
      <selection pane="topRight"/>
      <selection pane="bottomLeft"/>
      <selection pane="bottomRight"/>
    </sheetView>
  </sheetViews>
  <sheetFormatPr defaultRowHeight="14.25" x14ac:dyDescent="0.45"/>
  <cols>
    <col min="1" max="1" width="2" customWidth="1"/>
    <col min="2" max="2" width="44" customWidth="1"/>
    <col min="3" max="4" width="10" customWidth="1"/>
    <col min="5" max="5" width="6" customWidth="1"/>
    <col min="6" max="36" width="7.3984375" customWidth="1"/>
  </cols>
  <sheetData>
    <row r="1" spans="1:36" ht="6" customHeight="1" x14ac:dyDescent="0.45"/>
    <row r="2" spans="1:36" ht="30" customHeight="1" x14ac:dyDescent="0.45">
      <c r="A2" s="1"/>
      <c r="B2" s="21" t="s">
        <v>0</v>
      </c>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3" t="s">
        <v>1</v>
      </c>
    </row>
    <row r="3" spans="1:36" ht="20" customHeight="1" x14ac:dyDescent="0.45">
      <c r="A3" s="1"/>
      <c r="B3" s="4" t="s">
        <v>326</v>
      </c>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row>
    <row r="4" spans="1:36" ht="20" customHeight="1" x14ac:dyDescent="0.45">
      <c r="A4" s="5"/>
      <c r="B4" s="22" t="s">
        <v>327</v>
      </c>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6" t="s">
        <v>328</v>
      </c>
    </row>
    <row r="5" spans="1:36" ht="8" customHeight="1" x14ac:dyDescent="0.45"/>
    <row r="6" spans="1:36" ht="16.05" customHeight="1" x14ac:dyDescent="0.45">
      <c r="B6" s="53" t="s">
        <v>329</v>
      </c>
      <c r="C6" s="54"/>
      <c r="D6" s="55" t="s">
        <v>201</v>
      </c>
      <c r="E6" s="56" t="s">
        <v>330</v>
      </c>
      <c r="F6" s="57">
        <v>0</v>
      </c>
      <c r="G6" s="57">
        <f t="shared" ref="G6:AJ6" si="0">F6+1</f>
        <v>1</v>
      </c>
      <c r="H6" s="57">
        <f t="shared" si="0"/>
        <v>2</v>
      </c>
      <c r="I6" s="57">
        <f t="shared" si="0"/>
        <v>3</v>
      </c>
      <c r="J6" s="57">
        <f t="shared" si="0"/>
        <v>4</v>
      </c>
      <c r="K6" s="57">
        <f t="shared" si="0"/>
        <v>5</v>
      </c>
      <c r="L6" s="57">
        <f t="shared" si="0"/>
        <v>6</v>
      </c>
      <c r="M6" s="57">
        <f t="shared" si="0"/>
        <v>7</v>
      </c>
      <c r="N6" s="57">
        <f t="shared" si="0"/>
        <v>8</v>
      </c>
      <c r="O6" s="57">
        <f t="shared" si="0"/>
        <v>9</v>
      </c>
      <c r="P6" s="57">
        <f t="shared" si="0"/>
        <v>10</v>
      </c>
      <c r="Q6" s="57">
        <f t="shared" si="0"/>
        <v>11</v>
      </c>
      <c r="R6" s="57">
        <f t="shared" si="0"/>
        <v>12</v>
      </c>
      <c r="S6" s="57">
        <f t="shared" si="0"/>
        <v>13</v>
      </c>
      <c r="T6" s="57">
        <f t="shared" si="0"/>
        <v>14</v>
      </c>
      <c r="U6" s="57">
        <f t="shared" si="0"/>
        <v>15</v>
      </c>
      <c r="V6" s="57">
        <f t="shared" si="0"/>
        <v>16</v>
      </c>
      <c r="W6" s="57">
        <f t="shared" si="0"/>
        <v>17</v>
      </c>
      <c r="X6" s="57">
        <f t="shared" si="0"/>
        <v>18</v>
      </c>
      <c r="Y6" s="57">
        <f t="shared" si="0"/>
        <v>19</v>
      </c>
      <c r="Z6" s="57">
        <f t="shared" si="0"/>
        <v>20</v>
      </c>
      <c r="AA6" s="57">
        <f t="shared" si="0"/>
        <v>21</v>
      </c>
      <c r="AB6" s="57">
        <f t="shared" si="0"/>
        <v>22</v>
      </c>
      <c r="AC6" s="57">
        <f t="shared" si="0"/>
        <v>23</v>
      </c>
      <c r="AD6" s="57">
        <f t="shared" si="0"/>
        <v>24</v>
      </c>
      <c r="AE6" s="57">
        <f t="shared" si="0"/>
        <v>25</v>
      </c>
      <c r="AF6" s="57">
        <f t="shared" si="0"/>
        <v>26</v>
      </c>
      <c r="AG6" s="57">
        <f t="shared" si="0"/>
        <v>27</v>
      </c>
      <c r="AH6" s="57">
        <f t="shared" si="0"/>
        <v>28</v>
      </c>
      <c r="AI6" s="57">
        <f t="shared" si="0"/>
        <v>29</v>
      </c>
      <c r="AJ6" s="57">
        <f t="shared" si="0"/>
        <v>30</v>
      </c>
    </row>
    <row r="7" spans="1:36" ht="16.05" customHeight="1" x14ac:dyDescent="0.45">
      <c r="B7" s="53" t="s">
        <v>331</v>
      </c>
      <c r="C7" s="54"/>
      <c r="D7" s="54"/>
      <c r="E7" s="54"/>
      <c r="F7" s="58">
        <f t="shared" ref="F7:AJ7" si="1">StartYear+F$6</f>
        <v>2027</v>
      </c>
      <c r="G7" s="58">
        <f t="shared" si="1"/>
        <v>2028</v>
      </c>
      <c r="H7" s="58">
        <f t="shared" si="1"/>
        <v>2029</v>
      </c>
      <c r="I7" s="58">
        <f t="shared" si="1"/>
        <v>2030</v>
      </c>
      <c r="J7" s="58">
        <f t="shared" si="1"/>
        <v>2031</v>
      </c>
      <c r="K7" s="58">
        <f t="shared" si="1"/>
        <v>2032</v>
      </c>
      <c r="L7" s="58">
        <f t="shared" si="1"/>
        <v>2033</v>
      </c>
      <c r="M7" s="58">
        <f t="shared" si="1"/>
        <v>2034</v>
      </c>
      <c r="N7" s="58">
        <f t="shared" si="1"/>
        <v>2035</v>
      </c>
      <c r="O7" s="58">
        <f t="shared" si="1"/>
        <v>2036</v>
      </c>
      <c r="P7" s="58">
        <f t="shared" si="1"/>
        <v>2037</v>
      </c>
      <c r="Q7" s="58">
        <f t="shared" si="1"/>
        <v>2038</v>
      </c>
      <c r="R7" s="58">
        <f t="shared" si="1"/>
        <v>2039</v>
      </c>
      <c r="S7" s="58">
        <f t="shared" si="1"/>
        <v>2040</v>
      </c>
      <c r="T7" s="58">
        <f t="shared" si="1"/>
        <v>2041</v>
      </c>
      <c r="U7" s="58">
        <f t="shared" si="1"/>
        <v>2042</v>
      </c>
      <c r="V7" s="58">
        <f t="shared" si="1"/>
        <v>2043</v>
      </c>
      <c r="W7" s="58">
        <f t="shared" si="1"/>
        <v>2044</v>
      </c>
      <c r="X7" s="58">
        <f t="shared" si="1"/>
        <v>2045</v>
      </c>
      <c r="Y7" s="58">
        <f t="shared" si="1"/>
        <v>2046</v>
      </c>
      <c r="Z7" s="58">
        <f t="shared" si="1"/>
        <v>2047</v>
      </c>
      <c r="AA7" s="58">
        <f t="shared" si="1"/>
        <v>2048</v>
      </c>
      <c r="AB7" s="58">
        <f t="shared" si="1"/>
        <v>2049</v>
      </c>
      <c r="AC7" s="58">
        <f t="shared" si="1"/>
        <v>2050</v>
      </c>
      <c r="AD7" s="58">
        <f t="shared" si="1"/>
        <v>2051</v>
      </c>
      <c r="AE7" s="58">
        <f t="shared" si="1"/>
        <v>2052</v>
      </c>
      <c r="AF7" s="58">
        <f t="shared" si="1"/>
        <v>2053</v>
      </c>
      <c r="AG7" s="58">
        <f t="shared" si="1"/>
        <v>2054</v>
      </c>
      <c r="AH7" s="58">
        <f t="shared" si="1"/>
        <v>2055</v>
      </c>
      <c r="AI7" s="58">
        <f t="shared" si="1"/>
        <v>2056</v>
      </c>
      <c r="AJ7" s="58">
        <f t="shared" si="1"/>
        <v>2057</v>
      </c>
    </row>
    <row r="8" spans="1:36" ht="16.05" customHeight="1" x14ac:dyDescent="0.45">
      <c r="B8" s="59" t="s">
        <v>332</v>
      </c>
      <c r="C8" s="5"/>
      <c r="D8" s="5"/>
      <c r="E8" s="5"/>
      <c r="F8" s="60" t="str">
        <f t="shared" ref="F8:AJ8" ca="1" si="2">IF(F$6&gt;Start_Abandon,"",LOOKUP(F$6,PhaseStarts,PhaseNames))</f>
        <v>Explore</v>
      </c>
      <c r="G8" s="60" t="str">
        <f t="shared" ca="1" si="2"/>
        <v>Develop</v>
      </c>
      <c r="H8" s="60" t="str">
        <f t="shared" ca="1" si="2"/>
        <v>Develop</v>
      </c>
      <c r="I8" s="60" t="str">
        <f t="shared" ca="1" si="2"/>
        <v>Produce</v>
      </c>
      <c r="J8" s="60" t="str">
        <f t="shared" ca="1" si="2"/>
        <v>Produce</v>
      </c>
      <c r="K8" s="60" t="str">
        <f t="shared" ca="1" si="2"/>
        <v>Produce</v>
      </c>
      <c r="L8" s="60" t="str">
        <f t="shared" ca="1" si="2"/>
        <v>Produce</v>
      </c>
      <c r="M8" s="60" t="str">
        <f t="shared" ca="1" si="2"/>
        <v>Produce</v>
      </c>
      <c r="N8" s="60" t="str">
        <f t="shared" ca="1" si="2"/>
        <v>Produce</v>
      </c>
      <c r="O8" s="60" t="str">
        <f t="shared" ca="1" si="2"/>
        <v>Produce</v>
      </c>
      <c r="P8" s="60" t="str">
        <f t="shared" ca="1" si="2"/>
        <v>Produce</v>
      </c>
      <c r="Q8" s="60" t="str">
        <f t="shared" ca="1" si="2"/>
        <v>Produce</v>
      </c>
      <c r="R8" s="60" t="str">
        <f t="shared" ca="1" si="2"/>
        <v>Produce</v>
      </c>
      <c r="S8" s="60" t="str">
        <f t="shared" ca="1" si="2"/>
        <v>Produce</v>
      </c>
      <c r="T8" s="60" t="str">
        <f t="shared" ca="1" si="2"/>
        <v>Produce</v>
      </c>
      <c r="U8" s="60" t="str">
        <f t="shared" ca="1" si="2"/>
        <v>Produce</v>
      </c>
      <c r="V8" s="60" t="str">
        <f t="shared" ca="1" si="2"/>
        <v>Produce</v>
      </c>
      <c r="W8" s="60" t="str">
        <f t="shared" ca="1" si="2"/>
        <v>Produce</v>
      </c>
      <c r="X8" s="60" t="str">
        <f t="shared" ca="1" si="2"/>
        <v>Produce</v>
      </c>
      <c r="Y8" s="60" t="str">
        <f t="shared" ca="1" si="2"/>
        <v>Produce</v>
      </c>
      <c r="Z8" s="60" t="str">
        <f t="shared" ca="1" si="2"/>
        <v>Abandon</v>
      </c>
      <c r="AA8" s="60" t="str">
        <f t="shared" ca="1" si="2"/>
        <v/>
      </c>
      <c r="AB8" s="60" t="str">
        <f t="shared" ca="1" si="2"/>
        <v/>
      </c>
      <c r="AC8" s="60" t="str">
        <f t="shared" ca="1" si="2"/>
        <v/>
      </c>
      <c r="AD8" s="60" t="str">
        <f t="shared" ca="1" si="2"/>
        <v/>
      </c>
      <c r="AE8" s="60" t="str">
        <f t="shared" ca="1" si="2"/>
        <v/>
      </c>
      <c r="AF8" s="60" t="str">
        <f t="shared" ca="1" si="2"/>
        <v/>
      </c>
      <c r="AG8" s="60" t="str">
        <f t="shared" ca="1" si="2"/>
        <v/>
      </c>
      <c r="AH8" s="60" t="str">
        <f t="shared" ca="1" si="2"/>
        <v/>
      </c>
      <c r="AI8" s="60" t="str">
        <f t="shared" ca="1" si="2"/>
        <v/>
      </c>
      <c r="AJ8" s="60" t="str">
        <f t="shared" ca="1" si="2"/>
        <v/>
      </c>
    </row>
    <row r="9" spans="1:36" ht="6" customHeight="1" x14ac:dyDescent="0.45"/>
    <row r="10" spans="1:36" ht="22.05" customHeight="1" x14ac:dyDescent="0.5">
      <c r="B10" s="7" t="s">
        <v>333</v>
      </c>
      <c r="C10" s="8"/>
      <c r="D10" s="8"/>
      <c r="E10" s="8"/>
      <c r="F10" s="8"/>
      <c r="G10" s="8"/>
      <c r="H10" s="8"/>
      <c r="I10" s="8"/>
      <c r="J10" s="8"/>
      <c r="K10" s="8"/>
      <c r="L10" s="8"/>
      <c r="M10" s="8"/>
      <c r="N10" s="8"/>
      <c r="O10" s="8"/>
      <c r="P10" s="8"/>
      <c r="Q10" s="8"/>
      <c r="R10" s="8"/>
      <c r="S10" s="8"/>
      <c r="T10" s="8"/>
      <c r="U10" s="8"/>
      <c r="V10" s="8"/>
      <c r="W10" s="8"/>
      <c r="X10" s="8"/>
      <c r="Y10" s="8"/>
      <c r="Z10" s="8"/>
      <c r="AA10" s="8"/>
      <c r="AB10" s="8"/>
      <c r="AC10" s="8"/>
      <c r="AD10" s="8"/>
      <c r="AE10" s="8"/>
      <c r="AF10" s="8"/>
      <c r="AG10" s="8"/>
      <c r="AH10" s="8"/>
      <c r="AI10" s="8"/>
      <c r="AJ10" s="8"/>
    </row>
    <row r="11" spans="1:36" ht="18" customHeight="1" x14ac:dyDescent="0.45">
      <c r="B11" s="13" t="s">
        <v>334</v>
      </c>
    </row>
    <row r="12" spans="1:36" ht="18" customHeight="1" x14ac:dyDescent="0.45">
      <c r="B12" s="59" t="s">
        <v>270</v>
      </c>
      <c r="C12" s="59" t="s">
        <v>120</v>
      </c>
      <c r="D12" s="61" t="s">
        <v>271</v>
      </c>
      <c r="E12" s="5"/>
      <c r="F12" s="59" t="s">
        <v>272</v>
      </c>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row>
    <row r="13" spans="1:36" x14ac:dyDescent="0.45">
      <c r="B13" s="25" t="s">
        <v>335</v>
      </c>
      <c r="C13" s="26" t="s">
        <v>206</v>
      </c>
      <c r="D13" s="49">
        <f>0</f>
        <v>0</v>
      </c>
      <c r="E13" s="28"/>
      <c r="F13" s="26" t="s">
        <v>336</v>
      </c>
      <c r="G13" s="28"/>
      <c r="H13" s="28"/>
      <c r="I13" s="28"/>
      <c r="J13" s="28"/>
      <c r="K13" s="28"/>
      <c r="L13" s="28"/>
      <c r="M13" s="28"/>
      <c r="N13" s="28"/>
      <c r="O13" s="28"/>
      <c r="P13" s="28"/>
      <c r="Q13" s="28"/>
      <c r="R13" s="28"/>
      <c r="S13" s="28"/>
      <c r="T13" s="28"/>
      <c r="U13" s="28"/>
      <c r="V13" s="28"/>
      <c r="W13" s="28"/>
      <c r="X13" s="28"/>
      <c r="Y13" s="28"/>
      <c r="Z13" s="28"/>
      <c r="AA13" s="28"/>
      <c r="AB13" s="28"/>
      <c r="AC13" s="28"/>
      <c r="AD13" s="28"/>
      <c r="AE13" s="28"/>
      <c r="AF13" s="28"/>
      <c r="AG13" s="28"/>
      <c r="AH13" s="28"/>
      <c r="AI13" s="28"/>
      <c r="AJ13" s="28"/>
    </row>
    <row r="14" spans="1:36" x14ac:dyDescent="0.45">
      <c r="B14" s="25" t="s">
        <v>337</v>
      </c>
      <c r="C14" s="26" t="s">
        <v>206</v>
      </c>
      <c r="D14" s="49">
        <f>1</f>
        <v>1</v>
      </c>
      <c r="E14" s="28"/>
      <c r="F14" s="26" t="s">
        <v>338</v>
      </c>
      <c r="G14" s="28"/>
      <c r="H14" s="28"/>
      <c r="I14" s="28"/>
      <c r="J14" s="28"/>
      <c r="K14" s="28"/>
      <c r="L14" s="28"/>
      <c r="M14" s="28"/>
      <c r="N14" s="28"/>
      <c r="O14" s="28"/>
      <c r="P14" s="28"/>
      <c r="Q14" s="28"/>
      <c r="R14" s="28"/>
      <c r="S14" s="28"/>
      <c r="T14" s="28"/>
      <c r="U14" s="28"/>
      <c r="V14" s="28"/>
      <c r="W14" s="28"/>
      <c r="X14" s="28"/>
      <c r="Y14" s="28"/>
      <c r="Z14" s="28"/>
      <c r="AA14" s="28"/>
      <c r="AB14" s="28"/>
      <c r="AC14" s="28"/>
      <c r="AD14" s="28"/>
      <c r="AE14" s="28"/>
      <c r="AF14" s="28"/>
      <c r="AG14" s="28"/>
      <c r="AH14" s="28"/>
      <c r="AI14" s="28"/>
      <c r="AJ14" s="28"/>
    </row>
    <row r="15" spans="1:36" x14ac:dyDescent="0.45">
      <c r="B15" s="25" t="s">
        <v>339</v>
      </c>
      <c r="C15" s="26" t="s">
        <v>206</v>
      </c>
      <c r="D15" s="49">
        <f ca="1">FirstOilYear-2</f>
        <v>1</v>
      </c>
      <c r="E15" s="28"/>
      <c r="F15" s="26" t="s">
        <v>340</v>
      </c>
      <c r="G15" s="28"/>
      <c r="H15" s="28"/>
      <c r="I15" s="28"/>
      <c r="J15" s="28"/>
      <c r="K15" s="28"/>
      <c r="L15" s="28"/>
      <c r="M15" s="28"/>
      <c r="N15" s="28"/>
      <c r="O15" s="28"/>
      <c r="P15" s="28"/>
      <c r="Q15" s="28"/>
      <c r="R15" s="28"/>
      <c r="S15" s="28"/>
      <c r="T15" s="28"/>
      <c r="U15" s="28"/>
      <c r="V15" s="28"/>
      <c r="W15" s="28"/>
      <c r="X15" s="28"/>
      <c r="Y15" s="28"/>
      <c r="Z15" s="28"/>
      <c r="AA15" s="28"/>
      <c r="AB15" s="28"/>
      <c r="AC15" s="28"/>
      <c r="AD15" s="28"/>
      <c r="AE15" s="28"/>
      <c r="AF15" s="28"/>
      <c r="AG15" s="28"/>
      <c r="AH15" s="28"/>
      <c r="AI15" s="28"/>
      <c r="AJ15" s="28"/>
    </row>
    <row r="16" spans="1:36" x14ac:dyDescent="0.45">
      <c r="B16" s="25" t="s">
        <v>341</v>
      </c>
      <c r="C16" s="26" t="s">
        <v>206</v>
      </c>
      <c r="D16" s="49">
        <f ca="1">FirstOilYear</f>
        <v>3</v>
      </c>
      <c r="E16" s="28"/>
      <c r="F16" s="26" t="s">
        <v>299</v>
      </c>
      <c r="G16" s="28"/>
      <c r="H16" s="28"/>
      <c r="I16" s="28"/>
      <c r="J16" s="28"/>
      <c r="K16" s="28"/>
      <c r="L16" s="28"/>
      <c r="M16" s="28"/>
      <c r="N16" s="28"/>
      <c r="O16" s="28"/>
      <c r="P16" s="28"/>
      <c r="Q16" s="28"/>
      <c r="R16" s="28"/>
      <c r="S16" s="28"/>
      <c r="T16" s="28"/>
      <c r="U16" s="28"/>
      <c r="V16" s="28"/>
      <c r="W16" s="28"/>
      <c r="X16" s="28"/>
      <c r="Y16" s="28"/>
      <c r="Z16" s="28"/>
      <c r="AA16" s="28"/>
      <c r="AB16" s="28"/>
      <c r="AC16" s="28"/>
      <c r="AD16" s="28"/>
      <c r="AE16" s="28"/>
      <c r="AF16" s="28"/>
      <c r="AG16" s="28"/>
      <c r="AH16" s="28"/>
      <c r="AI16" s="28"/>
      <c r="AJ16" s="28"/>
    </row>
    <row r="17" spans="2:36" x14ac:dyDescent="0.45">
      <c r="B17" s="25" t="s">
        <v>342</v>
      </c>
      <c r="C17" s="26" t="s">
        <v>206</v>
      </c>
      <c r="D17" s="49">
        <f ca="1">FirstOilYear+FieldLife</f>
        <v>20</v>
      </c>
      <c r="E17" s="28"/>
      <c r="F17" s="26" t="s">
        <v>343</v>
      </c>
      <c r="G17" s="28"/>
      <c r="H17" s="28"/>
      <c r="I17" s="28"/>
      <c r="J17" s="28"/>
      <c r="K17" s="28"/>
      <c r="L17" s="28"/>
      <c r="M17" s="28"/>
      <c r="N17" s="28"/>
      <c r="O17" s="28"/>
      <c r="P17" s="28"/>
      <c r="Q17" s="28"/>
      <c r="R17" s="28"/>
      <c r="S17" s="28"/>
      <c r="T17" s="28"/>
      <c r="U17" s="28"/>
      <c r="V17" s="28"/>
      <c r="W17" s="28"/>
      <c r="X17" s="28"/>
      <c r="Y17" s="28"/>
      <c r="Z17" s="28"/>
      <c r="AA17" s="28"/>
      <c r="AB17" s="28"/>
      <c r="AC17" s="28"/>
      <c r="AD17" s="28"/>
      <c r="AE17" s="28"/>
      <c r="AF17" s="28"/>
      <c r="AG17" s="28"/>
      <c r="AH17" s="28"/>
      <c r="AI17" s="28"/>
      <c r="AJ17" s="28"/>
    </row>
    <row r="18" spans="2:36" x14ac:dyDescent="0.45">
      <c r="B18" s="25" t="s">
        <v>344</v>
      </c>
      <c r="C18" s="26" t="s">
        <v>210</v>
      </c>
      <c r="D18" s="62">
        <f ca="1">SUM(F18:AJ18)</f>
        <v>1</v>
      </c>
      <c r="E18" s="28"/>
      <c r="F18" s="46">
        <f t="shared" ref="F18:AJ18" ca="1" si="3">SUMIF(CapexPhase_Year,F$6-FirstOilYear,CapexPhase_Share)</f>
        <v>0</v>
      </c>
      <c r="G18" s="46">
        <f t="shared" ca="1" si="3"/>
        <v>0.3</v>
      </c>
      <c r="H18" s="46">
        <f t="shared" ca="1" si="3"/>
        <v>0.5</v>
      </c>
      <c r="I18" s="46">
        <f t="shared" ca="1" si="3"/>
        <v>0.2</v>
      </c>
      <c r="J18" s="46">
        <f t="shared" ca="1" si="3"/>
        <v>0</v>
      </c>
      <c r="K18" s="46">
        <f t="shared" ca="1" si="3"/>
        <v>0</v>
      </c>
      <c r="L18" s="46">
        <f t="shared" ca="1" si="3"/>
        <v>0</v>
      </c>
      <c r="M18" s="46">
        <f t="shared" ca="1" si="3"/>
        <v>0</v>
      </c>
      <c r="N18" s="46">
        <f t="shared" ca="1" si="3"/>
        <v>0</v>
      </c>
      <c r="O18" s="46">
        <f t="shared" ca="1" si="3"/>
        <v>0</v>
      </c>
      <c r="P18" s="46">
        <f t="shared" ca="1" si="3"/>
        <v>0</v>
      </c>
      <c r="Q18" s="46">
        <f t="shared" ca="1" si="3"/>
        <v>0</v>
      </c>
      <c r="R18" s="46">
        <f t="shared" ca="1" si="3"/>
        <v>0</v>
      </c>
      <c r="S18" s="46">
        <f t="shared" ca="1" si="3"/>
        <v>0</v>
      </c>
      <c r="T18" s="46">
        <f t="shared" ca="1" si="3"/>
        <v>0</v>
      </c>
      <c r="U18" s="46">
        <f t="shared" ca="1" si="3"/>
        <v>0</v>
      </c>
      <c r="V18" s="46">
        <f t="shared" ca="1" si="3"/>
        <v>0</v>
      </c>
      <c r="W18" s="46">
        <f t="shared" ca="1" si="3"/>
        <v>0</v>
      </c>
      <c r="X18" s="46">
        <f t="shared" ca="1" si="3"/>
        <v>0</v>
      </c>
      <c r="Y18" s="46">
        <f t="shared" ca="1" si="3"/>
        <v>0</v>
      </c>
      <c r="Z18" s="46">
        <f t="shared" ca="1" si="3"/>
        <v>0</v>
      </c>
      <c r="AA18" s="46">
        <f t="shared" ca="1" si="3"/>
        <v>0</v>
      </c>
      <c r="AB18" s="46">
        <f t="shared" ca="1" si="3"/>
        <v>0</v>
      </c>
      <c r="AC18" s="46">
        <f t="shared" ca="1" si="3"/>
        <v>0</v>
      </c>
      <c r="AD18" s="46">
        <f t="shared" ca="1" si="3"/>
        <v>0</v>
      </c>
      <c r="AE18" s="46">
        <f t="shared" ca="1" si="3"/>
        <v>0</v>
      </c>
      <c r="AF18" s="46">
        <f t="shared" ca="1" si="3"/>
        <v>0</v>
      </c>
      <c r="AG18" s="46">
        <f t="shared" ca="1" si="3"/>
        <v>0</v>
      </c>
      <c r="AH18" s="46">
        <f t="shared" ca="1" si="3"/>
        <v>0</v>
      </c>
      <c r="AI18" s="46">
        <f t="shared" ca="1" si="3"/>
        <v>0</v>
      </c>
      <c r="AJ18" s="46">
        <f t="shared" ca="1" si="3"/>
        <v>0</v>
      </c>
    </row>
    <row r="19" spans="2:36" x14ac:dyDescent="0.45">
      <c r="B19" s="25" t="s">
        <v>345</v>
      </c>
      <c r="C19" s="26" t="s">
        <v>276</v>
      </c>
      <c r="D19" s="28"/>
      <c r="E19" s="28"/>
      <c r="F19" s="49">
        <f t="shared" ref="F19:AJ19" ca="1" si="4">IF(F$6&gt;=FirstOilYear,1,0)</f>
        <v>0</v>
      </c>
      <c r="G19" s="49">
        <f t="shared" ca="1" si="4"/>
        <v>0</v>
      </c>
      <c r="H19" s="49">
        <f t="shared" ca="1" si="4"/>
        <v>0</v>
      </c>
      <c r="I19" s="49">
        <f t="shared" ca="1" si="4"/>
        <v>1</v>
      </c>
      <c r="J19" s="49">
        <f t="shared" ca="1" si="4"/>
        <v>1</v>
      </c>
      <c r="K19" s="49">
        <f t="shared" ca="1" si="4"/>
        <v>1</v>
      </c>
      <c r="L19" s="49">
        <f t="shared" ca="1" si="4"/>
        <v>1</v>
      </c>
      <c r="M19" s="49">
        <f t="shared" ca="1" si="4"/>
        <v>1</v>
      </c>
      <c r="N19" s="49">
        <f t="shared" ca="1" si="4"/>
        <v>1</v>
      </c>
      <c r="O19" s="49">
        <f t="shared" ca="1" si="4"/>
        <v>1</v>
      </c>
      <c r="P19" s="49">
        <f t="shared" ca="1" si="4"/>
        <v>1</v>
      </c>
      <c r="Q19" s="49">
        <f t="shared" ca="1" si="4"/>
        <v>1</v>
      </c>
      <c r="R19" s="49">
        <f t="shared" ca="1" si="4"/>
        <v>1</v>
      </c>
      <c r="S19" s="49">
        <f t="shared" ca="1" si="4"/>
        <v>1</v>
      </c>
      <c r="T19" s="49">
        <f t="shared" ca="1" si="4"/>
        <v>1</v>
      </c>
      <c r="U19" s="49">
        <f t="shared" ca="1" si="4"/>
        <v>1</v>
      </c>
      <c r="V19" s="49">
        <f t="shared" ca="1" si="4"/>
        <v>1</v>
      </c>
      <c r="W19" s="49">
        <f t="shared" ca="1" si="4"/>
        <v>1</v>
      </c>
      <c r="X19" s="49">
        <f t="shared" ca="1" si="4"/>
        <v>1</v>
      </c>
      <c r="Y19" s="49">
        <f t="shared" ca="1" si="4"/>
        <v>1</v>
      </c>
      <c r="Z19" s="49">
        <f t="shared" ca="1" si="4"/>
        <v>1</v>
      </c>
      <c r="AA19" s="49">
        <f t="shared" ca="1" si="4"/>
        <v>1</v>
      </c>
      <c r="AB19" s="49">
        <f t="shared" ca="1" si="4"/>
        <v>1</v>
      </c>
      <c r="AC19" s="49">
        <f t="shared" ca="1" si="4"/>
        <v>1</v>
      </c>
      <c r="AD19" s="49">
        <f t="shared" ca="1" si="4"/>
        <v>1</v>
      </c>
      <c r="AE19" s="49">
        <f t="shared" ca="1" si="4"/>
        <v>1</v>
      </c>
      <c r="AF19" s="49">
        <f t="shared" ca="1" si="4"/>
        <v>1</v>
      </c>
      <c r="AG19" s="49">
        <f t="shared" ca="1" si="4"/>
        <v>1</v>
      </c>
      <c r="AH19" s="49">
        <f t="shared" ca="1" si="4"/>
        <v>1</v>
      </c>
      <c r="AI19" s="49">
        <f t="shared" ca="1" si="4"/>
        <v>1</v>
      </c>
      <c r="AJ19" s="49">
        <f t="shared" ca="1" si="4"/>
        <v>1</v>
      </c>
    </row>
    <row r="20" spans="2:36" x14ac:dyDescent="0.45">
      <c r="B20" s="25" t="s">
        <v>346</v>
      </c>
      <c r="C20" s="26" t="s">
        <v>210</v>
      </c>
      <c r="D20" s="28"/>
      <c r="E20" s="28"/>
      <c r="F20" s="46">
        <f t="shared" ref="F20:AJ20" ca="1" si="5">IF(F$6=FirstOilYear,RampFactor,1)</f>
        <v>1</v>
      </c>
      <c r="G20" s="46">
        <f t="shared" ca="1" si="5"/>
        <v>1</v>
      </c>
      <c r="H20" s="46">
        <f t="shared" ca="1" si="5"/>
        <v>1</v>
      </c>
      <c r="I20" s="46">
        <f t="shared" ca="1" si="5"/>
        <v>0.5</v>
      </c>
      <c r="J20" s="46">
        <f t="shared" ca="1" si="5"/>
        <v>1</v>
      </c>
      <c r="K20" s="46">
        <f t="shared" ca="1" si="5"/>
        <v>1</v>
      </c>
      <c r="L20" s="46">
        <f t="shared" ca="1" si="5"/>
        <v>1</v>
      </c>
      <c r="M20" s="46">
        <f t="shared" ca="1" si="5"/>
        <v>1</v>
      </c>
      <c r="N20" s="46">
        <f t="shared" ca="1" si="5"/>
        <v>1</v>
      </c>
      <c r="O20" s="46">
        <f t="shared" ca="1" si="5"/>
        <v>1</v>
      </c>
      <c r="P20" s="46">
        <f t="shared" ca="1" si="5"/>
        <v>1</v>
      </c>
      <c r="Q20" s="46">
        <f t="shared" ca="1" si="5"/>
        <v>1</v>
      </c>
      <c r="R20" s="46">
        <f t="shared" ca="1" si="5"/>
        <v>1</v>
      </c>
      <c r="S20" s="46">
        <f t="shared" ca="1" si="5"/>
        <v>1</v>
      </c>
      <c r="T20" s="46">
        <f t="shared" ca="1" si="5"/>
        <v>1</v>
      </c>
      <c r="U20" s="46">
        <f t="shared" ca="1" si="5"/>
        <v>1</v>
      </c>
      <c r="V20" s="46">
        <f t="shared" ca="1" si="5"/>
        <v>1</v>
      </c>
      <c r="W20" s="46">
        <f t="shared" ca="1" si="5"/>
        <v>1</v>
      </c>
      <c r="X20" s="46">
        <f t="shared" ca="1" si="5"/>
        <v>1</v>
      </c>
      <c r="Y20" s="46">
        <f t="shared" ca="1" si="5"/>
        <v>1</v>
      </c>
      <c r="Z20" s="46">
        <f t="shared" ca="1" si="5"/>
        <v>1</v>
      </c>
      <c r="AA20" s="46">
        <f t="shared" ca="1" si="5"/>
        <v>1</v>
      </c>
      <c r="AB20" s="46">
        <f t="shared" ca="1" si="5"/>
        <v>1</v>
      </c>
      <c r="AC20" s="46">
        <f t="shared" ca="1" si="5"/>
        <v>1</v>
      </c>
      <c r="AD20" s="46">
        <f t="shared" ca="1" si="5"/>
        <v>1</v>
      </c>
      <c r="AE20" s="46">
        <f t="shared" ca="1" si="5"/>
        <v>1</v>
      </c>
      <c r="AF20" s="46">
        <f t="shared" ca="1" si="5"/>
        <v>1</v>
      </c>
      <c r="AG20" s="46">
        <f t="shared" ca="1" si="5"/>
        <v>1</v>
      </c>
      <c r="AH20" s="46">
        <f t="shared" ca="1" si="5"/>
        <v>1</v>
      </c>
      <c r="AI20" s="46">
        <f t="shared" ca="1" si="5"/>
        <v>1</v>
      </c>
      <c r="AJ20" s="46">
        <f t="shared" ca="1" si="5"/>
        <v>1</v>
      </c>
    </row>
    <row r="21" spans="2:36" x14ac:dyDescent="0.45">
      <c r="B21" s="25" t="s">
        <v>347</v>
      </c>
      <c r="C21" s="26" t="s">
        <v>276</v>
      </c>
      <c r="D21" s="28"/>
      <c r="E21" s="28"/>
      <c r="F21" s="49">
        <f t="shared" ref="F21:AJ21" si="6">IF(F$6=MAX($F$6:$AJ$6),1,0)</f>
        <v>0</v>
      </c>
      <c r="G21" s="49">
        <f t="shared" si="6"/>
        <v>0</v>
      </c>
      <c r="H21" s="49">
        <f t="shared" si="6"/>
        <v>0</v>
      </c>
      <c r="I21" s="49">
        <f t="shared" si="6"/>
        <v>0</v>
      </c>
      <c r="J21" s="49">
        <f t="shared" si="6"/>
        <v>0</v>
      </c>
      <c r="K21" s="49">
        <f t="shared" si="6"/>
        <v>0</v>
      </c>
      <c r="L21" s="49">
        <f t="shared" si="6"/>
        <v>0</v>
      </c>
      <c r="M21" s="49">
        <f t="shared" si="6"/>
        <v>0</v>
      </c>
      <c r="N21" s="49">
        <f t="shared" si="6"/>
        <v>0</v>
      </c>
      <c r="O21" s="49">
        <f t="shared" si="6"/>
        <v>0</v>
      </c>
      <c r="P21" s="49">
        <f t="shared" si="6"/>
        <v>0</v>
      </c>
      <c r="Q21" s="49">
        <f t="shared" si="6"/>
        <v>0</v>
      </c>
      <c r="R21" s="49">
        <f t="shared" si="6"/>
        <v>0</v>
      </c>
      <c r="S21" s="49">
        <f t="shared" si="6"/>
        <v>0</v>
      </c>
      <c r="T21" s="49">
        <f t="shared" si="6"/>
        <v>0</v>
      </c>
      <c r="U21" s="49">
        <f t="shared" si="6"/>
        <v>0</v>
      </c>
      <c r="V21" s="49">
        <f t="shared" si="6"/>
        <v>0</v>
      </c>
      <c r="W21" s="49">
        <f t="shared" si="6"/>
        <v>0</v>
      </c>
      <c r="X21" s="49">
        <f t="shared" si="6"/>
        <v>0</v>
      </c>
      <c r="Y21" s="49">
        <f t="shared" si="6"/>
        <v>0</v>
      </c>
      <c r="Z21" s="49">
        <f t="shared" si="6"/>
        <v>0</v>
      </c>
      <c r="AA21" s="49">
        <f t="shared" si="6"/>
        <v>0</v>
      </c>
      <c r="AB21" s="49">
        <f t="shared" si="6"/>
        <v>0</v>
      </c>
      <c r="AC21" s="49">
        <f t="shared" si="6"/>
        <v>0</v>
      </c>
      <c r="AD21" s="49">
        <f t="shared" si="6"/>
        <v>0</v>
      </c>
      <c r="AE21" s="49">
        <f t="shared" si="6"/>
        <v>0</v>
      </c>
      <c r="AF21" s="49">
        <f t="shared" si="6"/>
        <v>0</v>
      </c>
      <c r="AG21" s="49">
        <f t="shared" si="6"/>
        <v>0</v>
      </c>
      <c r="AH21" s="49">
        <f t="shared" si="6"/>
        <v>0</v>
      </c>
      <c r="AI21" s="49">
        <f t="shared" si="6"/>
        <v>0</v>
      </c>
      <c r="AJ21" s="49">
        <f t="shared" si="6"/>
        <v>1</v>
      </c>
    </row>
    <row r="22" spans="2:36" ht="8" customHeight="1" x14ac:dyDescent="0.45"/>
    <row r="23" spans="2:36" ht="22.05" customHeight="1" x14ac:dyDescent="0.5">
      <c r="B23" s="7" t="s">
        <v>348</v>
      </c>
      <c r="C23" s="8"/>
      <c r="D23" s="8"/>
      <c r="E23" s="8"/>
      <c r="F23" s="8"/>
      <c r="G23" s="8"/>
      <c r="H23" s="8"/>
      <c r="I23" s="8"/>
      <c r="J23" s="8"/>
      <c r="K23" s="8"/>
      <c r="L23" s="8"/>
      <c r="M23" s="8"/>
      <c r="N23" s="8"/>
      <c r="O23" s="8"/>
      <c r="P23" s="8"/>
      <c r="Q23" s="8"/>
      <c r="R23" s="8"/>
      <c r="S23" s="8"/>
      <c r="T23" s="8"/>
      <c r="U23" s="8"/>
      <c r="V23" s="8"/>
      <c r="W23" s="8"/>
      <c r="X23" s="8"/>
      <c r="Y23" s="8"/>
      <c r="Z23" s="8"/>
      <c r="AA23" s="8"/>
      <c r="AB23" s="8"/>
      <c r="AC23" s="8"/>
      <c r="AD23" s="8"/>
      <c r="AE23" s="8"/>
      <c r="AF23" s="8"/>
      <c r="AG23" s="8"/>
      <c r="AH23" s="8"/>
      <c r="AI23" s="8"/>
      <c r="AJ23" s="8"/>
    </row>
    <row r="24" spans="2:36" ht="18" customHeight="1" x14ac:dyDescent="0.45">
      <c r="B24" s="13" t="s">
        <v>349</v>
      </c>
    </row>
    <row r="25" spans="2:36" x14ac:dyDescent="0.45">
      <c r="B25" s="25" t="s">
        <v>350</v>
      </c>
      <c r="C25" s="26" t="s">
        <v>237</v>
      </c>
      <c r="D25" s="28"/>
      <c r="E25" s="28"/>
      <c r="F25" s="45">
        <f>Price_Y0</f>
        <v>75</v>
      </c>
      <c r="G25" s="47">
        <f t="array" aca="1" ref="G25:AJ25" ca="1">_xll.VoseTimeGBMVR(Price_LT,Price_Vol,Price_Alpha,Price_Y0)</f>
        <v>55.667399171328505</v>
      </c>
      <c r="H25" s="47">
        <f ca="1"/>
        <v>53.746553818636727</v>
      </c>
      <c r="I25" s="47">
        <f ca="1"/>
        <v>69.416968148161317</v>
      </c>
      <c r="J25" s="47">
        <f ca="1"/>
        <v>66.22953105607246</v>
      </c>
      <c r="K25" s="47">
        <f ca="1"/>
        <v>65.867086247379902</v>
      </c>
      <c r="L25" s="47">
        <f ca="1"/>
        <v>79.273972541332739</v>
      </c>
      <c r="M25" s="47">
        <f ca="1"/>
        <v>127.66150893746341</v>
      </c>
      <c r="N25" s="47">
        <f ca="1"/>
        <v>90.763386722366818</v>
      </c>
      <c r="O25" s="47">
        <f ca="1"/>
        <v>72.540415646058761</v>
      </c>
      <c r="P25" s="47">
        <f ca="1"/>
        <v>76.660482490270027</v>
      </c>
      <c r="Q25" s="47">
        <f ca="1"/>
        <v>74.949951726710196</v>
      </c>
      <c r="R25" s="47">
        <f ca="1"/>
        <v>63.679698231814818</v>
      </c>
      <c r="S25" s="47">
        <f ca="1"/>
        <v>60.052747267346142</v>
      </c>
      <c r="T25" s="47">
        <f ca="1"/>
        <v>59.61763036174807</v>
      </c>
      <c r="U25" s="47">
        <f ca="1"/>
        <v>43.871352173408589</v>
      </c>
      <c r="V25" s="47">
        <f ca="1"/>
        <v>45.992211728248002</v>
      </c>
      <c r="W25" s="47">
        <f ca="1"/>
        <v>66.579339471546632</v>
      </c>
      <c r="X25" s="47">
        <f ca="1"/>
        <v>52.338822652207014</v>
      </c>
      <c r="Y25" s="47">
        <f ca="1"/>
        <v>60.799250013726784</v>
      </c>
      <c r="Z25" s="47">
        <f ca="1"/>
        <v>62.033391227625074</v>
      </c>
      <c r="AA25" s="47">
        <f ca="1"/>
        <v>57.713619953608244</v>
      </c>
      <c r="AB25" s="47">
        <f ca="1"/>
        <v>36.589459452876973</v>
      </c>
      <c r="AC25" s="47">
        <f ca="1"/>
        <v>55.154482166297228</v>
      </c>
      <c r="AD25" s="47">
        <f ca="1"/>
        <v>56.73555171919422</v>
      </c>
      <c r="AE25" s="47">
        <f ca="1"/>
        <v>49.362280848066398</v>
      </c>
      <c r="AF25" s="47">
        <f ca="1"/>
        <v>53.171732641818025</v>
      </c>
      <c r="AG25" s="47">
        <f ca="1"/>
        <v>72.925821791100489</v>
      </c>
      <c r="AH25" s="47">
        <f ca="1"/>
        <v>58.879794840202692</v>
      </c>
      <c r="AI25" s="47">
        <f ca="1"/>
        <v>33.338770807134779</v>
      </c>
      <c r="AJ25" s="47">
        <f ca="1"/>
        <v>33.481158848724348</v>
      </c>
    </row>
    <row r="26" spans="2:36" ht="8" customHeight="1" x14ac:dyDescent="0.45"/>
    <row r="27" spans="2:36" ht="22.05" customHeight="1" x14ac:dyDescent="0.5">
      <c r="B27" s="7" t="s">
        <v>351</v>
      </c>
      <c r="C27" s="8"/>
      <c r="D27" s="8"/>
      <c r="E27" s="8"/>
      <c r="F27" s="8"/>
      <c r="G27" s="8"/>
      <c r="H27" s="8"/>
      <c r="I27" s="8"/>
      <c r="J27" s="8"/>
      <c r="K27" s="8"/>
      <c r="L27" s="8"/>
      <c r="M27" s="8"/>
      <c r="N27" s="8"/>
      <c r="O27" s="8"/>
      <c r="P27" s="8"/>
      <c r="Q27" s="8"/>
      <c r="R27" s="8"/>
      <c r="S27" s="8"/>
      <c r="T27" s="8"/>
      <c r="U27" s="8"/>
      <c r="V27" s="8"/>
      <c r="W27" s="8"/>
      <c r="X27" s="8"/>
      <c r="Y27" s="8"/>
      <c r="Z27" s="8"/>
      <c r="AA27" s="8"/>
      <c r="AB27" s="8"/>
      <c r="AC27" s="8"/>
      <c r="AD27" s="8"/>
      <c r="AE27" s="8"/>
      <c r="AF27" s="8"/>
      <c r="AG27" s="8"/>
      <c r="AH27" s="8"/>
      <c r="AI27" s="8"/>
      <c r="AJ27" s="8"/>
    </row>
    <row r="28" spans="2:36" ht="18" customHeight="1" x14ac:dyDescent="0.45">
      <c r="B28" s="13" t="s">
        <v>352</v>
      </c>
    </row>
    <row r="29" spans="2:36" x14ac:dyDescent="0.45">
      <c r="B29" s="25" t="s">
        <v>353</v>
      </c>
      <c r="C29" s="26" t="s">
        <v>176</v>
      </c>
      <c r="D29" s="28"/>
      <c r="E29" s="28"/>
      <c r="F29" s="52">
        <f t="shared" ref="F29:AJ29" ca="1" si="7">Recoverable-E36</f>
        <v>65.034800588636685</v>
      </c>
      <c r="G29" s="52">
        <f t="shared" ca="1" si="7"/>
        <v>65.034800588636685</v>
      </c>
      <c r="H29" s="52">
        <f t="shared" ca="1" si="7"/>
        <v>65.034800588636685</v>
      </c>
      <c r="I29" s="52">
        <f t="shared" ca="1" si="7"/>
        <v>65.034800588636685</v>
      </c>
      <c r="J29" s="52">
        <f t="shared" ca="1" si="7"/>
        <v>61.841444571190024</v>
      </c>
      <c r="K29" s="52">
        <f t="shared" ca="1" si="7"/>
        <v>55.454732536296703</v>
      </c>
      <c r="L29" s="52">
        <f t="shared" ca="1" si="7"/>
        <v>49.068020501403389</v>
      </c>
      <c r="M29" s="52">
        <f t="shared" ca="1" si="7"/>
        <v>42.681308466510067</v>
      </c>
      <c r="N29" s="52">
        <f t="shared" ca="1" si="7"/>
        <v>36.294596431616746</v>
      </c>
      <c r="O29" s="52">
        <f t="shared" ca="1" si="7"/>
        <v>30.354106782656274</v>
      </c>
      <c r="P29" s="52">
        <f t="shared" ca="1" si="7"/>
        <v>25.385922125043365</v>
      </c>
      <c r="Q29" s="52">
        <f t="shared" ca="1" si="7"/>
        <v>21.23090120072284</v>
      </c>
      <c r="R29" s="52">
        <f t="shared" ca="1" si="7"/>
        <v>17.755950072429542</v>
      </c>
      <c r="S29" s="52">
        <f t="shared" ca="1" si="7"/>
        <v>14.849758848855494</v>
      </c>
      <c r="T29" s="52">
        <f t="shared" ca="1" si="7"/>
        <v>12.419236197986727</v>
      </c>
      <c r="U29" s="52">
        <f t="shared" ca="1" si="7"/>
        <v>10.386527438677646</v>
      </c>
      <c r="V29" s="52">
        <f t="shared" ca="1" si="7"/>
        <v>8.6865206937518451</v>
      </c>
      <c r="W29" s="52">
        <f t="shared" ca="1" si="7"/>
        <v>7.2647612215411996</v>
      </c>
      <c r="X29" s="52">
        <f t="shared" ca="1" si="7"/>
        <v>6.075707117577096</v>
      </c>
      <c r="Y29" s="52">
        <f t="shared" ca="1" si="7"/>
        <v>5.0812705129413303</v>
      </c>
      <c r="Z29" s="52">
        <f t="shared" ca="1" si="7"/>
        <v>4.2495975408346283</v>
      </c>
      <c r="AA29" s="52">
        <f t="shared" ca="1" si="7"/>
        <v>4.2495975408346283</v>
      </c>
      <c r="AB29" s="52">
        <f t="shared" ca="1" si="7"/>
        <v>4.2495975408346283</v>
      </c>
      <c r="AC29" s="52">
        <f t="shared" ca="1" si="7"/>
        <v>4.2495975408346283</v>
      </c>
      <c r="AD29" s="52">
        <f t="shared" ca="1" si="7"/>
        <v>4.2495975408346283</v>
      </c>
      <c r="AE29" s="52">
        <f t="shared" ca="1" si="7"/>
        <v>4.2495975408346283</v>
      </c>
      <c r="AF29" s="52">
        <f t="shared" ca="1" si="7"/>
        <v>4.2495975408346283</v>
      </c>
      <c r="AG29" s="52">
        <f t="shared" ca="1" si="7"/>
        <v>4.2495975408346283</v>
      </c>
      <c r="AH29" s="52">
        <f t="shared" ca="1" si="7"/>
        <v>4.2495975408346283</v>
      </c>
      <c r="AI29" s="52">
        <f t="shared" ca="1" si="7"/>
        <v>4.2495975408346283</v>
      </c>
      <c r="AJ29" s="52">
        <f t="shared" ca="1" si="7"/>
        <v>4.2495975408346283</v>
      </c>
    </row>
    <row r="30" spans="2:36" x14ac:dyDescent="0.45">
      <c r="B30" s="25" t="s">
        <v>354</v>
      </c>
      <c r="C30" s="26" t="s">
        <v>176</v>
      </c>
      <c r="D30" s="28"/>
      <c r="E30" s="28"/>
      <c r="F30" s="52">
        <f t="shared" ref="F30:AJ30" ca="1" si="8">PlateauRate*F20</f>
        <v>6.3867120348933195</v>
      </c>
      <c r="G30" s="52">
        <f t="shared" ca="1" si="8"/>
        <v>6.3867120348933195</v>
      </c>
      <c r="H30" s="52">
        <f t="shared" ca="1" si="8"/>
        <v>6.3867120348933195</v>
      </c>
      <c r="I30" s="52">
        <f t="shared" ca="1" si="8"/>
        <v>3.1933560174466598</v>
      </c>
      <c r="J30" s="52">
        <f t="shared" ca="1" si="8"/>
        <v>6.3867120348933195</v>
      </c>
      <c r="K30" s="52">
        <f t="shared" ca="1" si="8"/>
        <v>6.3867120348933195</v>
      </c>
      <c r="L30" s="52">
        <f t="shared" ca="1" si="8"/>
        <v>6.3867120348933195</v>
      </c>
      <c r="M30" s="52">
        <f t="shared" ca="1" si="8"/>
        <v>6.3867120348933195</v>
      </c>
      <c r="N30" s="52">
        <f t="shared" ca="1" si="8"/>
        <v>6.3867120348933195</v>
      </c>
      <c r="O30" s="52">
        <f t="shared" ca="1" si="8"/>
        <v>6.3867120348933195</v>
      </c>
      <c r="P30" s="52">
        <f t="shared" ca="1" si="8"/>
        <v>6.3867120348933195</v>
      </c>
      <c r="Q30" s="52">
        <f t="shared" ca="1" si="8"/>
        <v>6.3867120348933195</v>
      </c>
      <c r="R30" s="52">
        <f t="shared" ca="1" si="8"/>
        <v>6.3867120348933195</v>
      </c>
      <c r="S30" s="52">
        <f t="shared" ca="1" si="8"/>
        <v>6.3867120348933195</v>
      </c>
      <c r="T30" s="52">
        <f t="shared" ca="1" si="8"/>
        <v>6.3867120348933195</v>
      </c>
      <c r="U30" s="52">
        <f t="shared" ca="1" si="8"/>
        <v>6.3867120348933195</v>
      </c>
      <c r="V30" s="52">
        <f t="shared" ca="1" si="8"/>
        <v>6.3867120348933195</v>
      </c>
      <c r="W30" s="52">
        <f t="shared" ca="1" si="8"/>
        <v>6.3867120348933195</v>
      </c>
      <c r="X30" s="52">
        <f t="shared" ca="1" si="8"/>
        <v>6.3867120348933195</v>
      </c>
      <c r="Y30" s="52">
        <f t="shared" ca="1" si="8"/>
        <v>6.3867120348933195</v>
      </c>
      <c r="Z30" s="52">
        <f t="shared" ca="1" si="8"/>
        <v>6.3867120348933195</v>
      </c>
      <c r="AA30" s="52">
        <f t="shared" ca="1" si="8"/>
        <v>6.3867120348933195</v>
      </c>
      <c r="AB30" s="52">
        <f t="shared" ca="1" si="8"/>
        <v>6.3867120348933195</v>
      </c>
      <c r="AC30" s="52">
        <f t="shared" ca="1" si="8"/>
        <v>6.3867120348933195</v>
      </c>
      <c r="AD30" s="52">
        <f t="shared" ca="1" si="8"/>
        <v>6.3867120348933195</v>
      </c>
      <c r="AE30" s="52">
        <f t="shared" ca="1" si="8"/>
        <v>6.3867120348933195</v>
      </c>
      <c r="AF30" s="52">
        <f t="shared" ca="1" si="8"/>
        <v>6.3867120348933195</v>
      </c>
      <c r="AG30" s="52">
        <f t="shared" ca="1" si="8"/>
        <v>6.3867120348933195</v>
      </c>
      <c r="AH30" s="52">
        <f t="shared" ca="1" si="8"/>
        <v>6.3867120348933195</v>
      </c>
      <c r="AI30" s="52">
        <f t="shared" ca="1" si="8"/>
        <v>6.3867120348933195</v>
      </c>
      <c r="AJ30" s="52">
        <f t="shared" ca="1" si="8"/>
        <v>6.3867120348933195</v>
      </c>
    </row>
    <row r="31" spans="2:36" x14ac:dyDescent="0.45">
      <c r="B31" s="25" t="s">
        <v>355</v>
      </c>
      <c r="C31" s="26" t="s">
        <v>176</v>
      </c>
      <c r="D31" s="28"/>
      <c r="E31" s="28"/>
      <c r="F31" s="52">
        <f t="shared" ref="F31:AJ31" ca="1" si="9">DeclineRate*F29</f>
        <v>10.644520058155532</v>
      </c>
      <c r="G31" s="52">
        <f t="shared" ca="1" si="9"/>
        <v>10.644520058155532</v>
      </c>
      <c r="H31" s="52">
        <f t="shared" ca="1" si="9"/>
        <v>10.644520058155532</v>
      </c>
      <c r="I31" s="52">
        <f t="shared" ca="1" si="9"/>
        <v>10.644520058155532</v>
      </c>
      <c r="J31" s="52">
        <f t="shared" ca="1" si="9"/>
        <v>10.121850012689414</v>
      </c>
      <c r="K31" s="52">
        <f t="shared" ca="1" si="9"/>
        <v>9.0765099217571787</v>
      </c>
      <c r="L31" s="52">
        <f t="shared" ca="1" si="9"/>
        <v>8.0311698308249433</v>
      </c>
      <c r="M31" s="52">
        <f t="shared" ca="1" si="9"/>
        <v>6.9858297398927078</v>
      </c>
      <c r="N31" s="52">
        <f t="shared" ca="1" si="9"/>
        <v>5.9404896489604724</v>
      </c>
      <c r="O31" s="52">
        <f t="shared" ca="1" si="9"/>
        <v>4.9681846576129063</v>
      </c>
      <c r="P31" s="52">
        <f t="shared" ca="1" si="9"/>
        <v>4.1550209243205281</v>
      </c>
      <c r="Q31" s="52">
        <f t="shared" ca="1" si="9"/>
        <v>3.4749511282932972</v>
      </c>
      <c r="R31" s="52">
        <f t="shared" ca="1" si="9"/>
        <v>2.9061912235740506</v>
      </c>
      <c r="S31" s="52">
        <f t="shared" ca="1" si="9"/>
        <v>2.4305226508687676</v>
      </c>
      <c r="T31" s="52">
        <f t="shared" ca="1" si="9"/>
        <v>2.0327087593090778</v>
      </c>
      <c r="U31" s="52">
        <f t="shared" ca="1" si="9"/>
        <v>1.7000067449258041</v>
      </c>
      <c r="V31" s="52">
        <f t="shared" ca="1" si="9"/>
        <v>1.4217594722106448</v>
      </c>
      <c r="W31" s="52">
        <f t="shared" ca="1" si="9"/>
        <v>1.1890541039641072</v>
      </c>
      <c r="X31" s="52">
        <f t="shared" ca="1" si="9"/>
        <v>0.99443660463576222</v>
      </c>
      <c r="Y31" s="52">
        <f t="shared" ca="1" si="9"/>
        <v>0.83167297210670321</v>
      </c>
      <c r="Z31" s="52">
        <f t="shared" ca="1" si="9"/>
        <v>0.6955495496730465</v>
      </c>
      <c r="AA31" s="52">
        <f t="shared" ca="1" si="9"/>
        <v>0.6955495496730465</v>
      </c>
      <c r="AB31" s="52">
        <f t="shared" ca="1" si="9"/>
        <v>0.6955495496730465</v>
      </c>
      <c r="AC31" s="52">
        <f t="shared" ca="1" si="9"/>
        <v>0.6955495496730465</v>
      </c>
      <c r="AD31" s="52">
        <f t="shared" ca="1" si="9"/>
        <v>0.6955495496730465</v>
      </c>
      <c r="AE31" s="52">
        <f t="shared" ca="1" si="9"/>
        <v>0.6955495496730465</v>
      </c>
      <c r="AF31" s="52">
        <f t="shared" ca="1" si="9"/>
        <v>0.6955495496730465</v>
      </c>
      <c r="AG31" s="52">
        <f t="shared" ca="1" si="9"/>
        <v>0.6955495496730465</v>
      </c>
      <c r="AH31" s="52">
        <f t="shared" ca="1" si="9"/>
        <v>0.6955495496730465</v>
      </c>
      <c r="AI31" s="52">
        <f t="shared" ca="1" si="9"/>
        <v>0.6955495496730465</v>
      </c>
      <c r="AJ31" s="52">
        <f t="shared" ca="1" si="9"/>
        <v>0.6955495496730465</v>
      </c>
    </row>
    <row r="32" spans="2:36" x14ac:dyDescent="0.45">
      <c r="B32" s="25" t="s">
        <v>356</v>
      </c>
      <c r="C32" s="26" t="s">
        <v>176</v>
      </c>
      <c r="D32" s="28"/>
      <c r="E32" s="28"/>
      <c r="F32" s="52">
        <f t="shared" ref="F32:AJ32" ca="1" si="10">F19*MIN(F30,F31)</f>
        <v>0</v>
      </c>
      <c r="G32" s="52">
        <f t="shared" ca="1" si="10"/>
        <v>0</v>
      </c>
      <c r="H32" s="52">
        <f t="shared" ca="1" si="10"/>
        <v>0</v>
      </c>
      <c r="I32" s="52">
        <f t="shared" ca="1" si="10"/>
        <v>3.1933560174466598</v>
      </c>
      <c r="J32" s="52">
        <f t="shared" ca="1" si="10"/>
        <v>6.3867120348933195</v>
      </c>
      <c r="K32" s="52">
        <f t="shared" ca="1" si="10"/>
        <v>6.3867120348933195</v>
      </c>
      <c r="L32" s="52">
        <f t="shared" ca="1" si="10"/>
        <v>6.3867120348933195</v>
      </c>
      <c r="M32" s="52">
        <f t="shared" ca="1" si="10"/>
        <v>6.3867120348933195</v>
      </c>
      <c r="N32" s="52">
        <f t="shared" ca="1" si="10"/>
        <v>5.9404896489604724</v>
      </c>
      <c r="O32" s="52">
        <f t="shared" ca="1" si="10"/>
        <v>4.9681846576129063</v>
      </c>
      <c r="P32" s="52">
        <f t="shared" ca="1" si="10"/>
        <v>4.1550209243205281</v>
      </c>
      <c r="Q32" s="52">
        <f t="shared" ca="1" si="10"/>
        <v>3.4749511282932972</v>
      </c>
      <c r="R32" s="52">
        <f t="shared" ca="1" si="10"/>
        <v>2.9061912235740506</v>
      </c>
      <c r="S32" s="52">
        <f t="shared" ca="1" si="10"/>
        <v>2.4305226508687676</v>
      </c>
      <c r="T32" s="52">
        <f t="shared" ca="1" si="10"/>
        <v>2.0327087593090778</v>
      </c>
      <c r="U32" s="52">
        <f t="shared" ca="1" si="10"/>
        <v>1.7000067449258041</v>
      </c>
      <c r="V32" s="52">
        <f t="shared" ca="1" si="10"/>
        <v>1.4217594722106448</v>
      </c>
      <c r="W32" s="52">
        <f t="shared" ca="1" si="10"/>
        <v>1.1890541039641072</v>
      </c>
      <c r="X32" s="52">
        <f t="shared" ca="1" si="10"/>
        <v>0.99443660463576222</v>
      </c>
      <c r="Y32" s="52">
        <f t="shared" ca="1" si="10"/>
        <v>0.83167297210670321</v>
      </c>
      <c r="Z32" s="52">
        <f t="shared" ca="1" si="10"/>
        <v>0.6955495496730465</v>
      </c>
      <c r="AA32" s="52">
        <f t="shared" ca="1" si="10"/>
        <v>0.6955495496730465</v>
      </c>
      <c r="AB32" s="52">
        <f t="shared" ca="1" si="10"/>
        <v>0.6955495496730465</v>
      </c>
      <c r="AC32" s="52">
        <f t="shared" ca="1" si="10"/>
        <v>0.6955495496730465</v>
      </c>
      <c r="AD32" s="52">
        <f t="shared" ca="1" si="10"/>
        <v>0.6955495496730465</v>
      </c>
      <c r="AE32" s="52">
        <f t="shared" ca="1" si="10"/>
        <v>0.6955495496730465</v>
      </c>
      <c r="AF32" s="52">
        <f t="shared" ca="1" si="10"/>
        <v>0.6955495496730465</v>
      </c>
      <c r="AG32" s="52">
        <f t="shared" ca="1" si="10"/>
        <v>0.6955495496730465</v>
      </c>
      <c r="AH32" s="52">
        <f t="shared" ca="1" si="10"/>
        <v>0.6955495496730465</v>
      </c>
      <c r="AI32" s="52">
        <f t="shared" ca="1" si="10"/>
        <v>0.6955495496730465</v>
      </c>
      <c r="AJ32" s="52">
        <f t="shared" ca="1" si="10"/>
        <v>0.6955495496730465</v>
      </c>
    </row>
    <row r="33" spans="2:36" x14ac:dyDescent="0.45">
      <c r="B33" s="25" t="s">
        <v>357</v>
      </c>
      <c r="C33" s="26" t="s">
        <v>215</v>
      </c>
      <c r="D33" s="28"/>
      <c r="E33" s="28"/>
      <c r="F33" s="33">
        <f t="shared" ref="F33:AJ33" ca="1" si="11">F32*(F25*(1-Royalty)-VarOpex)-FixedOpex</f>
        <v>-34.725011566601673</v>
      </c>
      <c r="G33" s="33">
        <f t="shared" ca="1" si="11"/>
        <v>-34.725011566601673</v>
      </c>
      <c r="H33" s="33">
        <f t="shared" ca="1" si="11"/>
        <v>-34.725011566601673</v>
      </c>
      <c r="I33" s="33">
        <f t="shared" ca="1" si="11"/>
        <v>137.76315168116568</v>
      </c>
      <c r="J33" s="33">
        <f t="shared" ca="1" si="11"/>
        <v>291.92979637607471</v>
      </c>
      <c r="K33" s="33">
        <f t="shared" ca="1" si="11"/>
        <v>289.84644881657948</v>
      </c>
      <c r="L33" s="33">
        <f t="shared" ca="1" si="11"/>
        <v>366.9097786562109</v>
      </c>
      <c r="M33" s="33">
        <f t="shared" ca="1" si="11"/>
        <v>645.04331359221646</v>
      </c>
      <c r="N33" s="33">
        <f t="shared" ca="1" si="11"/>
        <v>400.27610790651124</v>
      </c>
      <c r="O33" s="33">
        <f t="shared" ca="1" si="11"/>
        <v>247.59606353666828</v>
      </c>
      <c r="P33" s="33">
        <f t="shared" ca="1" si="11"/>
        <v>216.79445020489879</v>
      </c>
      <c r="Q33" s="33">
        <f t="shared" ca="1" si="11"/>
        <v>170.27758953603117</v>
      </c>
      <c r="R33" s="33">
        <f t="shared" ca="1" si="11"/>
        <v>107.24578872143294</v>
      </c>
      <c r="S33" s="33">
        <f t="shared" ca="1" si="11"/>
        <v>76.074981334935813</v>
      </c>
      <c r="T33" s="33">
        <f t="shared" ca="1" si="11"/>
        <v>57.143859912492907</v>
      </c>
      <c r="U33" s="33">
        <f t="shared" ca="1" si="11"/>
        <v>18.01539309998072</v>
      </c>
      <c r="V33" s="33">
        <f t="shared" ca="1" si="11"/>
        <v>12.096965611921625</v>
      </c>
      <c r="W33" s="33">
        <f t="shared" ca="1" si="11"/>
        <v>26.464703021914289</v>
      </c>
      <c r="X33" s="33">
        <f t="shared" ca="1" si="11"/>
        <v>3.7043623291006824</v>
      </c>
      <c r="Y33" s="33">
        <f t="shared" ca="1" si="11"/>
        <v>3.7471425425749487</v>
      </c>
      <c r="Z33" s="33">
        <f t="shared" ca="1" si="11"/>
        <v>-1.7771914250296419</v>
      </c>
      <c r="AA33" s="33">
        <f t="shared" ca="1" si="11"/>
        <v>-4.4813448929293109</v>
      </c>
      <c r="AB33" s="33">
        <f t="shared" ca="1" si="11"/>
        <v>-17.704955184083627</v>
      </c>
      <c r="AC33" s="33">
        <f t="shared" ca="1" si="11"/>
        <v>-6.0833513148932212</v>
      </c>
      <c r="AD33" s="33">
        <f t="shared" ca="1" si="11"/>
        <v>-5.0936103209258796</v>
      </c>
      <c r="AE33" s="33">
        <f t="shared" ca="1" si="11"/>
        <v>-9.7092380315531912</v>
      </c>
      <c r="AF33" s="33">
        <f t="shared" ca="1" si="11"/>
        <v>-7.3245417998725841</v>
      </c>
      <c r="AG33" s="33">
        <f t="shared" ca="1" si="11"/>
        <v>5.0414112309135888</v>
      </c>
      <c r="AH33" s="33">
        <f t="shared" ca="1" si="11"/>
        <v>-3.7513257174396095</v>
      </c>
      <c r="AI33" s="33">
        <f t="shared" ca="1" si="11"/>
        <v>-19.739868705389569</v>
      </c>
      <c r="AJ33" s="33">
        <f t="shared" ca="1" si="11"/>
        <v>-19.650734561003759</v>
      </c>
    </row>
    <row r="34" spans="2:36" x14ac:dyDescent="0.45">
      <c r="B34" s="25" t="s">
        <v>358</v>
      </c>
      <c r="C34" s="26" t="s">
        <v>276</v>
      </c>
      <c r="D34" s="63">
        <f ca="1">SUM(F34:AJ34)</f>
        <v>17</v>
      </c>
      <c r="E34" s="64">
        <v>0</v>
      </c>
      <c r="F34" s="49">
        <f t="shared" ref="F34:AJ34" ca="1" si="12">IF(OR(F$6=FirstOilYear,AND(E34=1,F33&gt;0)),1,0)</f>
        <v>0</v>
      </c>
      <c r="G34" s="49">
        <f t="shared" ca="1" si="12"/>
        <v>0</v>
      </c>
      <c r="H34" s="49">
        <f t="shared" ca="1" si="12"/>
        <v>0</v>
      </c>
      <c r="I34" s="49">
        <f t="shared" ca="1" si="12"/>
        <v>1</v>
      </c>
      <c r="J34" s="49">
        <f t="shared" ca="1" si="12"/>
        <v>1</v>
      </c>
      <c r="K34" s="49">
        <f t="shared" ca="1" si="12"/>
        <v>1</v>
      </c>
      <c r="L34" s="49">
        <f t="shared" ca="1" si="12"/>
        <v>1</v>
      </c>
      <c r="M34" s="49">
        <f t="shared" ca="1" si="12"/>
        <v>1</v>
      </c>
      <c r="N34" s="49">
        <f t="shared" ca="1" si="12"/>
        <v>1</v>
      </c>
      <c r="O34" s="49">
        <f t="shared" ca="1" si="12"/>
        <v>1</v>
      </c>
      <c r="P34" s="49">
        <f t="shared" ca="1" si="12"/>
        <v>1</v>
      </c>
      <c r="Q34" s="49">
        <f t="shared" ca="1" si="12"/>
        <v>1</v>
      </c>
      <c r="R34" s="49">
        <f t="shared" ca="1" si="12"/>
        <v>1</v>
      </c>
      <c r="S34" s="49">
        <f t="shared" ca="1" si="12"/>
        <v>1</v>
      </c>
      <c r="T34" s="49">
        <f t="shared" ca="1" si="12"/>
        <v>1</v>
      </c>
      <c r="U34" s="49">
        <f t="shared" ca="1" si="12"/>
        <v>1</v>
      </c>
      <c r="V34" s="49">
        <f t="shared" ca="1" si="12"/>
        <v>1</v>
      </c>
      <c r="W34" s="49">
        <f t="shared" ca="1" si="12"/>
        <v>1</v>
      </c>
      <c r="X34" s="49">
        <f t="shared" ca="1" si="12"/>
        <v>1</v>
      </c>
      <c r="Y34" s="49">
        <f t="shared" ca="1" si="12"/>
        <v>1</v>
      </c>
      <c r="Z34" s="49">
        <f t="shared" ca="1" si="12"/>
        <v>0</v>
      </c>
      <c r="AA34" s="49">
        <f t="shared" ca="1" si="12"/>
        <v>0</v>
      </c>
      <c r="AB34" s="49">
        <f t="shared" ca="1" si="12"/>
        <v>0</v>
      </c>
      <c r="AC34" s="49">
        <f t="shared" ca="1" si="12"/>
        <v>0</v>
      </c>
      <c r="AD34" s="49">
        <f t="shared" ca="1" si="12"/>
        <v>0</v>
      </c>
      <c r="AE34" s="49">
        <f t="shared" ca="1" si="12"/>
        <v>0</v>
      </c>
      <c r="AF34" s="49">
        <f t="shared" ca="1" si="12"/>
        <v>0</v>
      </c>
      <c r="AG34" s="49">
        <f t="shared" ca="1" si="12"/>
        <v>0</v>
      </c>
      <c r="AH34" s="49">
        <f t="shared" ca="1" si="12"/>
        <v>0</v>
      </c>
      <c r="AI34" s="49">
        <f t="shared" ca="1" si="12"/>
        <v>0</v>
      </c>
      <c r="AJ34" s="49">
        <f t="shared" ca="1" si="12"/>
        <v>0</v>
      </c>
    </row>
    <row r="35" spans="2:36" x14ac:dyDescent="0.45">
      <c r="B35" s="25" t="s">
        <v>359</v>
      </c>
      <c r="C35" s="26" t="s">
        <v>176</v>
      </c>
      <c r="D35" s="65">
        <f ca="1">SUM(F35:AJ35)</f>
        <v>60.785203047802057</v>
      </c>
      <c r="E35" s="28"/>
      <c r="F35" s="52">
        <f t="shared" ref="F35:AJ35" ca="1" si="13">F32*F34</f>
        <v>0</v>
      </c>
      <c r="G35" s="52">
        <f t="shared" ca="1" si="13"/>
        <v>0</v>
      </c>
      <c r="H35" s="52">
        <f t="shared" ca="1" si="13"/>
        <v>0</v>
      </c>
      <c r="I35" s="52">
        <f t="shared" ca="1" si="13"/>
        <v>3.1933560174466598</v>
      </c>
      <c r="J35" s="52">
        <f t="shared" ca="1" si="13"/>
        <v>6.3867120348933195</v>
      </c>
      <c r="K35" s="52">
        <f t="shared" ca="1" si="13"/>
        <v>6.3867120348933195</v>
      </c>
      <c r="L35" s="52">
        <f t="shared" ca="1" si="13"/>
        <v>6.3867120348933195</v>
      </c>
      <c r="M35" s="52">
        <f t="shared" ca="1" si="13"/>
        <v>6.3867120348933195</v>
      </c>
      <c r="N35" s="52">
        <f t="shared" ca="1" si="13"/>
        <v>5.9404896489604724</v>
      </c>
      <c r="O35" s="52">
        <f t="shared" ca="1" si="13"/>
        <v>4.9681846576129063</v>
      </c>
      <c r="P35" s="52">
        <f t="shared" ca="1" si="13"/>
        <v>4.1550209243205281</v>
      </c>
      <c r="Q35" s="52">
        <f t="shared" ca="1" si="13"/>
        <v>3.4749511282932972</v>
      </c>
      <c r="R35" s="52">
        <f t="shared" ca="1" si="13"/>
        <v>2.9061912235740506</v>
      </c>
      <c r="S35" s="52">
        <f t="shared" ca="1" si="13"/>
        <v>2.4305226508687676</v>
      </c>
      <c r="T35" s="52">
        <f t="shared" ca="1" si="13"/>
        <v>2.0327087593090778</v>
      </c>
      <c r="U35" s="52">
        <f t="shared" ca="1" si="13"/>
        <v>1.7000067449258041</v>
      </c>
      <c r="V35" s="52">
        <f t="shared" ca="1" si="13"/>
        <v>1.4217594722106448</v>
      </c>
      <c r="W35" s="52">
        <f t="shared" ca="1" si="13"/>
        <v>1.1890541039641072</v>
      </c>
      <c r="X35" s="52">
        <f t="shared" ca="1" si="13"/>
        <v>0.99443660463576222</v>
      </c>
      <c r="Y35" s="52">
        <f t="shared" ca="1" si="13"/>
        <v>0.83167297210670321</v>
      </c>
      <c r="Z35" s="52">
        <f t="shared" ca="1" si="13"/>
        <v>0</v>
      </c>
      <c r="AA35" s="52">
        <f t="shared" ca="1" si="13"/>
        <v>0</v>
      </c>
      <c r="AB35" s="52">
        <f t="shared" ca="1" si="13"/>
        <v>0</v>
      </c>
      <c r="AC35" s="52">
        <f t="shared" ca="1" si="13"/>
        <v>0</v>
      </c>
      <c r="AD35" s="52">
        <f t="shared" ca="1" si="13"/>
        <v>0</v>
      </c>
      <c r="AE35" s="52">
        <f t="shared" ca="1" si="13"/>
        <v>0</v>
      </c>
      <c r="AF35" s="52">
        <f t="shared" ca="1" si="13"/>
        <v>0</v>
      </c>
      <c r="AG35" s="52">
        <f t="shared" ca="1" si="13"/>
        <v>0</v>
      </c>
      <c r="AH35" s="52">
        <f t="shared" ca="1" si="13"/>
        <v>0</v>
      </c>
      <c r="AI35" s="52">
        <f t="shared" ca="1" si="13"/>
        <v>0</v>
      </c>
      <c r="AJ35" s="52">
        <f t="shared" ca="1" si="13"/>
        <v>0</v>
      </c>
    </row>
    <row r="36" spans="2:36" x14ac:dyDescent="0.45">
      <c r="B36" s="25" t="s">
        <v>360</v>
      </c>
      <c r="C36" s="26" t="s">
        <v>176</v>
      </c>
      <c r="D36" s="28"/>
      <c r="E36" s="66">
        <v>0</v>
      </c>
      <c r="F36" s="52">
        <f t="shared" ref="F36:AJ36" ca="1" si="14">E36+F35</f>
        <v>0</v>
      </c>
      <c r="G36" s="52">
        <f t="shared" ca="1" si="14"/>
        <v>0</v>
      </c>
      <c r="H36" s="52">
        <f t="shared" ca="1" si="14"/>
        <v>0</v>
      </c>
      <c r="I36" s="52">
        <f t="shared" ca="1" si="14"/>
        <v>3.1933560174466598</v>
      </c>
      <c r="J36" s="52">
        <f t="shared" ca="1" si="14"/>
        <v>9.5800680523399784</v>
      </c>
      <c r="K36" s="52">
        <f t="shared" ca="1" si="14"/>
        <v>15.966780087233298</v>
      </c>
      <c r="L36" s="52">
        <f t="shared" ca="1" si="14"/>
        <v>22.353492122126617</v>
      </c>
      <c r="M36" s="52">
        <f t="shared" ca="1" si="14"/>
        <v>28.740204157019939</v>
      </c>
      <c r="N36" s="52">
        <f t="shared" ca="1" si="14"/>
        <v>34.680693805980411</v>
      </c>
      <c r="O36" s="52">
        <f t="shared" ca="1" si="14"/>
        <v>39.64887846359332</v>
      </c>
      <c r="P36" s="52">
        <f t="shared" ca="1" si="14"/>
        <v>43.803899387913845</v>
      </c>
      <c r="Q36" s="52">
        <f t="shared" ca="1" si="14"/>
        <v>47.278850516207143</v>
      </c>
      <c r="R36" s="52">
        <f t="shared" ca="1" si="14"/>
        <v>50.185041739781191</v>
      </c>
      <c r="S36" s="52">
        <f t="shared" ca="1" si="14"/>
        <v>52.615564390649958</v>
      </c>
      <c r="T36" s="52">
        <f t="shared" ca="1" si="14"/>
        <v>54.648273149959039</v>
      </c>
      <c r="U36" s="52">
        <f t="shared" ca="1" si="14"/>
        <v>56.34827989488484</v>
      </c>
      <c r="V36" s="52">
        <f t="shared" ca="1" si="14"/>
        <v>57.770039367095485</v>
      </c>
      <c r="W36" s="52">
        <f t="shared" ca="1" si="14"/>
        <v>58.959093471059589</v>
      </c>
      <c r="X36" s="52">
        <f t="shared" ca="1" si="14"/>
        <v>59.953530075695355</v>
      </c>
      <c r="Y36" s="52">
        <f t="shared" ca="1" si="14"/>
        <v>60.785203047802057</v>
      </c>
      <c r="Z36" s="52">
        <f t="shared" ca="1" si="14"/>
        <v>60.785203047802057</v>
      </c>
      <c r="AA36" s="52">
        <f t="shared" ca="1" si="14"/>
        <v>60.785203047802057</v>
      </c>
      <c r="AB36" s="52">
        <f t="shared" ca="1" si="14"/>
        <v>60.785203047802057</v>
      </c>
      <c r="AC36" s="52">
        <f t="shared" ca="1" si="14"/>
        <v>60.785203047802057</v>
      </c>
      <c r="AD36" s="52">
        <f t="shared" ca="1" si="14"/>
        <v>60.785203047802057</v>
      </c>
      <c r="AE36" s="52">
        <f t="shared" ca="1" si="14"/>
        <v>60.785203047802057</v>
      </c>
      <c r="AF36" s="52">
        <f t="shared" ca="1" si="14"/>
        <v>60.785203047802057</v>
      </c>
      <c r="AG36" s="52">
        <f t="shared" ca="1" si="14"/>
        <v>60.785203047802057</v>
      </c>
      <c r="AH36" s="52">
        <f t="shared" ca="1" si="14"/>
        <v>60.785203047802057</v>
      </c>
      <c r="AI36" s="52">
        <f t="shared" ca="1" si="14"/>
        <v>60.785203047802057</v>
      </c>
      <c r="AJ36" s="52">
        <f t="shared" ca="1" si="14"/>
        <v>60.785203047802057</v>
      </c>
    </row>
    <row r="37" spans="2:36" x14ac:dyDescent="0.45">
      <c r="B37" s="25" t="s">
        <v>361</v>
      </c>
      <c r="C37" s="26" t="s">
        <v>194</v>
      </c>
      <c r="D37" s="28"/>
      <c r="E37" s="28"/>
      <c r="F37" s="45">
        <f t="shared" ref="F37:AJ37" ca="1" si="15">F35*1000/365</f>
        <v>0</v>
      </c>
      <c r="G37" s="45">
        <f t="shared" ca="1" si="15"/>
        <v>0</v>
      </c>
      <c r="H37" s="45">
        <f t="shared" ca="1" si="15"/>
        <v>0</v>
      </c>
      <c r="I37" s="45">
        <f t="shared" ca="1" si="15"/>
        <v>8.7489205957442735</v>
      </c>
      <c r="J37" s="45">
        <f t="shared" ca="1" si="15"/>
        <v>17.497841191488547</v>
      </c>
      <c r="K37" s="45">
        <f t="shared" ca="1" si="15"/>
        <v>17.497841191488547</v>
      </c>
      <c r="L37" s="45">
        <f t="shared" ca="1" si="15"/>
        <v>17.497841191488547</v>
      </c>
      <c r="M37" s="45">
        <f t="shared" ca="1" si="15"/>
        <v>17.497841191488547</v>
      </c>
      <c r="N37" s="45">
        <f t="shared" ca="1" si="15"/>
        <v>16.275314106741021</v>
      </c>
      <c r="O37" s="45">
        <f t="shared" ca="1" si="15"/>
        <v>13.611464815377825</v>
      </c>
      <c r="P37" s="45">
        <f t="shared" ca="1" si="15"/>
        <v>11.383618970741173</v>
      </c>
      <c r="Q37" s="45">
        <f t="shared" ca="1" si="15"/>
        <v>9.5204140501186227</v>
      </c>
      <c r="R37" s="45">
        <f t="shared" ca="1" si="15"/>
        <v>7.9621677358193166</v>
      </c>
      <c r="S37" s="45">
        <f t="shared" ca="1" si="15"/>
        <v>6.6589661667637463</v>
      </c>
      <c r="T37" s="45">
        <f t="shared" ca="1" si="15"/>
        <v>5.5690650939974731</v>
      </c>
      <c r="U37" s="45">
        <f t="shared" ca="1" si="15"/>
        <v>4.6575527258241207</v>
      </c>
      <c r="V37" s="45">
        <f t="shared" ca="1" si="15"/>
        <v>3.8952314307140954</v>
      </c>
      <c r="W37" s="45">
        <f t="shared" ca="1" si="15"/>
        <v>3.2576824766139918</v>
      </c>
      <c r="X37" s="45">
        <f t="shared" ca="1" si="15"/>
        <v>2.7244838483171567</v>
      </c>
      <c r="Y37" s="45">
        <f t="shared" ca="1" si="15"/>
        <v>2.2785560879635707</v>
      </c>
      <c r="Z37" s="45">
        <f t="shared" ca="1" si="15"/>
        <v>0</v>
      </c>
      <c r="AA37" s="45">
        <f t="shared" ca="1" si="15"/>
        <v>0</v>
      </c>
      <c r="AB37" s="45">
        <f t="shared" ca="1" si="15"/>
        <v>0</v>
      </c>
      <c r="AC37" s="45">
        <f t="shared" ca="1" si="15"/>
        <v>0</v>
      </c>
      <c r="AD37" s="45">
        <f t="shared" ca="1" si="15"/>
        <v>0</v>
      </c>
      <c r="AE37" s="45">
        <f t="shared" ca="1" si="15"/>
        <v>0</v>
      </c>
      <c r="AF37" s="45">
        <f t="shared" ca="1" si="15"/>
        <v>0</v>
      </c>
      <c r="AG37" s="45">
        <f t="shared" ca="1" si="15"/>
        <v>0</v>
      </c>
      <c r="AH37" s="45">
        <f t="shared" ca="1" si="15"/>
        <v>0</v>
      </c>
      <c r="AI37" s="45">
        <f t="shared" ca="1" si="15"/>
        <v>0</v>
      </c>
      <c r="AJ37" s="45">
        <f t="shared" ca="1" si="15"/>
        <v>0</v>
      </c>
    </row>
    <row r="38" spans="2:36" x14ac:dyDescent="0.45">
      <c r="B38" s="25" t="s">
        <v>362</v>
      </c>
      <c r="C38" s="26" t="s">
        <v>276</v>
      </c>
      <c r="D38" s="63">
        <f ca="1">SUM(F38:AJ38)</f>
        <v>1</v>
      </c>
      <c r="E38" s="28"/>
      <c r="F38" s="49">
        <f t="shared" ref="F38:AJ38" ca="1" si="16">IF(OR(AND(E34=1,F34=0),AND(F21=1,F34=1)),1,0)</f>
        <v>0</v>
      </c>
      <c r="G38" s="49">
        <f t="shared" ca="1" si="16"/>
        <v>0</v>
      </c>
      <c r="H38" s="49">
        <f t="shared" ca="1" si="16"/>
        <v>0</v>
      </c>
      <c r="I38" s="49">
        <f t="shared" ca="1" si="16"/>
        <v>0</v>
      </c>
      <c r="J38" s="49">
        <f t="shared" ca="1" si="16"/>
        <v>0</v>
      </c>
      <c r="K38" s="49">
        <f t="shared" ca="1" si="16"/>
        <v>0</v>
      </c>
      <c r="L38" s="49">
        <f t="shared" ca="1" si="16"/>
        <v>0</v>
      </c>
      <c r="M38" s="49">
        <f t="shared" ca="1" si="16"/>
        <v>0</v>
      </c>
      <c r="N38" s="49">
        <f t="shared" ca="1" si="16"/>
        <v>0</v>
      </c>
      <c r="O38" s="49">
        <f t="shared" ca="1" si="16"/>
        <v>0</v>
      </c>
      <c r="P38" s="49">
        <f t="shared" ca="1" si="16"/>
        <v>0</v>
      </c>
      <c r="Q38" s="49">
        <f t="shared" ca="1" si="16"/>
        <v>0</v>
      </c>
      <c r="R38" s="49">
        <f t="shared" ca="1" si="16"/>
        <v>0</v>
      </c>
      <c r="S38" s="49">
        <f t="shared" ca="1" si="16"/>
        <v>0</v>
      </c>
      <c r="T38" s="49">
        <f t="shared" ca="1" si="16"/>
        <v>0</v>
      </c>
      <c r="U38" s="49">
        <f t="shared" ca="1" si="16"/>
        <v>0</v>
      </c>
      <c r="V38" s="49">
        <f t="shared" ca="1" si="16"/>
        <v>0</v>
      </c>
      <c r="W38" s="49">
        <f t="shared" ca="1" si="16"/>
        <v>0</v>
      </c>
      <c r="X38" s="49">
        <f t="shared" ca="1" si="16"/>
        <v>0</v>
      </c>
      <c r="Y38" s="49">
        <f t="shared" ca="1" si="16"/>
        <v>0</v>
      </c>
      <c r="Z38" s="49">
        <f t="shared" ca="1" si="16"/>
        <v>1</v>
      </c>
      <c r="AA38" s="49">
        <f t="shared" ca="1" si="16"/>
        <v>0</v>
      </c>
      <c r="AB38" s="49">
        <f t="shared" ca="1" si="16"/>
        <v>0</v>
      </c>
      <c r="AC38" s="49">
        <f t="shared" ca="1" si="16"/>
        <v>0</v>
      </c>
      <c r="AD38" s="49">
        <f t="shared" ca="1" si="16"/>
        <v>0</v>
      </c>
      <c r="AE38" s="49">
        <f t="shared" ca="1" si="16"/>
        <v>0</v>
      </c>
      <c r="AF38" s="49">
        <f t="shared" ca="1" si="16"/>
        <v>0</v>
      </c>
      <c r="AG38" s="49">
        <f t="shared" ca="1" si="16"/>
        <v>0</v>
      </c>
      <c r="AH38" s="49">
        <f t="shared" ca="1" si="16"/>
        <v>0</v>
      </c>
      <c r="AI38" s="49">
        <f t="shared" ca="1" si="16"/>
        <v>0</v>
      </c>
      <c r="AJ38" s="49">
        <f t="shared" ca="1" si="16"/>
        <v>0</v>
      </c>
    </row>
    <row r="39" spans="2:36" ht="8" customHeight="1" x14ac:dyDescent="0.45"/>
    <row r="40" spans="2:36" ht="22.05" customHeight="1" x14ac:dyDescent="0.5">
      <c r="B40" s="7" t="s">
        <v>363</v>
      </c>
      <c r="C40" s="8"/>
      <c r="D40" s="8"/>
      <c r="E40" s="8"/>
      <c r="F40" s="8"/>
      <c r="G40" s="8"/>
      <c r="H40" s="8"/>
      <c r="I40" s="8"/>
      <c r="J40" s="8"/>
      <c r="K40" s="8"/>
      <c r="L40" s="8"/>
      <c r="M40" s="8"/>
      <c r="N40" s="8"/>
      <c r="O40" s="8"/>
      <c r="P40" s="8"/>
      <c r="Q40" s="8"/>
      <c r="R40" s="8"/>
      <c r="S40" s="8"/>
      <c r="T40" s="8"/>
      <c r="U40" s="8"/>
      <c r="V40" s="8"/>
      <c r="W40" s="8"/>
      <c r="X40" s="8"/>
      <c r="Y40" s="8"/>
      <c r="Z40" s="8"/>
      <c r="AA40" s="8"/>
      <c r="AB40" s="8"/>
      <c r="AC40" s="8"/>
      <c r="AD40" s="8"/>
      <c r="AE40" s="8"/>
      <c r="AF40" s="8"/>
      <c r="AG40" s="8"/>
      <c r="AH40" s="8"/>
      <c r="AI40" s="8"/>
      <c r="AJ40" s="8"/>
    </row>
    <row r="41" spans="2:36" ht="18" customHeight="1" x14ac:dyDescent="0.45">
      <c r="B41" s="13" t="s">
        <v>364</v>
      </c>
    </row>
    <row r="42" spans="2:36" x14ac:dyDescent="0.45">
      <c r="B42" s="25" t="s">
        <v>365</v>
      </c>
      <c r="C42" s="26" t="s">
        <v>215</v>
      </c>
      <c r="D42" s="67">
        <f t="shared" ref="D42:D48" ca="1" si="17">SUM(F42:AJ42)</f>
        <v>4639.4807961996266</v>
      </c>
      <c r="E42" s="28"/>
      <c r="F42" s="33">
        <f t="shared" ref="F42:AJ42" ca="1" si="18">F35*F25</f>
        <v>0</v>
      </c>
      <c r="G42" s="33">
        <f t="shared" ca="1" si="18"/>
        <v>0</v>
      </c>
      <c r="H42" s="33">
        <f t="shared" ca="1" si="18"/>
        <v>0</v>
      </c>
      <c r="I42" s="33">
        <f t="shared" ca="1" si="18"/>
        <v>221.67309294883407</v>
      </c>
      <c r="J42" s="33">
        <f t="shared" ca="1" si="18"/>
        <v>422.98894306115886</v>
      </c>
      <c r="K42" s="33">
        <f t="shared" ca="1" si="18"/>
        <v>420.67411243949749</v>
      </c>
      <c r="L42" s="33">
        <f t="shared" ca="1" si="18"/>
        <v>506.30003448353233</v>
      </c>
      <c r="M42" s="33">
        <f t="shared" ca="1" si="18"/>
        <v>815.33729552353861</v>
      </c>
      <c r="N42" s="33">
        <f t="shared" ca="1" si="18"/>
        <v>539.1789593288164</v>
      </c>
      <c r="O42" s="33">
        <f t="shared" ca="1" si="18"/>
        <v>360.39418006961233</v>
      </c>
      <c r="P42" s="33">
        <f t="shared" ca="1" si="18"/>
        <v>318.52590881557944</v>
      </c>
      <c r="Q42" s="33">
        <f t="shared" ca="1" si="18"/>
        <v>260.44741931825973</v>
      </c>
      <c r="R42" s="33">
        <f t="shared" ca="1" si="18"/>
        <v>185.06538012114422</v>
      </c>
      <c r="S42" s="33">
        <f t="shared" ca="1" si="18"/>
        <v>145.95956248018229</v>
      </c>
      <c r="T42" s="33">
        <f t="shared" ca="1" si="18"/>
        <v>121.18527944557613</v>
      </c>
      <c r="U42" s="33">
        <f t="shared" ca="1" si="18"/>
        <v>74.581594603809933</v>
      </c>
      <c r="V42" s="33">
        <f t="shared" ca="1" si="18"/>
        <v>65.389862672554102</v>
      </c>
      <c r="W42" s="33">
        <f t="shared" ca="1" si="18"/>
        <v>79.166436837861994</v>
      </c>
      <c r="X42" s="33">
        <f t="shared" ca="1" si="18"/>
        <v>52.047641088894061</v>
      </c>
      <c r="Y42" s="33">
        <f t="shared" ca="1" si="18"/>
        <v>50.56509296077467</v>
      </c>
      <c r="Z42" s="33">
        <f t="shared" ca="1" si="18"/>
        <v>0</v>
      </c>
      <c r="AA42" s="33">
        <f t="shared" ca="1" si="18"/>
        <v>0</v>
      </c>
      <c r="AB42" s="33">
        <f t="shared" ca="1" si="18"/>
        <v>0</v>
      </c>
      <c r="AC42" s="33">
        <f t="shared" ca="1" si="18"/>
        <v>0</v>
      </c>
      <c r="AD42" s="33">
        <f t="shared" ca="1" si="18"/>
        <v>0</v>
      </c>
      <c r="AE42" s="33">
        <f t="shared" ca="1" si="18"/>
        <v>0</v>
      </c>
      <c r="AF42" s="33">
        <f t="shared" ca="1" si="18"/>
        <v>0</v>
      </c>
      <c r="AG42" s="33">
        <f t="shared" ca="1" si="18"/>
        <v>0</v>
      </c>
      <c r="AH42" s="33">
        <f t="shared" ca="1" si="18"/>
        <v>0</v>
      </c>
      <c r="AI42" s="33">
        <f t="shared" ca="1" si="18"/>
        <v>0</v>
      </c>
      <c r="AJ42" s="33">
        <f t="shared" ca="1" si="18"/>
        <v>0</v>
      </c>
    </row>
    <row r="43" spans="2:36" x14ac:dyDescent="0.45">
      <c r="B43" s="25" t="s">
        <v>366</v>
      </c>
      <c r="C43" s="26" t="s">
        <v>215</v>
      </c>
      <c r="D43" s="67">
        <f t="shared" ca="1" si="17"/>
        <v>-463.94807961996287</v>
      </c>
      <c r="E43" s="28"/>
      <c r="F43" s="33">
        <f t="shared" ref="F43:AJ43" ca="1" si="19">-Royalty*F42</f>
        <v>0</v>
      </c>
      <c r="G43" s="33">
        <f t="shared" ca="1" si="19"/>
        <v>0</v>
      </c>
      <c r="H43" s="33">
        <f t="shared" ca="1" si="19"/>
        <v>0</v>
      </c>
      <c r="I43" s="33">
        <f t="shared" ca="1" si="19"/>
        <v>-22.16730929488341</v>
      </c>
      <c r="J43" s="33">
        <f t="shared" ca="1" si="19"/>
        <v>-42.298894306115891</v>
      </c>
      <c r="K43" s="33">
        <f t="shared" ca="1" si="19"/>
        <v>-42.067411243949749</v>
      </c>
      <c r="L43" s="33">
        <f t="shared" ca="1" si="19"/>
        <v>-50.630003448353236</v>
      </c>
      <c r="M43" s="33">
        <f t="shared" ca="1" si="19"/>
        <v>-81.533729552353861</v>
      </c>
      <c r="N43" s="33">
        <f t="shared" ca="1" si="19"/>
        <v>-53.917895932881642</v>
      </c>
      <c r="O43" s="33">
        <f t="shared" ca="1" si="19"/>
        <v>-36.039418006961235</v>
      </c>
      <c r="P43" s="33">
        <f t="shared" ca="1" si="19"/>
        <v>-31.852590881557944</v>
      </c>
      <c r="Q43" s="33">
        <f t="shared" ca="1" si="19"/>
        <v>-26.044741931825975</v>
      </c>
      <c r="R43" s="33">
        <f t="shared" ca="1" si="19"/>
        <v>-18.506538012114422</v>
      </c>
      <c r="S43" s="33">
        <f t="shared" ca="1" si="19"/>
        <v>-14.595956248018229</v>
      </c>
      <c r="T43" s="33">
        <f t="shared" ca="1" si="19"/>
        <v>-12.118527944557613</v>
      </c>
      <c r="U43" s="33">
        <f t="shared" ca="1" si="19"/>
        <v>-7.458159460380994</v>
      </c>
      <c r="V43" s="33">
        <f t="shared" ca="1" si="19"/>
        <v>-6.5389862672554102</v>
      </c>
      <c r="W43" s="33">
        <f t="shared" ca="1" si="19"/>
        <v>-7.9166436837861998</v>
      </c>
      <c r="X43" s="33">
        <f t="shared" ca="1" si="19"/>
        <v>-5.2047641088894068</v>
      </c>
      <c r="Y43" s="33">
        <f t="shared" ca="1" si="19"/>
        <v>-5.0565092960774676</v>
      </c>
      <c r="Z43" s="33">
        <f t="shared" ca="1" si="19"/>
        <v>0</v>
      </c>
      <c r="AA43" s="33">
        <f t="shared" ca="1" si="19"/>
        <v>0</v>
      </c>
      <c r="AB43" s="33">
        <f t="shared" ca="1" si="19"/>
        <v>0</v>
      </c>
      <c r="AC43" s="33">
        <f t="shared" ca="1" si="19"/>
        <v>0</v>
      </c>
      <c r="AD43" s="33">
        <f t="shared" ca="1" si="19"/>
        <v>0</v>
      </c>
      <c r="AE43" s="33">
        <f t="shared" ca="1" si="19"/>
        <v>0</v>
      </c>
      <c r="AF43" s="33">
        <f t="shared" ca="1" si="19"/>
        <v>0</v>
      </c>
      <c r="AG43" s="33">
        <f t="shared" ca="1" si="19"/>
        <v>0</v>
      </c>
      <c r="AH43" s="33">
        <f t="shared" ca="1" si="19"/>
        <v>0</v>
      </c>
      <c r="AI43" s="33">
        <f t="shared" ca="1" si="19"/>
        <v>0</v>
      </c>
      <c r="AJ43" s="33">
        <f t="shared" ca="1" si="19"/>
        <v>0</v>
      </c>
    </row>
    <row r="44" spans="2:36" x14ac:dyDescent="0.45">
      <c r="B44" s="25" t="s">
        <v>236</v>
      </c>
      <c r="C44" s="26" t="s">
        <v>215</v>
      </c>
      <c r="D44" s="67">
        <f t="shared" ca="1" si="17"/>
        <v>-514.27762306672525</v>
      </c>
      <c r="E44" s="28"/>
      <c r="F44" s="33">
        <f t="shared" ref="F44:AJ44" ca="1" si="20">-VarOpex*F35</f>
        <v>0</v>
      </c>
      <c r="G44" s="33">
        <f t="shared" ca="1" si="20"/>
        <v>0</v>
      </c>
      <c r="H44" s="33">
        <f t="shared" ca="1" si="20"/>
        <v>0</v>
      </c>
      <c r="I44" s="33">
        <f t="shared" ca="1" si="20"/>
        <v>-27.017620406183301</v>
      </c>
      <c r="J44" s="33">
        <f t="shared" ca="1" si="20"/>
        <v>-54.035240812366602</v>
      </c>
      <c r="K44" s="33">
        <f t="shared" ca="1" si="20"/>
        <v>-54.035240812366602</v>
      </c>
      <c r="L44" s="33">
        <f t="shared" ca="1" si="20"/>
        <v>-54.035240812366602</v>
      </c>
      <c r="M44" s="33">
        <f t="shared" ca="1" si="20"/>
        <v>-54.035240812366602</v>
      </c>
      <c r="N44" s="33">
        <f t="shared" ca="1" si="20"/>
        <v>-50.259943922821947</v>
      </c>
      <c r="O44" s="33">
        <f t="shared" ca="1" si="20"/>
        <v>-42.033686959381235</v>
      </c>
      <c r="P44" s="33">
        <f t="shared" ca="1" si="20"/>
        <v>-35.153856162521038</v>
      </c>
      <c r="Q44" s="33">
        <f t="shared" ca="1" si="20"/>
        <v>-29.400076283800974</v>
      </c>
      <c r="R44" s="33">
        <f t="shared" ca="1" si="20"/>
        <v>-24.58804182099518</v>
      </c>
      <c r="S44" s="33">
        <f t="shared" ca="1" si="20"/>
        <v>-20.563613330626584</v>
      </c>
      <c r="T44" s="33">
        <f t="shared" ca="1" si="20"/>
        <v>-17.197880021923933</v>
      </c>
      <c r="U44" s="33">
        <f t="shared" ca="1" si="20"/>
        <v>-14.383030476846558</v>
      </c>
      <c r="V44" s="33">
        <f t="shared" ca="1" si="20"/>
        <v>-12.028899226775406</v>
      </c>
      <c r="W44" s="33">
        <f t="shared" ca="1" si="20"/>
        <v>-10.060078565559836</v>
      </c>
      <c r="X44" s="33">
        <f t="shared" ca="1" si="20"/>
        <v>-8.4135030843023078</v>
      </c>
      <c r="Y44" s="33">
        <f t="shared" ca="1" si="20"/>
        <v>-7.0364295555205834</v>
      </c>
      <c r="Z44" s="33">
        <f t="shared" ca="1" si="20"/>
        <v>0</v>
      </c>
      <c r="AA44" s="33">
        <f t="shared" ca="1" si="20"/>
        <v>0</v>
      </c>
      <c r="AB44" s="33">
        <f t="shared" ca="1" si="20"/>
        <v>0</v>
      </c>
      <c r="AC44" s="33">
        <f t="shared" ca="1" si="20"/>
        <v>0</v>
      </c>
      <c r="AD44" s="33">
        <f t="shared" ca="1" si="20"/>
        <v>0</v>
      </c>
      <c r="AE44" s="33">
        <f t="shared" ca="1" si="20"/>
        <v>0</v>
      </c>
      <c r="AF44" s="33">
        <f t="shared" ca="1" si="20"/>
        <v>0</v>
      </c>
      <c r="AG44" s="33">
        <f t="shared" ca="1" si="20"/>
        <v>0</v>
      </c>
      <c r="AH44" s="33">
        <f t="shared" ca="1" si="20"/>
        <v>0</v>
      </c>
      <c r="AI44" s="33">
        <f t="shared" ca="1" si="20"/>
        <v>0</v>
      </c>
      <c r="AJ44" s="33">
        <f t="shared" ca="1" si="20"/>
        <v>0</v>
      </c>
    </row>
    <row r="45" spans="2:36" x14ac:dyDescent="0.45">
      <c r="B45" s="25" t="s">
        <v>233</v>
      </c>
      <c r="C45" s="26" t="s">
        <v>215</v>
      </c>
      <c r="D45" s="67">
        <f t="shared" ca="1" si="17"/>
        <v>-590.32519663222843</v>
      </c>
      <c r="E45" s="28"/>
      <c r="F45" s="33">
        <f t="shared" ref="F45:AJ45" ca="1" si="21">-FixedOpex*F34</f>
        <v>0</v>
      </c>
      <c r="G45" s="33">
        <f t="shared" ca="1" si="21"/>
        <v>0</v>
      </c>
      <c r="H45" s="33">
        <f t="shared" ca="1" si="21"/>
        <v>0</v>
      </c>
      <c r="I45" s="33">
        <f t="shared" ca="1" si="21"/>
        <v>-34.725011566601673</v>
      </c>
      <c r="J45" s="33">
        <f t="shared" ca="1" si="21"/>
        <v>-34.725011566601673</v>
      </c>
      <c r="K45" s="33">
        <f t="shared" ca="1" si="21"/>
        <v>-34.725011566601673</v>
      </c>
      <c r="L45" s="33">
        <f t="shared" ca="1" si="21"/>
        <v>-34.725011566601673</v>
      </c>
      <c r="M45" s="33">
        <f t="shared" ca="1" si="21"/>
        <v>-34.725011566601673</v>
      </c>
      <c r="N45" s="33">
        <f t="shared" ca="1" si="21"/>
        <v>-34.725011566601673</v>
      </c>
      <c r="O45" s="33">
        <f t="shared" ca="1" si="21"/>
        <v>-34.725011566601673</v>
      </c>
      <c r="P45" s="33">
        <f t="shared" ca="1" si="21"/>
        <v>-34.725011566601673</v>
      </c>
      <c r="Q45" s="33">
        <f t="shared" ca="1" si="21"/>
        <v>-34.725011566601673</v>
      </c>
      <c r="R45" s="33">
        <f t="shared" ca="1" si="21"/>
        <v>-34.725011566601673</v>
      </c>
      <c r="S45" s="33">
        <f t="shared" ca="1" si="21"/>
        <v>-34.725011566601673</v>
      </c>
      <c r="T45" s="33">
        <f t="shared" ca="1" si="21"/>
        <v>-34.725011566601673</v>
      </c>
      <c r="U45" s="33">
        <f t="shared" ca="1" si="21"/>
        <v>-34.725011566601673</v>
      </c>
      <c r="V45" s="33">
        <f t="shared" ca="1" si="21"/>
        <v>-34.725011566601673</v>
      </c>
      <c r="W45" s="33">
        <f t="shared" ca="1" si="21"/>
        <v>-34.725011566601673</v>
      </c>
      <c r="X45" s="33">
        <f t="shared" ca="1" si="21"/>
        <v>-34.725011566601673</v>
      </c>
      <c r="Y45" s="33">
        <f t="shared" ca="1" si="21"/>
        <v>-34.725011566601673</v>
      </c>
      <c r="Z45" s="33">
        <f t="shared" ca="1" si="21"/>
        <v>0</v>
      </c>
      <c r="AA45" s="33">
        <f t="shared" ca="1" si="21"/>
        <v>0</v>
      </c>
      <c r="AB45" s="33">
        <f t="shared" ca="1" si="21"/>
        <v>0</v>
      </c>
      <c r="AC45" s="33">
        <f t="shared" ca="1" si="21"/>
        <v>0</v>
      </c>
      <c r="AD45" s="33">
        <f t="shared" ca="1" si="21"/>
        <v>0</v>
      </c>
      <c r="AE45" s="33">
        <f t="shared" ca="1" si="21"/>
        <v>0</v>
      </c>
      <c r="AF45" s="33">
        <f t="shared" ca="1" si="21"/>
        <v>0</v>
      </c>
      <c r="AG45" s="33">
        <f t="shared" ca="1" si="21"/>
        <v>0</v>
      </c>
      <c r="AH45" s="33">
        <f t="shared" ca="1" si="21"/>
        <v>0</v>
      </c>
      <c r="AI45" s="33">
        <f t="shared" ca="1" si="21"/>
        <v>0</v>
      </c>
      <c r="AJ45" s="33">
        <f t="shared" ca="1" si="21"/>
        <v>0</v>
      </c>
    </row>
    <row r="46" spans="2:36" x14ac:dyDescent="0.45">
      <c r="B46" s="25" t="s">
        <v>319</v>
      </c>
      <c r="C46" s="26" t="s">
        <v>215</v>
      </c>
      <c r="D46" s="67">
        <f t="shared" ca="1" si="17"/>
        <v>-868.12528916504198</v>
      </c>
      <c r="E46" s="28"/>
      <c r="F46" s="33">
        <f t="shared" ref="F46:AJ46" ca="1" si="22">-DevCapex*F18</f>
        <v>0</v>
      </c>
      <c r="G46" s="33">
        <f t="shared" ca="1" si="22"/>
        <v>-260.43758674951255</v>
      </c>
      <c r="H46" s="33">
        <f t="shared" ca="1" si="22"/>
        <v>-434.06264458252093</v>
      </c>
      <c r="I46" s="33">
        <f t="shared" ca="1" si="22"/>
        <v>-173.62505783300838</v>
      </c>
      <c r="J46" s="33">
        <f t="shared" ca="1" si="22"/>
        <v>0</v>
      </c>
      <c r="K46" s="33">
        <f t="shared" ca="1" si="22"/>
        <v>0</v>
      </c>
      <c r="L46" s="33">
        <f t="shared" ca="1" si="22"/>
        <v>0</v>
      </c>
      <c r="M46" s="33">
        <f t="shared" ca="1" si="22"/>
        <v>0</v>
      </c>
      <c r="N46" s="33">
        <f t="shared" ca="1" si="22"/>
        <v>0</v>
      </c>
      <c r="O46" s="33">
        <f t="shared" ca="1" si="22"/>
        <v>0</v>
      </c>
      <c r="P46" s="33">
        <f t="shared" ca="1" si="22"/>
        <v>0</v>
      </c>
      <c r="Q46" s="33">
        <f t="shared" ca="1" si="22"/>
        <v>0</v>
      </c>
      <c r="R46" s="33">
        <f t="shared" ca="1" si="22"/>
        <v>0</v>
      </c>
      <c r="S46" s="33">
        <f t="shared" ca="1" si="22"/>
        <v>0</v>
      </c>
      <c r="T46" s="33">
        <f t="shared" ca="1" si="22"/>
        <v>0</v>
      </c>
      <c r="U46" s="33">
        <f t="shared" ca="1" si="22"/>
        <v>0</v>
      </c>
      <c r="V46" s="33">
        <f t="shared" ca="1" si="22"/>
        <v>0</v>
      </c>
      <c r="W46" s="33">
        <f t="shared" ca="1" si="22"/>
        <v>0</v>
      </c>
      <c r="X46" s="33">
        <f t="shared" ca="1" si="22"/>
        <v>0</v>
      </c>
      <c r="Y46" s="33">
        <f t="shared" ca="1" si="22"/>
        <v>0</v>
      </c>
      <c r="Z46" s="33">
        <f t="shared" ca="1" si="22"/>
        <v>0</v>
      </c>
      <c r="AA46" s="33">
        <f t="shared" ca="1" si="22"/>
        <v>0</v>
      </c>
      <c r="AB46" s="33">
        <f t="shared" ca="1" si="22"/>
        <v>0</v>
      </c>
      <c r="AC46" s="33">
        <f t="shared" ca="1" si="22"/>
        <v>0</v>
      </c>
      <c r="AD46" s="33">
        <f t="shared" ca="1" si="22"/>
        <v>0</v>
      </c>
      <c r="AE46" s="33">
        <f t="shared" ca="1" si="22"/>
        <v>0</v>
      </c>
      <c r="AF46" s="33">
        <f t="shared" ca="1" si="22"/>
        <v>0</v>
      </c>
      <c r="AG46" s="33">
        <f t="shared" ca="1" si="22"/>
        <v>0</v>
      </c>
      <c r="AH46" s="33">
        <f t="shared" ca="1" si="22"/>
        <v>0</v>
      </c>
      <c r="AI46" s="33">
        <f t="shared" ca="1" si="22"/>
        <v>0</v>
      </c>
      <c r="AJ46" s="33">
        <f t="shared" ca="1" si="22"/>
        <v>0</v>
      </c>
    </row>
    <row r="47" spans="2:36" x14ac:dyDescent="0.45">
      <c r="B47" s="25" t="s">
        <v>367</v>
      </c>
      <c r="C47" s="26" t="s">
        <v>215</v>
      </c>
      <c r="D47" s="67">
        <f t="shared" ca="1" si="17"/>
        <v>-130.21879337475627</v>
      </c>
      <c r="E47" s="28"/>
      <c r="F47" s="33">
        <f t="shared" ref="F47:AJ47" ca="1" si="23">-AbandonCost*F38</f>
        <v>0</v>
      </c>
      <c r="G47" s="33">
        <f t="shared" ca="1" si="23"/>
        <v>0</v>
      </c>
      <c r="H47" s="33">
        <f t="shared" ca="1" si="23"/>
        <v>0</v>
      </c>
      <c r="I47" s="33">
        <f t="shared" ca="1" si="23"/>
        <v>0</v>
      </c>
      <c r="J47" s="33">
        <f t="shared" ca="1" si="23"/>
        <v>0</v>
      </c>
      <c r="K47" s="33">
        <f t="shared" ca="1" si="23"/>
        <v>0</v>
      </c>
      <c r="L47" s="33">
        <f t="shared" ca="1" si="23"/>
        <v>0</v>
      </c>
      <c r="M47" s="33">
        <f t="shared" ca="1" si="23"/>
        <v>0</v>
      </c>
      <c r="N47" s="33">
        <f t="shared" ca="1" si="23"/>
        <v>0</v>
      </c>
      <c r="O47" s="33">
        <f t="shared" ca="1" si="23"/>
        <v>0</v>
      </c>
      <c r="P47" s="33">
        <f t="shared" ca="1" si="23"/>
        <v>0</v>
      </c>
      <c r="Q47" s="33">
        <f t="shared" ca="1" si="23"/>
        <v>0</v>
      </c>
      <c r="R47" s="33">
        <f t="shared" ca="1" si="23"/>
        <v>0</v>
      </c>
      <c r="S47" s="33">
        <f t="shared" ca="1" si="23"/>
        <v>0</v>
      </c>
      <c r="T47" s="33">
        <f t="shared" ca="1" si="23"/>
        <v>0</v>
      </c>
      <c r="U47" s="33">
        <f t="shared" ca="1" si="23"/>
        <v>0</v>
      </c>
      <c r="V47" s="33">
        <f t="shared" ca="1" si="23"/>
        <v>0</v>
      </c>
      <c r="W47" s="33">
        <f t="shared" ca="1" si="23"/>
        <v>0</v>
      </c>
      <c r="X47" s="33">
        <f t="shared" ca="1" si="23"/>
        <v>0</v>
      </c>
      <c r="Y47" s="33">
        <f t="shared" ca="1" si="23"/>
        <v>0</v>
      </c>
      <c r="Z47" s="33">
        <f t="shared" ca="1" si="23"/>
        <v>-130.21879337475627</v>
      </c>
      <c r="AA47" s="33">
        <f t="shared" ca="1" si="23"/>
        <v>0</v>
      </c>
      <c r="AB47" s="33">
        <f t="shared" ca="1" si="23"/>
        <v>0</v>
      </c>
      <c r="AC47" s="33">
        <f t="shared" ca="1" si="23"/>
        <v>0</v>
      </c>
      <c r="AD47" s="33">
        <f t="shared" ca="1" si="23"/>
        <v>0</v>
      </c>
      <c r="AE47" s="33">
        <f t="shared" ca="1" si="23"/>
        <v>0</v>
      </c>
      <c r="AF47" s="33">
        <f t="shared" ca="1" si="23"/>
        <v>0</v>
      </c>
      <c r="AG47" s="33">
        <f t="shared" ca="1" si="23"/>
        <v>0</v>
      </c>
      <c r="AH47" s="33">
        <f t="shared" ca="1" si="23"/>
        <v>0</v>
      </c>
      <c r="AI47" s="33">
        <f t="shared" ca="1" si="23"/>
        <v>0</v>
      </c>
      <c r="AJ47" s="33">
        <f t="shared" ca="1" si="23"/>
        <v>0</v>
      </c>
    </row>
    <row r="48" spans="2:36" x14ac:dyDescent="0.45">
      <c r="B48" s="68" t="s">
        <v>368</v>
      </c>
      <c r="C48" s="69" t="s">
        <v>215</v>
      </c>
      <c r="D48" s="70">
        <f t="shared" ca="1" si="17"/>
        <v>2072.5858143409127</v>
      </c>
      <c r="E48" s="71"/>
      <c r="F48" s="70">
        <f t="shared" ref="F48:AJ48" ca="1" si="24">SUM(F42:F47)</f>
        <v>0</v>
      </c>
      <c r="G48" s="70">
        <f t="shared" ca="1" si="24"/>
        <v>-260.43758674951255</v>
      </c>
      <c r="H48" s="70">
        <f t="shared" ca="1" si="24"/>
        <v>-434.06264458252093</v>
      </c>
      <c r="I48" s="70">
        <f t="shared" ca="1" si="24"/>
        <v>-35.861906151842703</v>
      </c>
      <c r="J48" s="70">
        <f t="shared" ca="1" si="24"/>
        <v>291.92979637607471</v>
      </c>
      <c r="K48" s="70">
        <f t="shared" ca="1" si="24"/>
        <v>289.84644881657948</v>
      </c>
      <c r="L48" s="70">
        <f t="shared" ca="1" si="24"/>
        <v>366.90977865621079</v>
      </c>
      <c r="M48" s="70">
        <f t="shared" ca="1" si="24"/>
        <v>645.04331359221646</v>
      </c>
      <c r="N48" s="70">
        <f t="shared" ca="1" si="24"/>
        <v>400.27610790651113</v>
      </c>
      <c r="O48" s="70">
        <f t="shared" ca="1" si="24"/>
        <v>247.59606353666823</v>
      </c>
      <c r="P48" s="70">
        <f t="shared" ca="1" si="24"/>
        <v>216.79445020489879</v>
      </c>
      <c r="Q48" s="70">
        <f t="shared" ca="1" si="24"/>
        <v>170.27758953603112</v>
      </c>
      <c r="R48" s="70">
        <f t="shared" ca="1" si="24"/>
        <v>107.24578872143294</v>
      </c>
      <c r="S48" s="70">
        <f t="shared" ca="1" si="24"/>
        <v>76.074981334935785</v>
      </c>
      <c r="T48" s="70">
        <f t="shared" ca="1" si="24"/>
        <v>57.143859912492907</v>
      </c>
      <c r="U48" s="70">
        <f t="shared" ca="1" si="24"/>
        <v>18.015393099980706</v>
      </c>
      <c r="V48" s="70">
        <f t="shared" ca="1" si="24"/>
        <v>12.096965611921611</v>
      </c>
      <c r="W48" s="70">
        <f t="shared" ca="1" si="24"/>
        <v>26.464703021914282</v>
      </c>
      <c r="X48" s="70">
        <f t="shared" ca="1" si="24"/>
        <v>3.7043623291006753</v>
      </c>
      <c r="Y48" s="70">
        <f t="shared" ca="1" si="24"/>
        <v>3.7471425425749487</v>
      </c>
      <c r="Z48" s="70">
        <f t="shared" ca="1" si="24"/>
        <v>-130.21879337475627</v>
      </c>
      <c r="AA48" s="70">
        <f t="shared" ca="1" si="24"/>
        <v>0</v>
      </c>
      <c r="AB48" s="70">
        <f t="shared" ca="1" si="24"/>
        <v>0</v>
      </c>
      <c r="AC48" s="70">
        <f t="shared" ca="1" si="24"/>
        <v>0</v>
      </c>
      <c r="AD48" s="70">
        <f t="shared" ca="1" si="24"/>
        <v>0</v>
      </c>
      <c r="AE48" s="70">
        <f t="shared" ca="1" si="24"/>
        <v>0</v>
      </c>
      <c r="AF48" s="70">
        <f t="shared" ca="1" si="24"/>
        <v>0</v>
      </c>
      <c r="AG48" s="70">
        <f t="shared" ca="1" si="24"/>
        <v>0</v>
      </c>
      <c r="AH48" s="70">
        <f t="shared" ca="1" si="24"/>
        <v>0</v>
      </c>
      <c r="AI48" s="70">
        <f t="shared" ca="1" si="24"/>
        <v>0</v>
      </c>
      <c r="AJ48" s="70">
        <f t="shared" ca="1" si="24"/>
        <v>0</v>
      </c>
    </row>
    <row r="49" spans="2:36" ht="8" customHeight="1" x14ac:dyDescent="0.45"/>
    <row r="50" spans="2:36" ht="22.05" customHeight="1" x14ac:dyDescent="0.5">
      <c r="B50" s="7" t="s">
        <v>369</v>
      </c>
      <c r="C50" s="8"/>
      <c r="D50" s="8"/>
      <c r="E50" s="8"/>
      <c r="F50" s="8"/>
      <c r="G50" s="8"/>
      <c r="H50" s="8"/>
      <c r="I50" s="8"/>
      <c r="J50" s="8"/>
      <c r="K50" s="8"/>
      <c r="L50" s="8"/>
      <c r="M50" s="8"/>
      <c r="N50" s="8"/>
      <c r="O50" s="8"/>
      <c r="P50" s="8"/>
      <c r="Q50" s="8"/>
      <c r="R50" s="8"/>
      <c r="S50" s="8"/>
      <c r="T50" s="8"/>
      <c r="U50" s="8"/>
      <c r="V50" s="8"/>
      <c r="W50" s="8"/>
      <c r="X50" s="8"/>
      <c r="Y50" s="8"/>
      <c r="Z50" s="8"/>
      <c r="AA50" s="8"/>
      <c r="AB50" s="8"/>
      <c r="AC50" s="8"/>
      <c r="AD50" s="8"/>
      <c r="AE50" s="8"/>
      <c r="AF50" s="8"/>
      <c r="AG50" s="8"/>
      <c r="AH50" s="8"/>
      <c r="AI50" s="8"/>
      <c r="AJ50" s="8"/>
    </row>
    <row r="51" spans="2:36" ht="18" customHeight="1" x14ac:dyDescent="0.45">
      <c r="B51" s="13" t="s">
        <v>370</v>
      </c>
    </row>
    <row r="52" spans="2:36" x14ac:dyDescent="0.45">
      <c r="B52" s="25" t="s">
        <v>371</v>
      </c>
      <c r="C52" s="26" t="s">
        <v>215</v>
      </c>
      <c r="D52" s="67">
        <f ca="1">SUM(F52:AJ52)</f>
        <v>2072.5858143409127</v>
      </c>
      <c r="E52" s="28"/>
      <c r="F52" s="33">
        <f t="shared" ref="F52:AJ52" ca="1" si="25">F48</f>
        <v>0</v>
      </c>
      <c r="G52" s="33">
        <f t="shared" ca="1" si="25"/>
        <v>-260.43758674951255</v>
      </c>
      <c r="H52" s="33">
        <f t="shared" ca="1" si="25"/>
        <v>-434.06264458252093</v>
      </c>
      <c r="I52" s="33">
        <f t="shared" ca="1" si="25"/>
        <v>-35.861906151842703</v>
      </c>
      <c r="J52" s="33">
        <f t="shared" ca="1" si="25"/>
        <v>291.92979637607471</v>
      </c>
      <c r="K52" s="33">
        <f t="shared" ca="1" si="25"/>
        <v>289.84644881657948</v>
      </c>
      <c r="L52" s="33">
        <f t="shared" ca="1" si="25"/>
        <v>366.90977865621079</v>
      </c>
      <c r="M52" s="33">
        <f t="shared" ca="1" si="25"/>
        <v>645.04331359221646</v>
      </c>
      <c r="N52" s="33">
        <f t="shared" ca="1" si="25"/>
        <v>400.27610790651113</v>
      </c>
      <c r="O52" s="33">
        <f t="shared" ca="1" si="25"/>
        <v>247.59606353666823</v>
      </c>
      <c r="P52" s="33">
        <f t="shared" ca="1" si="25"/>
        <v>216.79445020489879</v>
      </c>
      <c r="Q52" s="33">
        <f t="shared" ca="1" si="25"/>
        <v>170.27758953603112</v>
      </c>
      <c r="R52" s="33">
        <f t="shared" ca="1" si="25"/>
        <v>107.24578872143294</v>
      </c>
      <c r="S52" s="33">
        <f t="shared" ca="1" si="25"/>
        <v>76.074981334935785</v>
      </c>
      <c r="T52" s="33">
        <f t="shared" ca="1" si="25"/>
        <v>57.143859912492907</v>
      </c>
      <c r="U52" s="33">
        <f t="shared" ca="1" si="25"/>
        <v>18.015393099980706</v>
      </c>
      <c r="V52" s="33">
        <f t="shared" ca="1" si="25"/>
        <v>12.096965611921611</v>
      </c>
      <c r="W52" s="33">
        <f t="shared" ca="1" si="25"/>
        <v>26.464703021914282</v>
      </c>
      <c r="X52" s="33">
        <f t="shared" ca="1" si="25"/>
        <v>3.7043623291006753</v>
      </c>
      <c r="Y52" s="33">
        <f t="shared" ca="1" si="25"/>
        <v>3.7471425425749487</v>
      </c>
      <c r="Z52" s="33">
        <f t="shared" ca="1" si="25"/>
        <v>-130.21879337475627</v>
      </c>
      <c r="AA52" s="33">
        <f t="shared" ca="1" si="25"/>
        <v>0</v>
      </c>
      <c r="AB52" s="33">
        <f t="shared" ca="1" si="25"/>
        <v>0</v>
      </c>
      <c r="AC52" s="33">
        <f t="shared" ca="1" si="25"/>
        <v>0</v>
      </c>
      <c r="AD52" s="33">
        <f t="shared" ca="1" si="25"/>
        <v>0</v>
      </c>
      <c r="AE52" s="33">
        <f t="shared" ca="1" si="25"/>
        <v>0</v>
      </c>
      <c r="AF52" s="33">
        <f t="shared" ca="1" si="25"/>
        <v>0</v>
      </c>
      <c r="AG52" s="33">
        <f t="shared" ca="1" si="25"/>
        <v>0</v>
      </c>
      <c r="AH52" s="33">
        <f t="shared" ca="1" si="25"/>
        <v>0</v>
      </c>
      <c r="AI52" s="33">
        <f t="shared" ca="1" si="25"/>
        <v>0</v>
      </c>
      <c r="AJ52" s="33">
        <f t="shared" ca="1" si="25"/>
        <v>0</v>
      </c>
    </row>
    <row r="53" spans="2:36" x14ac:dyDescent="0.45">
      <c r="B53" s="25" t="s">
        <v>372</v>
      </c>
      <c r="C53" s="26" t="s">
        <v>215</v>
      </c>
      <c r="D53" s="28"/>
      <c r="E53" s="28"/>
      <c r="F53" s="33">
        <f t="shared" ref="F53:AJ53" si="26">E55</f>
        <v>0</v>
      </c>
      <c r="G53" s="33">
        <f t="shared" ca="1" si="26"/>
        <v>0</v>
      </c>
      <c r="H53" s="33">
        <f t="shared" ca="1" si="26"/>
        <v>260.43758674951255</v>
      </c>
      <c r="I53" s="33">
        <f t="shared" ca="1" si="26"/>
        <v>694.50023133203354</v>
      </c>
      <c r="J53" s="33">
        <f t="shared" ca="1" si="26"/>
        <v>730.36213748387627</v>
      </c>
      <c r="K53" s="33">
        <f t="shared" ca="1" si="26"/>
        <v>438.43234110780156</v>
      </c>
      <c r="L53" s="33">
        <f t="shared" ca="1" si="26"/>
        <v>148.58589229122208</v>
      </c>
      <c r="M53" s="33">
        <f t="shared" ca="1" si="26"/>
        <v>0</v>
      </c>
      <c r="N53" s="33">
        <f t="shared" ca="1" si="26"/>
        <v>0</v>
      </c>
      <c r="O53" s="33">
        <f t="shared" ca="1" si="26"/>
        <v>0</v>
      </c>
      <c r="P53" s="33">
        <f t="shared" ca="1" si="26"/>
        <v>0</v>
      </c>
      <c r="Q53" s="33">
        <f t="shared" ca="1" si="26"/>
        <v>0</v>
      </c>
      <c r="R53" s="33">
        <f t="shared" ca="1" si="26"/>
        <v>0</v>
      </c>
      <c r="S53" s="33">
        <f t="shared" ca="1" si="26"/>
        <v>0</v>
      </c>
      <c r="T53" s="33">
        <f t="shared" ca="1" si="26"/>
        <v>0</v>
      </c>
      <c r="U53" s="33">
        <f t="shared" ca="1" si="26"/>
        <v>0</v>
      </c>
      <c r="V53" s="33">
        <f t="shared" ca="1" si="26"/>
        <v>0</v>
      </c>
      <c r="W53" s="33">
        <f t="shared" ca="1" si="26"/>
        <v>0</v>
      </c>
      <c r="X53" s="33">
        <f t="shared" ca="1" si="26"/>
        <v>0</v>
      </c>
      <c r="Y53" s="33">
        <f t="shared" ca="1" si="26"/>
        <v>0</v>
      </c>
      <c r="Z53" s="33">
        <f t="shared" ca="1" si="26"/>
        <v>0</v>
      </c>
      <c r="AA53" s="33">
        <f t="shared" ca="1" si="26"/>
        <v>130.21879337475627</v>
      </c>
      <c r="AB53" s="33">
        <f t="shared" ca="1" si="26"/>
        <v>130.21879337475627</v>
      </c>
      <c r="AC53" s="33">
        <f t="shared" ca="1" si="26"/>
        <v>130.21879337475627</v>
      </c>
      <c r="AD53" s="33">
        <f t="shared" ca="1" si="26"/>
        <v>130.21879337475627</v>
      </c>
      <c r="AE53" s="33">
        <f t="shared" ca="1" si="26"/>
        <v>130.21879337475627</v>
      </c>
      <c r="AF53" s="33">
        <f t="shared" ca="1" si="26"/>
        <v>130.21879337475627</v>
      </c>
      <c r="AG53" s="33">
        <f t="shared" ca="1" si="26"/>
        <v>130.21879337475627</v>
      </c>
      <c r="AH53" s="33">
        <f t="shared" ca="1" si="26"/>
        <v>130.21879337475627</v>
      </c>
      <c r="AI53" s="33">
        <f t="shared" ca="1" si="26"/>
        <v>130.21879337475627</v>
      </c>
      <c r="AJ53" s="33">
        <f t="shared" ca="1" si="26"/>
        <v>130.21879337475627</v>
      </c>
    </row>
    <row r="54" spans="2:36" x14ac:dyDescent="0.45">
      <c r="B54" s="25" t="s">
        <v>373</v>
      </c>
      <c r="C54" s="26" t="s">
        <v>215</v>
      </c>
      <c r="D54" s="67">
        <f ca="1">SUM(F54:AJ54)</f>
        <v>730.36213748387627</v>
      </c>
      <c r="E54" s="28"/>
      <c r="F54" s="33">
        <f t="shared" ref="F54:AJ54" ca="1" si="27">MIN(F53,MAX(0,F52))</f>
        <v>0</v>
      </c>
      <c r="G54" s="33">
        <f t="shared" ca="1" si="27"/>
        <v>0</v>
      </c>
      <c r="H54" s="33">
        <f t="shared" ca="1" si="27"/>
        <v>0</v>
      </c>
      <c r="I54" s="33">
        <f t="shared" ca="1" si="27"/>
        <v>0</v>
      </c>
      <c r="J54" s="33">
        <f t="shared" ca="1" si="27"/>
        <v>291.92979637607471</v>
      </c>
      <c r="K54" s="33">
        <f t="shared" ca="1" si="27"/>
        <v>289.84644881657948</v>
      </c>
      <c r="L54" s="33">
        <f t="shared" ca="1" si="27"/>
        <v>148.58589229122208</v>
      </c>
      <c r="M54" s="33">
        <f t="shared" ca="1" si="27"/>
        <v>0</v>
      </c>
      <c r="N54" s="33">
        <f t="shared" ca="1" si="27"/>
        <v>0</v>
      </c>
      <c r="O54" s="33">
        <f t="shared" ca="1" si="27"/>
        <v>0</v>
      </c>
      <c r="P54" s="33">
        <f t="shared" ca="1" si="27"/>
        <v>0</v>
      </c>
      <c r="Q54" s="33">
        <f t="shared" ca="1" si="27"/>
        <v>0</v>
      </c>
      <c r="R54" s="33">
        <f t="shared" ca="1" si="27"/>
        <v>0</v>
      </c>
      <c r="S54" s="33">
        <f t="shared" ca="1" si="27"/>
        <v>0</v>
      </c>
      <c r="T54" s="33">
        <f t="shared" ca="1" si="27"/>
        <v>0</v>
      </c>
      <c r="U54" s="33">
        <f t="shared" ca="1" si="27"/>
        <v>0</v>
      </c>
      <c r="V54" s="33">
        <f t="shared" ca="1" si="27"/>
        <v>0</v>
      </c>
      <c r="W54" s="33">
        <f t="shared" ca="1" si="27"/>
        <v>0</v>
      </c>
      <c r="X54" s="33">
        <f t="shared" ca="1" si="27"/>
        <v>0</v>
      </c>
      <c r="Y54" s="33">
        <f t="shared" ca="1" si="27"/>
        <v>0</v>
      </c>
      <c r="Z54" s="33">
        <f t="shared" ca="1" si="27"/>
        <v>0</v>
      </c>
      <c r="AA54" s="33">
        <f t="shared" ca="1" si="27"/>
        <v>0</v>
      </c>
      <c r="AB54" s="33">
        <f t="shared" ca="1" si="27"/>
        <v>0</v>
      </c>
      <c r="AC54" s="33">
        <f t="shared" ca="1" si="27"/>
        <v>0</v>
      </c>
      <c r="AD54" s="33">
        <f t="shared" ca="1" si="27"/>
        <v>0</v>
      </c>
      <c r="AE54" s="33">
        <f t="shared" ca="1" si="27"/>
        <v>0</v>
      </c>
      <c r="AF54" s="33">
        <f t="shared" ca="1" si="27"/>
        <v>0</v>
      </c>
      <c r="AG54" s="33">
        <f t="shared" ca="1" si="27"/>
        <v>0</v>
      </c>
      <c r="AH54" s="33">
        <f t="shared" ca="1" si="27"/>
        <v>0</v>
      </c>
      <c r="AI54" s="33">
        <f t="shared" ca="1" si="27"/>
        <v>0</v>
      </c>
      <c r="AJ54" s="33">
        <f t="shared" ca="1" si="27"/>
        <v>0</v>
      </c>
    </row>
    <row r="55" spans="2:36" x14ac:dyDescent="0.45">
      <c r="B55" s="25" t="s">
        <v>374</v>
      </c>
      <c r="C55" s="26" t="s">
        <v>215</v>
      </c>
      <c r="D55" s="28"/>
      <c r="E55" s="72">
        <v>0</v>
      </c>
      <c r="F55" s="33">
        <f t="shared" ref="F55:AJ55" ca="1" si="28">F53-F54+MAX(0,-F52)</f>
        <v>0</v>
      </c>
      <c r="G55" s="33">
        <f t="shared" ca="1" si="28"/>
        <v>260.43758674951255</v>
      </c>
      <c r="H55" s="33">
        <f t="shared" ca="1" si="28"/>
        <v>694.50023133203354</v>
      </c>
      <c r="I55" s="33">
        <f t="shared" ca="1" si="28"/>
        <v>730.36213748387627</v>
      </c>
      <c r="J55" s="33">
        <f t="shared" ca="1" si="28"/>
        <v>438.43234110780156</v>
      </c>
      <c r="K55" s="33">
        <f t="shared" ca="1" si="28"/>
        <v>148.58589229122208</v>
      </c>
      <c r="L55" s="33">
        <f t="shared" ca="1" si="28"/>
        <v>0</v>
      </c>
      <c r="M55" s="33">
        <f t="shared" ca="1" si="28"/>
        <v>0</v>
      </c>
      <c r="N55" s="33">
        <f t="shared" ca="1" si="28"/>
        <v>0</v>
      </c>
      <c r="O55" s="33">
        <f t="shared" ca="1" si="28"/>
        <v>0</v>
      </c>
      <c r="P55" s="33">
        <f t="shared" ca="1" si="28"/>
        <v>0</v>
      </c>
      <c r="Q55" s="33">
        <f t="shared" ca="1" si="28"/>
        <v>0</v>
      </c>
      <c r="R55" s="33">
        <f t="shared" ca="1" si="28"/>
        <v>0</v>
      </c>
      <c r="S55" s="33">
        <f t="shared" ca="1" si="28"/>
        <v>0</v>
      </c>
      <c r="T55" s="33">
        <f t="shared" ca="1" si="28"/>
        <v>0</v>
      </c>
      <c r="U55" s="33">
        <f t="shared" ca="1" si="28"/>
        <v>0</v>
      </c>
      <c r="V55" s="33">
        <f t="shared" ca="1" si="28"/>
        <v>0</v>
      </c>
      <c r="W55" s="33">
        <f t="shared" ca="1" si="28"/>
        <v>0</v>
      </c>
      <c r="X55" s="33">
        <f t="shared" ca="1" si="28"/>
        <v>0</v>
      </c>
      <c r="Y55" s="33">
        <f t="shared" ca="1" si="28"/>
        <v>0</v>
      </c>
      <c r="Z55" s="33">
        <f t="shared" ca="1" si="28"/>
        <v>130.21879337475627</v>
      </c>
      <c r="AA55" s="33">
        <f t="shared" ca="1" si="28"/>
        <v>130.21879337475627</v>
      </c>
      <c r="AB55" s="33">
        <f t="shared" ca="1" si="28"/>
        <v>130.21879337475627</v>
      </c>
      <c r="AC55" s="33">
        <f t="shared" ca="1" si="28"/>
        <v>130.21879337475627</v>
      </c>
      <c r="AD55" s="33">
        <f t="shared" ca="1" si="28"/>
        <v>130.21879337475627</v>
      </c>
      <c r="AE55" s="33">
        <f t="shared" ca="1" si="28"/>
        <v>130.21879337475627</v>
      </c>
      <c r="AF55" s="33">
        <f t="shared" ca="1" si="28"/>
        <v>130.21879337475627</v>
      </c>
      <c r="AG55" s="33">
        <f t="shared" ca="1" si="28"/>
        <v>130.21879337475627</v>
      </c>
      <c r="AH55" s="33">
        <f t="shared" ca="1" si="28"/>
        <v>130.21879337475627</v>
      </c>
      <c r="AI55" s="33">
        <f t="shared" ca="1" si="28"/>
        <v>130.21879337475627</v>
      </c>
      <c r="AJ55" s="33">
        <f t="shared" ca="1" si="28"/>
        <v>130.21879337475627</v>
      </c>
    </row>
    <row r="56" spans="2:36" x14ac:dyDescent="0.45">
      <c r="B56" s="25" t="s">
        <v>375</v>
      </c>
      <c r="C56" s="26" t="s">
        <v>215</v>
      </c>
      <c r="D56" s="67">
        <f ca="1">SUM(F56:AJ56)</f>
        <v>-660.84138231470047</v>
      </c>
      <c r="E56" s="28"/>
      <c r="F56" s="33">
        <f t="shared" ref="F56:AJ56" ca="1" si="29">-TaxRate*MAX(0,F52-F54)</f>
        <v>0</v>
      </c>
      <c r="G56" s="33">
        <f t="shared" ca="1" si="29"/>
        <v>0</v>
      </c>
      <c r="H56" s="33">
        <f t="shared" ca="1" si="29"/>
        <v>0</v>
      </c>
      <c r="I56" s="33">
        <f t="shared" ca="1" si="29"/>
        <v>0</v>
      </c>
      <c r="J56" s="33">
        <f t="shared" ca="1" si="29"/>
        <v>0</v>
      </c>
      <c r="K56" s="33">
        <f t="shared" ca="1" si="29"/>
        <v>0</v>
      </c>
      <c r="L56" s="33">
        <f t="shared" ca="1" si="29"/>
        <v>-65.497165909496616</v>
      </c>
      <c r="M56" s="33">
        <f t="shared" ca="1" si="29"/>
        <v>-193.51299407766493</v>
      </c>
      <c r="N56" s="33">
        <f t="shared" ca="1" si="29"/>
        <v>-120.08283237195333</v>
      </c>
      <c r="O56" s="33">
        <f t="shared" ca="1" si="29"/>
        <v>-74.278819061000462</v>
      </c>
      <c r="P56" s="33">
        <f t="shared" ca="1" si="29"/>
        <v>-65.038335061469638</v>
      </c>
      <c r="Q56" s="33">
        <f t="shared" ca="1" si="29"/>
        <v>-51.083276860809335</v>
      </c>
      <c r="R56" s="33">
        <f t="shared" ca="1" si="29"/>
        <v>-32.173736616429885</v>
      </c>
      <c r="S56" s="33">
        <f t="shared" ca="1" si="29"/>
        <v>-22.822494400480736</v>
      </c>
      <c r="T56" s="33">
        <f t="shared" ca="1" si="29"/>
        <v>-17.143157973747872</v>
      </c>
      <c r="U56" s="33">
        <f t="shared" ca="1" si="29"/>
        <v>-5.4046179299942114</v>
      </c>
      <c r="V56" s="33">
        <f t="shared" ca="1" si="29"/>
        <v>-3.629089683576483</v>
      </c>
      <c r="W56" s="33">
        <f t="shared" ca="1" si="29"/>
        <v>-7.9394109065742846</v>
      </c>
      <c r="X56" s="33">
        <f t="shared" ca="1" si="29"/>
        <v>-1.1113086987302025</v>
      </c>
      <c r="Y56" s="33">
        <f t="shared" ca="1" si="29"/>
        <v>-1.1241427627724845</v>
      </c>
      <c r="Z56" s="33">
        <f t="shared" ca="1" si="29"/>
        <v>0</v>
      </c>
      <c r="AA56" s="33">
        <f t="shared" ca="1" si="29"/>
        <v>0</v>
      </c>
      <c r="AB56" s="33">
        <f t="shared" ca="1" si="29"/>
        <v>0</v>
      </c>
      <c r="AC56" s="33">
        <f t="shared" ca="1" si="29"/>
        <v>0</v>
      </c>
      <c r="AD56" s="33">
        <f t="shared" ca="1" si="29"/>
        <v>0</v>
      </c>
      <c r="AE56" s="33">
        <f t="shared" ca="1" si="29"/>
        <v>0</v>
      </c>
      <c r="AF56" s="33">
        <f t="shared" ca="1" si="29"/>
        <v>0</v>
      </c>
      <c r="AG56" s="33">
        <f t="shared" ca="1" si="29"/>
        <v>0</v>
      </c>
      <c r="AH56" s="33">
        <f t="shared" ca="1" si="29"/>
        <v>0</v>
      </c>
      <c r="AI56" s="33">
        <f t="shared" ca="1" si="29"/>
        <v>0</v>
      </c>
      <c r="AJ56" s="33">
        <f t="shared" ca="1" si="29"/>
        <v>0</v>
      </c>
    </row>
    <row r="57" spans="2:36" x14ac:dyDescent="0.45">
      <c r="B57" s="68" t="s">
        <v>376</v>
      </c>
      <c r="C57" s="69" t="s">
        <v>215</v>
      </c>
      <c r="D57" s="70">
        <f ca="1">SUM(F57:AJ57)</f>
        <v>1411.7444320262116</v>
      </c>
      <c r="E57" s="71"/>
      <c r="F57" s="70">
        <f t="shared" ref="F57:AJ57" ca="1" si="30">F48+F56</f>
        <v>0</v>
      </c>
      <c r="G57" s="70">
        <f t="shared" ca="1" si="30"/>
        <v>-260.43758674951255</v>
      </c>
      <c r="H57" s="70">
        <f t="shared" ca="1" si="30"/>
        <v>-434.06264458252093</v>
      </c>
      <c r="I57" s="70">
        <f t="shared" ca="1" si="30"/>
        <v>-35.861906151842703</v>
      </c>
      <c r="J57" s="70">
        <f t="shared" ca="1" si="30"/>
        <v>291.92979637607471</v>
      </c>
      <c r="K57" s="70">
        <f t="shared" ca="1" si="30"/>
        <v>289.84644881657948</v>
      </c>
      <c r="L57" s="70">
        <f t="shared" ca="1" si="30"/>
        <v>301.41261274671416</v>
      </c>
      <c r="M57" s="70">
        <f t="shared" ca="1" si="30"/>
        <v>451.53031951455154</v>
      </c>
      <c r="N57" s="70">
        <f t="shared" ca="1" si="30"/>
        <v>280.19327553455781</v>
      </c>
      <c r="O57" s="70">
        <f t="shared" ca="1" si="30"/>
        <v>173.31724447566776</v>
      </c>
      <c r="P57" s="70">
        <f t="shared" ca="1" si="30"/>
        <v>151.75611514342916</v>
      </c>
      <c r="Q57" s="70">
        <f t="shared" ca="1" si="30"/>
        <v>119.19431267522178</v>
      </c>
      <c r="R57" s="70">
        <f t="shared" ca="1" si="30"/>
        <v>75.072052105003053</v>
      </c>
      <c r="S57" s="70">
        <f t="shared" ca="1" si="30"/>
        <v>53.25248693445505</v>
      </c>
      <c r="T57" s="70">
        <f t="shared" ca="1" si="30"/>
        <v>40.000701938745038</v>
      </c>
      <c r="U57" s="70">
        <f t="shared" ca="1" si="30"/>
        <v>12.610775169986495</v>
      </c>
      <c r="V57" s="70">
        <f t="shared" ca="1" si="30"/>
        <v>8.4678759283451281</v>
      </c>
      <c r="W57" s="70">
        <f t="shared" ca="1" si="30"/>
        <v>18.525292115339997</v>
      </c>
      <c r="X57" s="70">
        <f t="shared" ca="1" si="30"/>
        <v>2.5930536303704725</v>
      </c>
      <c r="Y57" s="70">
        <f t="shared" ca="1" si="30"/>
        <v>2.6229997798024645</v>
      </c>
      <c r="Z57" s="70">
        <f t="shared" ca="1" si="30"/>
        <v>-130.21879337475627</v>
      </c>
      <c r="AA57" s="70">
        <f t="shared" ca="1" si="30"/>
        <v>0</v>
      </c>
      <c r="AB57" s="70">
        <f t="shared" ca="1" si="30"/>
        <v>0</v>
      </c>
      <c r="AC57" s="70">
        <f t="shared" ca="1" si="30"/>
        <v>0</v>
      </c>
      <c r="AD57" s="70">
        <f t="shared" ca="1" si="30"/>
        <v>0</v>
      </c>
      <c r="AE57" s="70">
        <f t="shared" ca="1" si="30"/>
        <v>0</v>
      </c>
      <c r="AF57" s="70">
        <f t="shared" ca="1" si="30"/>
        <v>0</v>
      </c>
      <c r="AG57" s="70">
        <f t="shared" ca="1" si="30"/>
        <v>0</v>
      </c>
      <c r="AH57" s="70">
        <f t="shared" ca="1" si="30"/>
        <v>0</v>
      </c>
      <c r="AI57" s="70">
        <f t="shared" ca="1" si="30"/>
        <v>0</v>
      </c>
      <c r="AJ57" s="70">
        <f t="shared" ca="1" si="30"/>
        <v>0</v>
      </c>
    </row>
    <row r="58" spans="2:36" x14ac:dyDescent="0.45">
      <c r="B58" s="25" t="s">
        <v>377</v>
      </c>
      <c r="C58" s="26" t="s">
        <v>215</v>
      </c>
      <c r="D58" s="28"/>
      <c r="E58" s="72">
        <v>0</v>
      </c>
      <c r="F58" s="33">
        <f t="shared" ref="F58:AJ58" ca="1" si="31">E58+F57</f>
        <v>0</v>
      </c>
      <c r="G58" s="33">
        <f t="shared" ca="1" si="31"/>
        <v>-260.43758674951255</v>
      </c>
      <c r="H58" s="33">
        <f t="shared" ca="1" si="31"/>
        <v>-694.50023133203354</v>
      </c>
      <c r="I58" s="33">
        <f t="shared" ca="1" si="31"/>
        <v>-730.36213748387627</v>
      </c>
      <c r="J58" s="33">
        <f t="shared" ca="1" si="31"/>
        <v>-438.43234110780156</v>
      </c>
      <c r="K58" s="33">
        <f t="shared" ca="1" si="31"/>
        <v>-148.58589229122208</v>
      </c>
      <c r="L58" s="33">
        <f t="shared" ca="1" si="31"/>
        <v>152.82672045549208</v>
      </c>
      <c r="M58" s="33">
        <f t="shared" ca="1" si="31"/>
        <v>604.35703997004362</v>
      </c>
      <c r="N58" s="33">
        <f t="shared" ca="1" si="31"/>
        <v>884.55031550460149</v>
      </c>
      <c r="O58" s="33">
        <f t="shared" ca="1" si="31"/>
        <v>1057.8675599802693</v>
      </c>
      <c r="P58" s="33">
        <f t="shared" ca="1" si="31"/>
        <v>1209.6236751236984</v>
      </c>
      <c r="Q58" s="33">
        <f t="shared" ca="1" si="31"/>
        <v>1328.8179877989201</v>
      </c>
      <c r="R58" s="33">
        <f t="shared" ca="1" si="31"/>
        <v>1403.890039903923</v>
      </c>
      <c r="S58" s="33">
        <f t="shared" ca="1" si="31"/>
        <v>1457.142526838378</v>
      </c>
      <c r="T58" s="33">
        <f t="shared" ca="1" si="31"/>
        <v>1497.1432287771231</v>
      </c>
      <c r="U58" s="33">
        <f t="shared" ca="1" si="31"/>
        <v>1509.7540039471096</v>
      </c>
      <c r="V58" s="33">
        <f t="shared" ca="1" si="31"/>
        <v>1518.2218798754548</v>
      </c>
      <c r="W58" s="33">
        <f t="shared" ca="1" si="31"/>
        <v>1536.7471719907949</v>
      </c>
      <c r="X58" s="33">
        <f t="shared" ca="1" si="31"/>
        <v>1539.3402256211652</v>
      </c>
      <c r="Y58" s="33">
        <f t="shared" ca="1" si="31"/>
        <v>1541.9632254009678</v>
      </c>
      <c r="Z58" s="33">
        <f t="shared" ca="1" si="31"/>
        <v>1411.7444320262116</v>
      </c>
      <c r="AA58" s="33">
        <f t="shared" ca="1" si="31"/>
        <v>1411.7444320262116</v>
      </c>
      <c r="AB58" s="33">
        <f t="shared" ca="1" si="31"/>
        <v>1411.7444320262116</v>
      </c>
      <c r="AC58" s="33">
        <f t="shared" ca="1" si="31"/>
        <v>1411.7444320262116</v>
      </c>
      <c r="AD58" s="33">
        <f t="shared" ca="1" si="31"/>
        <v>1411.7444320262116</v>
      </c>
      <c r="AE58" s="33">
        <f t="shared" ca="1" si="31"/>
        <v>1411.7444320262116</v>
      </c>
      <c r="AF58" s="33">
        <f t="shared" ca="1" si="31"/>
        <v>1411.7444320262116</v>
      </c>
      <c r="AG58" s="33">
        <f t="shared" ca="1" si="31"/>
        <v>1411.7444320262116</v>
      </c>
      <c r="AH58" s="33">
        <f t="shared" ca="1" si="31"/>
        <v>1411.7444320262116</v>
      </c>
      <c r="AI58" s="33">
        <f t="shared" ca="1" si="31"/>
        <v>1411.7444320262116</v>
      </c>
      <c r="AJ58" s="33">
        <f t="shared" ca="1" si="31"/>
        <v>1411.7444320262116</v>
      </c>
    </row>
    <row r="59" spans="2:36" ht="8" customHeight="1" x14ac:dyDescent="0.45"/>
    <row r="60" spans="2:36" ht="22.05" customHeight="1" x14ac:dyDescent="0.5">
      <c r="B60" s="7" t="s">
        <v>378</v>
      </c>
      <c r="C60" s="8"/>
      <c r="D60" s="8"/>
      <c r="E60" s="8"/>
      <c r="F60" s="8"/>
      <c r="G60" s="8"/>
      <c r="H60" s="8"/>
      <c r="I60" s="8"/>
      <c r="J60" s="8"/>
      <c r="K60" s="8"/>
      <c r="L60" s="8"/>
      <c r="M60" s="8"/>
      <c r="N60" s="8"/>
      <c r="O60" s="8"/>
      <c r="P60" s="8"/>
      <c r="Q60" s="8"/>
      <c r="R60" s="8"/>
      <c r="S60" s="8"/>
      <c r="T60" s="8"/>
      <c r="U60" s="8"/>
      <c r="V60" s="8"/>
      <c r="W60" s="8"/>
      <c r="X60" s="8"/>
      <c r="Y60" s="8"/>
      <c r="Z60" s="8"/>
      <c r="AA60" s="8"/>
      <c r="AB60" s="8"/>
      <c r="AC60" s="8"/>
      <c r="AD60" s="8"/>
      <c r="AE60" s="8"/>
      <c r="AF60" s="8"/>
      <c r="AG60" s="8"/>
      <c r="AH60" s="8"/>
      <c r="AI60" s="8"/>
      <c r="AJ60" s="8"/>
    </row>
    <row r="61" spans="2:36" ht="18" customHeight="1" x14ac:dyDescent="0.45">
      <c r="B61" s="13" t="s">
        <v>379</v>
      </c>
    </row>
    <row r="62" spans="2:36" x14ac:dyDescent="0.45">
      <c r="B62" s="25" t="s">
        <v>380</v>
      </c>
      <c r="C62" s="26" t="s">
        <v>215</v>
      </c>
      <c r="D62" s="67">
        <f ca="1">SUM(F62:AJ62)</f>
        <v>-44.05909813439002</v>
      </c>
      <c r="E62" s="28"/>
      <c r="F62" s="33">
        <f t="shared" ref="F62:AJ62" ca="1" si="32">IF(F$6=Start_Explore,-Cost_ExplWell,0)</f>
        <v>-44.05909813439002</v>
      </c>
      <c r="G62" s="33">
        <f t="shared" si="32"/>
        <v>0</v>
      </c>
      <c r="H62" s="33">
        <f t="shared" si="32"/>
        <v>0</v>
      </c>
      <c r="I62" s="33">
        <f t="shared" si="32"/>
        <v>0</v>
      </c>
      <c r="J62" s="33">
        <f t="shared" si="32"/>
        <v>0</v>
      </c>
      <c r="K62" s="33">
        <f t="shared" si="32"/>
        <v>0</v>
      </c>
      <c r="L62" s="33">
        <f t="shared" si="32"/>
        <v>0</v>
      </c>
      <c r="M62" s="33">
        <f t="shared" si="32"/>
        <v>0</v>
      </c>
      <c r="N62" s="33">
        <f t="shared" si="32"/>
        <v>0</v>
      </c>
      <c r="O62" s="33">
        <f t="shared" si="32"/>
        <v>0</v>
      </c>
      <c r="P62" s="33">
        <f t="shared" si="32"/>
        <v>0</v>
      </c>
      <c r="Q62" s="33">
        <f t="shared" si="32"/>
        <v>0</v>
      </c>
      <c r="R62" s="33">
        <f t="shared" si="32"/>
        <v>0</v>
      </c>
      <c r="S62" s="33">
        <f t="shared" si="32"/>
        <v>0</v>
      </c>
      <c r="T62" s="33">
        <f t="shared" si="32"/>
        <v>0</v>
      </c>
      <c r="U62" s="33">
        <f t="shared" si="32"/>
        <v>0</v>
      </c>
      <c r="V62" s="33">
        <f t="shared" si="32"/>
        <v>0</v>
      </c>
      <c r="W62" s="33">
        <f t="shared" si="32"/>
        <v>0</v>
      </c>
      <c r="X62" s="33">
        <f t="shared" si="32"/>
        <v>0</v>
      </c>
      <c r="Y62" s="33">
        <f t="shared" si="32"/>
        <v>0</v>
      </c>
      <c r="Z62" s="33">
        <f t="shared" si="32"/>
        <v>0</v>
      </c>
      <c r="AA62" s="33">
        <f t="shared" si="32"/>
        <v>0</v>
      </c>
      <c r="AB62" s="33">
        <f t="shared" si="32"/>
        <v>0</v>
      </c>
      <c r="AC62" s="33">
        <f t="shared" si="32"/>
        <v>0</v>
      </c>
      <c r="AD62" s="33">
        <f t="shared" si="32"/>
        <v>0</v>
      </c>
      <c r="AE62" s="33">
        <f t="shared" si="32"/>
        <v>0</v>
      </c>
      <c r="AF62" s="33">
        <f t="shared" si="32"/>
        <v>0</v>
      </c>
      <c r="AG62" s="33">
        <f t="shared" si="32"/>
        <v>0</v>
      </c>
      <c r="AH62" s="33">
        <f t="shared" si="32"/>
        <v>0</v>
      </c>
      <c r="AI62" s="33">
        <f t="shared" si="32"/>
        <v>0</v>
      </c>
      <c r="AJ62" s="33">
        <f t="shared" si="32"/>
        <v>0</v>
      </c>
    </row>
    <row r="63" spans="2:36" x14ac:dyDescent="0.45">
      <c r="B63" s="25" t="s">
        <v>381</v>
      </c>
      <c r="C63" s="26" t="s">
        <v>215</v>
      </c>
      <c r="D63" s="67">
        <f ca="1">SUM(F63:AJ63)</f>
        <v>0</v>
      </c>
      <c r="E63" s="28"/>
      <c r="F63" s="33">
        <f t="shared" ref="F63:AJ63" si="33">IF(F$6=Start_Appraise,-Cost_Appraisal*GeoSuccess,0)</f>
        <v>0</v>
      </c>
      <c r="G63" s="33">
        <f t="shared" ca="1" si="33"/>
        <v>0</v>
      </c>
      <c r="H63" s="33">
        <f t="shared" si="33"/>
        <v>0</v>
      </c>
      <c r="I63" s="33">
        <f t="shared" si="33"/>
        <v>0</v>
      </c>
      <c r="J63" s="33">
        <f t="shared" si="33"/>
        <v>0</v>
      </c>
      <c r="K63" s="33">
        <f t="shared" si="33"/>
        <v>0</v>
      </c>
      <c r="L63" s="33">
        <f t="shared" si="33"/>
        <v>0</v>
      </c>
      <c r="M63" s="33">
        <f t="shared" si="33"/>
        <v>0</v>
      </c>
      <c r="N63" s="33">
        <f t="shared" si="33"/>
        <v>0</v>
      </c>
      <c r="O63" s="33">
        <f t="shared" si="33"/>
        <v>0</v>
      </c>
      <c r="P63" s="33">
        <f t="shared" si="33"/>
        <v>0</v>
      </c>
      <c r="Q63" s="33">
        <f t="shared" si="33"/>
        <v>0</v>
      </c>
      <c r="R63" s="33">
        <f t="shared" si="33"/>
        <v>0</v>
      </c>
      <c r="S63" s="33">
        <f t="shared" si="33"/>
        <v>0</v>
      </c>
      <c r="T63" s="33">
        <f t="shared" si="33"/>
        <v>0</v>
      </c>
      <c r="U63" s="33">
        <f t="shared" si="33"/>
        <v>0</v>
      </c>
      <c r="V63" s="33">
        <f t="shared" si="33"/>
        <v>0</v>
      </c>
      <c r="W63" s="33">
        <f t="shared" si="33"/>
        <v>0</v>
      </c>
      <c r="X63" s="33">
        <f t="shared" si="33"/>
        <v>0</v>
      </c>
      <c r="Y63" s="33">
        <f t="shared" si="33"/>
        <v>0</v>
      </c>
      <c r="Z63" s="33">
        <f t="shared" si="33"/>
        <v>0</v>
      </c>
      <c r="AA63" s="33">
        <f t="shared" si="33"/>
        <v>0</v>
      </c>
      <c r="AB63" s="33">
        <f t="shared" si="33"/>
        <v>0</v>
      </c>
      <c r="AC63" s="33">
        <f t="shared" si="33"/>
        <v>0</v>
      </c>
      <c r="AD63" s="33">
        <f t="shared" si="33"/>
        <v>0</v>
      </c>
      <c r="AE63" s="33">
        <f t="shared" si="33"/>
        <v>0</v>
      </c>
      <c r="AF63" s="33">
        <f t="shared" si="33"/>
        <v>0</v>
      </c>
      <c r="AG63" s="33">
        <f t="shared" si="33"/>
        <v>0</v>
      </c>
      <c r="AH63" s="33">
        <f t="shared" si="33"/>
        <v>0</v>
      </c>
      <c r="AI63" s="33">
        <f t="shared" si="33"/>
        <v>0</v>
      </c>
      <c r="AJ63" s="33">
        <f t="shared" si="33"/>
        <v>0</v>
      </c>
    </row>
    <row r="64" spans="2:36" x14ac:dyDescent="0.45">
      <c r="B64" s="25" t="s">
        <v>382</v>
      </c>
      <c r="C64" s="26" t="s">
        <v>215</v>
      </c>
      <c r="D64" s="67">
        <f ca="1">SUM(F64:AJ64)</f>
        <v>0</v>
      </c>
      <c r="E64" s="28"/>
      <c r="F64" s="33">
        <f t="shared" ref="F64:AJ64" ca="1" si="34">Commercial*F57</f>
        <v>0</v>
      </c>
      <c r="G64" s="33">
        <f t="shared" ca="1" si="34"/>
        <v>0</v>
      </c>
      <c r="H64" s="33">
        <f t="shared" ca="1" si="34"/>
        <v>0</v>
      </c>
      <c r="I64" s="33">
        <f t="shared" ca="1" si="34"/>
        <v>0</v>
      </c>
      <c r="J64" s="33">
        <f t="shared" ca="1" si="34"/>
        <v>0</v>
      </c>
      <c r="K64" s="33">
        <f t="shared" ca="1" si="34"/>
        <v>0</v>
      </c>
      <c r="L64" s="33">
        <f t="shared" ca="1" si="34"/>
        <v>0</v>
      </c>
      <c r="M64" s="33">
        <f t="shared" ca="1" si="34"/>
        <v>0</v>
      </c>
      <c r="N64" s="33">
        <f t="shared" ca="1" si="34"/>
        <v>0</v>
      </c>
      <c r="O64" s="33">
        <f t="shared" ca="1" si="34"/>
        <v>0</v>
      </c>
      <c r="P64" s="33">
        <f t="shared" ca="1" si="34"/>
        <v>0</v>
      </c>
      <c r="Q64" s="33">
        <f t="shared" ca="1" si="34"/>
        <v>0</v>
      </c>
      <c r="R64" s="33">
        <f t="shared" ca="1" si="34"/>
        <v>0</v>
      </c>
      <c r="S64" s="33">
        <f t="shared" ca="1" si="34"/>
        <v>0</v>
      </c>
      <c r="T64" s="33">
        <f t="shared" ca="1" si="34"/>
        <v>0</v>
      </c>
      <c r="U64" s="33">
        <f t="shared" ca="1" si="34"/>
        <v>0</v>
      </c>
      <c r="V64" s="33">
        <f t="shared" ca="1" si="34"/>
        <v>0</v>
      </c>
      <c r="W64" s="33">
        <f t="shared" ca="1" si="34"/>
        <v>0</v>
      </c>
      <c r="X64" s="33">
        <f t="shared" ca="1" si="34"/>
        <v>0</v>
      </c>
      <c r="Y64" s="33">
        <f t="shared" ca="1" si="34"/>
        <v>0</v>
      </c>
      <c r="Z64" s="33">
        <f t="shared" ca="1" si="34"/>
        <v>0</v>
      </c>
      <c r="AA64" s="33">
        <f t="shared" ca="1" si="34"/>
        <v>0</v>
      </c>
      <c r="AB64" s="33">
        <f t="shared" ca="1" si="34"/>
        <v>0</v>
      </c>
      <c r="AC64" s="33">
        <f t="shared" ca="1" si="34"/>
        <v>0</v>
      </c>
      <c r="AD64" s="33">
        <f t="shared" ca="1" si="34"/>
        <v>0</v>
      </c>
      <c r="AE64" s="33">
        <f t="shared" ca="1" si="34"/>
        <v>0</v>
      </c>
      <c r="AF64" s="33">
        <f t="shared" ca="1" si="34"/>
        <v>0</v>
      </c>
      <c r="AG64" s="33">
        <f t="shared" ca="1" si="34"/>
        <v>0</v>
      </c>
      <c r="AH64" s="33">
        <f t="shared" ca="1" si="34"/>
        <v>0</v>
      </c>
      <c r="AI64" s="33">
        <f t="shared" ca="1" si="34"/>
        <v>0</v>
      </c>
      <c r="AJ64" s="33">
        <f t="shared" ca="1" si="34"/>
        <v>0</v>
      </c>
    </row>
    <row r="65" spans="2:36" x14ac:dyDescent="0.45">
      <c r="B65" s="68" t="s">
        <v>383</v>
      </c>
      <c r="C65" s="69" t="s">
        <v>215</v>
      </c>
      <c r="D65" s="70">
        <f ca="1">SUM(F65:AJ65)</f>
        <v>-44.05909813439002</v>
      </c>
      <c r="E65" s="71"/>
      <c r="F65" s="70">
        <f t="shared" ref="F65:AJ65" ca="1" si="35">SUM(F62:F64)</f>
        <v>-44.05909813439002</v>
      </c>
      <c r="G65" s="70">
        <f t="shared" ca="1" si="35"/>
        <v>0</v>
      </c>
      <c r="H65" s="70">
        <f t="shared" ca="1" si="35"/>
        <v>0</v>
      </c>
      <c r="I65" s="70">
        <f t="shared" ca="1" si="35"/>
        <v>0</v>
      </c>
      <c r="J65" s="70">
        <f t="shared" ca="1" si="35"/>
        <v>0</v>
      </c>
      <c r="K65" s="70">
        <f t="shared" ca="1" si="35"/>
        <v>0</v>
      </c>
      <c r="L65" s="70">
        <f t="shared" ca="1" si="35"/>
        <v>0</v>
      </c>
      <c r="M65" s="70">
        <f t="shared" ca="1" si="35"/>
        <v>0</v>
      </c>
      <c r="N65" s="70">
        <f t="shared" ca="1" si="35"/>
        <v>0</v>
      </c>
      <c r="O65" s="70">
        <f t="shared" ca="1" si="35"/>
        <v>0</v>
      </c>
      <c r="P65" s="70">
        <f t="shared" ca="1" si="35"/>
        <v>0</v>
      </c>
      <c r="Q65" s="70">
        <f t="shared" ca="1" si="35"/>
        <v>0</v>
      </c>
      <c r="R65" s="70">
        <f t="shared" ca="1" si="35"/>
        <v>0</v>
      </c>
      <c r="S65" s="70">
        <f t="shared" ca="1" si="35"/>
        <v>0</v>
      </c>
      <c r="T65" s="70">
        <f t="shared" ca="1" si="35"/>
        <v>0</v>
      </c>
      <c r="U65" s="70">
        <f t="shared" ca="1" si="35"/>
        <v>0</v>
      </c>
      <c r="V65" s="70">
        <f t="shared" ca="1" si="35"/>
        <v>0</v>
      </c>
      <c r="W65" s="70">
        <f t="shared" ca="1" si="35"/>
        <v>0</v>
      </c>
      <c r="X65" s="70">
        <f t="shared" ca="1" si="35"/>
        <v>0</v>
      </c>
      <c r="Y65" s="70">
        <f t="shared" ca="1" si="35"/>
        <v>0</v>
      </c>
      <c r="Z65" s="70">
        <f t="shared" ca="1" si="35"/>
        <v>0</v>
      </c>
      <c r="AA65" s="70">
        <f t="shared" ca="1" si="35"/>
        <v>0</v>
      </c>
      <c r="AB65" s="70">
        <f t="shared" ca="1" si="35"/>
        <v>0</v>
      </c>
      <c r="AC65" s="70">
        <f t="shared" ca="1" si="35"/>
        <v>0</v>
      </c>
      <c r="AD65" s="70">
        <f t="shared" ca="1" si="35"/>
        <v>0</v>
      </c>
      <c r="AE65" s="70">
        <f t="shared" ca="1" si="35"/>
        <v>0</v>
      </c>
      <c r="AF65" s="70">
        <f t="shared" ca="1" si="35"/>
        <v>0</v>
      </c>
      <c r="AG65" s="70">
        <f t="shared" ca="1" si="35"/>
        <v>0</v>
      </c>
      <c r="AH65" s="70">
        <f t="shared" ca="1" si="35"/>
        <v>0</v>
      </c>
      <c r="AI65" s="70">
        <f t="shared" ca="1" si="35"/>
        <v>0</v>
      </c>
      <c r="AJ65" s="70">
        <f t="shared" ca="1" si="35"/>
        <v>0</v>
      </c>
    </row>
    <row r="66" spans="2:36" ht="8" customHeight="1" x14ac:dyDescent="0.45"/>
    <row r="67" spans="2:36" ht="22.05" customHeight="1" x14ac:dyDescent="0.5">
      <c r="B67" s="7" t="s">
        <v>384</v>
      </c>
      <c r="C67" s="8"/>
      <c r="D67" s="8"/>
      <c r="E67" s="8"/>
      <c r="F67" s="8"/>
      <c r="G67" s="8"/>
      <c r="H67" s="8"/>
      <c r="I67" s="8"/>
      <c r="J67" s="8"/>
      <c r="K67" s="8"/>
      <c r="L67" s="8"/>
      <c r="M67" s="8"/>
      <c r="N67" s="8"/>
      <c r="O67" s="8"/>
      <c r="P67" s="8"/>
      <c r="Q67" s="8"/>
      <c r="R67" s="8"/>
      <c r="S67" s="8"/>
      <c r="T67" s="8"/>
      <c r="U67" s="8"/>
      <c r="V67" s="8"/>
      <c r="W67" s="8"/>
      <c r="X67" s="8"/>
      <c r="Y67" s="8"/>
      <c r="Z67" s="8"/>
      <c r="AA67" s="8"/>
      <c r="AB67" s="8"/>
      <c r="AC67" s="8"/>
      <c r="AD67" s="8"/>
      <c r="AE67" s="8"/>
      <c r="AF67" s="8"/>
      <c r="AG67" s="8"/>
      <c r="AH67" s="8"/>
      <c r="AI67" s="8"/>
      <c r="AJ67" s="8"/>
    </row>
    <row r="68" spans="2:36" ht="18" customHeight="1" x14ac:dyDescent="0.45">
      <c r="B68" s="13" t="s">
        <v>385</v>
      </c>
    </row>
    <row r="69" spans="2:36" x14ac:dyDescent="0.45">
      <c r="B69" s="25" t="s">
        <v>386</v>
      </c>
      <c r="C69" s="26"/>
      <c r="D69" s="28"/>
      <c r="E69" s="28"/>
      <c r="F69" s="73">
        <f t="shared" ref="F69:AJ69" si="36">1/(1+DiscRate)^(F$6+0.5)</f>
        <v>0.95346258924559224</v>
      </c>
      <c r="G69" s="73">
        <f t="shared" si="36"/>
        <v>0.86678417204144742</v>
      </c>
      <c r="H69" s="73">
        <f t="shared" si="36"/>
        <v>0.78798561094677033</v>
      </c>
      <c r="I69" s="73">
        <f t="shared" si="36"/>
        <v>0.71635055540615489</v>
      </c>
      <c r="J69" s="73">
        <f t="shared" si="36"/>
        <v>0.65122777764195883</v>
      </c>
      <c r="K69" s="73">
        <f t="shared" si="36"/>
        <v>0.59202525240178083</v>
      </c>
      <c r="L69" s="73">
        <f t="shared" si="36"/>
        <v>0.53820477491070973</v>
      </c>
      <c r="M69" s="73">
        <f t="shared" si="36"/>
        <v>0.48927706810064514</v>
      </c>
      <c r="N69" s="73">
        <f t="shared" si="36"/>
        <v>0.44479733463695009</v>
      </c>
      <c r="O69" s="73">
        <f t="shared" si="36"/>
        <v>0.4043612133063183</v>
      </c>
      <c r="P69" s="73">
        <f t="shared" si="36"/>
        <v>0.36760110300574383</v>
      </c>
      <c r="Q69" s="73">
        <f t="shared" si="36"/>
        <v>0.33418282091431251</v>
      </c>
      <c r="R69" s="73">
        <f t="shared" si="36"/>
        <v>0.30380256446755688</v>
      </c>
      <c r="S69" s="73">
        <f t="shared" si="36"/>
        <v>0.27618414951596076</v>
      </c>
      <c r="T69" s="73">
        <f t="shared" si="36"/>
        <v>0.25107649955996431</v>
      </c>
      <c r="U69" s="73">
        <f t="shared" si="36"/>
        <v>0.22825136323633116</v>
      </c>
      <c r="V69" s="73">
        <f t="shared" si="36"/>
        <v>0.20750123930575562</v>
      </c>
      <c r="W69" s="73">
        <f t="shared" si="36"/>
        <v>0.18863749027795962</v>
      </c>
      <c r="X69" s="73">
        <f t="shared" si="36"/>
        <v>0.17148862752541782</v>
      </c>
      <c r="Y69" s="73">
        <f t="shared" si="36"/>
        <v>0.15589875229583436</v>
      </c>
      <c r="Z69" s="73">
        <f t="shared" si="36"/>
        <v>0.14172613845075852</v>
      </c>
      <c r="AA69" s="73">
        <f t="shared" si="36"/>
        <v>0.1288419440461441</v>
      </c>
      <c r="AB69" s="73">
        <f t="shared" si="36"/>
        <v>0.11712904004194918</v>
      </c>
      <c r="AC69" s="73">
        <f t="shared" si="36"/>
        <v>0.10648094549268106</v>
      </c>
      <c r="AD69" s="73">
        <f t="shared" si="36"/>
        <v>9.6800859538800965E-2</v>
      </c>
      <c r="AE69" s="73">
        <f t="shared" si="36"/>
        <v>8.8000781398909919E-2</v>
      </c>
      <c r="AF69" s="73">
        <f t="shared" si="36"/>
        <v>8.0000710362645402E-2</v>
      </c>
      <c r="AG69" s="73">
        <f t="shared" si="36"/>
        <v>7.272791851149582E-2</v>
      </c>
      <c r="AH69" s="73">
        <f t="shared" si="36"/>
        <v>6.6116289555905275E-2</v>
      </c>
      <c r="AI69" s="73">
        <f t="shared" si="36"/>
        <v>6.0105717778095702E-2</v>
      </c>
      <c r="AJ69" s="73">
        <f t="shared" si="36"/>
        <v>5.4641561616450646E-2</v>
      </c>
    </row>
    <row r="70" spans="2:36" x14ac:dyDescent="0.45">
      <c r="B70" s="25" t="s">
        <v>387</v>
      </c>
      <c r="C70" s="26" t="s">
        <v>215</v>
      </c>
      <c r="D70" s="67">
        <f ca="1">SUM(F70:AJ70)</f>
        <v>479.80284745779937</v>
      </c>
      <c r="E70" s="28"/>
      <c r="F70" s="33">
        <f t="shared" ref="F70:AJ70" ca="1" si="37">F57*F69</f>
        <v>0</v>
      </c>
      <c r="G70" s="33">
        <f t="shared" ca="1" si="37"/>
        <v>-225.74317799914888</v>
      </c>
      <c r="H70" s="33">
        <f t="shared" ca="1" si="37"/>
        <v>-342.03511818052857</v>
      </c>
      <c r="I70" s="33">
        <f t="shared" ca="1" si="37"/>
        <v>-25.689696389795923</v>
      </c>
      <c r="J70" s="33">
        <f t="shared" ca="1" si="37"/>
        <v>190.1127925214607</v>
      </c>
      <c r="K70" s="33">
        <f t="shared" ca="1" si="37"/>
        <v>171.59641701839533</v>
      </c>
      <c r="L70" s="33">
        <f t="shared" ca="1" si="37"/>
        <v>162.22170739859422</v>
      </c>
      <c r="M70" s="33">
        <f t="shared" ca="1" si="37"/>
        <v>220.92343089062729</v>
      </c>
      <c r="N70" s="33">
        <f t="shared" ca="1" si="37"/>
        <v>124.62922214096787</v>
      </c>
      <c r="O70" s="33">
        <f t="shared" ca="1" si="37"/>
        <v>70.082771263088816</v>
      </c>
      <c r="P70" s="33">
        <f t="shared" ca="1" si="37"/>
        <v>55.785715314591222</v>
      </c>
      <c r="Q70" s="33">
        <f t="shared" ca="1" si="37"/>
        <v>39.832691646748209</v>
      </c>
      <c r="R70" s="33">
        <f t="shared" ca="1" si="37"/>
        <v>22.807081949341978</v>
      </c>
      <c r="S70" s="33">
        <f t="shared" ca="1" si="37"/>
        <v>14.707492813602281</v>
      </c>
      <c r="T70" s="33">
        <f t="shared" ca="1" si="37"/>
        <v>10.043236222721582</v>
      </c>
      <c r="U70" s="33">
        <f t="shared" ca="1" si="37"/>
        <v>2.878426624016293</v>
      </c>
      <c r="V70" s="33">
        <f t="shared" ca="1" si="37"/>
        <v>1.7570947494189899</v>
      </c>
      <c r="W70" s="33">
        <f t="shared" ca="1" si="37"/>
        <v>3.4945646113038107</v>
      </c>
      <c r="X70" s="33">
        <f t="shared" ca="1" si="37"/>
        <v>0.44467920817203443</v>
      </c>
      <c r="Y70" s="33">
        <f t="shared" ca="1" si="37"/>
        <v>0.40892239294345245</v>
      </c>
      <c r="Z70" s="33">
        <f t="shared" ca="1" si="37"/>
        <v>-18.455406738721422</v>
      </c>
      <c r="AA70" s="33">
        <f t="shared" ca="1" si="37"/>
        <v>0</v>
      </c>
      <c r="AB70" s="33">
        <f t="shared" ca="1" si="37"/>
        <v>0</v>
      </c>
      <c r="AC70" s="33">
        <f t="shared" ca="1" si="37"/>
        <v>0</v>
      </c>
      <c r="AD70" s="33">
        <f t="shared" ca="1" si="37"/>
        <v>0</v>
      </c>
      <c r="AE70" s="33">
        <f t="shared" ca="1" si="37"/>
        <v>0</v>
      </c>
      <c r="AF70" s="33">
        <f t="shared" ca="1" si="37"/>
        <v>0</v>
      </c>
      <c r="AG70" s="33">
        <f t="shared" ca="1" si="37"/>
        <v>0</v>
      </c>
      <c r="AH70" s="33">
        <f t="shared" ca="1" si="37"/>
        <v>0</v>
      </c>
      <c r="AI70" s="33">
        <f t="shared" ca="1" si="37"/>
        <v>0</v>
      </c>
      <c r="AJ70" s="33">
        <f t="shared" ca="1" si="37"/>
        <v>0</v>
      </c>
    </row>
    <row r="71" spans="2:36" x14ac:dyDescent="0.45">
      <c r="B71" s="25" t="s">
        <v>388</v>
      </c>
      <c r="C71" s="26" t="s">
        <v>215</v>
      </c>
      <c r="D71" s="67">
        <f ca="1">SUM(F71:AJ71)</f>
        <v>-42.008701787041147</v>
      </c>
      <c r="E71" s="28"/>
      <c r="F71" s="33">
        <f t="shared" ref="F71:AJ71" ca="1" si="38">F65*F69</f>
        <v>-42.008701787041147</v>
      </c>
      <c r="G71" s="33">
        <f t="shared" ca="1" si="38"/>
        <v>0</v>
      </c>
      <c r="H71" s="33">
        <f t="shared" ca="1" si="38"/>
        <v>0</v>
      </c>
      <c r="I71" s="33">
        <f t="shared" ca="1" si="38"/>
        <v>0</v>
      </c>
      <c r="J71" s="33">
        <f t="shared" ca="1" si="38"/>
        <v>0</v>
      </c>
      <c r="K71" s="33">
        <f t="shared" ca="1" si="38"/>
        <v>0</v>
      </c>
      <c r="L71" s="33">
        <f t="shared" ca="1" si="38"/>
        <v>0</v>
      </c>
      <c r="M71" s="33">
        <f t="shared" ca="1" si="38"/>
        <v>0</v>
      </c>
      <c r="N71" s="33">
        <f t="shared" ca="1" si="38"/>
        <v>0</v>
      </c>
      <c r="O71" s="33">
        <f t="shared" ca="1" si="38"/>
        <v>0</v>
      </c>
      <c r="P71" s="33">
        <f t="shared" ca="1" si="38"/>
        <v>0</v>
      </c>
      <c r="Q71" s="33">
        <f t="shared" ca="1" si="38"/>
        <v>0</v>
      </c>
      <c r="R71" s="33">
        <f t="shared" ca="1" si="38"/>
        <v>0</v>
      </c>
      <c r="S71" s="33">
        <f t="shared" ca="1" si="38"/>
        <v>0</v>
      </c>
      <c r="T71" s="33">
        <f t="shared" ca="1" si="38"/>
        <v>0</v>
      </c>
      <c r="U71" s="33">
        <f t="shared" ca="1" si="38"/>
        <v>0</v>
      </c>
      <c r="V71" s="33">
        <f t="shared" ca="1" si="38"/>
        <v>0</v>
      </c>
      <c r="W71" s="33">
        <f t="shared" ca="1" si="38"/>
        <v>0</v>
      </c>
      <c r="X71" s="33">
        <f t="shared" ca="1" si="38"/>
        <v>0</v>
      </c>
      <c r="Y71" s="33">
        <f t="shared" ca="1" si="38"/>
        <v>0</v>
      </c>
      <c r="Z71" s="33">
        <f t="shared" ca="1" si="38"/>
        <v>0</v>
      </c>
      <c r="AA71" s="33">
        <f t="shared" ca="1" si="38"/>
        <v>0</v>
      </c>
      <c r="AB71" s="33">
        <f t="shared" ca="1" si="38"/>
        <v>0</v>
      </c>
      <c r="AC71" s="33">
        <f t="shared" ca="1" si="38"/>
        <v>0</v>
      </c>
      <c r="AD71" s="33">
        <f t="shared" ca="1" si="38"/>
        <v>0</v>
      </c>
      <c r="AE71" s="33">
        <f t="shared" ca="1" si="38"/>
        <v>0</v>
      </c>
      <c r="AF71" s="33">
        <f t="shared" ca="1" si="38"/>
        <v>0</v>
      </c>
      <c r="AG71" s="33">
        <f t="shared" ca="1" si="38"/>
        <v>0</v>
      </c>
      <c r="AH71" s="33">
        <f t="shared" ca="1" si="38"/>
        <v>0</v>
      </c>
      <c r="AI71" s="33">
        <f t="shared" ca="1" si="38"/>
        <v>0</v>
      </c>
      <c r="AJ71" s="33">
        <f t="shared" ca="1" si="38"/>
        <v>0</v>
      </c>
    </row>
    <row r="72" spans="2:36" ht="8" customHeight="1" x14ac:dyDescent="0.45"/>
    <row r="73" spans="2:36" ht="22.05" customHeight="1" x14ac:dyDescent="0.5">
      <c r="B73" s="7" t="s">
        <v>389</v>
      </c>
      <c r="C73" s="8"/>
      <c r="D73" s="8"/>
      <c r="E73" s="8"/>
      <c r="F73" s="8"/>
      <c r="G73" s="8"/>
      <c r="H73" s="8"/>
      <c r="I73" s="8"/>
      <c r="J73" s="8"/>
      <c r="K73" s="8"/>
      <c r="L73" s="8"/>
      <c r="M73" s="8"/>
      <c r="N73" s="8"/>
      <c r="O73" s="8"/>
      <c r="P73" s="8"/>
      <c r="Q73" s="8"/>
      <c r="R73" s="8"/>
      <c r="S73" s="8"/>
      <c r="T73" s="8"/>
      <c r="U73" s="8"/>
      <c r="V73" s="8"/>
      <c r="W73" s="8"/>
      <c r="X73" s="8"/>
      <c r="Y73" s="8"/>
      <c r="Z73" s="8"/>
      <c r="AA73" s="8"/>
      <c r="AB73" s="8"/>
      <c r="AC73" s="8"/>
      <c r="AD73" s="8"/>
      <c r="AE73" s="8"/>
      <c r="AF73" s="8"/>
      <c r="AG73" s="8"/>
      <c r="AH73" s="8"/>
      <c r="AI73" s="8"/>
      <c r="AJ73" s="8"/>
    </row>
    <row r="74" spans="2:36" ht="18" customHeight="1" x14ac:dyDescent="0.45">
      <c r="B74" s="13" t="s">
        <v>390</v>
      </c>
    </row>
    <row r="75" spans="2:36" ht="18" customHeight="1" x14ac:dyDescent="0.45">
      <c r="B75" s="59" t="s">
        <v>391</v>
      </c>
      <c r="C75" s="59" t="s">
        <v>120</v>
      </c>
      <c r="D75" s="61" t="s">
        <v>271</v>
      </c>
      <c r="E75" s="5"/>
      <c r="F75" s="59" t="s">
        <v>392</v>
      </c>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row>
    <row r="76" spans="2:36" x14ac:dyDescent="0.45">
      <c r="B76" s="25" t="s">
        <v>393</v>
      </c>
      <c r="C76" s="26" t="s">
        <v>215</v>
      </c>
      <c r="D76" s="48" cm="1">
        <f t="array" aca="1" ref="D76" ca="1">_xll.VoseOutput("Development NPV (success case)","US$m")+D70</f>
        <v>479.80284745779937</v>
      </c>
      <c r="E76" s="28"/>
      <c r="F76" s="26" t="s">
        <v>394</v>
      </c>
      <c r="G76" s="28"/>
      <c r="H76" s="28"/>
      <c r="I76" s="28"/>
      <c r="J76" s="28"/>
      <c r="K76" s="28"/>
      <c r="L76" s="28"/>
      <c r="M76" s="28"/>
      <c r="N76" s="28"/>
      <c r="O76" s="28"/>
      <c r="P76" s="28"/>
      <c r="Q76" s="28"/>
      <c r="R76" s="28"/>
      <c r="S76" s="28"/>
      <c r="T76" s="28"/>
      <c r="U76" s="28"/>
      <c r="V76" s="28"/>
      <c r="W76" s="28"/>
      <c r="X76" s="28"/>
      <c r="Y76" s="28"/>
      <c r="Z76" s="28"/>
      <c r="AA76" s="28"/>
      <c r="AB76" s="28"/>
      <c r="AC76" s="28"/>
      <c r="AD76" s="28"/>
      <c r="AE76" s="28"/>
      <c r="AF76" s="28"/>
      <c r="AG76" s="28"/>
      <c r="AH76" s="28"/>
      <c r="AI76" s="28"/>
      <c r="AJ76" s="28"/>
    </row>
    <row r="77" spans="2:36" x14ac:dyDescent="0.45">
      <c r="B77" s="25" t="s">
        <v>395</v>
      </c>
      <c r="C77" s="26" t="s">
        <v>215</v>
      </c>
      <c r="D77" s="48" cm="1">
        <f t="array" aca="1" ref="D77" ca="1">_xll.VoseOutput("Prospect NPV (risked)","US$m")+D71</f>
        <v>-42.008701787041147</v>
      </c>
      <c r="E77" s="28"/>
      <c r="F77" s="26" t="s">
        <v>396</v>
      </c>
      <c r="G77" s="28"/>
      <c r="H77" s="28"/>
      <c r="I77" s="28"/>
      <c r="J77" s="28"/>
      <c r="K77" s="28"/>
      <c r="L77" s="28"/>
      <c r="M77" s="28"/>
      <c r="N77" s="28"/>
      <c r="O77" s="28"/>
      <c r="P77" s="28"/>
      <c r="Q77" s="28"/>
      <c r="R77" s="28"/>
      <c r="S77" s="28"/>
      <c r="T77" s="28"/>
      <c r="U77" s="28"/>
      <c r="V77" s="28"/>
      <c r="W77" s="28"/>
      <c r="X77" s="28"/>
      <c r="Y77" s="28"/>
      <c r="Z77" s="28"/>
      <c r="AA77" s="28"/>
      <c r="AB77" s="28"/>
      <c r="AC77" s="28"/>
      <c r="AD77" s="28"/>
      <c r="AE77" s="28"/>
      <c r="AF77" s="28"/>
      <c r="AG77" s="28"/>
      <c r="AH77" s="28"/>
      <c r="AI77" s="28"/>
      <c r="AJ77" s="28"/>
    </row>
    <row r="78" spans="2:36" x14ac:dyDescent="0.45">
      <c r="B78" s="25" t="s">
        <v>397</v>
      </c>
      <c r="C78" s="26" t="s">
        <v>237</v>
      </c>
      <c r="D78" s="48" cm="1">
        <f t="array" aca="1" ref="D78" ca="1">_xll.VoseOutput("Average realised oil price","US$/bbl")+IF(D35&gt;0,SUMPRODUCT(F35:AJ35,F25:AJ25)/D35,0)</f>
        <v>76.325825424175932</v>
      </c>
      <c r="E78" s="28"/>
      <c r="F78" s="26" t="s">
        <v>398</v>
      </c>
      <c r="G78" s="28"/>
      <c r="H78" s="28"/>
      <c r="I78" s="28"/>
      <c r="J78" s="28"/>
      <c r="K78" s="28"/>
      <c r="L78" s="28"/>
      <c r="M78" s="28"/>
      <c r="N78" s="28"/>
      <c r="O78" s="28"/>
      <c r="P78" s="28"/>
      <c r="Q78" s="28"/>
      <c r="R78" s="28"/>
      <c r="S78" s="28"/>
      <c r="T78" s="28"/>
      <c r="U78" s="28"/>
      <c r="V78" s="28"/>
      <c r="W78" s="28"/>
      <c r="X78" s="28"/>
      <c r="Y78" s="28"/>
      <c r="Z78" s="28"/>
      <c r="AA78" s="28"/>
      <c r="AB78" s="28"/>
      <c r="AC78" s="28"/>
      <c r="AD78" s="28"/>
      <c r="AE78" s="28"/>
      <c r="AF78" s="28"/>
      <c r="AG78" s="28"/>
      <c r="AH78" s="28"/>
      <c r="AI78" s="28"/>
      <c r="AJ78" s="28"/>
    </row>
    <row r="79" spans="2:36" x14ac:dyDescent="0.45">
      <c r="B79" s="25" t="s">
        <v>399</v>
      </c>
      <c r="C79" s="26" t="s">
        <v>179</v>
      </c>
      <c r="D79" s="50" cm="1">
        <f t="array" aca="1" ref="D79" ca="1">_xll.VoseOutput("Field life","years")+D34</f>
        <v>17</v>
      </c>
      <c r="E79" s="28"/>
      <c r="F79" s="26" t="s">
        <v>400</v>
      </c>
      <c r="G79" s="28"/>
      <c r="H79" s="28"/>
      <c r="I79" s="28"/>
      <c r="J79" s="28"/>
      <c r="K79" s="28"/>
      <c r="L79" s="28"/>
      <c r="M79" s="28"/>
      <c r="N79" s="28"/>
      <c r="O79" s="28"/>
      <c r="P79" s="28"/>
      <c r="Q79" s="28"/>
      <c r="R79" s="28"/>
      <c r="S79" s="28"/>
      <c r="T79" s="28"/>
      <c r="U79" s="28"/>
      <c r="V79" s="28"/>
      <c r="W79" s="28"/>
      <c r="X79" s="28"/>
      <c r="Y79" s="28"/>
      <c r="Z79" s="28"/>
      <c r="AA79" s="28"/>
      <c r="AB79" s="28"/>
      <c r="AC79" s="28"/>
      <c r="AD79" s="28"/>
      <c r="AE79" s="28"/>
      <c r="AF79" s="28"/>
      <c r="AG79" s="28"/>
      <c r="AH79" s="28"/>
      <c r="AI79" s="28"/>
      <c r="AJ79" s="28"/>
    </row>
    <row r="80" spans="2:36" x14ac:dyDescent="0.45">
      <c r="B80" s="25" t="s">
        <v>401</v>
      </c>
      <c r="C80" s="26" t="s">
        <v>215</v>
      </c>
      <c r="D80" s="45">
        <f ca="1">-MIN(0,MIN(F58:AJ58))</f>
        <v>730.36213748387627</v>
      </c>
      <c r="E80" s="28"/>
      <c r="F80" s="26" t="s">
        <v>402</v>
      </c>
      <c r="G80" s="28"/>
      <c r="H80" s="28"/>
      <c r="I80" s="28"/>
      <c r="J80" s="28"/>
      <c r="K80" s="28"/>
      <c r="L80" s="28"/>
      <c r="M80" s="28"/>
      <c r="N80" s="28"/>
      <c r="O80" s="28"/>
      <c r="P80" s="28"/>
      <c r="Q80" s="28"/>
      <c r="R80" s="28"/>
      <c r="S80" s="28"/>
      <c r="T80" s="28"/>
      <c r="U80" s="28"/>
      <c r="V80" s="28"/>
      <c r="W80" s="28"/>
      <c r="X80" s="28"/>
      <c r="Y80" s="28"/>
      <c r="Z80" s="28"/>
      <c r="AA80" s="28"/>
      <c r="AB80" s="28"/>
      <c r="AC80" s="28"/>
      <c r="AD80" s="28"/>
      <c r="AE80" s="28"/>
      <c r="AF80" s="28"/>
      <c r="AG80" s="28"/>
      <c r="AH80" s="28"/>
      <c r="AI80" s="28"/>
      <c r="AJ80" s="28"/>
    </row>
    <row r="81" spans="2:36" ht="8" customHeight="1" x14ac:dyDescent="0.45"/>
    <row r="82" spans="2:36" ht="22.05" customHeight="1" x14ac:dyDescent="0.5">
      <c r="B82" s="7" t="s">
        <v>403</v>
      </c>
      <c r="C82" s="8"/>
      <c r="D82" s="8"/>
      <c r="E82" s="8"/>
      <c r="F82" s="8"/>
      <c r="G82" s="8"/>
      <c r="H82" s="8"/>
      <c r="I82" s="8"/>
      <c r="J82" s="8"/>
      <c r="K82" s="8"/>
      <c r="L82" s="8"/>
      <c r="M82" s="8"/>
      <c r="N82" s="8"/>
      <c r="O82" s="8"/>
      <c r="P82" s="8"/>
      <c r="Q82" s="8"/>
      <c r="R82" s="8"/>
      <c r="S82" s="8"/>
      <c r="T82" s="8"/>
      <c r="U82" s="8"/>
      <c r="V82" s="8"/>
      <c r="W82" s="8"/>
      <c r="X82" s="8"/>
      <c r="Y82" s="8"/>
      <c r="Z82" s="8"/>
      <c r="AA82" s="8"/>
      <c r="AB82" s="8"/>
      <c r="AC82" s="8"/>
      <c r="AD82" s="8"/>
      <c r="AE82" s="8"/>
      <c r="AF82" s="8"/>
      <c r="AG82" s="8"/>
      <c r="AH82" s="8"/>
      <c r="AI82" s="8"/>
      <c r="AJ82" s="8"/>
    </row>
    <row r="83" spans="2:36" ht="18" customHeight="1" x14ac:dyDescent="0.45">
      <c r="B83" s="13" t="s">
        <v>404</v>
      </c>
    </row>
    <row r="84" spans="2:36" x14ac:dyDescent="0.45">
      <c r="B84" s="25" t="s">
        <v>405</v>
      </c>
      <c r="C84" s="28"/>
      <c r="D84" s="74" t="str">
        <f ca="1">IF(MAX(F36:AJ36)&lt;=Recoverable*(1+0.000000001),"OK","CHECK")</f>
        <v>OK</v>
      </c>
      <c r="E84" s="28"/>
      <c r="F84" s="28"/>
      <c r="G84" s="28"/>
      <c r="H84" s="28"/>
      <c r="I84" s="28"/>
      <c r="J84" s="28"/>
      <c r="K84" s="28"/>
      <c r="L84" s="28"/>
      <c r="M84" s="28"/>
      <c r="N84" s="28"/>
      <c r="O84" s="28"/>
      <c r="P84" s="28"/>
      <c r="Q84" s="28"/>
      <c r="R84" s="28"/>
      <c r="S84" s="28"/>
      <c r="T84" s="28"/>
      <c r="U84" s="28"/>
      <c r="V84" s="28"/>
      <c r="W84" s="28"/>
      <c r="X84" s="28"/>
      <c r="Y84" s="28"/>
      <c r="Z84" s="28"/>
      <c r="AA84" s="28"/>
      <c r="AB84" s="28"/>
      <c r="AC84" s="28"/>
      <c r="AD84" s="28"/>
      <c r="AE84" s="28"/>
      <c r="AF84" s="28"/>
      <c r="AG84" s="28"/>
      <c r="AH84" s="28"/>
      <c r="AI84" s="28"/>
      <c r="AJ84" s="28"/>
    </row>
    <row r="85" spans="2:36" x14ac:dyDescent="0.45">
      <c r="B85" s="25" t="s">
        <v>406</v>
      </c>
      <c r="C85" s="28"/>
      <c r="D85" s="74" t="str">
        <f ca="1">IF(ABS(D18-1)&lt;0.000000001,"OK","CHECK")</f>
        <v>OK</v>
      </c>
      <c r="E85" s="28"/>
      <c r="F85" s="28"/>
      <c r="G85" s="28"/>
      <c r="H85" s="28"/>
      <c r="I85" s="28"/>
      <c r="J85" s="28"/>
      <c r="K85" s="28"/>
      <c r="L85" s="28"/>
      <c r="M85" s="28"/>
      <c r="N85" s="28"/>
      <c r="O85" s="28"/>
      <c r="P85" s="28"/>
      <c r="Q85" s="28"/>
      <c r="R85" s="28"/>
      <c r="S85" s="28"/>
      <c r="T85" s="28"/>
      <c r="U85" s="28"/>
      <c r="V85" s="28"/>
      <c r="W85" s="28"/>
      <c r="X85" s="28"/>
      <c r="Y85" s="28"/>
      <c r="Z85" s="28"/>
      <c r="AA85" s="28"/>
      <c r="AB85" s="28"/>
      <c r="AC85" s="28"/>
      <c r="AD85" s="28"/>
      <c r="AE85" s="28"/>
      <c r="AF85" s="28"/>
      <c r="AG85" s="28"/>
      <c r="AH85" s="28"/>
      <c r="AI85" s="28"/>
      <c r="AJ85" s="28"/>
    </row>
    <row r="86" spans="2:36" x14ac:dyDescent="0.45">
      <c r="B86" s="25" t="s">
        <v>407</v>
      </c>
      <c r="C86" s="28"/>
      <c r="D86" s="74" t="str">
        <f>IF(ABS(CapexPhase_Check-1)&lt;0.000000001,"OK","CHECK")</f>
        <v>OK</v>
      </c>
      <c r="E86" s="28"/>
      <c r="F86" s="28"/>
      <c r="G86" s="28"/>
      <c r="H86" s="28"/>
      <c r="I86" s="28"/>
      <c r="J86" s="28"/>
      <c r="K86" s="28"/>
      <c r="L86" s="28"/>
      <c r="M86" s="28"/>
      <c r="N86" s="28"/>
      <c r="O86" s="28"/>
      <c r="P86" s="28"/>
      <c r="Q86" s="28"/>
      <c r="R86" s="28"/>
      <c r="S86" s="28"/>
      <c r="T86" s="28"/>
      <c r="U86" s="28"/>
      <c r="V86" s="28"/>
      <c r="W86" s="28"/>
      <c r="X86" s="28"/>
      <c r="Y86" s="28"/>
      <c r="Z86" s="28"/>
      <c r="AA86" s="28"/>
      <c r="AB86" s="28"/>
      <c r="AC86" s="28"/>
      <c r="AD86" s="28"/>
      <c r="AE86" s="28"/>
      <c r="AF86" s="28"/>
      <c r="AG86" s="28"/>
      <c r="AH86" s="28"/>
      <c r="AI86" s="28"/>
      <c r="AJ86" s="28"/>
    </row>
    <row r="87" spans="2:36" x14ac:dyDescent="0.45">
      <c r="B87" s="25" t="s">
        <v>408</v>
      </c>
      <c r="C87" s="28"/>
      <c r="D87" s="74" t="str">
        <f>IF(ABS(TimeToFirstOil_Check-1)&lt;0.000000001,"OK","CHECK")</f>
        <v>OK</v>
      </c>
      <c r="E87" s="28"/>
      <c r="F87" s="28"/>
      <c r="G87" s="28"/>
      <c r="H87" s="28"/>
      <c r="I87" s="28"/>
      <c r="J87" s="28"/>
      <c r="K87" s="28"/>
      <c r="L87" s="28"/>
      <c r="M87" s="28"/>
      <c r="N87" s="28"/>
      <c r="O87" s="28"/>
      <c r="P87" s="28"/>
      <c r="Q87" s="28"/>
      <c r="R87" s="28"/>
      <c r="S87" s="28"/>
      <c r="T87" s="28"/>
      <c r="U87" s="28"/>
      <c r="V87" s="28"/>
      <c r="W87" s="28"/>
      <c r="X87" s="28"/>
      <c r="Y87" s="28"/>
      <c r="Z87" s="28"/>
      <c r="AA87" s="28"/>
      <c r="AB87" s="28"/>
      <c r="AC87" s="28"/>
      <c r="AD87" s="28"/>
      <c r="AE87" s="28"/>
      <c r="AF87" s="28"/>
      <c r="AG87" s="28"/>
      <c r="AH87" s="28"/>
      <c r="AI87" s="28"/>
      <c r="AJ87" s="28"/>
    </row>
    <row r="88" spans="2:36" ht="14" customHeight="1" x14ac:dyDescent="0.45"/>
    <row r="89" spans="2:36" ht="22.05" customHeight="1" x14ac:dyDescent="0.5">
      <c r="B89" s="7" t="s">
        <v>409</v>
      </c>
      <c r="C89" s="8"/>
      <c r="D89" s="8"/>
      <c r="E89" s="8"/>
      <c r="F89" s="8"/>
      <c r="G89" s="8"/>
      <c r="H89" s="8"/>
      <c r="I89" s="8"/>
      <c r="J89" s="8"/>
      <c r="K89" s="8"/>
      <c r="L89" s="8"/>
      <c r="M89" s="8"/>
      <c r="N89" s="8"/>
      <c r="O89" s="8"/>
      <c r="P89" s="8"/>
      <c r="Q89" s="8"/>
      <c r="R89" s="8"/>
      <c r="S89" s="8"/>
      <c r="T89" s="8"/>
      <c r="U89" s="8"/>
      <c r="V89" s="8"/>
      <c r="W89" s="8"/>
      <c r="X89" s="8"/>
      <c r="Y89" s="8"/>
      <c r="Z89" s="8"/>
      <c r="AA89" s="8"/>
      <c r="AB89" s="8"/>
      <c r="AC89" s="8"/>
      <c r="AD89" s="8"/>
      <c r="AE89" s="8"/>
      <c r="AF89" s="8"/>
      <c r="AG89" s="8"/>
      <c r="AH89" s="8"/>
      <c r="AI89" s="8"/>
      <c r="AJ89" s="8"/>
    </row>
    <row r="90" spans="2:36" ht="18" customHeight="1" x14ac:dyDescent="0.45">
      <c r="B90" s="13" t="s">
        <v>410</v>
      </c>
    </row>
  </sheetData>
  <conditionalFormatting sqref="D84:D87">
    <cfRule type="expression" dxfId="12" priority="6">
      <formula>D84="CHECK"</formula>
    </cfRule>
  </conditionalFormatting>
  <conditionalFormatting sqref="F8:AJ8">
    <cfRule type="expression" dxfId="11" priority="1">
      <formula>F8="Explore"</formula>
    </cfRule>
    <cfRule type="expression" dxfId="10" priority="2">
      <formula>F8="Appraise"</formula>
    </cfRule>
    <cfRule type="expression" dxfId="9" priority="3">
      <formula>F8="Develop"</formula>
    </cfRule>
    <cfRule type="expression" dxfId="8" priority="4">
      <formula>F8="Produce"</formula>
    </cfRule>
    <cfRule type="expression" dxfId="7" priority="5">
      <formula>F8="Abandon"</formula>
    </cfRule>
  </conditionalFormatting>
  <hyperlinks>
    <hyperlink ref="B4" location="'Prospect'!A1" display="◂  Prospect" xr:uid="{00000000-0004-0000-0300-000000000000}"/>
    <hyperlink ref="AJ4" location="'Results'!A1" display="Next:  Results  ▸" xr:uid="{00000000-0004-0000-0300-000001000000}"/>
  </hyperlinks>
  <printOptions horizontalCentered="1"/>
  <pageMargins left="0.4" right="0.4" top="0.5" bottom="0.6" header="0.25" footer="0.25"/>
  <pageSetup paperSize="8" scale="54" fitToHeight="0" orientation="landscape" r:id="rId1"/>
  <headerFooter>
    <oddFooter>&amp;L&amp;K3F5876&amp;8&amp;F · &amp;A&amp;R&amp;K3F5876&amp;8Page &amp;P of &amp;N</oddFooter>
  </headerFooter>
  <rowBreaks count="1" manualBreakCount="1">
    <brk id="88" max="16383"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15803D"/>
    <outlinePr summaryBelow="0"/>
    <pageSetUpPr fitToPage="1"/>
  </sheetPr>
  <dimension ref="A1:R142"/>
  <sheetViews>
    <sheetView showGridLines="0" workbookViewId="0">
      <pane ySplit="5" topLeftCell="A6" activePane="bottomLeft" state="frozen"/>
      <selection pane="bottomLeft"/>
    </sheetView>
  </sheetViews>
  <sheetFormatPr defaultRowHeight="14.25" outlineLevelRow="1" x14ac:dyDescent="0.45"/>
  <cols>
    <col min="1" max="1" width="2" customWidth="1"/>
    <col min="2" max="2" width="44" customWidth="1"/>
    <col min="3" max="3" width="10" customWidth="1"/>
    <col min="4" max="7" width="11" customWidth="1"/>
    <col min="8" max="8" width="3" customWidth="1"/>
    <col min="9" max="18" width="8.59765625" customWidth="1"/>
    <col min="20" max="20" width="9.06640625" customWidth="1"/>
  </cols>
  <sheetData>
    <row r="1" spans="1:18" ht="6" customHeight="1" x14ac:dyDescent="0.45"/>
    <row r="2" spans="1:18" ht="30" customHeight="1" x14ac:dyDescent="0.45">
      <c r="A2" s="1"/>
      <c r="B2" s="21" t="s">
        <v>0</v>
      </c>
      <c r="C2" s="1"/>
      <c r="D2" s="1"/>
      <c r="E2" s="1"/>
      <c r="F2" s="1"/>
      <c r="G2" s="1"/>
      <c r="H2" s="1"/>
      <c r="I2" s="1"/>
      <c r="J2" s="1"/>
      <c r="K2" s="1"/>
      <c r="L2" s="1"/>
      <c r="M2" s="1"/>
      <c r="N2" s="1"/>
      <c r="O2" s="1"/>
      <c r="P2" s="1"/>
      <c r="Q2" s="1"/>
      <c r="R2" s="3" t="s">
        <v>1</v>
      </c>
    </row>
    <row r="3" spans="1:18" ht="20" customHeight="1" x14ac:dyDescent="0.45">
      <c r="A3" s="1"/>
      <c r="B3" s="4" t="s">
        <v>411</v>
      </c>
      <c r="C3" s="1"/>
      <c r="D3" s="1"/>
      <c r="E3" s="1"/>
      <c r="F3" s="1"/>
      <c r="G3" s="1"/>
      <c r="H3" s="1"/>
      <c r="I3" s="1"/>
      <c r="J3" s="1"/>
      <c r="K3" s="1"/>
      <c r="L3" s="1"/>
      <c r="M3" s="1"/>
      <c r="N3" s="1"/>
      <c r="O3" s="1"/>
      <c r="P3" s="1"/>
      <c r="Q3" s="1"/>
      <c r="R3" s="1"/>
    </row>
    <row r="4" spans="1:18" ht="20" customHeight="1" x14ac:dyDescent="0.45">
      <c r="A4" s="5"/>
      <c r="B4" s="22" t="s">
        <v>412</v>
      </c>
      <c r="C4" s="5"/>
      <c r="D4" s="5"/>
      <c r="E4" s="5"/>
      <c r="F4" s="5"/>
      <c r="G4" s="5"/>
      <c r="H4" s="5"/>
      <c r="I4" s="5"/>
      <c r="J4" s="5"/>
      <c r="K4" s="5"/>
      <c r="L4" s="5"/>
      <c r="M4" s="5"/>
      <c r="N4" s="5"/>
      <c r="O4" s="5"/>
      <c r="P4" s="5"/>
      <c r="Q4" s="5"/>
      <c r="R4" s="5"/>
    </row>
    <row r="5" spans="1:18" ht="8" customHeight="1" x14ac:dyDescent="0.45"/>
    <row r="6" spans="1:18" ht="26" customHeight="1" x14ac:dyDescent="0.45">
      <c r="B6" s="75" t="str" cm="1">
        <f t="array" aca="1" ref="B6" ca="1">IF(ISNUMBER(_xll.VoseSimMean(NPV_Prospect)),"✔  Showing results of the last simulation run in this Excel session. Re-run the simulation after changing any input.","▶  No simulation results yet. On the ModelRisk ribbon, start a simulation — this sheet then fills in automatically.")</f>
        <v>✔  Showing results of the last simulation run in this Excel session. Re-run the simulation after changing any input.</v>
      </c>
      <c r="C6" s="76"/>
      <c r="D6" s="76"/>
      <c r="E6" s="76"/>
      <c r="F6" s="76"/>
      <c r="G6" s="76"/>
    </row>
    <row r="7" spans="1:18" x14ac:dyDescent="0.45">
      <c r="B7" s="77" t="str">
        <f ca="1">IF(COUNTIF(Checks,"CHECK")=0,"✔  All model checks read OK.","✗  "&amp;COUNTIF(Checks,"CHECK")&amp;" model check(s) read CHECK: see Model checks at the end of the calculation sheet.")</f>
        <v>✔  All model checks read OK.</v>
      </c>
    </row>
    <row r="8" spans="1:18" ht="8" customHeight="1" x14ac:dyDescent="0.45"/>
    <row r="9" spans="1:18" ht="22.05" customHeight="1" x14ac:dyDescent="0.5">
      <c r="B9" s="7" t="s">
        <v>413</v>
      </c>
      <c r="C9" s="8"/>
      <c r="D9" s="8"/>
      <c r="E9" s="8"/>
      <c r="F9" s="8"/>
      <c r="G9" s="8"/>
      <c r="I9" s="78" t="s">
        <v>414</v>
      </c>
      <c r="J9" s="8"/>
      <c r="K9" s="8"/>
      <c r="L9" s="8"/>
      <c r="M9" s="8"/>
      <c r="N9" s="8"/>
      <c r="O9" s="8"/>
      <c r="P9" s="8"/>
      <c r="Q9" s="8"/>
      <c r="R9" s="8"/>
    </row>
    <row r="10" spans="1:18" ht="18" customHeight="1" x14ac:dyDescent="0.45">
      <c r="B10" s="13" t="s">
        <v>415</v>
      </c>
    </row>
    <row r="11" spans="1:18" ht="18" customHeight="1" x14ac:dyDescent="0.45">
      <c r="B11" s="23" t="s">
        <v>416</v>
      </c>
      <c r="C11" s="23" t="s">
        <v>120</v>
      </c>
      <c r="D11" s="24" t="s">
        <v>271</v>
      </c>
      <c r="E11" s="5"/>
      <c r="F11" s="5"/>
      <c r="G11" s="5"/>
    </row>
    <row r="12" spans="1:18" ht="22.05" customHeight="1" x14ac:dyDescent="0.45">
      <c r="B12" s="79" t="s">
        <v>417</v>
      </c>
      <c r="C12" s="26" t="s">
        <v>215</v>
      </c>
      <c r="D12" s="80" cm="1">
        <f t="array" aca="1" ref="D12" ca="1">_xll.VoseSimMean(NPV_Prospect)</f>
        <v>40.39915904389747</v>
      </c>
      <c r="E12" s="28"/>
      <c r="F12" s="28"/>
      <c r="G12" s="28"/>
    </row>
    <row r="13" spans="1:18" x14ac:dyDescent="0.45">
      <c r="B13" s="25" t="s">
        <v>418</v>
      </c>
      <c r="C13" s="28"/>
      <c r="D13" s="79" t="str">
        <f ca="1">IF(ISNUMBER(D12),IF(D12&gt;0,"Drill: positive expected value","Do not drill on these terms: negative expected value"),"–")</f>
        <v>Drill: positive expected value</v>
      </c>
      <c r="E13" s="28"/>
      <c r="F13" s="28"/>
      <c r="G13" s="28"/>
    </row>
    <row r="14" spans="1:18" x14ac:dyDescent="0.45">
      <c r="B14" s="25" t="s">
        <v>419</v>
      </c>
      <c r="C14" s="26" t="s">
        <v>125</v>
      </c>
      <c r="D14" s="81" cm="1">
        <f t="array" aca="1" ref="D14" ca="1">_xll.VoseSimMean(Commercial)</f>
        <v>0.26250000000000001</v>
      </c>
      <c r="E14" s="28"/>
      <c r="F14" s="28"/>
      <c r="G14" s="28"/>
    </row>
    <row r="15" spans="1:18" x14ac:dyDescent="0.45">
      <c r="B15" s="25" t="s">
        <v>420</v>
      </c>
      <c r="C15" s="26" t="s">
        <v>125</v>
      </c>
      <c r="D15" s="81" cm="1">
        <f t="array" aca="1" ref="D15" ca="1">_xll.VoseSimProbability(NPV_Prospect,0)</f>
        <v>0.7982201779822018</v>
      </c>
      <c r="E15" s="28"/>
      <c r="F15" s="28"/>
      <c r="G15" s="28"/>
    </row>
    <row r="16" spans="1:18" x14ac:dyDescent="0.45">
      <c r="B16" s="25" t="s">
        <v>421</v>
      </c>
      <c r="C16" s="26" t="s">
        <v>215</v>
      </c>
      <c r="D16" s="82" cm="1">
        <f t="array" aca="1" ref="D16" ca="1">_xll.VoseSimMean(Cost_ExplWell)</f>
        <v>39.528144581995448</v>
      </c>
      <c r="E16" s="28"/>
      <c r="F16" s="28"/>
      <c r="G16" s="28"/>
    </row>
    <row r="17" spans="2:18" x14ac:dyDescent="0.45">
      <c r="B17" s="25" t="s">
        <v>422</v>
      </c>
      <c r="C17" s="26" t="s">
        <v>215</v>
      </c>
      <c r="D17" s="82" cm="1">
        <f t="array" aca="1" ref="D17" ca="1">_xll.VoseSimPercentile(NPV_Prospect,0.1)</f>
        <v>-46.043372034623495</v>
      </c>
      <c r="E17" s="28"/>
      <c r="F17" s="28"/>
      <c r="G17" s="28"/>
    </row>
    <row r="18" spans="2:18" x14ac:dyDescent="0.45">
      <c r="B18" s="25" t="s">
        <v>423</v>
      </c>
      <c r="C18" s="26" t="s">
        <v>215</v>
      </c>
      <c r="D18" s="82" cm="1">
        <f t="array" aca="1" ref="D18" ca="1">_xll.VoseSimPercentile(NPV_Prospect,0.9)</f>
        <v>253.9037548285944</v>
      </c>
      <c r="E18" s="28"/>
      <c r="F18" s="28"/>
      <c r="G18" s="28"/>
    </row>
    <row r="19" spans="2:18" x14ac:dyDescent="0.45">
      <c r="B19" s="83" t="s">
        <v>424</v>
      </c>
      <c r="C19" s="26" t="s">
        <v>125</v>
      </c>
      <c r="D19" s="36">
        <f>Chance_Geo</f>
        <v>0.29399999999999993</v>
      </c>
      <c r="E19" s="28"/>
      <c r="F19" s="28"/>
      <c r="G19" s="28"/>
    </row>
    <row r="20" spans="2:18" ht="8" customHeight="1" x14ac:dyDescent="0.45"/>
    <row r="21" spans="2:18" ht="22.05" customHeight="1" x14ac:dyDescent="0.5">
      <c r="B21" s="7" t="s">
        <v>425</v>
      </c>
      <c r="C21" s="8"/>
      <c r="D21" s="8"/>
      <c r="E21" s="8"/>
      <c r="F21" s="8"/>
      <c r="G21" s="8"/>
    </row>
    <row r="22" spans="2:18" ht="18" customHeight="1" x14ac:dyDescent="0.45">
      <c r="B22" s="13" t="s">
        <v>426</v>
      </c>
    </row>
    <row r="23" spans="2:18" ht="18" customHeight="1" x14ac:dyDescent="0.45">
      <c r="B23" s="23" t="s">
        <v>427</v>
      </c>
      <c r="C23" s="23"/>
      <c r="D23" s="24" t="s">
        <v>428</v>
      </c>
      <c r="E23" s="5"/>
      <c r="F23" s="5"/>
      <c r="G23" s="5"/>
    </row>
    <row r="24" spans="2:18" x14ac:dyDescent="0.45">
      <c r="B24" s="25" t="s">
        <v>429</v>
      </c>
      <c r="C24" s="28"/>
      <c r="D24" s="84">
        <f ca="1">IF(ISNUMBER(D120),D120,"–")</f>
        <v>0.70532946705329469</v>
      </c>
      <c r="E24" s="28"/>
      <c r="F24" s="28"/>
      <c r="G24" s="28"/>
    </row>
    <row r="25" spans="2:18" x14ac:dyDescent="0.45">
      <c r="B25" s="25" t="s">
        <v>430</v>
      </c>
      <c r="C25" s="28"/>
      <c r="D25" s="84">
        <f ca="1">IF(ISNUMBER(D121),D121-D120,"–")</f>
        <v>3.2096790320967905E-2</v>
      </c>
      <c r="E25" s="28"/>
      <c r="F25" s="28"/>
      <c r="G25" s="28"/>
    </row>
    <row r="26" spans="2:18" x14ac:dyDescent="0.45">
      <c r="B26" s="25" t="s">
        <v>431</v>
      </c>
      <c r="C26" s="28"/>
      <c r="D26" s="84">
        <f ca="1">IF(ISNUMBER(D121),1-D121,"–")</f>
        <v>0.26257374262573741</v>
      </c>
      <c r="E26" s="28"/>
      <c r="F26" s="28"/>
      <c r="G26" s="28"/>
      <c r="I26" s="78" t="s">
        <v>432</v>
      </c>
      <c r="J26" s="8"/>
      <c r="K26" s="8"/>
      <c r="L26" s="8"/>
      <c r="M26" s="8"/>
      <c r="N26" s="8"/>
      <c r="O26" s="8"/>
      <c r="P26" s="8"/>
      <c r="Q26" s="8"/>
      <c r="R26" s="8"/>
    </row>
    <row r="27" spans="2:18" x14ac:dyDescent="0.45">
      <c r="B27" s="85" t="s">
        <v>201</v>
      </c>
      <c r="C27" s="86"/>
      <c r="D27" s="87">
        <f ca="1">IF(ISNUMBER(D24),SUM(D24:D26),"–")</f>
        <v>1</v>
      </c>
      <c r="E27" s="86"/>
      <c r="F27" s="86"/>
      <c r="G27" s="86"/>
    </row>
    <row r="28" spans="2:18" ht="8" customHeight="1" x14ac:dyDescent="0.45"/>
    <row r="29" spans="2:18" ht="22.05" customHeight="1" x14ac:dyDescent="0.5">
      <c r="B29" s="7" t="s">
        <v>433</v>
      </c>
      <c r="C29" s="8"/>
      <c r="D29" s="8"/>
      <c r="E29" s="8"/>
      <c r="F29" s="8"/>
      <c r="G29" s="8"/>
    </row>
    <row r="30" spans="2:18" ht="18" customHeight="1" x14ac:dyDescent="0.45">
      <c r="B30" s="13" t="s">
        <v>434</v>
      </c>
    </row>
    <row r="31" spans="2:18" ht="18" customHeight="1" x14ac:dyDescent="0.45">
      <c r="B31" s="23" t="s">
        <v>416</v>
      </c>
      <c r="C31" s="23" t="s">
        <v>120</v>
      </c>
      <c r="D31" s="24" t="s">
        <v>435</v>
      </c>
      <c r="E31" s="24" t="s">
        <v>436</v>
      </c>
      <c r="F31" s="24" t="s">
        <v>437</v>
      </c>
      <c r="G31" s="24" t="s">
        <v>139</v>
      </c>
    </row>
    <row r="32" spans="2:18" x14ac:dyDescent="0.45">
      <c r="B32" s="25" t="s">
        <v>283</v>
      </c>
      <c r="C32" s="26" t="s">
        <v>176</v>
      </c>
      <c r="D32" s="82" cm="1">
        <f t="array" aca="1" ref="D32" ca="1">_xll.VoseSimPercentile(Recoverable,0.1)</f>
        <v>19.128369261654306</v>
      </c>
      <c r="E32" s="82" cm="1">
        <f t="array" aca="1" ref="E32" ca="1">_xll.VoseSimPercentile(Recoverable,0.5)</f>
        <v>41.486277103522795</v>
      </c>
      <c r="F32" s="82" cm="1">
        <f t="array" aca="1" ref="F32" ca="1">_xll.VoseSimPercentile(Recoverable,0.9)</f>
        <v>89.155263169763288</v>
      </c>
      <c r="G32" s="82" cm="1">
        <f t="array" aca="1" ref="G32" ca="1">_xll.VoseSimMean(Recoverable)</f>
        <v>49.610384224243347</v>
      </c>
    </row>
    <row r="33" spans="2:18" x14ac:dyDescent="0.45">
      <c r="B33" s="25" t="s">
        <v>438</v>
      </c>
      <c r="C33" s="26" t="s">
        <v>194</v>
      </c>
      <c r="D33" s="82" cm="1">
        <f t="array" aca="1" ref="D33" ca="1">_xll.VoseSimPercentile(Capacity,0.1)</f>
        <v>5.2585734936370399</v>
      </c>
      <c r="E33" s="82" cm="1">
        <f t="array" aca="1" ref="E33" ca="1">_xll.VoseSimPercentile(Capacity,0.5)</f>
        <v>11.560230804253683</v>
      </c>
      <c r="F33" s="82" cm="1">
        <f t="array" aca="1" ref="F33" ca="1">_xll.VoseSimPercentile(Capacity,0.9)</f>
        <v>25.064592596117908</v>
      </c>
      <c r="G33" s="82" cm="1">
        <f t="array" aca="1" ref="G33" ca="1">_xll.VoseSimMean(Capacity)</f>
        <v>13.829490026857689</v>
      </c>
    </row>
    <row r="34" spans="2:18" x14ac:dyDescent="0.45">
      <c r="B34" s="25" t="s">
        <v>319</v>
      </c>
      <c r="C34" s="26" t="s">
        <v>215</v>
      </c>
      <c r="D34" s="82" cm="1">
        <f t="array" aca="1" ref="D34" ca="1">_xll.VoseSimPercentile(DevCapex,0.1)</f>
        <v>365.81282087301247</v>
      </c>
      <c r="E34" s="82" cm="1">
        <f t="array" aca="1" ref="E34" ca="1">_xll.VoseSimPercentile(DevCapex,0.5)</f>
        <v>608.39213744539688</v>
      </c>
      <c r="F34" s="82" cm="1">
        <f t="array" aca="1" ref="F34" ca="1">_xll.VoseSimPercentile(DevCapex,0.9)</f>
        <v>1120.9173167830215</v>
      </c>
      <c r="G34" s="82" cm="1">
        <f t="array" aca="1" ref="G34" ca="1">_xll.VoseSimMean(DevCapex)</f>
        <v>695.12584739211252</v>
      </c>
    </row>
    <row r="35" spans="2:18" x14ac:dyDescent="0.45">
      <c r="B35" s="25" t="s">
        <v>439</v>
      </c>
      <c r="C35" s="26" t="s">
        <v>215</v>
      </c>
      <c r="D35" s="82" cm="1">
        <f t="array" aca="1" ref="D35" ca="1">_xll.VoseSimPercentile(NPV_Dev,0.1)</f>
        <v>-54.838724096903853</v>
      </c>
      <c r="E35" s="82" cm="1">
        <f t="array" aca="1" ref="E35" ca="1">_xll.VoseSimPercentile(NPV_Dev,0.5)</f>
        <v>183.94825977185317</v>
      </c>
      <c r="F35" s="82" cm="1">
        <f t="array" aca="1" ref="F35" ca="1">_xll.VoseSimPercentile(NPV_Dev,0.9)</f>
        <v>745.082083192906</v>
      </c>
      <c r="G35" s="82" cm="1">
        <f t="array" aca="1" ref="G35" ca="1">_xll.VoseSimMean(NPV_Dev)</f>
        <v>287.88863210018968</v>
      </c>
    </row>
    <row r="36" spans="2:18" x14ac:dyDescent="0.45">
      <c r="B36" s="25" t="s">
        <v>440</v>
      </c>
      <c r="C36" s="26" t="s">
        <v>237</v>
      </c>
      <c r="D36" s="82" cm="1">
        <f t="array" aca="1" ref="D36" ca="1">_xll.VoseSimPercentile(AvgPrice,0.1)</f>
        <v>57.314247826636233</v>
      </c>
      <c r="E36" s="82" cm="1">
        <f t="array" aca="1" ref="E36" ca="1">_xll.VoseSimPercentile(AvgPrice,0.5)</f>
        <v>74.392673044914559</v>
      </c>
      <c r="F36" s="82" cm="1">
        <f t="array" aca="1" ref="F36" ca="1">_xll.VoseSimPercentile(AvgPrice,0.9)</f>
        <v>97.338748811295659</v>
      </c>
      <c r="G36" s="82" cm="1">
        <f t="array" aca="1" ref="G36" ca="1">_xll.VoseSimMean(AvgPrice)</f>
        <v>76.230203122443328</v>
      </c>
    </row>
    <row r="37" spans="2:18" x14ac:dyDescent="0.45">
      <c r="B37" s="25" t="s">
        <v>441</v>
      </c>
      <c r="C37" s="26" t="s">
        <v>179</v>
      </c>
      <c r="D37" s="82" cm="1">
        <f t="array" aca="1" ref="D37" ca="1">_xll.VoseSimPercentile(FieldLife,0.1)</f>
        <v>13</v>
      </c>
      <c r="E37" s="82" cm="1">
        <f t="array" aca="1" ref="E37" ca="1">_xll.VoseSimPercentile(FieldLife,0.5)</f>
        <v>16</v>
      </c>
      <c r="F37" s="82" cm="1">
        <f t="array" aca="1" ref="F37" ca="1">_xll.VoseSimPercentile(FieldLife,0.9)</f>
        <v>20</v>
      </c>
      <c r="G37" s="82" cm="1">
        <f t="array" aca="1" ref="G37" ca="1">_xll.VoseSimMean(FieldLife)</f>
        <v>16.357900000000001</v>
      </c>
    </row>
    <row r="38" spans="2:18" x14ac:dyDescent="0.45">
      <c r="B38" s="25" t="s">
        <v>442</v>
      </c>
      <c r="C38" s="26" t="s">
        <v>125</v>
      </c>
      <c r="D38" s="28"/>
      <c r="E38" s="28"/>
      <c r="F38" s="28"/>
      <c r="G38" s="81" cm="1">
        <f t="array" aca="1" ref="G38" ca="1">_xll.VoseSimProbability(Recoverable,MEFS)</f>
        <v>0.11348865113488651</v>
      </c>
    </row>
    <row r="39" spans="2:18" x14ac:dyDescent="0.45">
      <c r="B39" s="25" t="s">
        <v>443</v>
      </c>
      <c r="C39" s="26" t="s">
        <v>125</v>
      </c>
      <c r="D39" s="28"/>
      <c r="E39" s="28"/>
      <c r="F39" s="28"/>
      <c r="G39" s="81" cm="1">
        <f t="array" aca="1" ref="G39" ca="1">_xll.VoseSimProbability(NPV_Dev,0)</f>
        <v>0.18738126187381263</v>
      </c>
    </row>
    <row r="40" spans="2:18" ht="8" customHeight="1" x14ac:dyDescent="0.45"/>
    <row r="41" spans="2:18" ht="22.05" customHeight="1" x14ac:dyDescent="0.5">
      <c r="B41" s="7" t="s">
        <v>444</v>
      </c>
      <c r="C41" s="8"/>
      <c r="D41" s="8"/>
      <c r="E41" s="8"/>
      <c r="F41" s="8"/>
      <c r="G41" s="8"/>
      <c r="I41" s="78" t="s">
        <v>445</v>
      </c>
      <c r="J41" s="8"/>
      <c r="K41" s="8"/>
      <c r="L41" s="8"/>
      <c r="M41" s="8"/>
      <c r="N41" s="8"/>
      <c r="O41" s="8"/>
      <c r="P41" s="8"/>
      <c r="Q41" s="8"/>
      <c r="R41" s="8"/>
    </row>
    <row r="42" spans="2:18" ht="18" customHeight="1" x14ac:dyDescent="0.45">
      <c r="B42" s="13" t="s">
        <v>446</v>
      </c>
    </row>
    <row r="43" spans="2:18" ht="18" customHeight="1" x14ac:dyDescent="0.45">
      <c r="B43" s="23" t="s">
        <v>447</v>
      </c>
      <c r="C43" s="24" t="s">
        <v>448</v>
      </c>
      <c r="D43" s="24" t="s">
        <v>449</v>
      </c>
      <c r="E43" s="88" t="s">
        <v>450</v>
      </c>
      <c r="F43" s="5"/>
      <c r="G43" s="5"/>
    </row>
    <row r="44" spans="2:18" x14ac:dyDescent="0.45">
      <c r="B44" s="25" t="str">
        <f t="array" aca="1" ref="B44:E55" ca="1">_xll.VoseSimSensitivityMean(NPV_Dev,10,1,FALSE)</f>
        <v>Productive area</v>
      </c>
      <c r="C44" s="82">
        <f ca="1"/>
        <v>35.05771471331132</v>
      </c>
      <c r="D44" s="82">
        <f ca="1"/>
        <v>746.7697929004479</v>
      </c>
      <c r="E44" s="89">
        <f ca="1"/>
        <v>1</v>
      </c>
      <c r="F44" s="28"/>
      <c r="G44" s="28"/>
    </row>
    <row r="45" spans="2:18" x14ac:dyDescent="0.45">
      <c r="B45" s="25" t="str">
        <f ca="1"/>
        <v>Net pay</v>
      </c>
      <c r="C45" s="82">
        <f ca="1"/>
        <v>66.019931993320412</v>
      </c>
      <c r="D45" s="82">
        <f ca="1"/>
        <v>635.26984470831576</v>
      </c>
      <c r="E45" s="89">
        <f ca="1"/>
        <v>2</v>
      </c>
      <c r="F45" s="28"/>
      <c r="G45" s="28"/>
    </row>
    <row r="46" spans="2:18" x14ac:dyDescent="0.45">
      <c r="B46" s="25" t="str">
        <f ca="1"/>
        <v>Long-term oil price</v>
      </c>
      <c r="C46" s="82">
        <f ca="1"/>
        <v>156.80337724362516</v>
      </c>
      <c r="D46" s="82">
        <f ca="1"/>
        <v>459.57907822539443</v>
      </c>
      <c r="E46" s="89">
        <f ca="1"/>
        <v>3</v>
      </c>
      <c r="F46" s="28"/>
      <c r="G46" s="28"/>
    </row>
    <row r="47" spans="2:18" x14ac:dyDescent="0.45">
      <c r="B47" s="25" t="str">
        <f ca="1"/>
        <v>Recovery factor</v>
      </c>
      <c r="C47" s="82">
        <f ca="1"/>
        <v>176.04505607712048</v>
      </c>
      <c r="D47" s="82">
        <f ca="1"/>
        <v>395.72744878803036</v>
      </c>
      <c r="E47" s="89">
        <f ca="1"/>
        <v>4</v>
      </c>
      <c r="F47" s="28"/>
      <c r="G47" s="28"/>
    </row>
    <row r="48" spans="2:18" x14ac:dyDescent="0.45">
      <c r="B48" s="25" t="str">
        <f ca="1"/>
        <v>Porosity</v>
      </c>
      <c r="C48" s="82">
        <f ca="1"/>
        <v>185.74585784233582</v>
      </c>
      <c r="D48" s="82">
        <f ca="1"/>
        <v>375.1267871955053</v>
      </c>
      <c r="E48" s="89">
        <f ca="1"/>
        <v>5</v>
      </c>
      <c r="F48" s="28"/>
      <c r="G48" s="28"/>
    </row>
    <row r="49" spans="2:7" x14ac:dyDescent="0.45">
      <c r="B49" s="25" t="str">
        <f ca="1"/>
        <v>Water saturation</v>
      </c>
      <c r="C49" s="82">
        <f ca="1"/>
        <v>202.30259266000337</v>
      </c>
      <c r="D49" s="82">
        <f ca="1"/>
        <v>362.07874725933016</v>
      </c>
      <c r="E49" s="89">
        <f ca="1"/>
        <v>6</v>
      </c>
      <c r="F49" s="28"/>
      <c r="G49" s="28"/>
    </row>
    <row r="50" spans="2:7" x14ac:dyDescent="0.45">
      <c r="B50" s="25" t="str">
        <f ca="1"/>
        <v>Major cost overrun</v>
      </c>
      <c r="C50" s="82">
        <f ca="1"/>
        <v>160.45711314799743</v>
      </c>
      <c r="D50" s="82">
        <f ca="1"/>
        <v>317.60982648839831</v>
      </c>
      <c r="E50" s="89">
        <f ca="1"/>
        <v>7</v>
      </c>
      <c r="F50" s="28"/>
      <c r="G50" s="28"/>
    </row>
    <row r="51" spans="2:7" x14ac:dyDescent="0.45">
      <c r="B51" s="25" t="str">
        <f ca="1"/>
        <v>Production rate per well</v>
      </c>
      <c r="C51" s="82">
        <f ca="1"/>
        <v>237.77416448744148</v>
      </c>
      <c r="D51" s="82">
        <f ca="1"/>
        <v>338.55986125883948</v>
      </c>
      <c r="E51" s="89">
        <f ca="1"/>
        <v>8</v>
      </c>
      <c r="F51" s="28"/>
      <c r="G51" s="28"/>
    </row>
    <row r="52" spans="2:7" x14ac:dyDescent="0.45">
      <c r="B52" s="25" t="str">
        <f ca="1"/>
        <v>Facilities cost per kbbl/d</v>
      </c>
      <c r="C52" s="82">
        <f ca="1"/>
        <v>233.48366518144667</v>
      </c>
      <c r="D52" s="82">
        <f ca="1"/>
        <v>333.99603264611574</v>
      </c>
      <c r="E52" s="89">
        <f ca="1"/>
        <v>9</v>
      </c>
      <c r="F52" s="28"/>
      <c r="G52" s="28"/>
    </row>
    <row r="53" spans="2:7" x14ac:dyDescent="0.45">
      <c r="B53" s="25" t="str">
        <f ca="1"/>
        <v>Facilities fixed cost</v>
      </c>
      <c r="C53" s="82">
        <f ca="1"/>
        <v>239.06119963465775</v>
      </c>
      <c r="D53" s="82">
        <f ca="1"/>
        <v>321.84610425732103</v>
      </c>
      <c r="E53" s="89">
        <f ca="1"/>
        <v>10</v>
      </c>
      <c r="F53" s="28"/>
      <c r="G53" s="28"/>
    </row>
    <row r="54" spans="2:7" x14ac:dyDescent="0.45">
      <c r="B54" s="25" t="str">
        <f ca="1"/>
        <v>Development well cost</v>
      </c>
      <c r="C54" s="82">
        <f ca="1"/>
        <v>243.16472602961662</v>
      </c>
      <c r="D54" s="82">
        <f ca="1"/>
        <v>321.89439313131226</v>
      </c>
      <c r="E54" s="89">
        <f ca="1"/>
        <v>11</v>
      </c>
      <c r="F54" s="28"/>
      <c r="G54" s="28"/>
    </row>
    <row r="55" spans="2:7" x14ac:dyDescent="0.45">
      <c r="B55" s="25" t="str">
        <f ca="1"/>
        <v>Formation volume factor</v>
      </c>
      <c r="C55" s="82">
        <f ca="1"/>
        <v>251.93257921070878</v>
      </c>
      <c r="D55" s="82">
        <f ca="1"/>
        <v>329.21731592282771</v>
      </c>
      <c r="E55" s="89">
        <f ca="1"/>
        <v>12</v>
      </c>
      <c r="F55" s="28"/>
      <c r="G55" s="28"/>
    </row>
    <row r="56" spans="2:7" ht="8" customHeight="1" x14ac:dyDescent="0.45"/>
    <row r="57" spans="2:7" ht="22.05" customHeight="1" x14ac:dyDescent="0.5">
      <c r="B57" s="7" t="s">
        <v>451</v>
      </c>
      <c r="C57" s="8"/>
      <c r="D57" s="8"/>
      <c r="E57" s="8"/>
      <c r="F57" s="8"/>
      <c r="G57" s="8"/>
    </row>
    <row r="58" spans="2:7" ht="32" customHeight="1" x14ac:dyDescent="0.45">
      <c r="B58" s="101" t="s">
        <v>452</v>
      </c>
      <c r="C58" s="100"/>
      <c r="D58" s="100"/>
      <c r="E58" s="100"/>
      <c r="F58" s="100"/>
      <c r="G58" s="100"/>
    </row>
    <row r="59" spans="2:7" ht="32" customHeight="1" x14ac:dyDescent="0.45">
      <c r="B59" s="101" t="s">
        <v>453</v>
      </c>
      <c r="C59" s="100"/>
      <c r="D59" s="100"/>
      <c r="E59" s="100"/>
      <c r="F59" s="100"/>
      <c r="G59" s="100"/>
    </row>
    <row r="60" spans="2:7" ht="32" customHeight="1" x14ac:dyDescent="0.45">
      <c r="B60" s="101" t="s">
        <v>454</v>
      </c>
      <c r="C60" s="100"/>
      <c r="D60" s="100"/>
      <c r="E60" s="100"/>
      <c r="F60" s="100"/>
      <c r="G60" s="100"/>
    </row>
    <row r="61" spans="2:7" ht="32" customHeight="1" x14ac:dyDescent="0.45">
      <c r="B61" s="101" t="s">
        <v>455</v>
      </c>
      <c r="C61" s="100"/>
      <c r="D61" s="100"/>
      <c r="E61" s="100"/>
      <c r="F61" s="100"/>
      <c r="G61" s="100"/>
    </row>
    <row r="62" spans="2:7" ht="32" customHeight="1" x14ac:dyDescent="0.45">
      <c r="B62" s="101" t="s">
        <v>456</v>
      </c>
      <c r="C62" s="100"/>
      <c r="D62" s="100"/>
      <c r="E62" s="100"/>
      <c r="F62" s="100"/>
      <c r="G62" s="100"/>
    </row>
    <row r="63" spans="2:7" ht="14" customHeight="1" x14ac:dyDescent="0.45"/>
    <row r="64" spans="2:7" ht="14" customHeight="1" x14ac:dyDescent="0.45"/>
    <row r="65" spans="2:7" ht="22.05" customHeight="1" x14ac:dyDescent="0.5">
      <c r="B65" s="7" t="s">
        <v>457</v>
      </c>
      <c r="C65" s="8"/>
      <c r="D65" s="8"/>
      <c r="E65" s="8"/>
      <c r="F65" s="8"/>
      <c r="G65" s="8"/>
    </row>
    <row r="66" spans="2:7" ht="18" customHeight="1" x14ac:dyDescent="0.45">
      <c r="B66" s="13" t="s">
        <v>458</v>
      </c>
    </row>
    <row r="67" spans="2:7" ht="28.05" hidden="1" customHeight="1" outlineLevel="1" x14ac:dyDescent="0.45">
      <c r="B67" s="24" t="s">
        <v>459</v>
      </c>
      <c r="C67" s="24" t="s">
        <v>460</v>
      </c>
      <c r="D67" s="24" t="s">
        <v>461</v>
      </c>
      <c r="E67" s="24" t="s">
        <v>462</v>
      </c>
      <c r="F67" s="24" t="s">
        <v>463</v>
      </c>
      <c r="G67" s="5"/>
    </row>
    <row r="68" spans="2:7" hidden="1" outlineLevel="1" x14ac:dyDescent="0.45">
      <c r="B68" s="90">
        <v>0.01</v>
      </c>
      <c r="C68" s="90">
        <f t="shared" ref="C68:C99" si="0">1-B68</f>
        <v>0.99</v>
      </c>
      <c r="D68" s="91" cm="1">
        <f t="array" aca="1" ref="D68" ca="1">IF(ISNUMBER(_xll.VoseSimPercentile(NPV_Prospect,$B68)),_xll.VoseSimPercentile(NPV_Prospect,$B68),NA())</f>
        <v>-153.97249429719392</v>
      </c>
      <c r="E68" s="91" cm="1">
        <f t="array" aca="1" ref="E68" ca="1">IF(ISNUMBER(_xll.VoseSimPercentile(NPV_Dev,$B68)),_xll.VoseSimPercentile(NPV_Dev,$B68),NA())</f>
        <v>-189.23817113560474</v>
      </c>
      <c r="F68" s="91" cm="1">
        <f t="array" aca="1" ref="F68" ca="1">IF(ISNUMBER(_xll.VoseSimPercentile(Recoverable,$B68)),_xll.VoseSimPercentile(Recoverable,$B68),NA())</f>
        <v>9.7902339349118357</v>
      </c>
    </row>
    <row r="69" spans="2:7" hidden="1" outlineLevel="1" x14ac:dyDescent="0.45">
      <c r="B69" s="90">
        <v>0.03</v>
      </c>
      <c r="C69" s="90">
        <f t="shared" si="0"/>
        <v>0.97</v>
      </c>
      <c r="D69" s="91" cm="1">
        <f t="array" aca="1" ref="D69" ca="1">IF(ISNUMBER(_xll.VoseSimPercentile(NPV_Prospect,$B69)),_xll.VoseSimPercentile(NPV_Prospect,$B69),NA())</f>
        <v>-80.225267132386449</v>
      </c>
      <c r="E69" s="91" cm="1">
        <f t="array" aca="1" ref="E69" ca="1">IF(ISNUMBER(_xll.VoseSimPercentile(NPV_Dev,$B69)),_xll.VoseSimPercentile(NPV_Dev,$B69),NA())</f>
        <v>-131.12792055967168</v>
      </c>
      <c r="F69" s="91" cm="1">
        <f t="array" aca="1" ref="F69" ca="1">IF(ISNUMBER(_xll.VoseSimPercentile(Recoverable,$B69)),_xll.VoseSimPercentile(Recoverable,$B69),NA())</f>
        <v>13.19912199132178</v>
      </c>
    </row>
    <row r="70" spans="2:7" hidden="1" outlineLevel="1" x14ac:dyDescent="0.45">
      <c r="B70" s="90">
        <v>0.05</v>
      </c>
      <c r="C70" s="90">
        <f t="shared" si="0"/>
        <v>0.95</v>
      </c>
      <c r="D70" s="91" cm="1">
        <f t="array" aca="1" ref="D70" ca="1">IF(ISNUMBER(_xll.VoseSimPercentile(NPV_Prospect,$B70)),_xll.VoseSimPercentile(NPV_Prospect,$B70),NA())</f>
        <v>-63.309972601958904</v>
      </c>
      <c r="E70" s="91" cm="1">
        <f t="array" aca="1" ref="E70" ca="1">IF(ISNUMBER(_xll.VoseSimPercentile(NPV_Dev,$B70)),_xll.VoseSimPercentile(NPV_Dev,$B70),NA())</f>
        <v>-100.06647751522438</v>
      </c>
      <c r="F70" s="91" cm="1">
        <f t="array" aca="1" ref="F70" ca="1">IF(ISNUMBER(_xll.VoseSimPercentile(Recoverable,$B70)),_xll.VoseSimPercentile(Recoverable,$B70),NA())</f>
        <v>15.335214769999439</v>
      </c>
    </row>
    <row r="71" spans="2:7" hidden="1" outlineLevel="1" x14ac:dyDescent="0.45">
      <c r="B71" s="90">
        <v>7.0000000000000007E-2</v>
      </c>
      <c r="C71" s="90">
        <f t="shared" si="0"/>
        <v>0.92999999999999994</v>
      </c>
      <c r="D71" s="91" cm="1">
        <f t="array" aca="1" ref="D71" ca="1">IF(ISNUMBER(_xll.VoseSimPercentile(NPV_Prospect,$B71)),_xll.VoseSimPercentile(NPV_Prospect,$B71),NA())</f>
        <v>-51.935321804445977</v>
      </c>
      <c r="E71" s="91" cm="1">
        <f t="array" aca="1" ref="E71" ca="1">IF(ISNUMBER(_xll.VoseSimPercentile(NPV_Dev,$B71)),_xll.VoseSimPercentile(NPV_Dev,$B71),NA())</f>
        <v>-79.868262621327432</v>
      </c>
      <c r="F71" s="91" cm="1">
        <f t="array" aca="1" ref="F71" ca="1">IF(ISNUMBER(_xll.VoseSimPercentile(Recoverable,$B71)),_xll.VoseSimPercentile(Recoverable,$B71),NA())</f>
        <v>16.966463318444358</v>
      </c>
    </row>
    <row r="72" spans="2:7" hidden="1" outlineLevel="1" x14ac:dyDescent="0.45">
      <c r="B72" s="90">
        <v>0.09</v>
      </c>
      <c r="C72" s="90">
        <f t="shared" si="0"/>
        <v>0.91</v>
      </c>
      <c r="D72" s="91" cm="1">
        <f t="array" aca="1" ref="D72" ca="1">IF(ISNUMBER(_xll.VoseSimPercentile(NPV_Prospect,$B72)),_xll.VoseSimPercentile(NPV_Prospect,$B72),NA())</f>
        <v>-46.891857415659253</v>
      </c>
      <c r="E72" s="91" cm="1">
        <f t="array" aca="1" ref="E72" ca="1">IF(ISNUMBER(_xll.VoseSimPercentile(NPV_Dev,$B72)),_xll.VoseSimPercentile(NPV_Dev,$B72),NA())</f>
        <v>-62.948380079013205</v>
      </c>
      <c r="F72" s="91" cm="1">
        <f t="array" aca="1" ref="F72" ca="1">IF(ISNUMBER(_xll.VoseSimPercentile(Recoverable,$B72)),_xll.VoseSimPercentile(Recoverable,$B72),NA())</f>
        <v>18.480985814398174</v>
      </c>
    </row>
    <row r="73" spans="2:7" hidden="1" outlineLevel="1" x14ac:dyDescent="0.45">
      <c r="B73" s="90">
        <v>0.11</v>
      </c>
      <c r="C73" s="90">
        <f t="shared" si="0"/>
        <v>0.89</v>
      </c>
      <c r="D73" s="91" cm="1">
        <f t="array" aca="1" ref="D73" ca="1">IF(ISNUMBER(_xll.VoseSimPercentile(NPV_Prospect,$B73)),_xll.VoseSimPercentile(NPV_Prospect,$B73),NA())</f>
        <v>-45.359056673723323</v>
      </c>
      <c r="E73" s="91" cm="1">
        <f t="array" aca="1" ref="E73" ca="1">IF(ISNUMBER(_xll.VoseSimPercentile(NPV_Dev,$B73)),_xll.VoseSimPercentile(NPV_Dev,$B73),NA())</f>
        <v>-46.856670674570886</v>
      </c>
      <c r="F73" s="91" cm="1">
        <f t="array" aca="1" ref="F73" ca="1">IF(ISNUMBER(_xll.VoseSimPercentile(Recoverable,$B73)),_xll.VoseSimPercentile(Recoverable,$B73),NA())</f>
        <v>19.779402532253467</v>
      </c>
    </row>
    <row r="74" spans="2:7" hidden="1" outlineLevel="1" x14ac:dyDescent="0.45">
      <c r="B74" s="90">
        <v>0.13</v>
      </c>
      <c r="C74" s="90">
        <f t="shared" si="0"/>
        <v>0.87</v>
      </c>
      <c r="D74" s="91" cm="1">
        <f t="array" aca="1" ref="D74" ca="1">IF(ISNUMBER(_xll.VoseSimPercentile(NPV_Prospect,$B74)),_xll.VoseSimPercentile(NPV_Prospect,$B74),NA())</f>
        <v>-44.34039592997042</v>
      </c>
      <c r="E74" s="91" cm="1">
        <f t="array" aca="1" ref="E74" ca="1">IF(ISNUMBER(_xll.VoseSimPercentile(NPV_Dev,$B74)),_xll.VoseSimPercentile(NPV_Dev,$B74),NA())</f>
        <v>-34.813512698569816</v>
      </c>
      <c r="F74" s="91" cm="1">
        <f t="array" aca="1" ref="F74" ca="1">IF(ISNUMBER(_xll.VoseSimPercentile(Recoverable,$B74)),_xll.VoseSimPercentile(Recoverable,$B74),NA())</f>
        <v>21.025928207421234</v>
      </c>
    </row>
    <row r="75" spans="2:7" hidden="1" outlineLevel="1" x14ac:dyDescent="0.45">
      <c r="B75" s="90">
        <v>0.15</v>
      </c>
      <c r="C75" s="90">
        <f t="shared" si="0"/>
        <v>0.85</v>
      </c>
      <c r="D75" s="91" cm="1">
        <f t="array" aca="1" ref="D75" ca="1">IF(ISNUMBER(_xll.VoseSimPercentile(NPV_Prospect,$B75)),_xll.VoseSimPercentile(NPV_Prospect,$B75),NA())</f>
        <v>-43.587842966186919</v>
      </c>
      <c r="E75" s="91" cm="1">
        <f t="array" aca="1" ref="E75" ca="1">IF(ISNUMBER(_xll.VoseSimPercentile(NPV_Dev,$B75)),_xll.VoseSimPercentile(NPV_Dev,$B75),NA())</f>
        <v>-23.052496744675096</v>
      </c>
      <c r="F75" s="91" cm="1">
        <f t="array" aca="1" ref="F75" ca="1">IF(ISNUMBER(_xll.VoseSimPercentile(Recoverable,$B75)),_xll.VoseSimPercentile(Recoverable,$B75),NA())</f>
        <v>22.056053804295331</v>
      </c>
    </row>
    <row r="76" spans="2:7" hidden="1" outlineLevel="1" x14ac:dyDescent="0.45">
      <c r="B76" s="90">
        <v>0.17</v>
      </c>
      <c r="C76" s="90">
        <f t="shared" si="0"/>
        <v>0.83</v>
      </c>
      <c r="D76" s="91" cm="1">
        <f t="array" aca="1" ref="D76" ca="1">IF(ISNUMBER(_xll.VoseSimPercentile(NPV_Prospect,$B76)),_xll.VoseSimPercentile(NPV_Prospect,$B76),NA())</f>
        <v>-42.805281831867624</v>
      </c>
      <c r="E76" s="91" cm="1">
        <f t="array" aca="1" ref="E76" ca="1">IF(ISNUMBER(_xll.VoseSimPercentile(NPV_Dev,$B76)),_xll.VoseSimPercentile(NPV_Dev,$B76),NA())</f>
        <v>-11.443609465993317</v>
      </c>
      <c r="F76" s="91" cm="1">
        <f t="array" aca="1" ref="F76" ca="1">IF(ISNUMBER(_xll.VoseSimPercentile(Recoverable,$B76)),_xll.VoseSimPercentile(Recoverable,$B76),NA())</f>
        <v>23.289926923015397</v>
      </c>
    </row>
    <row r="77" spans="2:7" hidden="1" outlineLevel="1" x14ac:dyDescent="0.45">
      <c r="B77" s="90">
        <v>0.19</v>
      </c>
      <c r="C77" s="90">
        <f t="shared" si="0"/>
        <v>0.81</v>
      </c>
      <c r="D77" s="91" cm="1">
        <f t="array" aca="1" ref="D77" ca="1">IF(ISNUMBER(_xll.VoseSimPercentile(NPV_Prospect,$B77)),_xll.VoseSimPercentile(NPV_Prospect,$B77),NA())</f>
        <v>-42.191428757712885</v>
      </c>
      <c r="E77" s="91" cm="1">
        <f t="array" aca="1" ref="E77" ca="1">IF(ISNUMBER(_xll.VoseSimPercentile(NPV_Dev,$B77)),_xll.VoseSimPercentile(NPV_Dev,$B77),NA())</f>
        <v>1.3292069614360313</v>
      </c>
      <c r="F77" s="91" cm="1">
        <f t="array" aca="1" ref="F77" ca="1">IF(ISNUMBER(_xll.VoseSimPercentile(Recoverable,$B77)),_xll.VoseSimPercentile(Recoverable,$B77),NA())</f>
        <v>24.334568725941889</v>
      </c>
    </row>
    <row r="78" spans="2:7" hidden="1" outlineLevel="1" x14ac:dyDescent="0.45">
      <c r="B78" s="90">
        <v>0.21</v>
      </c>
      <c r="C78" s="90">
        <f t="shared" si="0"/>
        <v>0.79</v>
      </c>
      <c r="D78" s="91" cm="1">
        <f t="array" aca="1" ref="D78" ca="1">IF(ISNUMBER(_xll.VoseSimPercentile(NPV_Prospect,$B78)),_xll.VoseSimPercentile(NPV_Prospect,$B78),NA())</f>
        <v>-41.682370538148994</v>
      </c>
      <c r="E78" s="91" cm="1">
        <f t="array" aca="1" ref="E78" ca="1">IF(ISNUMBER(_xll.VoseSimPercentile(NPV_Dev,$B78)),_xll.VoseSimPercentile(NPV_Dev,$B78),NA())</f>
        <v>13.719389142347879</v>
      </c>
      <c r="F78" s="91" cm="1">
        <f t="array" aca="1" ref="F78" ca="1">IF(ISNUMBER(_xll.VoseSimPercentile(Recoverable,$B78)),_xll.VoseSimPercentile(Recoverable,$B78),NA())</f>
        <v>25.404857298202213</v>
      </c>
    </row>
    <row r="79" spans="2:7" hidden="1" outlineLevel="1" x14ac:dyDescent="0.45">
      <c r="B79" s="90">
        <v>0.23</v>
      </c>
      <c r="C79" s="90">
        <f t="shared" si="0"/>
        <v>0.77</v>
      </c>
      <c r="D79" s="91" cm="1">
        <f t="array" aca="1" ref="D79" ca="1">IF(ISNUMBER(_xll.VoseSimPercentile(NPV_Prospect,$B79)),_xll.VoseSimPercentile(NPV_Prospect,$B79),NA())</f>
        <v>-41.20288982680291</v>
      </c>
      <c r="E79" s="91" cm="1">
        <f t="array" aca="1" ref="E79" ca="1">IF(ISNUMBER(_xll.VoseSimPercentile(NPV_Dev,$B79)),_xll.VoseSimPercentile(NPV_Dev,$B79),NA())</f>
        <v>25.211428617694022</v>
      </c>
      <c r="F79" s="91" cm="1">
        <f t="array" aca="1" ref="F79" ca="1">IF(ISNUMBER(_xll.VoseSimPercentile(Recoverable,$B79)),_xll.VoseSimPercentile(Recoverable,$B79),NA())</f>
        <v>26.616997436640091</v>
      </c>
    </row>
    <row r="80" spans="2:7" hidden="1" outlineLevel="1" x14ac:dyDescent="0.45">
      <c r="B80" s="90">
        <v>0.25</v>
      </c>
      <c r="C80" s="90">
        <f t="shared" si="0"/>
        <v>0.75</v>
      </c>
      <c r="D80" s="91" cm="1">
        <f t="array" aca="1" ref="D80" ca="1">IF(ISNUMBER(_xll.VoseSimPercentile(NPV_Prospect,$B80)),_xll.VoseSimPercentile(NPV_Prospect,$B80),NA())</f>
        <v>-40.726434872321143</v>
      </c>
      <c r="E80" s="91" cm="1">
        <f t="array" aca="1" ref="E80" ca="1">IF(ISNUMBER(_xll.VoseSimPercentile(NPV_Dev,$B80)),_xll.VoseSimPercentile(NPV_Dev,$B80),NA())</f>
        <v>35.575230118719304</v>
      </c>
      <c r="F80" s="91" cm="1">
        <f t="array" aca="1" ref="F80" ca="1">IF(ISNUMBER(_xll.VoseSimPercentile(Recoverable,$B80)),_xll.VoseSimPercentile(Recoverable,$B80),NA())</f>
        <v>27.68565778825587</v>
      </c>
    </row>
    <row r="81" spans="2:6" hidden="1" outlineLevel="1" x14ac:dyDescent="0.45">
      <c r="B81" s="90">
        <v>0.27</v>
      </c>
      <c r="C81" s="90">
        <f t="shared" si="0"/>
        <v>0.73</v>
      </c>
      <c r="D81" s="91" cm="1">
        <f t="array" aca="1" ref="D81" ca="1">IF(ISNUMBER(_xll.VoseSimPercentile(NPV_Prospect,$B81)),_xll.VoseSimPercentile(NPV_Prospect,$B81),NA())</f>
        <v>-40.296843486496797</v>
      </c>
      <c r="E81" s="91" cm="1">
        <f t="array" aca="1" ref="E81" ca="1">IF(ISNUMBER(_xll.VoseSimPercentile(NPV_Dev,$B81)),_xll.VoseSimPercentile(NPV_Dev,$B81),NA())</f>
        <v>46.636492036540091</v>
      </c>
      <c r="F81" s="91" cm="1">
        <f t="array" aca="1" ref="F81" ca="1">IF(ISNUMBER(_xll.VoseSimPercentile(Recoverable,$B81)),_xll.VoseSimPercentile(Recoverable,$B81),NA())</f>
        <v>28.730640079923703</v>
      </c>
    </row>
    <row r="82" spans="2:6" hidden="1" outlineLevel="1" x14ac:dyDescent="0.45">
      <c r="B82" s="90">
        <v>0.28999999999999998</v>
      </c>
      <c r="C82" s="90">
        <f t="shared" si="0"/>
        <v>0.71</v>
      </c>
      <c r="D82" s="91" cm="1">
        <f t="array" aca="1" ref="D82" ca="1">IF(ISNUMBER(_xll.VoseSimPercentile(NPV_Prospect,$B82)),_xll.VoseSimPercentile(NPV_Prospect,$B82),NA())</f>
        <v>-39.860577589492259</v>
      </c>
      <c r="E82" s="91" cm="1">
        <f t="array" aca="1" ref="E82" ca="1">IF(ISNUMBER(_xll.VoseSimPercentile(NPV_Dev,$B82)),_xll.VoseSimPercentile(NPV_Dev,$B82),NA())</f>
        <v>58.113084647849156</v>
      </c>
      <c r="F82" s="91" cm="1">
        <f t="array" aca="1" ref="F82" ca="1">IF(ISNUMBER(_xll.VoseSimPercentile(Recoverable,$B82)),_xll.VoseSimPercentile(Recoverable,$B82),NA())</f>
        <v>29.713924567269469</v>
      </c>
    </row>
    <row r="83" spans="2:6" hidden="1" outlineLevel="1" x14ac:dyDescent="0.45">
      <c r="B83" s="90">
        <v>0.31</v>
      </c>
      <c r="C83" s="90">
        <f t="shared" si="0"/>
        <v>0.69</v>
      </c>
      <c r="D83" s="91" cm="1">
        <f t="array" aca="1" ref="D83" ca="1">IF(ISNUMBER(_xll.VoseSimPercentile(NPV_Prospect,$B83)),_xll.VoseSimPercentile(NPV_Prospect,$B83),NA())</f>
        <v>-39.458787530639235</v>
      </c>
      <c r="E83" s="91" cm="1">
        <f t="array" aca="1" ref="E83" ca="1">IF(ISNUMBER(_xll.VoseSimPercentile(NPV_Dev,$B83)),_xll.VoseSimPercentile(NPV_Dev,$B83),NA())</f>
        <v>68.599553092838519</v>
      </c>
      <c r="F83" s="91" cm="1">
        <f t="array" aca="1" ref="F83" ca="1">IF(ISNUMBER(_xll.VoseSimPercentile(Recoverable,$B83)),_xll.VoseSimPercentile(Recoverable,$B83),NA())</f>
        <v>30.737527967490415</v>
      </c>
    </row>
    <row r="84" spans="2:6" hidden="1" outlineLevel="1" x14ac:dyDescent="0.45">
      <c r="B84" s="90">
        <v>0.33</v>
      </c>
      <c r="C84" s="90">
        <f t="shared" si="0"/>
        <v>0.66999999999999993</v>
      </c>
      <c r="D84" s="91" cm="1">
        <f t="array" aca="1" ref="D84" ca="1">IF(ISNUMBER(_xll.VoseSimPercentile(NPV_Prospect,$B84)),_xll.VoseSimPercentile(NPV_Prospect,$B84),NA())</f>
        <v>-39.056848455360203</v>
      </c>
      <c r="E84" s="91" cm="1">
        <f t="array" aca="1" ref="E84" ca="1">IF(ISNUMBER(_xll.VoseSimPercentile(NPV_Dev,$B84)),_xll.VoseSimPercentile(NPV_Dev,$B84),NA())</f>
        <v>79.582900927482754</v>
      </c>
      <c r="F84" s="91" cm="1">
        <f t="array" aca="1" ref="F84" ca="1">IF(ISNUMBER(_xll.VoseSimPercentile(Recoverable,$B84)),_xll.VoseSimPercentile(Recoverable,$B84),NA())</f>
        <v>31.734279772925142</v>
      </c>
    </row>
    <row r="85" spans="2:6" hidden="1" outlineLevel="1" x14ac:dyDescent="0.45">
      <c r="B85" s="90">
        <v>0.35</v>
      </c>
      <c r="C85" s="90">
        <f t="shared" si="0"/>
        <v>0.65</v>
      </c>
      <c r="D85" s="91" cm="1">
        <f t="array" aca="1" ref="D85" ca="1">IF(ISNUMBER(_xll.VoseSimPercentile(NPV_Prospect,$B85)),_xll.VoseSimPercentile(NPV_Prospect,$B85),NA())</f>
        <v>-38.687091797465229</v>
      </c>
      <c r="E85" s="91" cm="1">
        <f t="array" aca="1" ref="E85" ca="1">IF(ISNUMBER(_xll.VoseSimPercentile(NPV_Dev,$B85)),_xll.VoseSimPercentile(NPV_Dev,$B85),NA())</f>
        <v>90.116848044888329</v>
      </c>
      <c r="F85" s="91" cm="1">
        <f t="array" aca="1" ref="F85" ca="1">IF(ISNUMBER(_xll.VoseSimPercentile(Recoverable,$B85)),_xll.VoseSimPercentile(Recoverable,$B85),NA())</f>
        <v>32.7917698466551</v>
      </c>
    </row>
    <row r="86" spans="2:6" hidden="1" outlineLevel="1" x14ac:dyDescent="0.45">
      <c r="B86" s="90">
        <v>0.37</v>
      </c>
      <c r="C86" s="90">
        <f t="shared" si="0"/>
        <v>0.63</v>
      </c>
      <c r="D86" s="91" cm="1">
        <f t="array" aca="1" ref="D86" ca="1">IF(ISNUMBER(_xll.VoseSimPercentile(NPV_Prospect,$B86)),_xll.VoseSimPercentile(NPV_Prospect,$B86),NA())</f>
        <v>-38.321567127942039</v>
      </c>
      <c r="E86" s="91" cm="1">
        <f t="array" aca="1" ref="E86" ca="1">IF(ISNUMBER(_xll.VoseSimPercentile(NPV_Dev,$B86)),_xll.VoseSimPercentile(NPV_Dev,$B86),NA())</f>
        <v>101.06464228917864</v>
      </c>
      <c r="F86" s="91" cm="1">
        <f t="array" aca="1" ref="F86" ca="1">IF(ISNUMBER(_xll.VoseSimPercentile(Recoverable,$B86)),_xll.VoseSimPercentile(Recoverable,$B86),NA())</f>
        <v>33.976159361967092</v>
      </c>
    </row>
    <row r="87" spans="2:6" hidden="1" outlineLevel="1" x14ac:dyDescent="0.45">
      <c r="B87" s="90">
        <v>0.39</v>
      </c>
      <c r="C87" s="90">
        <f t="shared" si="0"/>
        <v>0.61</v>
      </c>
      <c r="D87" s="91" cm="1">
        <f t="array" aca="1" ref="D87" ca="1">IF(ISNUMBER(_xll.VoseSimPercentile(NPV_Prospect,$B87)),_xll.VoseSimPercentile(NPV_Prospect,$B87),NA())</f>
        <v>-38.010385490576653</v>
      </c>
      <c r="E87" s="91" cm="1">
        <f t="array" aca="1" ref="E87" ca="1">IF(ISNUMBER(_xll.VoseSimPercentile(NPV_Dev,$B87)),_xll.VoseSimPercentile(NPV_Dev,$B87),NA())</f>
        <v>112.55643656909012</v>
      </c>
      <c r="F87" s="91" cm="1">
        <f t="array" aca="1" ref="F87" ca="1">IF(ISNUMBER(_xll.VoseSimPercentile(Recoverable,$B87)),_xll.VoseSimPercentile(Recoverable,$B87),NA())</f>
        <v>35.060039485031588</v>
      </c>
    </row>
    <row r="88" spans="2:6" hidden="1" outlineLevel="1" x14ac:dyDescent="0.45">
      <c r="B88" s="90">
        <v>0.41</v>
      </c>
      <c r="C88" s="90">
        <f t="shared" si="0"/>
        <v>0.59000000000000008</v>
      </c>
      <c r="D88" s="91" cm="1">
        <f t="array" aca="1" ref="D88" ca="1">IF(ISNUMBER(_xll.VoseSimPercentile(NPV_Prospect,$B88)),_xll.VoseSimPercentile(NPV_Prospect,$B88),NA())</f>
        <v>-37.675621140119475</v>
      </c>
      <c r="E88" s="91" cm="1">
        <f t="array" aca="1" ref="E88" ca="1">IF(ISNUMBER(_xll.VoseSimPercentile(NPV_Dev,$B88)),_xll.VoseSimPercentile(NPV_Dev,$B88),NA())</f>
        <v>125.64098453723864</v>
      </c>
      <c r="F88" s="91" cm="1">
        <f t="array" aca="1" ref="F88" ca="1">IF(ISNUMBER(_xll.VoseSimPercentile(Recoverable,$B88)),_xll.VoseSimPercentile(Recoverable,$B88),NA())</f>
        <v>36.164499890225223</v>
      </c>
    </row>
    <row r="89" spans="2:6" hidden="1" outlineLevel="1" x14ac:dyDescent="0.45">
      <c r="B89" s="90">
        <v>0.43</v>
      </c>
      <c r="C89" s="90">
        <f t="shared" si="0"/>
        <v>0.57000000000000006</v>
      </c>
      <c r="D89" s="91" cm="1">
        <f t="array" aca="1" ref="D89" ca="1">IF(ISNUMBER(_xll.VoseSimPercentile(NPV_Prospect,$B89)),_xll.VoseSimPercentile(NPV_Prospect,$B89),NA())</f>
        <v>-37.318794067684046</v>
      </c>
      <c r="E89" s="91" cm="1">
        <f t="array" aca="1" ref="E89" ca="1">IF(ISNUMBER(_xll.VoseSimPercentile(NPV_Dev,$B89)),_xll.VoseSimPercentile(NPV_Dev,$B89),NA())</f>
        <v>137.9333508940787</v>
      </c>
      <c r="F89" s="91" cm="1">
        <f t="array" aca="1" ref="F89" ca="1">IF(ISNUMBER(_xll.VoseSimPercentile(Recoverable,$B89)),_xll.VoseSimPercentile(Recoverable,$B89),NA())</f>
        <v>37.301870087102358</v>
      </c>
    </row>
    <row r="90" spans="2:6" hidden="1" outlineLevel="1" x14ac:dyDescent="0.45">
      <c r="B90" s="90">
        <v>0.45</v>
      </c>
      <c r="C90" s="90">
        <f t="shared" si="0"/>
        <v>0.55000000000000004</v>
      </c>
      <c r="D90" s="91" cm="1">
        <f t="array" aca="1" ref="D90" ca="1">IF(ISNUMBER(_xll.VoseSimPercentile(NPV_Prospect,$B90)),_xll.VoseSimPercentile(NPV_Prospect,$B90),NA())</f>
        <v>-36.978159646508622</v>
      </c>
      <c r="E90" s="91" cm="1">
        <f t="array" aca="1" ref="E90" ca="1">IF(ISNUMBER(_xll.VoseSimPercentile(NPV_Dev,$B90)),_xll.VoseSimPercentile(NPV_Dev,$B90),NA())</f>
        <v>149.03793939410028</v>
      </c>
      <c r="F90" s="91" cm="1">
        <f t="array" aca="1" ref="F90" ca="1">IF(ISNUMBER(_xll.VoseSimPercentile(Recoverable,$B90)),_xll.VoseSimPercentile(Recoverable,$B90),NA())</f>
        <v>38.472062505109427</v>
      </c>
    </row>
    <row r="91" spans="2:6" hidden="1" outlineLevel="1" x14ac:dyDescent="0.45">
      <c r="B91" s="90">
        <v>0.47</v>
      </c>
      <c r="C91" s="90">
        <f t="shared" si="0"/>
        <v>0.53</v>
      </c>
      <c r="D91" s="91" cm="1">
        <f t="array" aca="1" ref="D91" ca="1">IF(ISNUMBER(_xll.VoseSimPercentile(NPV_Prospect,$B91)),_xll.VoseSimPercentile(NPV_Prospect,$B91),NA())</f>
        <v>-36.650895586151954</v>
      </c>
      <c r="E91" s="91" cm="1">
        <f t="array" aca="1" ref="E91" ca="1">IF(ISNUMBER(_xll.VoseSimPercentile(NPV_Dev,$B91)),_xll.VoseSimPercentile(NPV_Dev,$B91),NA())</f>
        <v>163.13523279952165</v>
      </c>
      <c r="F91" s="91" cm="1">
        <f t="array" aca="1" ref="F91" ca="1">IF(ISNUMBER(_xll.VoseSimPercentile(Recoverable,$B91)),_xll.VoseSimPercentile(Recoverable,$B91),NA())</f>
        <v>39.630189373417913</v>
      </c>
    </row>
    <row r="92" spans="2:6" hidden="1" outlineLevel="1" x14ac:dyDescent="0.45">
      <c r="B92" s="90">
        <v>0.49</v>
      </c>
      <c r="C92" s="90">
        <f t="shared" si="0"/>
        <v>0.51</v>
      </c>
      <c r="D92" s="91" cm="1">
        <f t="array" aca="1" ref="D92" ca="1">IF(ISNUMBER(_xll.VoseSimPercentile(NPV_Prospect,$B92)),_xll.VoseSimPercentile(NPV_Prospect,$B92),NA())</f>
        <v>-36.344123699426895</v>
      </c>
      <c r="E92" s="91" cm="1">
        <f t="array" aca="1" ref="E92" ca="1">IF(ISNUMBER(_xll.VoseSimPercentile(NPV_Dev,$B92)),_xll.VoseSimPercentile(NPV_Dev,$B92),NA())</f>
        <v>176.23983657931467</v>
      </c>
      <c r="F92" s="91" cm="1">
        <f t="array" aca="1" ref="F92" ca="1">IF(ISNUMBER(_xll.VoseSimPercentile(Recoverable,$B92)),_xll.VoseSimPercentile(Recoverable,$B92),NA())</f>
        <v>40.823158594777773</v>
      </c>
    </row>
    <row r="93" spans="2:6" hidden="1" outlineLevel="1" x14ac:dyDescent="0.45">
      <c r="B93" s="90">
        <v>0.51</v>
      </c>
      <c r="C93" s="90">
        <f t="shared" si="0"/>
        <v>0.49</v>
      </c>
      <c r="D93" s="91" cm="1">
        <f t="array" aca="1" ref="D93" ca="1">IF(ISNUMBER(_xll.VoseSimPercentile(NPV_Prospect,$B93)),_xll.VoseSimPercentile(NPV_Prospect,$B93),NA())</f>
        <v>-35.973344263752239</v>
      </c>
      <c r="E93" s="91" cm="1">
        <f t="array" aca="1" ref="E93" ca="1">IF(ISNUMBER(_xll.VoseSimPercentile(NPV_Dev,$B93)),_xll.VoseSimPercentile(NPV_Dev,$B93),NA())</f>
        <v>189.97652723381958</v>
      </c>
      <c r="F93" s="91" cm="1">
        <f t="array" aca="1" ref="F93" ca="1">IF(ISNUMBER(_xll.VoseSimPercentile(Recoverable,$B93)),_xll.VoseSimPercentile(Recoverable,$B93),NA())</f>
        <v>42.145731272524138</v>
      </c>
    </row>
    <row r="94" spans="2:6" hidden="1" outlineLevel="1" x14ac:dyDescent="0.45">
      <c r="B94" s="90">
        <v>0.53</v>
      </c>
      <c r="C94" s="90">
        <f t="shared" si="0"/>
        <v>0.47</v>
      </c>
      <c r="D94" s="91" cm="1">
        <f t="array" aca="1" ref="D94" ca="1">IF(ISNUMBER(_xll.VoseSimPercentile(NPV_Prospect,$B94)),_xll.VoseSimPercentile(NPV_Prospect,$B94),NA())</f>
        <v>-35.609398944843242</v>
      </c>
      <c r="E94" s="91" cm="1">
        <f t="array" aca="1" ref="E94" ca="1">IF(ISNUMBER(_xll.VoseSimPercentile(NPV_Dev,$B94)),_xll.VoseSimPercentile(NPV_Dev,$B94),NA())</f>
        <v>203.80699406099808</v>
      </c>
      <c r="F94" s="91" cm="1">
        <f t="array" aca="1" ref="F94" ca="1">IF(ISNUMBER(_xll.VoseSimPercentile(Recoverable,$B94)),_xll.VoseSimPercentile(Recoverable,$B94),NA())</f>
        <v>43.461795527298101</v>
      </c>
    </row>
    <row r="95" spans="2:6" hidden="1" outlineLevel="1" x14ac:dyDescent="0.45">
      <c r="B95" s="90">
        <v>0.55000000000000004</v>
      </c>
      <c r="C95" s="90">
        <f t="shared" si="0"/>
        <v>0.44999999999999996</v>
      </c>
      <c r="D95" s="91" cm="1">
        <f t="array" aca="1" ref="D95" ca="1">IF(ISNUMBER(_xll.VoseSimPercentile(NPV_Prospect,$B95)),_xll.VoseSimPercentile(NPV_Prospect,$B95),NA())</f>
        <v>-35.300363176833812</v>
      </c>
      <c r="E95" s="91" cm="1">
        <f t="array" aca="1" ref="E95" ca="1">IF(ISNUMBER(_xll.VoseSimPercentile(NPV_Dev,$B95)),_xll.VoseSimPercentile(NPV_Dev,$B95),NA())</f>
        <v>217.97361074313224</v>
      </c>
      <c r="F95" s="91" cm="1">
        <f t="array" aca="1" ref="F95" ca="1">IF(ISNUMBER(_xll.VoseSimPercentile(Recoverable,$B95)),_xll.VoseSimPercentile(Recoverable,$B95),NA())</f>
        <v>44.76464169922918</v>
      </c>
    </row>
    <row r="96" spans="2:6" hidden="1" outlineLevel="1" x14ac:dyDescent="0.45">
      <c r="B96" s="90">
        <v>0.56999999999999995</v>
      </c>
      <c r="C96" s="90">
        <f t="shared" si="0"/>
        <v>0.43000000000000005</v>
      </c>
      <c r="D96" s="91" cm="1">
        <f t="array" aca="1" ref="D96" ca="1">IF(ISNUMBER(_xll.VoseSimPercentile(NPV_Prospect,$B96)),_xll.VoseSimPercentile(NPV_Prospect,$B96),NA())</f>
        <v>-34.968462053748993</v>
      </c>
      <c r="E96" s="91" cm="1">
        <f t="array" aca="1" ref="E96" ca="1">IF(ISNUMBER(_xll.VoseSimPercentile(NPV_Dev,$B96)),_xll.VoseSimPercentile(NPV_Dev,$B96),NA())</f>
        <v>232.36802625438398</v>
      </c>
      <c r="F96" s="91" cm="1">
        <f t="array" aca="1" ref="F96" ca="1">IF(ISNUMBER(_xll.VoseSimPercentile(Recoverable,$B96)),_xll.VoseSimPercentile(Recoverable,$B96),NA())</f>
        <v>46.084296910036407</v>
      </c>
    </row>
    <row r="97" spans="2:6" hidden="1" outlineLevel="1" x14ac:dyDescent="0.45">
      <c r="B97" s="90">
        <v>0.59</v>
      </c>
      <c r="C97" s="90">
        <f t="shared" si="0"/>
        <v>0.41000000000000003</v>
      </c>
      <c r="D97" s="91" cm="1">
        <f t="array" aca="1" ref="D97" ca="1">IF(ISNUMBER(_xll.VoseSimPercentile(NPV_Prospect,$B97)),_xll.VoseSimPercentile(NPV_Prospect,$B97),NA())</f>
        <v>-34.645444879987174</v>
      </c>
      <c r="E97" s="91" cm="1">
        <f t="array" aca="1" ref="E97" ca="1">IF(ISNUMBER(_xll.VoseSimPercentile(NPV_Dev,$B97)),_xll.VoseSimPercentile(NPV_Dev,$B97),NA())</f>
        <v>246.8251312702013</v>
      </c>
      <c r="F97" s="91" cm="1">
        <f t="array" aca="1" ref="F97" ca="1">IF(ISNUMBER(_xll.VoseSimPercentile(Recoverable,$B97)),_xll.VoseSimPercentile(Recoverable,$B97),NA())</f>
        <v>47.477949590067936</v>
      </c>
    </row>
    <row r="98" spans="2:6" hidden="1" outlineLevel="1" x14ac:dyDescent="0.45">
      <c r="B98" s="90">
        <v>0.61</v>
      </c>
      <c r="C98" s="90">
        <f t="shared" si="0"/>
        <v>0.39</v>
      </c>
      <c r="D98" s="91" cm="1">
        <f t="array" aca="1" ref="D98" ca="1">IF(ISNUMBER(_xll.VoseSimPercentile(NPV_Prospect,$B98)),_xll.VoseSimPercentile(NPV_Prospect,$B98),NA())</f>
        <v>-34.304773775872398</v>
      </c>
      <c r="E98" s="91" cm="1">
        <f t="array" aca="1" ref="E98" ca="1">IF(ISNUMBER(_xll.VoseSimPercentile(NPV_Dev,$B98)),_xll.VoseSimPercentile(NPV_Dev,$B98),NA())</f>
        <v>262.31913434046686</v>
      </c>
      <c r="F98" s="91" cm="1">
        <f t="array" aca="1" ref="F98" ca="1">IF(ISNUMBER(_xll.VoseSimPercentile(Recoverable,$B98)),_xll.VoseSimPercentile(Recoverable,$B98),NA())</f>
        <v>48.938416371138729</v>
      </c>
    </row>
    <row r="99" spans="2:6" hidden="1" outlineLevel="1" x14ac:dyDescent="0.45">
      <c r="B99" s="90">
        <v>0.63</v>
      </c>
      <c r="C99" s="90">
        <f t="shared" si="0"/>
        <v>0.37</v>
      </c>
      <c r="D99" s="91" cm="1">
        <f t="array" aca="1" ref="D99" ca="1">IF(ISNUMBER(_xll.VoseSimPercentile(NPV_Prospect,$B99)),_xll.VoseSimPercentile(NPV_Prospect,$B99),NA())</f>
        <v>-33.90673090390532</v>
      </c>
      <c r="E99" s="91" cm="1">
        <f t="array" aca="1" ref="E99" ca="1">IF(ISNUMBER(_xll.VoseSimPercentile(NPV_Dev,$B99)),_xll.VoseSimPercentile(NPV_Dev,$B99),NA())</f>
        <v>280.09733829692618</v>
      </c>
      <c r="F99" s="91" cm="1">
        <f t="array" aca="1" ref="F99" ca="1">IF(ISNUMBER(_xll.VoseSimPercentile(Recoverable,$B99)),_xll.VoseSimPercentile(Recoverable,$B99),NA())</f>
        <v>50.319848239913021</v>
      </c>
    </row>
    <row r="100" spans="2:6" hidden="1" outlineLevel="1" x14ac:dyDescent="0.45">
      <c r="B100" s="90">
        <v>0.65</v>
      </c>
      <c r="C100" s="90">
        <f t="shared" ref="C100:C131" si="1">1-B100</f>
        <v>0.35</v>
      </c>
      <c r="D100" s="91" cm="1">
        <f t="array" aca="1" ref="D100" ca="1">IF(ISNUMBER(_xll.VoseSimPercentile(NPV_Prospect,$B100)),_xll.VoseSimPercentile(NPV_Prospect,$B100),NA())</f>
        <v>-33.554676635279201</v>
      </c>
      <c r="E100" s="91" cm="1">
        <f t="array" aca="1" ref="E100" ca="1">IF(ISNUMBER(_xll.VoseSimPercentile(NPV_Dev,$B100)),_xll.VoseSimPercentile(NPV_Dev,$B100),NA())</f>
        <v>299.55935623043388</v>
      </c>
      <c r="F100" s="91" cm="1">
        <f t="array" aca="1" ref="F100" ca="1">IF(ISNUMBER(_xll.VoseSimPercentile(Recoverable,$B100)),_xll.VoseSimPercentile(Recoverable,$B100),NA())</f>
        <v>51.908889222668144</v>
      </c>
    </row>
    <row r="101" spans="2:6" hidden="1" outlineLevel="1" x14ac:dyDescent="0.45">
      <c r="B101" s="90">
        <v>0.67</v>
      </c>
      <c r="C101" s="90">
        <f t="shared" si="1"/>
        <v>0.32999999999999996</v>
      </c>
      <c r="D101" s="91" cm="1">
        <f t="array" aca="1" ref="D101" ca="1">IF(ISNUMBER(_xll.VoseSimPercentile(NPV_Prospect,$B101)),_xll.VoseSimPercentile(NPV_Prospect,$B101),NA())</f>
        <v>-33.126176627629938</v>
      </c>
      <c r="E101" s="91" cm="1">
        <f t="array" aca="1" ref="E101" ca="1">IF(ISNUMBER(_xll.VoseSimPercentile(NPV_Dev,$B101)),_xll.VoseSimPercentile(NPV_Dev,$B101),NA())</f>
        <v>318.05463952616145</v>
      </c>
      <c r="F101" s="91" cm="1">
        <f t="array" aca="1" ref="F101" ca="1">IF(ISNUMBER(_xll.VoseSimPercentile(Recoverable,$B101)),_xll.VoseSimPercentile(Recoverable,$B101),NA())</f>
        <v>53.699522073388763</v>
      </c>
    </row>
    <row r="102" spans="2:6" hidden="1" outlineLevel="1" x14ac:dyDescent="0.45">
      <c r="B102" s="90">
        <v>0.69</v>
      </c>
      <c r="C102" s="90">
        <f t="shared" si="1"/>
        <v>0.31000000000000005</v>
      </c>
      <c r="D102" s="91" cm="1">
        <f t="array" aca="1" ref="D102" ca="1">IF(ISNUMBER(_xll.VoseSimPercentile(NPV_Prospect,$B102)),_xll.VoseSimPercentile(NPV_Prospect,$B102),NA())</f>
        <v>-32.673837464526052</v>
      </c>
      <c r="E102" s="91" cm="1">
        <f t="array" aca="1" ref="E102" ca="1">IF(ISNUMBER(_xll.VoseSimPercentile(NPV_Dev,$B102)),_xll.VoseSimPercentile(NPV_Dev,$B102),NA())</f>
        <v>338.62544420444453</v>
      </c>
      <c r="F102" s="91" cm="1">
        <f t="array" aca="1" ref="F102" ca="1">IF(ISNUMBER(_xll.VoseSimPercentile(Recoverable,$B102)),_xll.VoseSimPercentile(Recoverable,$B102),NA())</f>
        <v>55.563558208950212</v>
      </c>
    </row>
    <row r="103" spans="2:6" hidden="1" outlineLevel="1" x14ac:dyDescent="0.45">
      <c r="B103" s="90">
        <v>0.71</v>
      </c>
      <c r="C103" s="90">
        <f t="shared" si="1"/>
        <v>0.29000000000000004</v>
      </c>
      <c r="D103" s="91" cm="1">
        <f t="array" aca="1" ref="D103" ca="1">IF(ISNUMBER(_xll.VoseSimPercentile(NPV_Prospect,$B103)),_xll.VoseSimPercentile(NPV_Prospect,$B103),NA())</f>
        <v>-32.219133970964513</v>
      </c>
      <c r="E103" s="91" cm="1">
        <f t="array" aca="1" ref="E103" ca="1">IF(ISNUMBER(_xll.VoseSimPercentile(NPV_Dev,$B103)),_xll.VoseSimPercentile(NPV_Dev,$B103),NA())</f>
        <v>363.27635293289387</v>
      </c>
      <c r="F103" s="91" cm="1">
        <f t="array" aca="1" ref="F103" ca="1">IF(ISNUMBER(_xll.VoseSimPercentile(Recoverable,$B103)),_xll.VoseSimPercentile(Recoverable,$B103),NA())</f>
        <v>57.457089044420876</v>
      </c>
    </row>
    <row r="104" spans="2:6" hidden="1" outlineLevel="1" x14ac:dyDescent="0.45">
      <c r="B104" s="90">
        <v>0.73</v>
      </c>
      <c r="C104" s="90">
        <f t="shared" si="1"/>
        <v>0.27</v>
      </c>
      <c r="D104" s="91" cm="1">
        <f t="array" aca="1" ref="D104" ca="1">IF(ISNUMBER(_xll.VoseSimPercentile(NPV_Prospect,$B104)),_xll.VoseSimPercentile(NPV_Prospect,$B104),NA())</f>
        <v>-31.741671216077467</v>
      </c>
      <c r="E104" s="91" cm="1">
        <f t="array" aca="1" ref="E104" ca="1">IF(ISNUMBER(_xll.VoseSimPercentile(NPV_Dev,$B104)),_xll.VoseSimPercentile(NPV_Dev,$B104),NA())</f>
        <v>383.53144566705367</v>
      </c>
      <c r="F104" s="91" cm="1">
        <f t="array" aca="1" ref="F104" ca="1">IF(ISNUMBER(_xll.VoseSimPercentile(Recoverable,$B104)),_xll.VoseSimPercentile(Recoverable,$B104),NA())</f>
        <v>59.693546564437206</v>
      </c>
    </row>
    <row r="105" spans="2:6" hidden="1" outlineLevel="1" x14ac:dyDescent="0.45">
      <c r="B105" s="90">
        <v>0.75</v>
      </c>
      <c r="C105" s="90">
        <f t="shared" si="1"/>
        <v>0.25</v>
      </c>
      <c r="D105" s="91" cm="1">
        <f t="array" aca="1" ref="D105" ca="1">IF(ISNUMBER(_xll.VoseSimPercentile(NPV_Prospect,$B105)),_xll.VoseSimPercentile(NPV_Prospect,$B105),NA())</f>
        <v>-31.175449492909024</v>
      </c>
      <c r="E105" s="91" cm="1">
        <f t="array" aca="1" ref="E105" ca="1">IF(ISNUMBER(_xll.VoseSimPercentile(NPV_Dev,$B105)),_xll.VoseSimPercentile(NPV_Dev,$B105),NA())</f>
        <v>406.2624153970321</v>
      </c>
      <c r="F105" s="91" cm="1">
        <f t="array" aca="1" ref="F105" ca="1">IF(ISNUMBER(_xll.VoseSimPercentile(Recoverable,$B105)),_xll.VoseSimPercentile(Recoverable,$B105),NA())</f>
        <v>61.910127058486843</v>
      </c>
    </row>
    <row r="106" spans="2:6" hidden="1" outlineLevel="1" x14ac:dyDescent="0.45">
      <c r="B106" s="90">
        <v>0.77</v>
      </c>
      <c r="C106" s="90">
        <f t="shared" si="1"/>
        <v>0.22999999999999998</v>
      </c>
      <c r="D106" s="91" cm="1">
        <f t="array" aca="1" ref="D106" ca="1">IF(ISNUMBER(_xll.VoseSimPercentile(NPV_Prospect,$B106)),_xll.VoseSimPercentile(NPV_Prospect,$B106),NA())</f>
        <v>-30.424524476475852</v>
      </c>
      <c r="E106" s="91" cm="1">
        <f t="array" aca="1" ref="E106" ca="1">IF(ISNUMBER(_xll.VoseSimPercentile(NPV_Dev,$B106)),_xll.VoseSimPercentile(NPV_Dev,$B106),NA())</f>
        <v>439.57924440535203</v>
      </c>
      <c r="F106" s="91" cm="1">
        <f t="array" aca="1" ref="F106" ca="1">IF(ISNUMBER(_xll.VoseSimPercentile(Recoverable,$B106)),_xll.VoseSimPercentile(Recoverable,$B106),NA())</f>
        <v>64.017239172211674</v>
      </c>
    </row>
    <row r="107" spans="2:6" hidden="1" outlineLevel="1" x14ac:dyDescent="0.45">
      <c r="B107" s="90">
        <v>0.79</v>
      </c>
      <c r="C107" s="90">
        <f t="shared" si="1"/>
        <v>0.20999999999999996</v>
      </c>
      <c r="D107" s="91" cm="1">
        <f t="array" aca="1" ref="D107" ca="1">IF(ISNUMBER(_xll.VoseSimPercentile(NPV_Prospect,$B107)),_xll.VoseSimPercentile(NPV_Prospect,$B107),NA())</f>
        <v>-20.221517992798145</v>
      </c>
      <c r="E107" s="91" cm="1">
        <f t="array" aca="1" ref="E107" ca="1">IF(ISNUMBER(_xll.VoseSimPercentile(NPV_Dev,$B107)),_xll.VoseSimPercentile(NPV_Dev,$B107),NA())</f>
        <v>473.44574978228673</v>
      </c>
      <c r="F107" s="91" cm="1">
        <f t="array" aca="1" ref="F107" ca="1">IF(ISNUMBER(_xll.VoseSimPercentile(Recoverable,$B107)),_xll.VoseSimPercentile(Recoverable,$B107),NA())</f>
        <v>66.403130032768573</v>
      </c>
    </row>
    <row r="108" spans="2:6" hidden="1" outlineLevel="1" x14ac:dyDescent="0.45">
      <c r="B108" s="90">
        <v>0.81</v>
      </c>
      <c r="C108" s="90">
        <f t="shared" si="1"/>
        <v>0.18999999999999995</v>
      </c>
      <c r="D108" s="91" cm="1">
        <f t="array" aca="1" ref="D108" ca="1">IF(ISNUMBER(_xll.VoseSimPercentile(NPV_Prospect,$B108)),_xll.VoseSimPercentile(NPV_Prospect,$B108),NA())</f>
        <v>27.702498771483285</v>
      </c>
      <c r="E108" s="91" cm="1">
        <f t="array" aca="1" ref="E108" ca="1">IF(ISNUMBER(_xll.VoseSimPercentile(NPV_Dev,$B108)),_xll.VoseSimPercentile(NPV_Dev,$B108),NA())</f>
        <v>509.12244985476605</v>
      </c>
      <c r="F108" s="91" cm="1">
        <f t="array" aca="1" ref="F108" ca="1">IF(ISNUMBER(_xll.VoseSimPercentile(Recoverable,$B108)),_xll.VoseSimPercentile(Recoverable,$B108),NA())</f>
        <v>69.427453681538623</v>
      </c>
    </row>
    <row r="109" spans="2:6" hidden="1" outlineLevel="1" x14ac:dyDescent="0.45">
      <c r="B109" s="90">
        <v>0.83</v>
      </c>
      <c r="C109" s="90">
        <f t="shared" si="1"/>
        <v>0.17000000000000004</v>
      </c>
      <c r="D109" s="91" cm="1">
        <f t="array" aca="1" ref="D109" ca="1">IF(ISNUMBER(_xll.VoseSimPercentile(NPV_Prospect,$B109)),_xll.VoseSimPercentile(NPV_Prospect,$B109),NA())</f>
        <v>67.186905933216423</v>
      </c>
      <c r="E109" s="91" cm="1">
        <f t="array" aca="1" ref="E109" ca="1">IF(ISNUMBER(_xll.VoseSimPercentile(NPV_Dev,$B109)),_xll.VoseSimPercentile(NPV_Dev,$B109),NA())</f>
        <v>547.23731309546838</v>
      </c>
      <c r="F109" s="91" cm="1">
        <f t="array" aca="1" ref="F109" ca="1">IF(ISNUMBER(_xll.VoseSimPercentile(Recoverable,$B109)),_xll.VoseSimPercentile(Recoverable,$B109),NA())</f>
        <v>72.625984304713839</v>
      </c>
    </row>
    <row r="110" spans="2:6" hidden="1" outlineLevel="1" x14ac:dyDescent="0.45">
      <c r="B110" s="90">
        <v>0.85</v>
      </c>
      <c r="C110" s="90">
        <f t="shared" si="1"/>
        <v>0.15000000000000002</v>
      </c>
      <c r="D110" s="91" cm="1">
        <f t="array" aca="1" ref="D110" ca="1">IF(ISNUMBER(_xll.VoseSimPercentile(NPV_Prospect,$B110)),_xll.VoseSimPercentile(NPV_Prospect,$B110),NA())</f>
        <v>112.61610080000976</v>
      </c>
      <c r="E110" s="91" cm="1">
        <f t="array" aca="1" ref="E110" ca="1">IF(ISNUMBER(_xll.VoseSimPercentile(NPV_Dev,$B110)),_xll.VoseSimPercentile(NPV_Dev,$B110),NA())</f>
        <v>594.8657636151828</v>
      </c>
      <c r="F110" s="91" cm="1">
        <f t="array" aca="1" ref="F110" ca="1">IF(ISNUMBER(_xll.VoseSimPercentile(Recoverable,$B110)),_xll.VoseSimPercentile(Recoverable,$B110),NA())</f>
        <v>76.39798611639786</v>
      </c>
    </row>
    <row r="111" spans="2:6" hidden="1" outlineLevel="1" x14ac:dyDescent="0.45">
      <c r="B111" s="90">
        <v>0.87</v>
      </c>
      <c r="C111" s="90">
        <f t="shared" si="1"/>
        <v>0.13</v>
      </c>
      <c r="D111" s="91" cm="1">
        <f t="array" aca="1" ref="D111" ca="1">IF(ISNUMBER(_xll.VoseSimPercentile(NPV_Prospect,$B111)),_xll.VoseSimPercentile(NPV_Prospect,$B111),NA())</f>
        <v>164.29226750775419</v>
      </c>
      <c r="E111" s="91" cm="1">
        <f t="array" aca="1" ref="E111" ca="1">IF(ISNUMBER(_xll.VoseSimPercentile(NPV_Dev,$B111)),_xll.VoseSimPercentile(NPV_Dev,$B111),NA())</f>
        <v>646.7052593358967</v>
      </c>
      <c r="F111" s="91" cm="1">
        <f t="array" aca="1" ref="F111" ca="1">IF(ISNUMBER(_xll.VoseSimPercentile(Recoverable,$B111)),_xll.VoseSimPercentile(Recoverable,$B111),NA())</f>
        <v>81.376870535529335</v>
      </c>
    </row>
    <row r="112" spans="2:6" hidden="1" outlineLevel="1" x14ac:dyDescent="0.45">
      <c r="B112" s="90">
        <v>0.89</v>
      </c>
      <c r="C112" s="90">
        <f t="shared" si="1"/>
        <v>0.10999999999999999</v>
      </c>
      <c r="D112" s="91" cm="1">
        <f t="array" aca="1" ref="D112" ca="1">IF(ISNUMBER(_xll.VoseSimPercentile(NPV_Prospect,$B112)),_xll.VoseSimPercentile(NPV_Prospect,$B112),NA())</f>
        <v>222.66140897743333</v>
      </c>
      <c r="E112" s="91" cm="1">
        <f t="array" aca="1" ref="E112" ca="1">IF(ISNUMBER(_xll.VoseSimPercentile(NPV_Dev,$B112)),_xll.VoseSimPercentile(NPV_Dev,$B112),NA())</f>
        <v>708.02571491888386</v>
      </c>
      <c r="F112" s="91" cm="1">
        <f t="array" aca="1" ref="F112" ca="1">IF(ISNUMBER(_xll.VoseSimPercentile(Recoverable,$B112)),_xll.VoseSimPercentile(Recoverable,$B112),NA())</f>
        <v>86.003763895255091</v>
      </c>
    </row>
    <row r="113" spans="2:7" hidden="1" outlineLevel="1" x14ac:dyDescent="0.45">
      <c r="B113" s="90">
        <v>0.91</v>
      </c>
      <c r="C113" s="90">
        <f t="shared" si="1"/>
        <v>8.9999999999999969E-2</v>
      </c>
      <c r="D113" s="91" cm="1">
        <f t="array" aca="1" ref="D113" ca="1">IF(ISNUMBER(_xll.VoseSimPercentile(NPV_Prospect,$B113)),_xll.VoseSimPercentile(NPV_Prospect,$B113),NA())</f>
        <v>285.26806590437792</v>
      </c>
      <c r="E113" s="91" cm="1">
        <f t="array" aca="1" ref="E113" ca="1">IF(ISNUMBER(_xll.VoseSimPercentile(NPV_Dev,$B113)),_xll.VoseSimPercentile(NPV_Dev,$B113),NA())</f>
        <v>780.47245095652988</v>
      </c>
      <c r="F113" s="91" cm="1">
        <f t="array" aca="1" ref="F113" ca="1">IF(ISNUMBER(_xll.VoseSimPercentile(Recoverable,$B113)),_xll.VoseSimPercentile(Recoverable,$B113),NA())</f>
        <v>92.589651109231554</v>
      </c>
    </row>
    <row r="114" spans="2:7" hidden="1" outlineLevel="1" x14ac:dyDescent="0.45">
      <c r="B114" s="90">
        <v>0.93</v>
      </c>
      <c r="C114" s="90">
        <f t="shared" si="1"/>
        <v>6.9999999999999951E-2</v>
      </c>
      <c r="D114" s="91" cm="1">
        <f t="array" aca="1" ref="D114" ca="1">IF(ISNUMBER(_xll.VoseSimPercentile(NPV_Prospect,$B114)),_xll.VoseSimPercentile(NPV_Prospect,$B114),NA())</f>
        <v>368.81687441543767</v>
      </c>
      <c r="E114" s="91" cm="1">
        <f t="array" aca="1" ref="E114" ca="1">IF(ISNUMBER(_xll.VoseSimPercentile(NPV_Dev,$B114)),_xll.VoseSimPercentile(NPV_Dev,$B114),NA())</f>
        <v>887.51499913180669</v>
      </c>
      <c r="F114" s="91" cm="1">
        <f t="array" aca="1" ref="F114" ca="1">IF(ISNUMBER(_xll.VoseSimPercentile(Recoverable,$B114)),_xll.VoseSimPercentile(Recoverable,$B114),NA())</f>
        <v>100.86293817184337</v>
      </c>
    </row>
    <row r="115" spans="2:7" hidden="1" outlineLevel="1" x14ac:dyDescent="0.45">
      <c r="B115" s="90">
        <v>0.95</v>
      </c>
      <c r="C115" s="90">
        <f t="shared" si="1"/>
        <v>5.0000000000000044E-2</v>
      </c>
      <c r="D115" s="91" cm="1">
        <f t="array" aca="1" ref="D115" ca="1">IF(ISNUMBER(_xll.VoseSimPercentile(NPV_Prospect,$B115)),_xll.VoseSimPercentile(NPV_Prospect,$B115),NA())</f>
        <v>482.27924628275292</v>
      </c>
      <c r="E115" s="91" cm="1">
        <f t="array" aca="1" ref="E115" ca="1">IF(ISNUMBER(_xll.VoseSimPercentile(NPV_Dev,$B115)),_xll.VoseSimPercentile(NPV_Dev,$B115),NA())</f>
        <v>1021.9058346597756</v>
      </c>
      <c r="F115" s="91" cm="1">
        <f t="array" aca="1" ref="F115" ca="1">IF(ISNUMBER(_xll.VoseSimPercentile(Recoverable,$B115)),_xll.VoseSimPercentile(Recoverable,$B115),NA())</f>
        <v>111.237833219404</v>
      </c>
    </row>
    <row r="116" spans="2:7" hidden="1" outlineLevel="1" x14ac:dyDescent="0.45">
      <c r="B116" s="90">
        <v>0.97</v>
      </c>
      <c r="C116" s="90">
        <f t="shared" si="1"/>
        <v>3.0000000000000027E-2</v>
      </c>
      <c r="D116" s="91" cm="1">
        <f t="array" aca="1" ref="D116" ca="1">IF(ISNUMBER(_xll.VoseSimPercentile(NPV_Prospect,$B116)),_xll.VoseSimPercentile(NPV_Prospect,$B116),NA())</f>
        <v>658.11238757522699</v>
      </c>
      <c r="E116" s="91" cm="1">
        <f t="array" aca="1" ref="E116" ca="1">IF(ISNUMBER(_xll.VoseSimPercentile(NPV_Dev,$B116)),_xll.VoseSimPercentile(NPV_Dev,$B116),NA())</f>
        <v>1251.193184910954</v>
      </c>
      <c r="F116" s="91" cm="1">
        <f t="array" aca="1" ref="F116" ca="1">IF(ISNUMBER(_xll.VoseSimPercentile(Recoverable,$B116)),_xll.VoseSimPercentile(Recoverable,$B116),NA())</f>
        <v>129.81586870977284</v>
      </c>
    </row>
    <row r="117" spans="2:7" hidden="1" outlineLevel="1" x14ac:dyDescent="0.45">
      <c r="B117" s="90">
        <v>0.99</v>
      </c>
      <c r="C117" s="90">
        <f t="shared" si="1"/>
        <v>1.0000000000000009E-2</v>
      </c>
      <c r="D117" s="91" cm="1">
        <f t="array" aca="1" ref="D117" ca="1">IF(ISNUMBER(_xll.VoseSimPercentile(NPV_Prospect,$B117)),_xll.VoseSimPercentile(NPV_Prospect,$B117),NA())</f>
        <v>1107.9401794770577</v>
      </c>
      <c r="E117" s="91" cm="1">
        <f t="array" aca="1" ref="E117" ca="1">IF(ISNUMBER(_xll.VoseSimPercentile(NPV_Dev,$B117)),_xll.VoseSimPercentile(NPV_Dev,$B117),NA())</f>
        <v>1867.7080643862369</v>
      </c>
      <c r="F117" s="91" cm="1">
        <f t="array" aca="1" ref="F117" ca="1">IF(ISNUMBER(_xll.VoseSimPercentile(Recoverable,$B117)),_xll.VoseSimPercentile(Recoverable,$B117),NA())</f>
        <v>170.56071888493994</v>
      </c>
    </row>
    <row r="118" spans="2:7" hidden="1" outlineLevel="1" x14ac:dyDescent="0.45"/>
    <row r="119" spans="2:7" ht="18" hidden="1" customHeight="1" outlineLevel="1" x14ac:dyDescent="0.45">
      <c r="B119" s="23" t="s">
        <v>464</v>
      </c>
      <c r="C119" s="24" t="s">
        <v>465</v>
      </c>
      <c r="D119" s="24" t="s">
        <v>466</v>
      </c>
      <c r="E119" s="5"/>
      <c r="F119" s="5"/>
      <c r="G119" s="5"/>
    </row>
    <row r="120" spans="2:7" hidden="1" outlineLevel="1" x14ac:dyDescent="0.45">
      <c r="B120" s="92" t="s">
        <v>429</v>
      </c>
      <c r="C120" s="93">
        <v>1.5</v>
      </c>
      <c r="D120" s="94" cm="1">
        <f t="array" aca="1" ref="D120" ca="1">_xll.VoseSimProbability(Outcome,C120)</f>
        <v>0.70532946705329469</v>
      </c>
    </row>
    <row r="121" spans="2:7" hidden="1" outlineLevel="1" x14ac:dyDescent="0.45">
      <c r="B121" s="92" t="s">
        <v>430</v>
      </c>
      <c r="C121" s="93">
        <v>2.5</v>
      </c>
      <c r="D121" s="94" cm="1">
        <f t="array" aca="1" ref="D121" ca="1">_xll.VoseSimProbability(Outcome,C121)</f>
        <v>0.73742625737426259</v>
      </c>
    </row>
    <row r="122" spans="2:7" hidden="1" outlineLevel="1" x14ac:dyDescent="0.45"/>
    <row r="123" spans="2:7" hidden="1" outlineLevel="1" x14ac:dyDescent="0.45"/>
    <row r="124" spans="2:7" hidden="1" outlineLevel="1" x14ac:dyDescent="0.45">
      <c r="B124" s="95" t="s">
        <v>467</v>
      </c>
      <c r="D124" s="96" cm="1">
        <f t="array" aca="1" ref="D124" ca="1">_xll.VoseSimMean(NPV_Dev)</f>
        <v>287.88863210018968</v>
      </c>
    </row>
    <row r="125" spans="2:7" ht="18" hidden="1" customHeight="1" outlineLevel="1" x14ac:dyDescent="0.45">
      <c r="B125" s="23" t="s">
        <v>468</v>
      </c>
      <c r="C125" s="5"/>
      <c r="D125" s="5"/>
      <c r="E125" s="5"/>
      <c r="F125" s="24" t="s">
        <v>469</v>
      </c>
      <c r="G125" s="24" t="s">
        <v>470</v>
      </c>
    </row>
    <row r="126" spans="2:7" hidden="1" outlineLevel="1" x14ac:dyDescent="0.45">
      <c r="B126" s="97" t="str">
        <f t="shared" ref="B126:B137" ca="1" si="2">B44</f>
        <v>Productive area</v>
      </c>
      <c r="F126" s="98">
        <f t="shared" ref="F126:F137" ca="1" si="3">IFERROR(D44-$D$124,NA())</f>
        <v>458.88116080025821</v>
      </c>
      <c r="G126" s="98">
        <f t="shared" ref="G126:G137" ca="1" si="4">IFERROR(C44-$D$124,NA())</f>
        <v>-252.83091738687835</v>
      </c>
    </row>
    <row r="127" spans="2:7" hidden="1" outlineLevel="1" x14ac:dyDescent="0.45">
      <c r="B127" s="97" t="str">
        <f t="shared" ca="1" si="2"/>
        <v>Net pay</v>
      </c>
      <c r="F127" s="98">
        <f t="shared" ca="1" si="3"/>
        <v>347.38121260812608</v>
      </c>
      <c r="G127" s="98">
        <f t="shared" ca="1" si="4"/>
        <v>-221.86870010686926</v>
      </c>
    </row>
    <row r="128" spans="2:7" hidden="1" outlineLevel="1" x14ac:dyDescent="0.45">
      <c r="B128" s="97" t="str">
        <f t="shared" ca="1" si="2"/>
        <v>Long-term oil price</v>
      </c>
      <c r="F128" s="98">
        <f t="shared" ca="1" si="3"/>
        <v>171.69044612520474</v>
      </c>
      <c r="G128" s="98">
        <f t="shared" ca="1" si="4"/>
        <v>-131.08525485656452</v>
      </c>
    </row>
    <row r="129" spans="2:7" hidden="1" outlineLevel="1" x14ac:dyDescent="0.45">
      <c r="B129" s="97" t="str">
        <f t="shared" ca="1" si="2"/>
        <v>Recovery factor</v>
      </c>
      <c r="F129" s="98">
        <f t="shared" ca="1" si="3"/>
        <v>107.83881668784068</v>
      </c>
      <c r="G129" s="98">
        <f t="shared" ca="1" si="4"/>
        <v>-111.8435760230692</v>
      </c>
    </row>
    <row r="130" spans="2:7" hidden="1" outlineLevel="1" x14ac:dyDescent="0.45">
      <c r="B130" s="97" t="str">
        <f t="shared" ca="1" si="2"/>
        <v>Porosity</v>
      </c>
      <c r="F130" s="98">
        <f t="shared" ca="1" si="3"/>
        <v>87.238155095315619</v>
      </c>
      <c r="G130" s="98">
        <f t="shared" ca="1" si="4"/>
        <v>-102.14277425785386</v>
      </c>
    </row>
    <row r="131" spans="2:7" hidden="1" outlineLevel="1" x14ac:dyDescent="0.45">
      <c r="B131" s="97" t="str">
        <f t="shared" ca="1" si="2"/>
        <v>Water saturation</v>
      </c>
      <c r="F131" s="98">
        <f t="shared" ca="1" si="3"/>
        <v>74.190115159140475</v>
      </c>
      <c r="G131" s="98">
        <f t="shared" ca="1" si="4"/>
        <v>-85.586039440186312</v>
      </c>
    </row>
    <row r="132" spans="2:7" hidden="1" outlineLevel="1" x14ac:dyDescent="0.45">
      <c r="B132" s="97" t="str">
        <f t="shared" ca="1" si="2"/>
        <v>Major cost overrun</v>
      </c>
      <c r="F132" s="98">
        <f t="shared" ca="1" si="3"/>
        <v>29.72119438820863</v>
      </c>
      <c r="G132" s="98">
        <f t="shared" ca="1" si="4"/>
        <v>-127.43151895219225</v>
      </c>
    </row>
    <row r="133" spans="2:7" hidden="1" outlineLevel="1" x14ac:dyDescent="0.45">
      <c r="B133" s="97" t="str">
        <f t="shared" ca="1" si="2"/>
        <v>Production rate per well</v>
      </c>
      <c r="F133" s="98">
        <f t="shared" ca="1" si="3"/>
        <v>50.671229158649794</v>
      </c>
      <c r="G133" s="98">
        <f t="shared" ca="1" si="4"/>
        <v>-50.1144676127482</v>
      </c>
    </row>
    <row r="134" spans="2:7" hidden="1" outlineLevel="1" x14ac:dyDescent="0.45">
      <c r="B134" s="97" t="str">
        <f t="shared" ca="1" si="2"/>
        <v>Facilities cost per kbbl/d</v>
      </c>
      <c r="F134" s="98">
        <f t="shared" ca="1" si="3"/>
        <v>46.107400545926055</v>
      </c>
      <c r="G134" s="98">
        <f t="shared" ca="1" si="4"/>
        <v>-54.404966918743014</v>
      </c>
    </row>
    <row r="135" spans="2:7" hidden="1" outlineLevel="1" x14ac:dyDescent="0.45">
      <c r="B135" s="97" t="str">
        <f t="shared" ca="1" si="2"/>
        <v>Facilities fixed cost</v>
      </c>
      <c r="F135" s="98">
        <f t="shared" ca="1" si="3"/>
        <v>33.957472157131349</v>
      </c>
      <c r="G135" s="98">
        <f t="shared" ca="1" si="4"/>
        <v>-48.827432465531928</v>
      </c>
    </row>
    <row r="136" spans="2:7" hidden="1" outlineLevel="1" x14ac:dyDescent="0.45">
      <c r="B136" s="97" t="str">
        <f t="shared" ca="1" si="2"/>
        <v>Development well cost</v>
      </c>
      <c r="F136" s="98">
        <f t="shared" ca="1" si="3"/>
        <v>34.005761031122574</v>
      </c>
      <c r="G136" s="98">
        <f t="shared" ca="1" si="4"/>
        <v>-44.723906070573065</v>
      </c>
    </row>
    <row r="137" spans="2:7" hidden="1" outlineLevel="1" x14ac:dyDescent="0.45">
      <c r="B137" s="97" t="str">
        <f t="shared" ca="1" si="2"/>
        <v>Formation volume factor</v>
      </c>
      <c r="F137" s="98">
        <f t="shared" ca="1" si="3"/>
        <v>41.328683822638027</v>
      </c>
      <c r="G137" s="98">
        <f t="shared" ca="1" si="4"/>
        <v>-35.956052889480901</v>
      </c>
    </row>
    <row r="138" spans="2:7" hidden="1" outlineLevel="1" x14ac:dyDescent="0.45"/>
    <row r="139" spans="2:7" ht="18" hidden="1" customHeight="1" outlineLevel="1" x14ac:dyDescent="0.45">
      <c r="B139" s="23" t="s">
        <v>471</v>
      </c>
      <c r="C139" s="24" t="s">
        <v>460</v>
      </c>
      <c r="D139" s="24" t="s">
        <v>271</v>
      </c>
      <c r="E139" s="5"/>
      <c r="F139" s="5"/>
      <c r="G139" s="5"/>
    </row>
    <row r="140" spans="2:7" hidden="1" outlineLevel="1" x14ac:dyDescent="0.45">
      <c r="B140" s="95" t="s">
        <v>435</v>
      </c>
      <c r="C140" s="90">
        <v>0.9</v>
      </c>
      <c r="D140" s="91" cm="1">
        <f t="array" aca="1" ref="D140" ca="1">IF(ISNUMBER(_xll.VoseSimPercentile(Recoverable,0.1)),_xll.VoseSimPercentile(Recoverable,0.1),NA())</f>
        <v>19.128369261654306</v>
      </c>
    </row>
    <row r="141" spans="2:7" hidden="1" outlineLevel="1" x14ac:dyDescent="0.45">
      <c r="B141" s="95" t="s">
        <v>436</v>
      </c>
      <c r="C141" s="90">
        <v>0.5</v>
      </c>
      <c r="D141" s="91" cm="1">
        <f t="array" aca="1" ref="D141" ca="1">IF(ISNUMBER(_xll.VoseSimPercentile(Recoverable,0.5)),_xll.VoseSimPercentile(Recoverable,0.5),NA())</f>
        <v>41.486277103522795</v>
      </c>
    </row>
    <row r="142" spans="2:7" hidden="1" outlineLevel="1" x14ac:dyDescent="0.45">
      <c r="B142" s="95" t="s">
        <v>437</v>
      </c>
      <c r="C142" s="90">
        <v>0.1</v>
      </c>
      <c r="D142" s="91" cm="1">
        <f t="array" aca="1" ref="D142" ca="1">IF(ISNUMBER(_xll.VoseSimPercentile(Recoverable,0.9)),_xll.VoseSimPercentile(Recoverable,0.9),NA())</f>
        <v>89.155263169763288</v>
      </c>
    </row>
  </sheetData>
  <mergeCells count="5">
    <mergeCell ref="B59:G59"/>
    <mergeCell ref="B60:G60"/>
    <mergeCell ref="B61:G61"/>
    <mergeCell ref="B58:G58"/>
    <mergeCell ref="B62:G62"/>
  </mergeCells>
  <conditionalFormatting sqref="B7">
    <cfRule type="expression" dxfId="6" priority="2">
      <formula>LEFT($B$7,1)="✗"</formula>
    </cfRule>
  </conditionalFormatting>
  <conditionalFormatting sqref="B6:G6">
    <cfRule type="expression" dxfId="5" priority="1">
      <formula>LEFT($B$6,1)&lt;&gt;"✔"</formula>
    </cfRule>
  </conditionalFormatting>
  <conditionalFormatting sqref="D13">
    <cfRule type="expression" dxfId="4" priority="3">
      <formula>AND(ISNUMBER($D$12),$D$12&gt;0)</formula>
    </cfRule>
    <cfRule type="expression" dxfId="3" priority="4">
      <formula>AND(ISNUMBER($D$12),NOT($D$12&gt;0))</formula>
    </cfRule>
  </conditionalFormatting>
  <conditionalFormatting sqref="D140:D142">
    <cfRule type="expression" dxfId="2" priority="7">
      <formula>ISNA(D140)</formula>
    </cfRule>
  </conditionalFormatting>
  <conditionalFormatting sqref="D68:F117">
    <cfRule type="expression" dxfId="1" priority="5">
      <formula>ISNA(D68)</formula>
    </cfRule>
  </conditionalFormatting>
  <conditionalFormatting sqref="F126:G137">
    <cfRule type="expression" dxfId="0" priority="6">
      <formula>ISNA(F126)</formula>
    </cfRule>
  </conditionalFormatting>
  <hyperlinks>
    <hyperlink ref="B4" location="'Cash flow'!A1" display="◂  Cash flow" xr:uid="{00000000-0004-0000-0400-000000000000}"/>
  </hyperlinks>
  <printOptions horizontalCentered="1"/>
  <pageMargins left="0.4" right="0.4" top="0.5" bottom="0.6" header="0.25" footer="0.25"/>
  <pageSetup paperSize="9" scale="73" fitToHeight="0" orientation="landscape" r:id="rId1"/>
  <headerFooter>
    <oddFooter>&amp;L&amp;K3F5876&amp;8&amp;F · &amp;A&amp;R&amp;K3F5876&amp;8Page &amp;P of &amp;N</oddFooter>
  </headerFooter>
  <rowBreaks count="1" manualBreakCount="1">
    <brk id="40" max="16383"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D7F198-FC8E-479D-9FB9-641EB60478EA}">
  <dimension ref="A1:B1"/>
  <sheetViews>
    <sheetView workbookViewId="0"/>
  </sheetViews>
  <sheetFormatPr defaultRowHeight="14.25" x14ac:dyDescent="0.45"/>
  <sheetData>
    <row r="1" spans="1:2" x14ac:dyDescent="0.45">
      <c r="A1" s="103" t="s">
        <v>472</v>
      </c>
      <c r="B1">
        <v>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3715D8-F053-4690-B495-345D00BCE536}">
  <dimension ref="A1"/>
  <sheetViews>
    <sheetView workbookViewId="0"/>
  </sheetViews>
  <sheetFormatPr defaultRowHeight="14.25" x14ac:dyDescent="0.45"/>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36FEC8-4ED1-44DE-986D-163EF9E841BB}">
  <dimension ref="B3:B272"/>
  <sheetViews>
    <sheetView workbookViewId="0"/>
  </sheetViews>
  <sheetFormatPr defaultRowHeight="14.25" x14ac:dyDescent="0.45"/>
  <sheetData>
    <row r="3" spans="2:2" x14ac:dyDescent="0.45">
      <c r="B3">
        <v>190</v>
      </c>
    </row>
    <row r="4" spans="2:2" x14ac:dyDescent="0.45">
      <c r="B4">
        <v>1211</v>
      </c>
    </row>
    <row r="5" spans="2:2" x14ac:dyDescent="0.45">
      <c r="B5">
        <v>406</v>
      </c>
    </row>
    <row r="6" spans="2:2" x14ac:dyDescent="0.45">
      <c r="B6">
        <v>117</v>
      </c>
    </row>
    <row r="7" spans="2:2" x14ac:dyDescent="0.45">
      <c r="B7">
        <v>44</v>
      </c>
    </row>
    <row r="8" spans="2:2" x14ac:dyDescent="0.45">
      <c r="B8">
        <v>19</v>
      </c>
    </row>
    <row r="9" spans="2:2" x14ac:dyDescent="0.45">
      <c r="B9">
        <v>7</v>
      </c>
    </row>
    <row r="10" spans="2:2" x14ac:dyDescent="0.45">
      <c r="B10">
        <v>3</v>
      </c>
    </row>
    <row r="11" spans="2:2" x14ac:dyDescent="0.45">
      <c r="B11">
        <v>2</v>
      </c>
    </row>
    <row r="12" spans="2:2" x14ac:dyDescent="0.45">
      <c r="B12">
        <v>1</v>
      </c>
    </row>
    <row r="13" spans="2:2" x14ac:dyDescent="0.45">
      <c r="B13">
        <v>40</v>
      </c>
    </row>
    <row r="14" spans="2:2" x14ac:dyDescent="0.45">
      <c r="B14">
        <v>1766</v>
      </c>
    </row>
    <row r="15" spans="2:2" x14ac:dyDescent="0.45">
      <c r="B15">
        <v>140</v>
      </c>
    </row>
    <row r="16" spans="2:2" x14ac:dyDescent="0.45">
      <c r="B16">
        <v>32</v>
      </c>
    </row>
    <row r="17" spans="2:2" x14ac:dyDescent="0.45">
      <c r="B17">
        <v>17</v>
      </c>
    </row>
    <row r="18" spans="2:2" x14ac:dyDescent="0.45">
      <c r="B18">
        <v>2</v>
      </c>
    </row>
    <row r="19" spans="2:2" x14ac:dyDescent="0.45">
      <c r="B19">
        <v>1</v>
      </c>
    </row>
    <row r="20" spans="2:2" x14ac:dyDescent="0.45">
      <c r="B20">
        <v>0</v>
      </c>
    </row>
    <row r="21" spans="2:2" x14ac:dyDescent="0.45">
      <c r="B21">
        <v>1</v>
      </c>
    </row>
    <row r="22" spans="2:2" x14ac:dyDescent="0.45">
      <c r="B22">
        <v>1</v>
      </c>
    </row>
    <row r="23" spans="2:2" x14ac:dyDescent="0.45">
      <c r="B23">
        <v>87</v>
      </c>
    </row>
    <row r="24" spans="2:2" x14ac:dyDescent="0.45">
      <c r="B24">
        <v>283</v>
      </c>
    </row>
    <row r="25" spans="2:2" x14ac:dyDescent="0.45">
      <c r="B25">
        <v>536</v>
      </c>
    </row>
    <row r="26" spans="2:2" x14ac:dyDescent="0.45">
      <c r="B26">
        <v>506</v>
      </c>
    </row>
    <row r="27" spans="2:2" x14ac:dyDescent="0.45">
      <c r="B27">
        <v>320</v>
      </c>
    </row>
    <row r="28" spans="2:2" x14ac:dyDescent="0.45">
      <c r="B28">
        <v>162</v>
      </c>
    </row>
    <row r="29" spans="2:2" x14ac:dyDescent="0.45">
      <c r="B29">
        <v>67</v>
      </c>
    </row>
    <row r="30" spans="2:2" x14ac:dyDescent="0.45">
      <c r="B30">
        <v>28</v>
      </c>
    </row>
    <row r="31" spans="2:2" x14ac:dyDescent="0.45">
      <c r="B31">
        <v>8</v>
      </c>
    </row>
    <row r="32" spans="2:2" x14ac:dyDescent="0.45">
      <c r="B32">
        <v>3</v>
      </c>
    </row>
    <row r="33" spans="2:2" x14ac:dyDescent="0.45">
      <c r="B33">
        <v>1</v>
      </c>
    </row>
    <row r="34" spans="2:2" x14ac:dyDescent="0.45">
      <c r="B34">
        <v>16</v>
      </c>
    </row>
    <row r="35" spans="2:2" x14ac:dyDescent="0.45">
      <c r="B35">
        <v>70</v>
      </c>
    </row>
    <row r="36" spans="2:2" x14ac:dyDescent="0.45">
      <c r="B36">
        <v>211</v>
      </c>
    </row>
    <row r="37" spans="2:2" x14ac:dyDescent="0.45">
      <c r="B37">
        <v>442</v>
      </c>
    </row>
    <row r="38" spans="2:2" x14ac:dyDescent="0.45">
      <c r="B38">
        <v>559</v>
      </c>
    </row>
    <row r="39" spans="2:2" x14ac:dyDescent="0.45">
      <c r="B39">
        <v>461</v>
      </c>
    </row>
    <row r="40" spans="2:2" x14ac:dyDescent="0.45">
      <c r="B40">
        <v>185</v>
      </c>
    </row>
    <row r="41" spans="2:2" x14ac:dyDescent="0.45">
      <c r="B41">
        <v>46</v>
      </c>
    </row>
    <row r="42" spans="2:2" x14ac:dyDescent="0.45">
      <c r="B42">
        <v>9</v>
      </c>
    </row>
    <row r="43" spans="2:2" x14ac:dyDescent="0.45">
      <c r="B43">
        <v>282</v>
      </c>
    </row>
    <row r="44" spans="2:2" x14ac:dyDescent="0.45">
      <c r="B44">
        <v>728</v>
      </c>
    </row>
    <row r="45" spans="2:2" x14ac:dyDescent="0.45">
      <c r="B45">
        <v>563</v>
      </c>
    </row>
    <row r="46" spans="2:2" x14ac:dyDescent="0.45">
      <c r="B46">
        <v>247</v>
      </c>
    </row>
    <row r="47" spans="2:2" x14ac:dyDescent="0.45">
      <c r="B47">
        <v>105</v>
      </c>
    </row>
    <row r="48" spans="2:2" x14ac:dyDescent="0.45">
      <c r="B48">
        <v>45</v>
      </c>
    </row>
    <row r="49" spans="2:2" x14ac:dyDescent="0.45">
      <c r="B49">
        <v>19</v>
      </c>
    </row>
    <row r="50" spans="2:2" x14ac:dyDescent="0.45">
      <c r="B50">
        <v>7</v>
      </c>
    </row>
    <row r="51" spans="2:2" x14ac:dyDescent="0.45">
      <c r="B51">
        <v>2</v>
      </c>
    </row>
    <row r="52" spans="2:2" x14ac:dyDescent="0.45">
      <c r="B52">
        <v>2</v>
      </c>
    </row>
    <row r="53" spans="2:2" x14ac:dyDescent="0.45">
      <c r="B53">
        <v>133</v>
      </c>
    </row>
    <row r="54" spans="2:2" x14ac:dyDescent="0.45">
      <c r="B54">
        <v>555</v>
      </c>
    </row>
    <row r="55" spans="2:2" x14ac:dyDescent="0.45">
      <c r="B55">
        <v>627</v>
      </c>
    </row>
    <row r="56" spans="2:2" x14ac:dyDescent="0.45">
      <c r="B56">
        <v>364</v>
      </c>
    </row>
    <row r="57" spans="2:2" x14ac:dyDescent="0.45">
      <c r="B57">
        <v>172</v>
      </c>
    </row>
    <row r="58" spans="2:2" x14ac:dyDescent="0.45">
      <c r="B58">
        <v>95</v>
      </c>
    </row>
    <row r="59" spans="2:2" x14ac:dyDescent="0.45">
      <c r="B59">
        <v>31</v>
      </c>
    </row>
    <row r="60" spans="2:2" x14ac:dyDescent="0.45">
      <c r="B60">
        <v>16</v>
      </c>
    </row>
    <row r="61" spans="2:2" x14ac:dyDescent="0.45">
      <c r="B61">
        <v>4</v>
      </c>
    </row>
    <row r="62" spans="2:2" x14ac:dyDescent="0.45">
      <c r="B62">
        <v>3</v>
      </c>
    </row>
    <row r="63" spans="2:2" x14ac:dyDescent="0.45">
      <c r="B63">
        <v>24</v>
      </c>
    </row>
    <row r="64" spans="2:2" x14ac:dyDescent="0.45">
      <c r="B64">
        <v>82</v>
      </c>
    </row>
    <row r="65" spans="2:2" x14ac:dyDescent="0.45">
      <c r="B65">
        <v>168</v>
      </c>
    </row>
    <row r="66" spans="2:2" x14ac:dyDescent="0.45">
      <c r="B66">
        <v>273</v>
      </c>
    </row>
    <row r="67" spans="2:2" x14ac:dyDescent="0.45">
      <c r="B67">
        <v>326</v>
      </c>
    </row>
    <row r="68" spans="2:2" x14ac:dyDescent="0.45">
      <c r="B68">
        <v>357</v>
      </c>
    </row>
    <row r="69" spans="2:2" x14ac:dyDescent="0.45">
      <c r="B69">
        <v>327</v>
      </c>
    </row>
    <row r="70" spans="2:2" x14ac:dyDescent="0.45">
      <c r="B70">
        <v>260</v>
      </c>
    </row>
    <row r="71" spans="2:2" x14ac:dyDescent="0.45">
      <c r="B71">
        <v>144</v>
      </c>
    </row>
    <row r="72" spans="2:2" x14ac:dyDescent="0.45">
      <c r="B72">
        <v>39</v>
      </c>
    </row>
    <row r="73" spans="2:2" x14ac:dyDescent="0.45">
      <c r="B73">
        <v>63</v>
      </c>
    </row>
    <row r="74" spans="2:2" x14ac:dyDescent="0.45">
      <c r="B74">
        <v>202</v>
      </c>
    </row>
    <row r="75" spans="2:2" x14ac:dyDescent="0.45">
      <c r="B75">
        <v>283</v>
      </c>
    </row>
    <row r="76" spans="2:2" x14ac:dyDescent="0.45">
      <c r="B76">
        <v>364</v>
      </c>
    </row>
    <row r="77" spans="2:2" x14ac:dyDescent="0.45">
      <c r="B77">
        <v>349</v>
      </c>
    </row>
    <row r="78" spans="2:2" x14ac:dyDescent="0.45">
      <c r="B78">
        <v>283</v>
      </c>
    </row>
    <row r="79" spans="2:2" x14ac:dyDescent="0.45">
      <c r="B79">
        <v>217</v>
      </c>
    </row>
    <row r="80" spans="2:2" x14ac:dyDescent="0.45">
      <c r="B80">
        <v>152</v>
      </c>
    </row>
    <row r="81" spans="2:2" x14ac:dyDescent="0.45">
      <c r="B81">
        <v>71</v>
      </c>
    </row>
    <row r="82" spans="2:2" x14ac:dyDescent="0.45">
      <c r="B82">
        <v>16</v>
      </c>
    </row>
    <row r="83" spans="2:2" x14ac:dyDescent="0.45">
      <c r="B83">
        <v>52</v>
      </c>
    </row>
    <row r="84" spans="2:2" x14ac:dyDescent="0.45">
      <c r="B84">
        <v>199</v>
      </c>
    </row>
    <row r="85" spans="2:2" x14ac:dyDescent="0.45">
      <c r="B85">
        <v>318</v>
      </c>
    </row>
    <row r="86" spans="2:2" x14ac:dyDescent="0.45">
      <c r="B86">
        <v>346</v>
      </c>
    </row>
    <row r="87" spans="2:2" x14ac:dyDescent="0.45">
      <c r="B87">
        <v>369</v>
      </c>
    </row>
    <row r="88" spans="2:2" x14ac:dyDescent="0.45">
      <c r="B88">
        <v>300</v>
      </c>
    </row>
    <row r="89" spans="2:2" x14ac:dyDescent="0.45">
      <c r="B89">
        <v>223</v>
      </c>
    </row>
    <row r="90" spans="2:2" x14ac:dyDescent="0.45">
      <c r="B90">
        <v>124</v>
      </c>
    </row>
    <row r="91" spans="2:2" x14ac:dyDescent="0.45">
      <c r="B91">
        <v>58</v>
      </c>
    </row>
    <row r="92" spans="2:2" x14ac:dyDescent="0.45">
      <c r="B92">
        <v>11</v>
      </c>
    </row>
    <row r="93" spans="2:2" x14ac:dyDescent="0.45">
      <c r="B93">
        <v>24</v>
      </c>
    </row>
    <row r="94" spans="2:2" x14ac:dyDescent="0.45">
      <c r="B94">
        <v>124</v>
      </c>
    </row>
    <row r="95" spans="2:2" x14ac:dyDescent="0.45">
      <c r="B95">
        <v>195</v>
      </c>
    </row>
    <row r="96" spans="2:2" x14ac:dyDescent="0.45">
      <c r="B96">
        <v>327</v>
      </c>
    </row>
    <row r="97" spans="2:2" x14ac:dyDescent="0.45">
      <c r="B97">
        <v>358</v>
      </c>
    </row>
    <row r="98" spans="2:2" x14ac:dyDescent="0.45">
      <c r="B98">
        <v>301</v>
      </c>
    </row>
    <row r="99" spans="2:2" x14ac:dyDescent="0.45">
      <c r="B99">
        <v>285</v>
      </c>
    </row>
    <row r="100" spans="2:2" x14ac:dyDescent="0.45">
      <c r="B100">
        <v>222</v>
      </c>
    </row>
    <row r="101" spans="2:2" x14ac:dyDescent="0.45">
      <c r="B101">
        <v>128</v>
      </c>
    </row>
    <row r="102" spans="2:2" x14ac:dyDescent="0.45">
      <c r="B102">
        <v>36</v>
      </c>
    </row>
    <row r="103" spans="2:2" x14ac:dyDescent="0.45">
      <c r="B103">
        <v>600</v>
      </c>
    </row>
    <row r="104" spans="2:2" x14ac:dyDescent="0.45">
      <c r="B104">
        <v>0</v>
      </c>
    </row>
    <row r="105" spans="2:2" x14ac:dyDescent="0.45">
      <c r="B105">
        <v>0</v>
      </c>
    </row>
    <row r="106" spans="2:2" x14ac:dyDescent="0.45">
      <c r="B106">
        <v>0</v>
      </c>
    </row>
    <row r="107" spans="2:2" x14ac:dyDescent="0.45">
      <c r="B107">
        <v>1009</v>
      </c>
    </row>
    <row r="108" spans="2:2" x14ac:dyDescent="0.45">
      <c r="B108">
        <v>0</v>
      </c>
    </row>
    <row r="109" spans="2:2" x14ac:dyDescent="0.45">
      <c r="B109">
        <v>0</v>
      </c>
    </row>
    <row r="110" spans="2:2" x14ac:dyDescent="0.45">
      <c r="B110">
        <v>0</v>
      </c>
    </row>
    <row r="111" spans="2:2" x14ac:dyDescent="0.45">
      <c r="B111">
        <v>0</v>
      </c>
    </row>
    <row r="112" spans="2:2" x14ac:dyDescent="0.45">
      <c r="B112">
        <v>391</v>
      </c>
    </row>
    <row r="113" spans="2:2" x14ac:dyDescent="0.45">
      <c r="B113">
        <v>51</v>
      </c>
    </row>
    <row r="114" spans="2:2" x14ac:dyDescent="0.45">
      <c r="B114">
        <v>178</v>
      </c>
    </row>
    <row r="115" spans="2:2" x14ac:dyDescent="0.45">
      <c r="B115">
        <v>318</v>
      </c>
    </row>
    <row r="116" spans="2:2" x14ac:dyDescent="0.45">
      <c r="B116">
        <v>333</v>
      </c>
    </row>
    <row r="117" spans="2:2" x14ac:dyDescent="0.45">
      <c r="B117">
        <v>358</v>
      </c>
    </row>
    <row r="118" spans="2:2" x14ac:dyDescent="0.45">
      <c r="B118">
        <v>289</v>
      </c>
    </row>
    <row r="119" spans="2:2" x14ac:dyDescent="0.45">
      <c r="B119">
        <v>237</v>
      </c>
    </row>
    <row r="120" spans="2:2" x14ac:dyDescent="0.45">
      <c r="B120">
        <v>154</v>
      </c>
    </row>
    <row r="121" spans="2:2" x14ac:dyDescent="0.45">
      <c r="B121">
        <v>63</v>
      </c>
    </row>
    <row r="122" spans="2:2" x14ac:dyDescent="0.45">
      <c r="B122">
        <v>19</v>
      </c>
    </row>
    <row r="123" spans="2:2" x14ac:dyDescent="0.45">
      <c r="B123">
        <v>40</v>
      </c>
    </row>
    <row r="124" spans="2:2" x14ac:dyDescent="0.45">
      <c r="B124">
        <v>123</v>
      </c>
    </row>
    <row r="125" spans="2:2" x14ac:dyDescent="0.45">
      <c r="B125">
        <v>236</v>
      </c>
    </row>
    <row r="126" spans="2:2" x14ac:dyDescent="0.45">
      <c r="B126">
        <v>267</v>
      </c>
    </row>
    <row r="127" spans="2:2" x14ac:dyDescent="0.45">
      <c r="B127">
        <v>341</v>
      </c>
    </row>
    <row r="128" spans="2:2" x14ac:dyDescent="0.45">
      <c r="B128">
        <v>336</v>
      </c>
    </row>
    <row r="129" spans="2:2" x14ac:dyDescent="0.45">
      <c r="B129">
        <v>275</v>
      </c>
    </row>
    <row r="130" spans="2:2" x14ac:dyDescent="0.45">
      <c r="B130">
        <v>232</v>
      </c>
    </row>
    <row r="131" spans="2:2" x14ac:dyDescent="0.45">
      <c r="B131">
        <v>109</v>
      </c>
    </row>
    <row r="132" spans="2:2" x14ac:dyDescent="0.45">
      <c r="B132">
        <v>41</v>
      </c>
    </row>
    <row r="133" spans="2:2" x14ac:dyDescent="0.45">
      <c r="B133">
        <v>106</v>
      </c>
    </row>
    <row r="134" spans="2:2" x14ac:dyDescent="0.45">
      <c r="B134">
        <v>229</v>
      </c>
    </row>
    <row r="135" spans="2:2" x14ac:dyDescent="0.45">
      <c r="B135">
        <v>324</v>
      </c>
    </row>
    <row r="136" spans="2:2" x14ac:dyDescent="0.45">
      <c r="B136">
        <v>346</v>
      </c>
    </row>
    <row r="137" spans="2:2" x14ac:dyDescent="0.45">
      <c r="B137">
        <v>357</v>
      </c>
    </row>
    <row r="138" spans="2:2" x14ac:dyDescent="0.45">
      <c r="B138">
        <v>264</v>
      </c>
    </row>
    <row r="139" spans="2:2" x14ac:dyDescent="0.45">
      <c r="B139">
        <v>196</v>
      </c>
    </row>
    <row r="140" spans="2:2" x14ac:dyDescent="0.45">
      <c r="B140">
        <v>118</v>
      </c>
    </row>
    <row r="141" spans="2:2" x14ac:dyDescent="0.45">
      <c r="B141">
        <v>46</v>
      </c>
    </row>
    <row r="142" spans="2:2" x14ac:dyDescent="0.45">
      <c r="B142">
        <v>14</v>
      </c>
    </row>
    <row r="143" spans="2:2" x14ac:dyDescent="0.45">
      <c r="B143">
        <v>85</v>
      </c>
    </row>
    <row r="144" spans="2:2" x14ac:dyDescent="0.45">
      <c r="B144">
        <v>260</v>
      </c>
    </row>
    <row r="145" spans="2:2" x14ac:dyDescent="0.45">
      <c r="B145">
        <v>329</v>
      </c>
    </row>
    <row r="146" spans="2:2" x14ac:dyDescent="0.45">
      <c r="B146">
        <v>343</v>
      </c>
    </row>
    <row r="147" spans="2:2" x14ac:dyDescent="0.45">
      <c r="B147">
        <v>350</v>
      </c>
    </row>
    <row r="148" spans="2:2" x14ac:dyDescent="0.45">
      <c r="B148">
        <v>264</v>
      </c>
    </row>
    <row r="149" spans="2:2" x14ac:dyDescent="0.45">
      <c r="B149">
        <v>197</v>
      </c>
    </row>
    <row r="150" spans="2:2" x14ac:dyDescent="0.45">
      <c r="B150">
        <v>108</v>
      </c>
    </row>
    <row r="151" spans="2:2" x14ac:dyDescent="0.45">
      <c r="B151">
        <v>47</v>
      </c>
    </row>
    <row r="152" spans="2:2" x14ac:dyDescent="0.45">
      <c r="B152">
        <v>17</v>
      </c>
    </row>
    <row r="153" spans="2:2" x14ac:dyDescent="0.45">
      <c r="B153">
        <v>108</v>
      </c>
    </row>
    <row r="154" spans="2:2" x14ac:dyDescent="0.45">
      <c r="B154">
        <v>209</v>
      </c>
    </row>
    <row r="155" spans="2:2" x14ac:dyDescent="0.45">
      <c r="B155">
        <v>309</v>
      </c>
    </row>
    <row r="156" spans="2:2" x14ac:dyDescent="0.45">
      <c r="B156">
        <v>352</v>
      </c>
    </row>
    <row r="157" spans="2:2" x14ac:dyDescent="0.45">
      <c r="B157">
        <v>325</v>
      </c>
    </row>
    <row r="158" spans="2:2" x14ac:dyDescent="0.45">
      <c r="B158">
        <v>281</v>
      </c>
    </row>
    <row r="159" spans="2:2" x14ac:dyDescent="0.45">
      <c r="B159">
        <v>212</v>
      </c>
    </row>
    <row r="160" spans="2:2" x14ac:dyDescent="0.45">
      <c r="B160">
        <v>113</v>
      </c>
    </row>
    <row r="161" spans="2:2" x14ac:dyDescent="0.45">
      <c r="B161">
        <v>74</v>
      </c>
    </row>
    <row r="162" spans="2:2" x14ac:dyDescent="0.45">
      <c r="B162">
        <v>17</v>
      </c>
    </row>
    <row r="163" spans="2:2" x14ac:dyDescent="0.45">
      <c r="B163">
        <v>65</v>
      </c>
    </row>
    <row r="164" spans="2:2" x14ac:dyDescent="0.45">
      <c r="B164">
        <v>174</v>
      </c>
    </row>
    <row r="165" spans="2:2" x14ac:dyDescent="0.45">
      <c r="B165">
        <v>275</v>
      </c>
    </row>
    <row r="166" spans="2:2" x14ac:dyDescent="0.45">
      <c r="B166">
        <v>333</v>
      </c>
    </row>
    <row r="167" spans="2:2" x14ac:dyDescent="0.45">
      <c r="B167">
        <v>312</v>
      </c>
    </row>
    <row r="168" spans="2:2" x14ac:dyDescent="0.45">
      <c r="B168">
        <v>309</v>
      </c>
    </row>
    <row r="169" spans="2:2" x14ac:dyDescent="0.45">
      <c r="B169">
        <v>231</v>
      </c>
    </row>
    <row r="170" spans="2:2" x14ac:dyDescent="0.45">
      <c r="B170">
        <v>172</v>
      </c>
    </row>
    <row r="171" spans="2:2" x14ac:dyDescent="0.45">
      <c r="B171">
        <v>89</v>
      </c>
    </row>
    <row r="172" spans="2:2" x14ac:dyDescent="0.45">
      <c r="B172">
        <v>40</v>
      </c>
    </row>
    <row r="173" spans="2:2" x14ac:dyDescent="0.45">
      <c r="B173">
        <v>101</v>
      </c>
    </row>
    <row r="174" spans="2:2" x14ac:dyDescent="0.45">
      <c r="B174">
        <v>259</v>
      </c>
    </row>
    <row r="175" spans="2:2" x14ac:dyDescent="0.45">
      <c r="B175">
        <v>333</v>
      </c>
    </row>
    <row r="176" spans="2:2" x14ac:dyDescent="0.45">
      <c r="B176">
        <v>338</v>
      </c>
    </row>
    <row r="177" spans="2:2" x14ac:dyDescent="0.45">
      <c r="B177">
        <v>353</v>
      </c>
    </row>
    <row r="178" spans="2:2" x14ac:dyDescent="0.45">
      <c r="B178">
        <v>261</v>
      </c>
    </row>
    <row r="179" spans="2:2" x14ac:dyDescent="0.45">
      <c r="B179">
        <v>195</v>
      </c>
    </row>
    <row r="180" spans="2:2" x14ac:dyDescent="0.45">
      <c r="B180">
        <v>105</v>
      </c>
    </row>
    <row r="181" spans="2:2" x14ac:dyDescent="0.45">
      <c r="B181">
        <v>46</v>
      </c>
    </row>
    <row r="182" spans="2:2" x14ac:dyDescent="0.45">
      <c r="B182">
        <v>9</v>
      </c>
    </row>
    <row r="183" spans="2:2" x14ac:dyDescent="0.45">
      <c r="B183">
        <v>1522</v>
      </c>
    </row>
    <row r="184" spans="2:2" x14ac:dyDescent="0.45">
      <c r="B184">
        <v>0</v>
      </c>
    </row>
    <row r="185" spans="2:2" x14ac:dyDescent="0.45">
      <c r="B185">
        <v>13</v>
      </c>
    </row>
    <row r="186" spans="2:2" x14ac:dyDescent="0.45">
      <c r="B186">
        <v>68</v>
      </c>
    </row>
    <row r="187" spans="2:2" x14ac:dyDescent="0.45">
      <c r="B187">
        <v>108</v>
      </c>
    </row>
    <row r="188" spans="2:2" x14ac:dyDescent="0.45">
      <c r="B188">
        <v>112</v>
      </c>
    </row>
    <row r="189" spans="2:2" x14ac:dyDescent="0.45">
      <c r="B189">
        <v>86</v>
      </c>
    </row>
    <row r="190" spans="2:2" x14ac:dyDescent="0.45">
      <c r="B190">
        <v>56</v>
      </c>
    </row>
    <row r="191" spans="2:2" x14ac:dyDescent="0.45">
      <c r="B191">
        <v>28</v>
      </c>
    </row>
    <row r="192" spans="2:2" x14ac:dyDescent="0.45">
      <c r="B192">
        <v>7</v>
      </c>
    </row>
    <row r="193" spans="2:2" x14ac:dyDescent="0.45">
      <c r="B193">
        <v>76</v>
      </c>
    </row>
    <row r="194" spans="2:2" x14ac:dyDescent="0.45">
      <c r="B194">
        <v>246</v>
      </c>
    </row>
    <row r="195" spans="2:2" x14ac:dyDescent="0.45">
      <c r="B195">
        <v>301</v>
      </c>
    </row>
    <row r="196" spans="2:2" x14ac:dyDescent="0.45">
      <c r="B196">
        <v>353</v>
      </c>
    </row>
    <row r="197" spans="2:2" x14ac:dyDescent="0.45">
      <c r="B197">
        <v>325</v>
      </c>
    </row>
    <row r="198" spans="2:2" x14ac:dyDescent="0.45">
      <c r="B198">
        <v>298</v>
      </c>
    </row>
    <row r="199" spans="2:2" x14ac:dyDescent="0.45">
      <c r="B199">
        <v>211</v>
      </c>
    </row>
    <row r="200" spans="2:2" x14ac:dyDescent="0.45">
      <c r="B200">
        <v>132</v>
      </c>
    </row>
    <row r="201" spans="2:2" x14ac:dyDescent="0.45">
      <c r="B201">
        <v>43</v>
      </c>
    </row>
    <row r="202" spans="2:2" x14ac:dyDescent="0.45">
      <c r="B202">
        <v>15</v>
      </c>
    </row>
    <row r="203" spans="2:2" x14ac:dyDescent="0.45">
      <c r="B203">
        <v>65</v>
      </c>
    </row>
    <row r="204" spans="2:2" x14ac:dyDescent="0.45">
      <c r="B204">
        <v>224</v>
      </c>
    </row>
    <row r="205" spans="2:2" x14ac:dyDescent="0.45">
      <c r="B205">
        <v>302</v>
      </c>
    </row>
    <row r="206" spans="2:2" x14ac:dyDescent="0.45">
      <c r="B206">
        <v>373</v>
      </c>
    </row>
    <row r="207" spans="2:2" x14ac:dyDescent="0.45">
      <c r="B207">
        <v>320</v>
      </c>
    </row>
    <row r="208" spans="2:2" x14ac:dyDescent="0.45">
      <c r="B208">
        <v>296</v>
      </c>
    </row>
    <row r="209" spans="2:2" x14ac:dyDescent="0.45">
      <c r="B209">
        <v>207</v>
      </c>
    </row>
    <row r="210" spans="2:2" x14ac:dyDescent="0.45">
      <c r="B210">
        <v>122</v>
      </c>
    </row>
    <row r="211" spans="2:2" x14ac:dyDescent="0.45">
      <c r="B211">
        <v>75</v>
      </c>
    </row>
    <row r="212" spans="2:2" x14ac:dyDescent="0.45">
      <c r="B212">
        <v>16</v>
      </c>
    </row>
    <row r="213" spans="2:2" x14ac:dyDescent="0.45">
      <c r="B213">
        <v>1394</v>
      </c>
    </row>
    <row r="214" spans="2:2" x14ac:dyDescent="0.45">
      <c r="B214">
        <v>0</v>
      </c>
    </row>
    <row r="215" spans="2:2" x14ac:dyDescent="0.45">
      <c r="B215">
        <v>0</v>
      </c>
    </row>
    <row r="216" spans="2:2" x14ac:dyDescent="0.45">
      <c r="B216">
        <v>0</v>
      </c>
    </row>
    <row r="217" spans="2:2" x14ac:dyDescent="0.45">
      <c r="B217">
        <v>0</v>
      </c>
    </row>
    <row r="218" spans="2:2" x14ac:dyDescent="0.45">
      <c r="B218">
        <v>0</v>
      </c>
    </row>
    <row r="219" spans="2:2" x14ac:dyDescent="0.45">
      <c r="B219">
        <v>0</v>
      </c>
    </row>
    <row r="220" spans="2:2" x14ac:dyDescent="0.45">
      <c r="B220">
        <v>0</v>
      </c>
    </row>
    <row r="221" spans="2:2" x14ac:dyDescent="0.45">
      <c r="B221">
        <v>0</v>
      </c>
    </row>
    <row r="222" spans="2:2" x14ac:dyDescent="0.45">
      <c r="B222">
        <v>606</v>
      </c>
    </row>
    <row r="223" spans="2:2" x14ac:dyDescent="0.45">
      <c r="B223">
        <v>642</v>
      </c>
    </row>
    <row r="224" spans="2:2" x14ac:dyDescent="0.45">
      <c r="B224">
        <v>757</v>
      </c>
    </row>
    <row r="225" spans="2:2" x14ac:dyDescent="0.45">
      <c r="B225">
        <v>358</v>
      </c>
    </row>
    <row r="226" spans="2:2" x14ac:dyDescent="0.45">
      <c r="B226">
        <v>135</v>
      </c>
    </row>
    <row r="227" spans="2:2" x14ac:dyDescent="0.45">
      <c r="B227">
        <v>60</v>
      </c>
    </row>
    <row r="228" spans="2:2" x14ac:dyDescent="0.45">
      <c r="B228">
        <v>31</v>
      </c>
    </row>
    <row r="229" spans="2:2" x14ac:dyDescent="0.45">
      <c r="B229">
        <v>6</v>
      </c>
    </row>
    <row r="230" spans="2:2" x14ac:dyDescent="0.45">
      <c r="B230">
        <v>4</v>
      </c>
    </row>
    <row r="231" spans="2:2" x14ac:dyDescent="0.45">
      <c r="B231">
        <v>5</v>
      </c>
    </row>
    <row r="232" spans="2:2" x14ac:dyDescent="0.45">
      <c r="B232">
        <v>2</v>
      </c>
    </row>
    <row r="233" spans="2:2" x14ac:dyDescent="0.45">
      <c r="B233">
        <v>1445</v>
      </c>
    </row>
    <row r="234" spans="2:2" x14ac:dyDescent="0.45">
      <c r="B234">
        <v>0</v>
      </c>
    </row>
    <row r="235" spans="2:2" x14ac:dyDescent="0.45">
      <c r="B235">
        <v>0</v>
      </c>
    </row>
    <row r="236" spans="2:2" x14ac:dyDescent="0.45">
      <c r="B236">
        <v>0</v>
      </c>
    </row>
    <row r="237" spans="2:2" x14ac:dyDescent="0.45">
      <c r="B237">
        <v>0</v>
      </c>
    </row>
    <row r="238" spans="2:2" x14ac:dyDescent="0.45">
      <c r="B238">
        <v>0</v>
      </c>
    </row>
    <row r="239" spans="2:2" x14ac:dyDescent="0.45">
      <c r="B239">
        <v>0</v>
      </c>
    </row>
    <row r="240" spans="2:2" x14ac:dyDescent="0.45">
      <c r="B240">
        <v>0</v>
      </c>
    </row>
    <row r="241" spans="2:2" x14ac:dyDescent="0.45">
      <c r="B241">
        <v>0</v>
      </c>
    </row>
    <row r="242" spans="2:2" x14ac:dyDescent="0.45">
      <c r="B242">
        <v>555</v>
      </c>
    </row>
    <row r="243" spans="2:2" x14ac:dyDescent="0.45">
      <c r="B243">
        <v>1394</v>
      </c>
    </row>
    <row r="244" spans="2:2" x14ac:dyDescent="0.45">
      <c r="B244">
        <v>0</v>
      </c>
    </row>
    <row r="245" spans="2:2" x14ac:dyDescent="0.45">
      <c r="B245">
        <v>0</v>
      </c>
    </row>
    <row r="246" spans="2:2" x14ac:dyDescent="0.45">
      <c r="B246">
        <v>0</v>
      </c>
    </row>
    <row r="247" spans="2:2" x14ac:dyDescent="0.45">
      <c r="B247">
        <v>51</v>
      </c>
    </row>
    <row r="248" spans="2:2" x14ac:dyDescent="0.45">
      <c r="B248">
        <v>0</v>
      </c>
    </row>
    <row r="249" spans="2:2" x14ac:dyDescent="0.45">
      <c r="B249">
        <v>0</v>
      </c>
    </row>
    <row r="250" spans="2:2" x14ac:dyDescent="0.45">
      <c r="B250">
        <v>0</v>
      </c>
    </row>
    <row r="251" spans="2:2" x14ac:dyDescent="0.45">
      <c r="B251">
        <v>0</v>
      </c>
    </row>
    <row r="252" spans="2:2" x14ac:dyDescent="0.45">
      <c r="B252">
        <v>555</v>
      </c>
    </row>
    <row r="253" spans="2:2" x14ac:dyDescent="0.45">
      <c r="B253">
        <v>666</v>
      </c>
    </row>
    <row r="254" spans="2:2" x14ac:dyDescent="0.45">
      <c r="B254">
        <v>726</v>
      </c>
    </row>
    <row r="255" spans="2:2" x14ac:dyDescent="0.45">
      <c r="B255">
        <v>367</v>
      </c>
    </row>
    <row r="256" spans="2:2" x14ac:dyDescent="0.45">
      <c r="B256">
        <v>139</v>
      </c>
    </row>
    <row r="257" spans="2:2" x14ac:dyDescent="0.45">
      <c r="B257">
        <v>54</v>
      </c>
    </row>
    <row r="258" spans="2:2" x14ac:dyDescent="0.45">
      <c r="B258">
        <v>30</v>
      </c>
    </row>
    <row r="259" spans="2:2" x14ac:dyDescent="0.45">
      <c r="B259">
        <v>5</v>
      </c>
    </row>
    <row r="260" spans="2:2" x14ac:dyDescent="0.45">
      <c r="B260">
        <v>5</v>
      </c>
    </row>
    <row r="261" spans="2:2" x14ac:dyDescent="0.45">
      <c r="B261">
        <v>5</v>
      </c>
    </row>
    <row r="262" spans="2:2" x14ac:dyDescent="0.45">
      <c r="B262">
        <v>3</v>
      </c>
    </row>
    <row r="263" spans="2:2" x14ac:dyDescent="0.45">
      <c r="B263">
        <v>825</v>
      </c>
    </row>
    <row r="264" spans="2:2" x14ac:dyDescent="0.45">
      <c r="B264">
        <v>756</v>
      </c>
    </row>
    <row r="265" spans="2:2" x14ac:dyDescent="0.45">
      <c r="B265">
        <v>269</v>
      </c>
    </row>
    <row r="266" spans="2:2" x14ac:dyDescent="0.45">
      <c r="B266">
        <v>95</v>
      </c>
    </row>
    <row r="267" spans="2:2" x14ac:dyDescent="0.45">
      <c r="B267">
        <v>32</v>
      </c>
    </row>
    <row r="268" spans="2:2" x14ac:dyDescent="0.45">
      <c r="B268">
        <v>10</v>
      </c>
    </row>
    <row r="269" spans="2:2" x14ac:dyDescent="0.45">
      <c r="B269">
        <v>6</v>
      </c>
    </row>
    <row r="270" spans="2:2" x14ac:dyDescent="0.45">
      <c r="B270">
        <v>5</v>
      </c>
    </row>
    <row r="271" spans="2:2" x14ac:dyDescent="0.45">
      <c r="B271">
        <v>1</v>
      </c>
    </row>
    <row r="272" spans="2:2" x14ac:dyDescent="0.45">
      <c r="B272">
        <v>1</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r:ModelRisk xmlns:mr="ModelRisk">
  <mr:Charts xmlns:mr="ModelRisk" enc="base64" len="14650">PABGAEkATABUAEUAUgBTAD4ADQAKADwALwBDAE4AVAA6ADAADQAKAEYASQBMAFQARQBSAFMAPgANAAoAPABQAEEARwBFAFMAPgANAAoAQwBOAFQAOgAxAA0ACgBDAFUAUgBQAEEARwBFADoAMAANAAoATgA6ADEADQAKAFQAWQBQAEUAOgAyAA0ACgBOAE0AOgBIAGkAcwB0AG8AZwByAGEAbQANAAoAUwBJAE0ASQBEADoAMAANAAoAUwBFAEwAUwA6ADEADQAKAEMAVQBSAFMARQBMADoAMAANAAoAVABQADoAMAANAAoAUgBHADoAMAANAAoATgBNADoAJwBbACMAIwBUAEgASQBTAFcAQgAjACMAXQBDAGEAcwBoACAAZgBsAG8AdwAnACEARAAkADcAMAANAAoAQwBMAFIAOgA2ADUAOAAxADIAMwAxAA0ACgBUAFIAQQBOAFMAUAA6ADUAMAANAAoAUwBJAE0AOgAwAA0ACgA8AFMARQBMAF8ATwBQAFQASQBPAE4AUwA+AA0ACgBDAE4AVAA6ADMADQAKAE4ATQA6ADMADQAKAFQAUAA6ADEADQAKAFYAQQBMADoAMAAuADEAMAAwADAAMAAwADAAMAAwADAADQAKAE4ATQA6ADQADQAKAFQAUAA6ADEADQAKAFYAQQBMADoAMAAuADkAMAAwADAAMAAwADAAMAAwADAADQAKAE4ATQA6ADUADQAKAFQAUAA6ADIADQAKAFYAQQBMADoADQAKADwALwBTAEUATABfAE8AUABUAEkATwBOAFMAPgANAAoAPABPAFAAVABJAE8ATgBTAD4ADQAKAEMATgBUADoAMQA0ADkADQAKAE4ATQA6AEMAaABhAHIAdABfAFQAaQB0AGwAZQANAAoAVABQADoAMgANAAoAVgBBAEwAOgANAAoATgBNADoAcwBsAGkAZABlAHIAcwANAAoAVABQADoAMAANAAoAVgBBAEwAOgAxAA0ACgBOAE0AOgBzAGwAaQBkAGUAcgBzAF8AYwB1AG0AdQBsAA0ACgBUAFAAOgAwAA0ACgBWAEEATAA6ADAADQAKAE4ATQA6AGwAZQBnAGUAbgBkAA0ACgBUAFAAOgAwAA0ACgBWAEEATAA6ADAADQAKAE4ATQA6AE4AQgBhAHIAcwANAAoAVABQADoAMAANAAoAVgBBAEwAOgAtADEADQAKAE4ATQA6AFkATABhAGIAZQBsAA0ACgBUAFAAOgAyAA0ACgBWAEEATAA6AA0ACgBOAE0AOgBPAHYAZQByAGwAYQB5AFYAYQByAHMADQAKAFQAUAA6ADAADQAKAFYAQQBMADoAMwANAAoATgBNADoATABpAG4AZQBzAA0ACgBUAFAAOgAwAA0ACgBWAEEATAA6ADAADQAKAE4ATQA6AEMAaABhAHIAdABfAFMAaABvAHcAVABpAHQAbABlAA0ACgBUAFAAOgAwAA0ACgBWAEEATAA6ADEADQAKAE4ATQA6AEMAaABhAHIAdABfAFQAaQB0AGwAZQBDAG8AbABvAHIADQAKAFQAUAA6ADAADQAKAFYAQQBMADoAMAANAAoATgBNADoAQwBoAGEAcgB0AF8AVABpAHQAbABlAEYAbwBuAHQADQAKAFQAUAA6ADIADQAKAFYAQQBMADoAIwBGAE8ATgBUACMAIwAjACMAOQAyADoAOABQAC8ALwAvAHcAQQBBAEEAQQBBAEEAQQBBAEEAQQBBAEEAQQBBAEEATAB3AEMAQQBBAEEAQQBBAEEARABNAEEAdwBJAEIASQBrAEUAQQBjAGcAQgBwAEEARwBFAEEAYgBBAEEAQQBBAEEAQQBBAEEAQQBBAEEAQQBBAEEAQQBBAEEAQQBBAEEAQQBBAEEAQQBBAEEAQQBBAEEAQQBBAEEAQQBBAEEAQQBBAEEAQQBBAEEAQQBBAEEAQQBBAEEAQQBBAEEAQQBBAEEAQQBBAEEAQQBBAEEAQQBBAEEAQQBBAEEAQQBBAEEAQQBBAEEAQQBBAEEAPQANAAoATgBNADoAQwBoAGEAcgB0AF8ATABlAGcAZQBuAGQAQwBvAGwAbwByAA0ACgBUAFAAOgAwAA0ACgBWAEEATAA6ADAADQAKAE4ATQA6AEMAaABhAHIAdABfAEwAZQBnAGUAbgBkAEYAbwBuAHQADQAKAFQAUAA6ADIADQAKAFYAQQBMADoAIwBGAE8ATgBUACMAIwAjACMAOQAyADoAOQBmAC8ALwAvAHcAQQBBAEEAQQBBAEEAQQBBAEEAQQBBAEEAQQBBAEEASgBBAEIAQQBBAEEAQQBBAEEARABNAEEAdwBJAEIASQBrAEUAQQBjAGcAQgBwAEEARwBFAEEAYgBBAEEAQQBBAEEAQQBBAEEAQQBBAEEAQQBBAEEAQQBBAEEAQQBBAEEAQQBBAEEAQQBBAEEAQQBBAEEAQQBBAEEAQQBBAEEAQQBBAEEAQQBBAEEAQQBBAEEAQQBBAEEAQQBBAEEAQQBBAEEAQQBBAEEAQQBBAEEAQQBBAEEAQQBBAEEAQQBBAEEAQQBBAEEAQQBBAEEAPQANAAoATgBNADoAQwBoAGEAcgB0AF8AQgBLAEMAbwBsAG8AcgANAAoAVABQADoAMAANAAoAVgBBAEwAOgAxADYANwA3ADcAMgAxADUADQAKAE4ATQA6AEMAaABhAHIAdABfAEIAbwB4AEMAbwBsAG8AcgANAAoAVABQADoAMAANAAoAVgBBAEwAOgAxADYANwA3ADcAMgAxADUADQAKAE4ATQA6AFgAXwBBAHgAaQBzAF8AQQB1AHQAbwBzAGMAYQBsAGUADQAKAFQAUAA6ADAADQAKAFYAQQBMADoAMQANAAoATgBNADoAWABfAEEAeABpAHMAXwBNAGkAbgANAAoAVABQADoAMQANAAoAVgBBAEwAOgBuAGEAbgANAAoATgBNADoAWABfAEEAeABpAHMAXwBNAGEAeAANAAoAVABQADoAMQANAAoAVgBBAEwAOgBuAGEAbgANAAoATgBNADoAWABfAEEAeABpAHMAXwBTAHQAZQBwAA0ACgBUAFAAOgAxAA0ACgBWAEEATAA6AG4AYQBuAA0ACgBOAE0AOgBYAF8AQQB4AGkAcwBfAFMAYwBhAGwAZQBGAGEAYwB0AG8AcgANAAoAVABQADoAMQANAAoAVgBBAEwAOgBuAGEAbgANAAoATgBNADoAWABfAEEAeABpAHMAXwBGAG8AcgBtAGEAdAANAAoAVABQADoAMAANAAoAVgBBAEwAOgAtADEADQAKAE4ATQA6AFgAXwBBAHgAaQBzAF8AQwB1AHMAdABvAG0ARgBvAHIAbQBhAHQADQAKAFQAUAA6ADIADQAKAFYAQQBMADoADQAKAE4ATQA6AFgAXwBBAHgAaQBzAF8ATABvAGcAYQByAGkAdABoAG0AaQBjAA0ACgBUAFAAOgAwAA0ACgBWAEEATAA6ADAADQAKAE4ATQA6AFgAXwBBAHgAaQBzAF8ARABlAGMAaQBtAGEAbABzAA0ACgBUAFAAOgAxAA0ACgBWAEEATAA6AG4AYQBuAA0ACgBOAE0AOgBYAF8AQQB4AGkAcwBfAEQAZQBjAGkAbQBhAGwAcwBEAGEAdABhAA0ACgBUAFAAOgAxAA0ACgBWAEEATAA6AG4AYQBuAA0ACgBOAE0AOgBYAF8AQQB4AGkAcwBfAFMAaABvAHcAVABpAHQAbABlAA0ACgBUAFAAOgAwAA0ACgBWAEEATAA6ADEADQAKAE4ATQA6AFgAXwBBAHgAaQBzAF8AVABpAHQAbABlAEMAbwBsAG8AcgANAAoAVABQADoAMAANAAoAVgBBAEwAOgAwAA0ACgBOAE0AOgBYAF8AQQB4AGkAcwBfAEMAdQBzAHQAbwBtAFQAaQB0AGwAZQANAAoAVABQADoAMAANAAoAVgBBAEwAOgAwAA0ACgBOAE0AOgBYAF8AQQB4AGkAcwBfAFQAaQB0AGwAZQANAAoAVABQADoAMgANAAoAVgBBAEwAOgANAAoATgBNADoAWABfAEEAeABpAHMAXwBUAGkAdABsAGUARgBvAG4AdAANAAoAVABQADoAMgANAAoAVgBBAEwAOgAjAEYATwBOAFQAIwAjACMAIwA5ADIAOgA5AGYALwAvAC8AdwBBAEEAQQBBAEEAQQBBAEEAQQBBAEEAQQBBAEEAQQBMAHcAQwBBAEEAQQBBAEEAQQBEAE0AQQB3AEkAQgBJAGsARQBBAGMAZwBCAHAAQQBHAEUAQQBiAEEAQQBBAEEAQQBBAEEAQQBBAEEAQQBBAEEAQQBBAEEAQQBBAEEAQQBBAEEAQQBBAEEAQQBBAEEAQQBBAEEAQQBBAEEAQQBBAEEAQQBBAEEAQQBBAEEAQQBBAEEAQQBBAEEAQQBBAEEAQQBBAEEAQQBBAEEAQQBBAEEAQQBBAEEAQQBBAEEAQQBBAEEAQQBBAEEAQQA9AA0ACgBOAE0AOgBYAF8AQQB4AGkAcwBfAFMAaABvAHcARwByAGkAZABsAGkAbgBlAHMADQAKAFQAUAA6ADAADQAKAFYAQQBMADoAMAANAAoATgBNADoAWABfAEEAeABpAHMAXwBHAHIAaQBkAGwAaQBuAGUAQwBvAGwAbwByAA0ACgBUAFAAOgAwAA0ACgBWAEEATAA6ADEAMAAwADcAMAAxADgAOAANAAoATgBNADoAWABfAEEAeABpAHMAXwBHAHIAaQBkAGwAaQBuAGUAcwBTAHQAeQBsAGUADQAKAFQAUAA6ADAADQAKAFYAQQBMADoAMAANAAoATgBNADoAWABfAEEAeABpAHMAXwBHAHIAaQBkAGwAaQBuAGUAcwBXAGUAaQBnAGgAdAANAAoAVABQADoAMAANAAoAVgBBAEwAOgAxAA0ACgBOAE0AOgBYAF8AQQB4AGkAcwBfAEkAbgB0AGUAcgBsAGEAYwBlAA0ACgBUAFAAOgAwAA0ACgBWAEEATAA6ADAADQAKAE4ATQA6AFgAXwBBAHgAaQBzAF8ASQBuAHQAZQByAGwAYQBjAGUAQwBvAGwAbwByAA0ACgBUAFAAOgAwAA0ACgBWAEEATAA6ADEANAA4ADcAMgA1ADYAMQANAAoATgBNADoAWABfAEEAeABpAHMAXwBUAGkAYwBrAE0AYQByAGsADQAKAFQAUAA6ADAADQAKAFYAQQBMADoAMQANAAoATgBNADoAWABfAEEAeABpAHMAXwBMAGEAYgBlAGwAcwBTAHQAYQBnAGcAZQByAGUAZAANAAoAVABQADoAMAANAAoAVgBBAEwAOgAwAA0ACgBOAE0AOgBYAF8AQQB4AGkAcwBfAEwAYQBiAGUAbABzAEEAbgBnAGwAZQANAAoAVABQADoAMQANAAoAVgBBAEwAOgBuAGEAbgANAAoATgBNADoAWABfAEEAeABpAHMAXwBMAGEAYgBlAGwAcwBDAG8AbABvAHIADQAKAFQAUAA6ADAADQAKAFYAQQBMADoAMAANAAoATgBNADoAWABfAEEAeABpAHMAXwBMAGEAYgBlAGwAcwBGAG8AbgB0AA0ACgBUAFAAOgAyAA0ACgBWAEEATAA6ACMARgBPAE4AVAAjACMAIwAjADkAMgA6ADkAZgAvAC8ALwB3AEEAQQBBAEEAQQBBAEEAQQBBAEEAQQBBAEEAQQBBAEoAQQBCAEEAQQBBAEEAQQBBAEQATQBBAHcASQBCAEkAawBFAEEAYwBnAEIAcABBAEcARQBBAGIAQQBBAEEAQQBBAEEAQQBBAEEAQQBBAEEAQQBBAEEAQQBBAEEAQQBBAEEAQQBBAEEAQQBBAEEAQQBBAEEAQQBBAEEAQQBBAEEAQQBBAEEAQQBBAEEAQQBBAEEAQQBBAEEAQQBBAEEAQQBBAEEAQQBBAEEAQQBBAEEAQQBBAEEAQQBBAEEAQQBBAEEAQQBBAEEAQQBBAD0ADQAKAE4ATQA6AFkAXwBBAHgAaQBzAF8AQQB1AHQAbwBzAGMAYQBsAGUADQAKAFQAUAA6ADAADQAKAFYAQQBMADoAMQANAAoATgBNADoAWQBfAEEAeABpAHMAXwBNAGkAbgANAAoAVABQADoAMQANAAoAVgBBAEwAOgBuAGEAbgANAAoATgBNADoAWQBfAEEAeABpAHMAXwBNAGEAeAANAAoAVABQADoAMQANAAoAVgBBAEwAOgBuAGEAbgANAAoATgBNADoAWQBfAEEAeABpAHMAXwBTAHQAZQBwAA0ACgBUAFAAOgAxAA0ACgBWAEEATAA6AG4AYQBuAA0ACgBOAE0AOgBZAF8AQQB4AGkAcwBfAFMAYwBhAGwAZQBGAGEAYwB0AG8AcgANAAoAVABQADoAMQANAAoAVgBBAEwAOgBuAGEAbgANAAoATgBNADoAWQBfAEEAeABpAHMAXwBGAG8AcgBtAGEAdAANAAoAVABQADoAMAANAAoAVgBBAEwAOgAtADEADQAKAE4ATQA6AFkAXwBBAHgAaQBzAF8AQwB1AHMAdABvAG0ARgBvAHIAbQBhAHQADQAKAFQAUAA6ADIADQAKAFYAQQBMADoADQAKAE4ATQA6AFkAXwBBAHgAaQBzAF8ATABvAGcAYQByAGkAdABoAG0AaQBjAA0ACgBUAFAAOgAwAA0ACgBWAEEATAA6ADAADQAKAE4ATQA6AFkAXwBBAHgAaQBzAF8ARABlAGMAaQBtAGEAbABzAA0ACgBUAFAAOgAxAA0ACgBWAEEATAA6AG4AYQBuAA0ACgBOAE0AOgBZAF8AQQB4AGkAcwBfAEQAZQBjAGkAbQBhAGwAcwBEAGEAdABhAA0ACgBUAFAAOgAxAA0ACgBWAEEATAA6AG4AYQBuAA0ACgBOAE0AOgBZAF8AQQB4AGkAcwBfAFMAaABvAHcAVABpAHQAbABlAA0ACgBUAFAAOgAwAA0ACgBWAEEATAA6ADEADQAKAE4ATQA6AFkAXwBBAHgAaQBzAF8AVABpAHQAbABlAEMAbwBsAG8AcgANAAoAVABQADoAMAANAAoAVgBBAEwAOgAwAA0ACgBOAE0AOgBZAF8AQQB4AGkAcwBfAEMAdQBzAHQAbwBtAFQAaQB0AGwAZQANAAoAVABQADoAMAANAAoAVgBBAEwAOgAwAA0ACgBOAE0AOgBZAF8AQQB4AGkAcwBfAFQAaQB0AGwAZQANAAoAVABQADoAMgANAAoAVgBBAEwAOgANAAoATgBNADoAWQBfAEEAeABpAHMAXwBUAGkAdABsAGUARgBvAG4AdAANAAoAVABQADoAMgANAAoAVgBBAEwAOgAjAEYATwBOAFQAIwAjACMAIwA5ADIAOgA5AGYALwAvAC8AdwBBAEEAQQBBAEEAQQBBAEEAQQBBAEEAQQBBAEEAQQBMAHcAQwBBAEEAQQBBAEEAQQBEAE0AQQB3AEkAQgBJAGsARQBBAGMAZwBCAHAAQQBHAEUAQQBiAEEAQQBBAEEAQQBBAEEAQQBBAEEAQQBBAEEAQQBBAEEAQQBBAEEAQQBBAEEAQQBBAEEAQQBBAEEAQQBBAEEAQQBBAEEAQQBBAEEAQQBBAEEAQQBBAEEAQQBBAEEAQQBBAEEAQQBBAEEAQQBBAEEAQQBBAEEAQQBBAEEAQQBBAEEAQQBBAEEAQQBBAEEAQQBBAEEAQQA9AA0ACgBOAE0AOgBZAF8AQQB4AGkAcwBfAFMAaABvAHcARwByAGkAZABsAGkAbgBlAHMADQAKAFQAUAA6ADAADQAKAFYAQQBMADoAMAANAAoATgBNADoAWQBfAEEAeABpAHMAXwBHAHIAaQBkAGwAaQBuAGUAQwBvAGwAbwByAA0ACgBUAFAAOgAwAA0ACgBWAEEATAA6ADEAMAAwADcAMAAxADgAOAANAAoATgBNADoAWQBfAEEAeABpAHMAXwBHAHIAaQBkAGwAaQBuAGUAcwBTAHQAeQBsAGUADQAKAFQAUAA6ADAADQAKAFYAQQBMADoAMAANAAoATgBNADoAWQBfAEEAeABpAHMAXwBHAHIAaQBkAGwAaQBuAGUAcwBXAGUAaQBnAGgAdAANAAoAVABQADoAMAANAAoAVgBBAEwAOgAxAA0ACgBOAE0AOgBZAF8AQQB4AGkAcwBfAEkAbgB0AGUAcgBsAGEAYwBlAA0ACgBUAFAAOgAwAA0ACgBWAEEATAA6ADAADQAKAE4ATQA6AFkAXwBBAHgAaQBzAF8ASQBuAHQAZQByAGwAYQBjAGUAQwBvAGwAbwByAA0ACgBUAFAAOgAwAA0ACgBWAEEATAA6ADEANAA4ADcAMgA1ADYAMQANAAoATgBNADoAWQBfAEEAeABpAHMAXwBUAGkAYwBrAE0AYQByAGsADQAKAFQAUAA6ADAADQAKAFYAQQBMADoAMQANAAoATgBNADoAWQBfAEEAeABpAHMAXwBMAGEAYgBlAGwAcwBTAHQAYQBnAGcAZQByAGUAZAANAAoAVABQADoAMAANAAoAVgBBAEwAOgAwAA0ACgBOAE0AOgBZAF8AQQB4AGkAcwBfAEwAYQBiAGUAbABzAEEAbgBnAGwAZQANAAoAVABQADoAMQANAAoAVgBBAEwAOgBuAGEAbgANAAoATgBNADoAWQBfAEEAeABpAHMAXwBMAGEAYgBlAGwAcwBDAG8AbABvAHIADQAKAFQAUAA6ADAADQAKAFYAQQBMADoAMAANAAoATgBNADoAWQBfAEEAeABpAHMAXwBMAGEAYgBlAGwAcwBGAG8AbgB0AA0ACgBUAFAAOgAyAA0ACgBWAEEATAA6ACMARgBPAE4AVAAjACMAIwAjADkAMgA6ADkAZgAvAC8ALwB3AEEAQQBBAEEAQQBBAEEAQQBBAEEAQQBBAEEAQQBBAEoAQQBCAEEAQQBBAEEAQQBBAEQATQBBAHcASQBCAEkAawBFAEEAYwBnAEIAcABBAEcARQBBAGIAQQBBAEEAQQBBAEEAQQBBAEEAQQBBAEEAQQBBAEEAQQBBAEEAQQBBAEEAQQBBAEEAQQBBAEEAQQBBAEEAQQBBAEEAQQBBAEEAQQBBAEEAQQBBAEEAQQBBAEEAQQBBAEEAQQBBAEEAQQBBAEEAQQBBAEEAQQBBAEEAQQBBAEEAQQBBAEEAQQBBAEEAQQBBAEEAQQBBAD0ADQAKAE4ATQA6AEgAUwBTAGwAaQBkAGUAcgBfAFQAeQBwAGUAMQANAAoAVABQADoAMAANAAoAVgBBAEwAOgAxAA0ACgBOAE0AOgBIAFMAUwBsAGkAZABlAHIAXwBUAHkAcABlADIADQAKAFQAUAA6ADAADQAKAFYAQQBMADoAMQANAAoATgBNADoASABTAFMAbABpAGQAZQByAF8AUAAxAA0ACgBUAFAAOgAxAA0ACgBWAEEATAA6ADAALgAwADUAMAAwADAAMAAwADAAMAAwAA0ACgBOAE0AOgBIAFMAUwBsAGkAZABlAHIAXwBQADIADQAKAFQAUAA6ADEADQAKAFYAQQBMADoAMAAuADkANQAwADAAMAAwADAAMAAwADAADQAKAE4ATQA6AEgAUwBTAGwAaQBkAGUAcgBfAFgAMQANAAoAVABQADoAMQANAAoAVgBBAEwAOgA1ADMALgAwADAANAA3ADQANQAyADcANAAyAA0ACgBOAE0AOgBIAFMAUwBsAGkAZABlAHIAXwBYADIADQAKAFQAUAA6ADEADQAKAFYAQQBMADoAMQAwADUALgAyADkAMQA0ADAANQA4ADEAMgA3AA0ACgBOAE0AOgBIAFMAUwBsAGkAZABlAHIAXwBMAGEAYgBlAGwAVAB5AHAAZQANAAoAVABQADoAMAANAAoAVgBBAEwAOgAyAA0ACgBOAE0AOgBIAFMAUwBsAGkAZABlAHIAXwBGAG8AbgB0AA0ACgBUAFAAOgAyAA0ACgBWAEEATAA6ACMARgBPAE4AVAAjACMAIwAjADkAMgA6ADkAUAAvAC8ALwB3AEEAQQBBAEEAQQBBAEEAQQBBAEEAQQBBAEEAQQBBAEoAQQBCAEEAQQBBAEEAQQBBAEQATQBBAHcASQBCAEkAawBFAEEAYwBnAEIAcABBAEcARQBBAGIAQQBBAEEAQQBBAEEAQQBBAEEAQQBBAEEAQQBBAEEAQQBBAEEAQQBBAEEAQQBBAEEAQQBBAEEAQQBBAEEAQQBBAEEAQQBBAEEAQQBBAEEAQQBBAEEAQQBBAEEAQQBBAEEAQQBBAEEAQQBBAEEAQQBBAEEAQQBBAEEAQQBBAEEAQQBBAEEAQQBBAEEAQQBBAEEAQQBBAD0ADQAKAE4ATQA6AEgAUwBTAGwAaQBkAGUAcgBfAEMAbwBsAG8AcgAxAA0ACgBUAFAAOgAwAA0ACgBWAEEATAA6ADMANgA4ADMANQAzADcADQAKAE4ATQA6AEgAUwBTAGwAaQBkAGUAcgBfAEMAbwBsAG8AcgAyAA0ACgBUAFAAOgAwAA0ACgBWAEEATAA6ADEAMgAwADkAMQA5ADgAMQANAAoATgBNADoASABTAFMAbABpAGQAZQByAF8AUwBoAGEAZABpAG4AZwBUAHkAcABlAA0ACgBUAFAAOgAwAA0ACgBWAEEATAA6ADAADQAKAE4ATQA6AEgAUwBTAGwAaQBkAGUAcgBfAFMAaABhAGQAaQBuAGcAUABhAHQAdABlAHIAbgANAAoAVABQADoAMAANAAoAVgBBAEwAOgAtADEADQAKAE4ATQA6AEgAUwBIAGUAYQBkAGUAcgBTAGUAYwB0AF8AQwBvAGwAbwByAE8AdQB0AA0ACgBUAFAAOgAwAA0ACgBWAEEATAA6ADEANgA3ADEAMQA2ADgAMAANAAoATgBNADoASABTAEgAZQBhAGQAZQByAFMAZQBjAHQAXwBDAG8AbABvAHIASQBuAA0ACgBUAFAAOgAwAA0ACgBWAEEATAA6ADIANQA1AA0ACgBOAE0AOgBIAFMASABlAGEAZABlAHIAUwBlAGMAdABfAEMAbwBsAG8AcgBUAGUAeAB0AA0ACgBUAFAAOgAwAA0ACgBWAEEATAA6ADEANgA3ADcANwAyADEANQANAAoATgBNADoASABTAEgAZQBhAGQAZQByAFMAZQBjAHQAXwBGAG8AbgB0AA0ACgBUAFAAOgAyAA0ACgBWAEEATAA6ACMARgBPAE4AVAAjACMAIwAjADkAMgA6ADkAUAAvAC8ALwB3AEEAQQBBAEEAQQBBAEEAQQBBAEEAQQBBAEEAQQBBAEwAdwBDAEEAQQBBAEEAQQBBAEQATQBBAHcASQBCAEkAawBNAEEAYgB3AEIAMQBBAEgASQBBAGEAUQBCAGwAQQBIAEkAQQBJAEEAQgBPAEEARwBVAEEAZAB3AEEAQQBBAEEAQQBBAEEAQQBBAEEAQQBBAEEAQQBBAEEAQQBBAEEAQQBBAEEAQQBBAEEAQQBBAEEAQQBBAEEAQQBBAEEAQQBBAEEAQQBBAEEAQQBBAEEAQQBBAEEAQQBBAEEAQQBBAEEAQQBBAEEAQQBBAD0ADQAKAE4ATQA6AEgAUwBfAFgAXwBEAGUAYwBpAG0AYQBsAHMADQAKAFQAUAA6ADEADQAKAFYAQQBMADoAbgBhAG4ADQAKAE4ATQA6AEgAUwBfAFAAXwBEAGUAYwBpAG0AYQBsAHMADQAKAFQAUAA6ADEADQAKAFYAQQBMADoAbgBhAG4ADQAKAE4ATQA6AFMAaABvAHcATQBhAHIAawBlAHIAcwANAAoAVABQADoAMAANAAoAVgBBAEwAOgAxAA0ACgBOAE0AOgBNAGEAcgBrAGUAcgBzAF8AWABfAEQAZQBjAGkAbQBhAGwAcwANAAoAVABQADoAMQANAAoAVgBBAEwAOgBuAGEAbgANAAoATgBNADoATQBhAHIAawBlAHIAcwBfAFAAXwBEAGUAYwBpAG0AYQBsAHMADQAKAFQAUAA6ADEADQAKAFYAQQBMADoAbgBhAG4ADQAKAE4ATQA6AE0AYQByAGsAZQByAHMATgB1AG0AYgBlAHIADQAKAFQAUAA6ADAADQAKAFYAQQBMADoANAANAAoATgBNADoASABTAE0AYQByAGsAZQByAFMAaABvAHcAMAANAAoAVABQADoAMAANAAoAVgBBAEwAOgAwAA0ACgBOAE0AOgBIAFMATQBhAHIAawBlAHIAVAB5AHAAZQAwAA0ACgBUAFAAOgAwAA0ACgBWAEEATAA6ADMADQAKAE4ATQA6AEgAUwBNAGEAcgBrAGUAcgBWAGEAbAB1AGUAMAANAAoAVABQADoAMQANAAoAVgBBAEwAOgBuAGEAbgANAAoATgBNADoASABTAE0AYQByAGsAZQByAEwAYQBiAGUAbABUAHkAcABlADAADQAKAFQAUAA6ADAADQAKAFYAQQBMADoAMQANAAoATgBNADoASABTAE0AYQByAGsAZQByAEwAYQBiAGUAbABUAGUAeAB0AEMAbAByAFQAeQBwAGUAMAANAAoAVABQADoAMAANAAoAVgBBAEwAOgAwAA0ACgBOAE0AOgBIAFMATQBhAHIAawBlAHIATABhAGIAZQBsAEIAawBDAGwAcgBUAHkAcABlADAADQAKAFQAUAA6ADAADQAKAFYAQQBMADoAMQANAAoATgBNADoASABTAE0AYQByAGsAZQByAEwAYQBiAGUAbABNAGEAcgBrAGUAcgBDAGwAcgBUAHkAcABlADAADQAKAFQAUAA6ADAADQAKAFYAQQBMADoAMQANAAoATgBNADoASABTAE0AYQByAGsAZQByAEYAbwBuAHQAMAANAAoAVABQADoAMgANAAoAVgBBAEwAOgAjAEYATwBOAFQAIwAjACMAIwA5ADIAOgA5AFAALwAvAC8AdwBBAEEAQQBBAEEAQQBBAEEAQQBBAEEAQQBBAEEAQQBMAHcAQwBBAEEAQQBBAEEAQQBEAE0AQQB3AEkAQgBJAGsARQBBAGMAZwBCAHAAQQBHAEUAQQBiAEEAQQBBAEEAQQBBAEEAQQBBAEEAQQBBAEEAQQBBAEEAQQBBAEEAQQBBAEEAQQBBAEEAQQBBAEEAQQBBAEEAQQBBAEEAQQBBAEEAQQBBAEEAQQBBAEEAQQBBAEEAQQBBAEEAQQBBAEEAQQBBAEEAQQBBAEEAQQBBAEEAQQBBAEEAQQBBAEEAQQBBAEEAQQBBAEEAQQA9AA0ACgBOAE0AOgBIAFMATQBhAHIAawBlAHIAQwBsAHIAVABlAHgAdAAwAA0ACgBUAFAAOgAwAA0ACgBWAEEATAA6ADEAMgAwADkAMQA5ADgAMQANAAoATgBNADoASABTAE0AYQByAGsAZQByAEMAbAByAEIAawAwAA0ACgBUAFAAOgAwAA0ACgBWAEEATAA6ADEANgA3ADcANwAyADEANQANAAoATgBNADoASABTAE0AYQByAGsAZQByAEMAbAByADAADQAKAFQAUAA6ADAADQAKAFYAQQBMADoAMQAyADAAOQAxADkAOAAxAA0ACgBOAE0AOgBIAFMATQBhAHIAawBlAHIAUwB0AHkAbABlADAADQAKAFQAUAA6ADAADQAKAFYAQQBMADoAMQANAAoATgBNADoASABTAE0AYQByAGsAZQByAFcAZQBpAGcAaAB0ADAADQAKAFQAUAA6ADAADQAKAFYAQQBMADoAMAANAAoATgBNADoASABTAE0AYQByAGsAZQByAEEAbABpAGcAbgBWADAADQAKAFQAUAA6ADAADQAKAFYAQQBMADoAMAANAAoATgBNADoASABTAE0AYQByAGsAZQByAEEAbABpAGcAbgBIADAADQAKAFQAUAA6ADAADQAKAFYAQQBMADoAMAANAAoATgBNADoASABTAE0AYQByAGsAZQByAFMAaABvAHcAMQANAAoAVABQADoAMAANAAoAVgBBAEwAOgAwAA0ACgBOAE0AOgBIAFMATQBhAHIAawBlAHIAVAB5AHAAZQAxAA0ACgBUAFAAOgAwAA0ACgBWAEEATAA6ADQADQAKAE4ATQA6AEgAUwBNAGEAcgBrAGUAcgBWAGEAbAB1AGUAMQANAAoAVABQADoAMQANAAoAVgBBAEwAOgBuAGEAbgANAAoATgBNADoASABTAE0AYQByAGsAZQByAEwAYQBiAGUAbABUAHkAcABlADEADQAKAFQAUAA6ADAADQAKAFYAQQBMADoAMQANAAoATgBNADoASABTAE0AYQByAGsAZQByAEwAYQBiAGUAbABUAGUAeAB0AEMAbAByAFQAeQBwAGUAMQANAAoAVABQADoAMAANAAoAVgBBAEwAOgAwAA0ACgBOAE0AOgBIAFMATQBhAHIAawBlAHIATABhAGIAZQBsAEIAawBDAGwAcgBUAHkAcABlADEADQAKAFQAUAA6ADAADQAKAFYAQQBMADoAMQANAAoATgBNADoASABTAE0AYQByAGsAZQByAEwAYQBiAGUAbABNAGEAcgBrAGUAcgBDAGwAcgBUAHkAcABlADEADQAKAFQAUAA6ADAADQAKAFYAQQBMADoAMQANAAoATgBNADoASABTAE0AYQByAGsAZQByAEYAbwBuAHQAMQANAAoAVABQADoAMgANAAoAVgBBAEwAOgAjAEYATwBOAFQAIwAjACMAIwA5ADIAOgA5AFAALwAvAC8AdwBBAEEAQQBBAEEAQQBBAEEAQQBBAEEAQQBBAEEAQQBMAHcAQwBBAEEAQQBBAEEAQQBEAE0AQQB3AEkAQgBJAGsARQBBAGMAZwBCAHAAQQBHAEUAQQBiAEEAQQBBAEEAQQBBAEEAQQBBAEEAQQBBAEEAQQBBAEEAQQBBAEEAQQBBAEEAQQBBAEEAQQBBAEEAQQBBAEEAQQBBAEEAQQBBAEEAQQBBAEEAQQBBAEEAQQBBAEEAQQBBAEEAQQBBAEEAQQBBAEEAQQBBAEEAQQBBAEEAQQBBAEEAQQBBAEEAQQBBAEEAQQBBAEEAQQA9AA0ACgBOAE0AOgBIAFMATQBhAHIAawBlAHIAQwBsAHIAVABlAHgAdAAxAA0ACgBUAFAAOgAwAA0ACgBWAEEATAA6ADEAMgAwADkAMQA5ADgAMQANAAoATgBNADoASABTAE0AYQByAGsAZQByAEMAbAByAEIAawAxAA0ACgBUAFAAOgAwAA0ACgBWAEEATAA6ADEANgA3ADcANwAyADEANQANAAoATgBNADoASABTAE0AYQByAGsAZQByAEMAbAByADEADQAKAFQAUAA6ADAADQAKAFYAQQBMADoAMQAyADAAOQAxADkAOAAxAA0ACgBOAE0AOgBIAFMATQBhAHIAawBlAHIAUwB0AHkAbABlADEADQAKAFQAUAA6ADAADQAKAFYAQQBMADoAMQANAAoATgBNADoASABTAE0AYQByAGsAZQByAFcAZQBpAGcAaAB0ADEADQAKAFQAUAA6ADAADQAKAFYAQQBMADoAMQANAAoATgBNADoASABTAE0AYQByAGsAZQByAEEAbABpAGcAbgBWADEADQAKAFQAUAA6ADAADQAKAFYAQQBMADoAMAANAAoATgBNADoASABTAE0AYQByAGsAZQByAEEAbABpAGcAbgBIADEADQAKAFQAUAA6ADAADQAKAFYAQQBMADoAMgANAAoATgBNADoASABTAE0AYQByAGsAZQByAFMAaABvAHcAMgANAAoAVABQADoAMAANAAoAVgBBAEwAOgAwAA0ACgBOAE0AOgBIAFMATQBhAHIAawBlAHIAVAB5AHAAZQAyAA0ACgBUAFAAOgAwAA0ACgBWAEEATAA6ADUADQAKAE4ATQA6AEgAUwBNAGEAcgBrAGUAcgBWAGEAbAB1AGUAMgANAAoAVABQADoAMQANAAoAVgBBAEwAOgBuAGEAbgANAAoATgBNADoASABTAE0AYQByAGsAZQByAEwAYQBiAGUAbABUAHkAcABlADIADQAKAFQAUAA6ADAADQAKAFYAQQBMADoAMQANAAoATgBNADoASABTAE0AYQByAGsAZQByAEwAYQBiAGUAbABUAGUAeAB0AEMAbAByAFQAeQBwAGUAMgANAAoAVABQADoAMAANAAoAVgBBAEwAOgAwAA0ACgBOAE0AOgBIAFMATQBhAHIAawBlAHIATABhAGIAZQBsAEIAawBDAGwAcgBUAHkAcABlADIADQAKAFQAUAA6ADAADQAKAFYAQQBMADoAMQANAAoATgBNADoASABTAE0AYQByAGsAZQByAEwAYQBiAGUAbABNAGEAcgBrAGUAcgBDAGwAcgBUAHkAcABlADIADQAKAFQAUAA6ADAADQAKAFYAQQBMADoAMQANAAoATgBNADoASABTAE0AYQByAGsAZQByAEYAbwBuAHQAMgANAAoAVABQADoAMgANAAoAVgBBAEwAOgAjAEYATwBOAFQAIwAjACMAIwA5ADIAOgA5AFAALwAvAC8AdwBBAEEAQQBBAEEAQQBBAEEAQQBBAEEAQQBBAEEAQQBMAHcAQwBBAEEAQQBBAEEAQQBEAE0AQQB3AEkAQgBJAGsARQBBAGMAZwBCAHAAQQBHAEUAQQBiAEEAQQBBAEEAQQBBAEEAQQBBAEEAQQBBAEEAQQBBAEEAQQBBAEEAQQBBAEEAQQBBAEEAQQBBAEEAQQBBAEEAQQBBAEEAQQBBAEEAQQBBAEEAQQBBAEEAQQBBAEEAQQBBAEEAQQBBAEEAQQBBAEEAQQBBAEEAQQBBAEEAQQBBAEEAQQBBAEEAQQBBAEEAQQBBAEEAQQA9AA0ACgBOAE0AOgBIAFMATQBhAHIAawBlAHIAQwBsAHIAVABlAHgAdAAyAA0ACgBUAFAAOgAwAA0ACgBWAEEATAA6ADEAMgAwADkAMQA5ADgAMQANAAoATgBNADoASABTAE0AYQByAGsAZQByAEMAbAByAEIAawAyAA0ACgBUAFAAOgAwAA0ACgBWAEEATAA6ADEANgA3ADcANwAyADEANQANAAoATgBNADoASABTAE0AYQByAGsAZQByAEMAbAByADIADQAKAFQAUAA6ADAADQAKAFYAQQBMADoAMQAyADAAOQAxADkAOAAxAA0ACgBOAE0AOgBIAFMATQBhAHIAawBlAHIAUwB0AHkAbABlADIADQAKAFQAUAA6ADAADQAKAFYAQQBMADoAMQANAAoATgBNADoASABTAE0AYQByAGsAZQByAFcAZQBpAGcAaAB0ADIADQAKAFQAUAA6ADAADQAKAFYAQQBMADoAMQANAAoATgBNADoASABTAE0AYQByAGsAZQByAEEAbABpAGcAbgBWADIADQAKAFQAUAA6ADAADQAKAFYAQQBMADoAMgANAAoATgBNADoASABTAE0AYQByAGsAZQByAEEAbABpAGcAbgBIADIADQAKAFQAUAA6ADAADQAKAFYAQQBMADoAMQANAAoATgBNADoASABTAE0AYQByAGsAZQByAFMAaABvAHcAMwANAAoAVABQADoAMAANAAoAVgBBAEwAOgAwAA0ACgBOAE0AOgBIAFMATQBhAHIAawBlAHIAVAB5AHAAZQAzAA0ACgBUAFAAOgAwAA0ACgBWAEEATAA6ADYADQAKAE4ATQA6AEgAUwBNAGEAcgBrAGUAcgBWAGEAbAB1AGUAMwANAAoAVABQADoAMQANAAoAVgBBAEwAOgBuAGEAbgANAAoATgBNADoASABTAE0AYQByAGsAZQByAEwAYQBiAGUAbABUAHkAcABlADMADQAKAFQAUAA6ADAADQAKAFYAQQBMADoAMQANAAoATgBNADoASABTAE0AYQByAGsAZQByAEwAYQBiAGUAbABUAGUAeAB0AEMAbAByAFQAeQBwAGUAMwANAAoAVABQADoAMAANAAoAVgBBAEwAOgAwAA0ACgBOAE0AOgBIAFMATQBhAHIAawBlAHIATABhAGIAZQBsAEIAawBDAGwAcgBUAHkAcABlADMADQAKAFQAUAA6ADAADQAKAFYAQQBMADoAMQANAAoATgBNADoASABTAE0AYQByAGsAZQByAEwAYQBiAGUAbABNAGEAcgBrAGUAcgBDAGwAcgBUAHkAcABlADMADQAKAFQAUAA6ADAADQAKAFYAQQBMADoAMQANAAoATgBNADoASABTAE0AYQByAGsAZQByAEYAbwBuAHQAMwANAAoAVABQADoAMgANAAoAVgBBAEwAOgAjAEYATwBOAFQAIwAjACMAIwA5ADIAOgA5AFAALwAvAC8AdwBBAEEAQQBBAEEAQQBBAEEAQQBBAEEAQQBBAEEAQQBMAHcAQwBBAEEAQQBBAEEAQQBEAE0AQQB3AEkAQgBJAGsARQBBAGMAZwBCAHAAQQBHAEUAQQBiAEEAQQBBAEEAQQBBAEEAQQBBAEEAQQBBAEEAQQBBAEEAQQBBAEEAQQBBAEEAQQBBAEEAQQBBAEEAQQBBAEEAQQBBAEEAQQBBAEEAQQBBAEEAQQBBAEEAQQBBAEEAQQBBAEEAQQBBAEEAQQBBAEEAQQBBAEEAQQBBAEEAQQBBAEEAQQBBAEEAQQBBAEEAQQBBAEEAQQA9AA0ACgBOAE0AOgBIAFMATQBhAHIAawBlAHIAQwBsAHIAVABlAHgAdAAzAA0ACgBUAFAAOgAwAA0ACgBWAEEATAA6ADEAMgAwADkAMQA5ADgAMQANAAoATgBNADoASABTAE0AYQByAGsAZQByAEMAbAByAEIAawAzAA0ACgBUAFAAOgAwAA0ACgBWAEEATAA6ADEANgA3ADcANwAyADEANQANAAoATgBNADoASABTAE0AYQByAGsAZQByAEMAbAByADMADQAKAFQAUAA6ADAADQAKAFYAQQBMADoAMQAyADAAOQAxADkAOAAxAA0ACgBOAE0AOgBIAFMATQBhAHIAawBlAHIAUwB0AHkAbABlADMADQAKAFQAUAA6ADAADQAKAFYAQQBMADoAMQANAAoATgBNADoASABTAE0AYQByAGsAZQByAFcAZQBpAGcAaAB0ADMADQAKAFQAUAA6ADAADQAKAFYAQQBMADoAMQANAAoATgBNADoASABTAE0AYQByAGsAZQByAEEAbABpAGcAbgBWADMADQAKAFQAUAA6ADAADQAKAFYAQQBMADoAMQANAAoATgBNADoASABTAE0AYQByAGsAZQByAEEAbABpAGcAbgBIADMADQAKAFQAUAA6ADAADQAKAFYAQQBMADoAMQANAAoAPAAvAE8AUABUAEkATwBOAFMAPgANAAoAPAAvAFAAQQBHAEUAUwA+AA0ACgA8AEMATwBNAE0ATwBOAFMARQBUAFQASQBOAEcAUwA+ADwAQwBVAFIAUgBFAE4AQwBZAD4AQQB1AHQAbwA8AC8AQwBVAFIAUgBFAE4AQwBZAD4APAAvAEMATwBNAE0ATwBOAFMARQBUAFQASQBOAEcAUwA+AA==</mr:Charts>
</mr:ModelRisk>
</file>

<file path=customXml/itemProps1.xml><?xml version="1.0" encoding="utf-8"?>
<ds:datastoreItem xmlns:ds="http://schemas.openxmlformats.org/officeDocument/2006/customXml" ds:itemID="{DE56F82C-8535-471F-A11F-21D0C2608164}">
  <ds:schemaRefs>
    <ds:schemaRef ds:uri="ModelRisk"/>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146</vt:i4>
      </vt:variant>
    </vt:vector>
  </HeadingPairs>
  <TitlesOfParts>
    <vt:vector size="154" baseType="lpstr">
      <vt:lpstr>About</vt:lpstr>
      <vt:lpstr>Inputs</vt:lpstr>
      <vt:lpstr>Prospect</vt:lpstr>
      <vt:lpstr>Cash flow</vt:lpstr>
      <vt:lpstr>Results</vt:lpstr>
      <vt:lpstr>ModelRiskDSN</vt:lpstr>
      <vt:lpstr>ModelRiskSYS1</vt:lpstr>
      <vt:lpstr>ModelRiskCharts</vt:lpstr>
      <vt:lpstr>AbandonCost</vt:lpstr>
      <vt:lpstr>AbandonPct</vt:lpstr>
      <vt:lpstr>Area</vt:lpstr>
      <vt:lpstr>Area_Hi</vt:lpstr>
      <vt:lpstr>Area_Lo</vt:lpstr>
      <vt:lpstr>Area_Mean</vt:lpstr>
      <vt:lpstr>AvgPrice</vt:lpstr>
      <vt:lpstr>BblPerAcreFt</vt:lpstr>
      <vt:lpstr>Capacity</vt:lpstr>
      <vt:lpstr>Capex_Base</vt:lpstr>
      <vt:lpstr>Capex_Overrun</vt:lpstr>
      <vt:lpstr>CapexPhase_Check</vt:lpstr>
      <vt:lpstr>CapexPhase_Share</vt:lpstr>
      <vt:lpstr>CapexPhase_Year</vt:lpstr>
      <vt:lpstr>Chance_Geo</vt:lpstr>
      <vt:lpstr>Chance_Reservoir</vt:lpstr>
      <vt:lpstr>Chance_Seal</vt:lpstr>
      <vt:lpstr>Chance_Source</vt:lpstr>
      <vt:lpstr>Chance_Trap</vt:lpstr>
      <vt:lpstr>Checks</vt:lpstr>
      <vt:lpstr>Commercial</vt:lpstr>
      <vt:lpstr>Corr_PhiSw</vt:lpstr>
      <vt:lpstr>Cost_Appraisal</vt:lpstr>
      <vt:lpstr>Cost_Appraisal_Hi</vt:lpstr>
      <vt:lpstr>Cost_Appraisal_Lo</vt:lpstr>
      <vt:lpstr>Cost_Appraisal_Mean</vt:lpstr>
      <vt:lpstr>Cost_Appraisal_ML</vt:lpstr>
      <vt:lpstr>Cost_ExplWell</vt:lpstr>
      <vt:lpstr>Cost_ExplWell_Hi</vt:lpstr>
      <vt:lpstr>Cost_ExplWell_Lo</vt:lpstr>
      <vt:lpstr>Cost_ExplWell_Mean</vt:lpstr>
      <vt:lpstr>Cost_ExplWell_ML</vt:lpstr>
      <vt:lpstr>Cost_FacFixed</vt:lpstr>
      <vt:lpstr>Cost_FacFixed_Hi</vt:lpstr>
      <vt:lpstr>Cost_FacFixed_Lo</vt:lpstr>
      <vt:lpstr>Cost_FacFixed_Mean</vt:lpstr>
      <vt:lpstr>Cost_FacFixed_ML</vt:lpstr>
      <vt:lpstr>Cost_Facilities</vt:lpstr>
      <vt:lpstr>Cost_FacUnit</vt:lpstr>
      <vt:lpstr>Cost_FacUnit_Hi</vt:lpstr>
      <vt:lpstr>Cost_FacUnit_Lo</vt:lpstr>
      <vt:lpstr>Cost_FacUnit_Mean</vt:lpstr>
      <vt:lpstr>Cost_FacUnit_ML</vt:lpstr>
      <vt:lpstr>Cost_Well</vt:lpstr>
      <vt:lpstr>Cost_Well_Hi</vt:lpstr>
      <vt:lpstr>Cost_Well_Lo</vt:lpstr>
      <vt:lpstr>Cost_Well_Mean</vt:lpstr>
      <vt:lpstr>Cost_Well_ML</vt:lpstr>
      <vt:lpstr>Cost_Wells</vt:lpstr>
      <vt:lpstr>DeclineRate</vt:lpstr>
      <vt:lpstr>DevCapex</vt:lpstr>
      <vt:lpstr>DiscRate</vt:lpstr>
      <vt:lpstr>FieldLife</vt:lpstr>
      <vt:lpstr>FirstOilYear</vt:lpstr>
      <vt:lpstr>FixedOpex</vt:lpstr>
      <vt:lpstr>FixedOpexPct</vt:lpstr>
      <vt:lpstr>FVF</vt:lpstr>
      <vt:lpstr>FVF_Hi</vt:lpstr>
      <vt:lpstr>FVF_Lo</vt:lpstr>
      <vt:lpstr>FVF_Mean</vt:lpstr>
      <vt:lpstr>FVF_ML</vt:lpstr>
      <vt:lpstr>GeoSuccess</vt:lpstr>
      <vt:lpstr>Injectors</vt:lpstr>
      <vt:lpstr>InjPerProducer</vt:lpstr>
      <vt:lpstr>InputMeans</vt:lpstr>
      <vt:lpstr>LargeEnough</vt:lpstr>
      <vt:lpstr>MEFS</vt:lpstr>
      <vt:lpstr>NetPay</vt:lpstr>
      <vt:lpstr>NetPay_Hi</vt:lpstr>
      <vt:lpstr>NetPay_Lo</vt:lpstr>
      <vt:lpstr>NetPay_Mean</vt:lpstr>
      <vt:lpstr>NPV_Dev</vt:lpstr>
      <vt:lpstr>NPV_Prospect</vt:lpstr>
      <vt:lpstr>Outcome</vt:lpstr>
      <vt:lpstr>OutcomeText</vt:lpstr>
      <vt:lpstr>Overrun_Frac</vt:lpstr>
      <vt:lpstr>Overrun_Frac_Hi</vt:lpstr>
      <vt:lpstr>Overrun_Frac_Lo</vt:lpstr>
      <vt:lpstr>Overrun_Frac_Mean</vt:lpstr>
      <vt:lpstr>Overrun_Frac_ML</vt:lpstr>
      <vt:lpstr>PeakFunding</vt:lpstr>
      <vt:lpstr>PhaseNames</vt:lpstr>
      <vt:lpstr>PhaseStarts</vt:lpstr>
      <vt:lpstr>PlateauEndFrac</vt:lpstr>
      <vt:lpstr>PlateauFrac</vt:lpstr>
      <vt:lpstr>PlateauFrac_Hi</vt:lpstr>
      <vt:lpstr>PlateauFrac_Lo</vt:lpstr>
      <vt:lpstr>PlateauFrac_Mean</vt:lpstr>
      <vt:lpstr>PlateauFrac_ML</vt:lpstr>
      <vt:lpstr>PlateauRate</vt:lpstr>
      <vt:lpstr>Porosity</vt:lpstr>
      <vt:lpstr>Porosity_Hi</vt:lpstr>
      <vt:lpstr>Porosity_Lo</vt:lpstr>
      <vt:lpstr>Porosity_Mean</vt:lpstr>
      <vt:lpstr>Porosity_ML</vt:lpstr>
      <vt:lpstr>Price_Alpha</vt:lpstr>
      <vt:lpstr>Price_LT</vt:lpstr>
      <vt:lpstr>Price_LT_Hi</vt:lpstr>
      <vt:lpstr>Price_LT_Lo</vt:lpstr>
      <vt:lpstr>Price_LT_Mean</vt:lpstr>
      <vt:lpstr>Price_LT_ML</vt:lpstr>
      <vt:lpstr>Price_Vol</vt:lpstr>
      <vt:lpstr>Price_Y0</vt:lpstr>
      <vt:lpstr>Results!Print_Area</vt:lpstr>
      <vt:lpstr>'Cash flow'!Print_Titles</vt:lpstr>
      <vt:lpstr>Inputs!Print_Titles</vt:lpstr>
      <vt:lpstr>Prospect!Print_Titles</vt:lpstr>
      <vt:lpstr>Results!Print_Titles</vt:lpstr>
      <vt:lpstr>Prob_Overrun</vt:lpstr>
      <vt:lpstr>Producers</vt:lpstr>
      <vt:lpstr>RampFactor</vt:lpstr>
      <vt:lpstr>RecFactor</vt:lpstr>
      <vt:lpstr>RecFactor_Hi</vt:lpstr>
      <vt:lpstr>RecFactor_Lo</vt:lpstr>
      <vt:lpstr>RecFactor_Mean</vt:lpstr>
      <vt:lpstr>RecFactor_ML</vt:lpstr>
      <vt:lpstr>Recoverable</vt:lpstr>
      <vt:lpstr>Royalty</vt:lpstr>
      <vt:lpstr>Start_Abandon</vt:lpstr>
      <vt:lpstr>Start_Appraise</vt:lpstr>
      <vt:lpstr>Start_Develop</vt:lpstr>
      <vt:lpstr>Start_Explore</vt:lpstr>
      <vt:lpstr>Start_Produce</vt:lpstr>
      <vt:lpstr>StartYear</vt:lpstr>
      <vt:lpstr>STOIIP</vt:lpstr>
      <vt:lpstr>TaxRate</vt:lpstr>
      <vt:lpstr>TimeToFirstOil</vt:lpstr>
      <vt:lpstr>TimeToFirstOil_Check</vt:lpstr>
      <vt:lpstr>TimeToFirstOil_Mean</vt:lpstr>
      <vt:lpstr>U_Phi</vt:lpstr>
      <vt:lpstr>U_Sw</vt:lpstr>
      <vt:lpstr>VarOpex</vt:lpstr>
      <vt:lpstr>VarOpex_Hi</vt:lpstr>
      <vt:lpstr>VarOpex_Lo</vt:lpstr>
      <vt:lpstr>VarOpex_Mean</vt:lpstr>
      <vt:lpstr>VarOpex_ML</vt:lpstr>
      <vt:lpstr>WaterSat</vt:lpstr>
      <vt:lpstr>WaterSat_Hi</vt:lpstr>
      <vt:lpstr>WaterSat_Lo</vt:lpstr>
      <vt:lpstr>WaterSat_Mean</vt:lpstr>
      <vt:lpstr>WaterSat_ML</vt:lpstr>
      <vt:lpstr>WellRate</vt:lpstr>
      <vt:lpstr>WellRate_Hi</vt:lpstr>
      <vt:lpstr>WellRate_Lo</vt:lpstr>
      <vt:lpstr>WellRate_Mean</vt:lpstr>
      <vt:lpstr>WellRate_ML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OG-05 Exploration Prospect Economics</dc:title>
  <dc:subject>ModelRisk industry example library — Oil and gas</dc:subject>
  <dc:creator>Vose Software</dc:creator>
  <cp:keywords>ModelRisk; Monte Carlo; Oil and gas</cp:keywords>
  <dc:description>Risked economics of an exploration well: chance of success, volumetrics, development, a mean-reverting oil price and tax, combined into EMV.</dc:description>
  <cp:lastModifiedBy>Timour Koupeev</cp:lastModifiedBy>
  <cp:lastPrinted>2026-10-05T08:44:30Z</cp:lastPrinted>
  <dcterms:created xsi:type="dcterms:W3CDTF">2026-10-05T08:42:39Z</dcterms:created>
  <dcterms:modified xsi:type="dcterms:W3CDTF">2026-10-05T08:44:33Z</dcterms:modified>
</cp:coreProperties>
</file>