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1B29CC2F-24E8-4615-9F68-65C4D8CAC5A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History" sheetId="3" r:id="rId3"/>
    <sheet name="Forecast" sheetId="4" r:id="rId4"/>
    <sheet name="Results" sheetId="5" r:id="rId5"/>
    <sheet name="ModelRiskDSN" sheetId="6" state="hidden" r:id="rId6"/>
    <sheet name="ModelRiskSYS1" sheetId="7" state="hidden" r:id="rId7"/>
    <sheet name="ModelRiskCharts" sheetId="8" state="hidden" r:id="rId8"/>
  </sheets>
  <definedNames>
    <definedName name="Checks">Forecast!$D$39:$D$42</definedName>
    <definedName name="DaysPerMonth">Inputs!$D$13</definedName>
    <definedName name="Decline">Forecast!$D$14</definedName>
    <definedName name="Det_Remaining">History!$K$21</definedName>
    <definedName name="EconLimit">Inputs!$D$11</definedName>
    <definedName name="FirstForecastYear">Inputs!$D$12</definedName>
    <definedName name="Fit_Cov">History!$K$26:$L$27</definedName>
    <definedName name="Fit_Decline">History!$K$16</definedName>
    <definedName name="Fit_DeclineYr">History!$K$17</definedName>
    <definedName name="Fit_EndRate">History!$K$19</definedName>
    <definedName name="Fit_Intercept">History!$K$10</definedName>
    <definedName name="Fit_MeanMonth">History!$K$13</definedName>
    <definedName name="Fit_Means">History!$J$26:$J$27</definedName>
    <definedName name="Fit_R2">History!$K$11</definedName>
    <definedName name="Fit_SE_Int">History!$K$15</definedName>
    <definedName name="Fit_SE_Slope">History!$K$14</definedName>
    <definedName name="Fit_SEy">History!$K$12</definedName>
    <definedName name="Fit_Slope">History!$K$9</definedName>
    <definedName name="Fit_StartRate">History!$K$18</definedName>
    <definedName name="Fit_StopRate">History!$K$20</definedName>
    <definedName name="ForecastYears">Inputs!$D$14</definedName>
    <definedName name="Hist_Cum">History!$G$45</definedName>
    <definedName name="Hist_LastMonth">History!$B$45</definedName>
    <definedName name="Hist_LnRate">History!$D$10:$D$45</definedName>
    <definedName name="Hist_Month">History!$B$10:$B$45</definedName>
    <definedName name="Hist_Rate">History!$C$10:$C$45</definedName>
    <definedName name="InputMeans">Inputs!$I$21:$I$22</definedName>
    <definedName name="Line_Int">Forecast!$D$12</definedName>
    <definedName name="Line_Slope">Forecast!$D$13</definedName>
    <definedName name="MN_Int">History!$M$26</definedName>
    <definedName name="MN_Slope">History!$M$27</definedName>
    <definedName name="_xlnm.Print_Area" localSheetId="4">Results!$A$1:$R$53</definedName>
    <definedName name="_xlnm.Print_Titles" localSheetId="3">Forecast!$6:$7,Forecast!$A:$D</definedName>
    <definedName name="_xlnm.Print_Titles" localSheetId="2">History!$1:$4</definedName>
    <definedName name="_xlnm.Print_Titles" localSheetId="1">Inputs!$1:$4</definedName>
    <definedName name="_xlnm.Print_Titles" localSheetId="4">Results!$1:$4</definedName>
    <definedName name="Prob_WBT">Inputs!$D$20</definedName>
    <definedName name="Remaining">Forecast!$D$33</definedName>
    <definedName name="RemainingLife">Forecast!$D$35</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Rate">Forecast!$D$15</definedName>
    <definedName name="UltimateRecovery">Forecast!$D$34</definedName>
    <definedName name="UseFitUncertainty">Inputs!$D$15</definedName>
    <definedName name="WBT_Factor">Inputs!$D$22</definedName>
    <definedName name="WBT_Factor_Hi">Inputs!$H$22</definedName>
    <definedName name="WBT_Factor_Lo">Inputs!$F$22</definedName>
    <definedName name="WBT_Factor_Mean">Inputs!$I$22</definedName>
    <definedName name="WBT_Factor_ML">Inputs!$G$22</definedName>
    <definedName name="WBT_From">Forecast!$D$17</definedName>
    <definedName name="WBT_Occurs">Forecast!$D$16</definedName>
    <definedName name="WBT_Time">Inputs!$D$21</definedName>
    <definedName name="WBT_Time_Hi">Inputs!$H$21</definedName>
    <definedName name="WBT_Time_Lo">Inputs!$F$21</definedName>
    <definedName name="WBT_Time_Mean">Inputs!$I$21</definedName>
    <definedName name="WBT_Time_ML">Inputs!$G$21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8" i="5" l="1"/>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D40" i="4"/>
  <c r="F7" i="4"/>
  <c r="B119" i="5"/>
  <c r="G6" i="4"/>
  <c r="H6" i="4" s="1"/>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K13" i="3"/>
  <c r="D13" i="3"/>
  <c r="D12" i="3"/>
  <c r="D11" i="3"/>
  <c r="D10" i="3"/>
  <c r="D13" i="2"/>
  <c r="F26" i="3"/>
  <c r="F18" i="3"/>
  <c r="F28" i="3"/>
  <c r="F34" i="3"/>
  <c r="F40" i="3"/>
  <c r="F12" i="3"/>
  <c r="F38" i="3"/>
  <c r="F23" i="3"/>
  <c r="F44" i="3"/>
  <c r="F25" i="3"/>
  <c r="F19" i="3"/>
  <c r="F30" i="3"/>
  <c r="F36" i="3"/>
  <c r="F11" i="3"/>
  <c r="F42" i="3"/>
  <c r="F10" i="3"/>
  <c r="G10" i="3"/>
  <c r="F20" i="3"/>
  <c r="F16" i="3"/>
  <c r="F27" i="3"/>
  <c r="F32" i="3"/>
  <c r="F13" i="3"/>
  <c r="F21" i="3"/>
  <c r="F15" i="3"/>
  <c r="F29" i="3"/>
  <c r="F31" i="3"/>
  <c r="F33" i="3"/>
  <c r="F35" i="3"/>
  <c r="F37" i="3"/>
  <c r="F39" i="3"/>
  <c r="F41" i="3"/>
  <c r="F43" i="3"/>
  <c r="F45" i="3"/>
  <c r="F17" i="3"/>
  <c r="F14" i="3"/>
  <c r="F22" i="3"/>
  <c r="F24" i="3"/>
  <c r="G11" i="3"/>
  <c r="G12" i="3" s="1"/>
  <c r="G13" i="3" s="1"/>
  <c r="G14" i="3" s="1"/>
  <c r="D16" i="4" a="1"/>
  <c r="I21" i="2" a="1"/>
  <c r="D22" i="2" a="1"/>
  <c r="D21" i="2" a="1"/>
  <c r="I22" i="2" a="1"/>
  <c r="G7" i="4" l="1"/>
  <c r="B120" i="5" s="1"/>
  <c r="G15" i="3"/>
  <c r="G16" i="3" s="1"/>
  <c r="G17" i="3" s="1"/>
  <c r="G18" i="3" s="1"/>
  <c r="G19" i="3" s="1"/>
  <c r="G20" i="3" s="1"/>
  <c r="G21" i="3" s="1"/>
  <c r="G22" i="3" s="1"/>
  <c r="G23" i="3" s="1"/>
  <c r="G24" i="3" s="1"/>
  <c r="G25" i="3" s="1"/>
  <c r="G26" i="3" s="1"/>
  <c r="G27" i="3" s="1"/>
  <c r="G28" i="3" s="1"/>
  <c r="G29" i="3" s="1"/>
  <c r="G30" i="3" s="1"/>
  <c r="G31" i="3" s="1"/>
  <c r="G32" i="3" s="1"/>
  <c r="G33" i="3" s="1"/>
  <c r="G34" i="3" s="1"/>
  <c r="G35" i="3" s="1"/>
  <c r="G36" i="3" s="1"/>
  <c r="G37" i="3" s="1"/>
  <c r="G38" i="3" s="1"/>
  <c r="G39" i="3" s="1"/>
  <c r="G40" i="3" s="1"/>
  <c r="G41" i="3" s="1"/>
  <c r="G42" i="3" s="1"/>
  <c r="G43" i="3" s="1"/>
  <c r="G44" i="3" s="1"/>
  <c r="G45" i="3" s="1"/>
  <c r="E28" i="4" s="1"/>
  <c r="K9" i="3"/>
  <c r="D39" i="4" s="1"/>
  <c r="K10" i="3"/>
  <c r="E22" i="3" s="1"/>
  <c r="D16" i="4"/>
  <c r="I6" i="4"/>
  <c r="H7" i="4"/>
  <c r="B121" i="5" s="1"/>
  <c r="J27" i="3"/>
  <c r="K16" i="3"/>
  <c r="K11" i="3"/>
  <c r="K12" i="3"/>
  <c r="K14" i="3" s="1"/>
  <c r="I22" i="2"/>
  <c r="D21" i="2"/>
  <c r="D22" i="2"/>
  <c r="I21" i="2"/>
  <c r="D15" i="5" a="1"/>
  <c r="E44" i="3" l="1"/>
  <c r="E30" i="3"/>
  <c r="E23" i="3"/>
  <c r="E15" i="3"/>
  <c r="E20" i="3"/>
  <c r="E16" i="3"/>
  <c r="E12" i="3"/>
  <c r="E21" i="3"/>
  <c r="K17" i="3"/>
  <c r="E33" i="3"/>
  <c r="E25" i="3"/>
  <c r="E27" i="3"/>
  <c r="E43" i="3"/>
  <c r="E14" i="3"/>
  <c r="E13" i="3"/>
  <c r="E28" i="3"/>
  <c r="E18" i="3"/>
  <c r="E45" i="3"/>
  <c r="E38" i="3"/>
  <c r="E10" i="3"/>
  <c r="E31" i="3"/>
  <c r="K18" i="3"/>
  <c r="D41" i="4" s="1"/>
  <c r="E40" i="3"/>
  <c r="E36" i="3"/>
  <c r="E41" i="3"/>
  <c r="E32" i="3"/>
  <c r="E26" i="3"/>
  <c r="E37" i="3"/>
  <c r="E29" i="3"/>
  <c r="J26" i="3"/>
  <c r="E17" i="3"/>
  <c r="E24" i="3"/>
  <c r="E39" i="3"/>
  <c r="E34" i="3"/>
  <c r="E35" i="3"/>
  <c r="E42" i="3"/>
  <c r="E19" i="3"/>
  <c r="E11" i="3"/>
  <c r="D15" i="5"/>
  <c r="J6" i="4"/>
  <c r="I7" i="4"/>
  <c r="B122" i="5" s="1"/>
  <c r="K15" i="3"/>
  <c r="K26" i="3" s="1"/>
  <c r="L27" i="3"/>
  <c r="M26" i="3" a="1"/>
  <c r="L26" i="3"/>
  <c r="K27" i="3" s="1"/>
  <c r="J7" i="4" l="1"/>
  <c r="B123" i="5" s="1"/>
  <c r="K6" i="4"/>
  <c r="M26" i="3"/>
  <c r="D12" i="4" s="1"/>
  <c r="M27" i="3"/>
  <c r="D13" i="4" s="1"/>
  <c r="D14" i="4" s="1" a="1"/>
  <c r="D14" i="4" s="1"/>
  <c r="D24" i="5" a="1"/>
  <c r="G24" i="5" a="1"/>
  <c r="F24" i="5" a="1"/>
  <c r="E24" i="5" a="1"/>
  <c r="D15" i="4" l="1" a="1"/>
  <c r="D15" i="4" s="1"/>
  <c r="E24" i="4" s="1"/>
  <c r="F22" i="4" s="1"/>
  <c r="E24" i="5"/>
  <c r="F24" i="5"/>
  <c r="G24" i="5"/>
  <c r="D24" i="5"/>
  <c r="D42" i="4"/>
  <c r="B7" i="5" s="1"/>
  <c r="L6" i="4"/>
  <c r="K7" i="4"/>
  <c r="B124" i="5" s="1"/>
  <c r="D23" i="5" a="1"/>
  <c r="E23" i="5" a="1"/>
  <c r="F23" i="5" a="1"/>
  <c r="G23" i="5" a="1"/>
  <c r="G23" i="5" l="1"/>
  <c r="F23" i="5"/>
  <c r="E23" i="5"/>
  <c r="D23" i="5"/>
  <c r="M6" i="4"/>
  <c r="L7" i="4"/>
  <c r="B125" i="5" s="1"/>
  <c r="N6" i="4" l="1"/>
  <c r="M7" i="4"/>
  <c r="B126" i="5" s="1"/>
  <c r="O6" i="4" l="1"/>
  <c r="N7" i="4"/>
  <c r="B127" i="5" s="1"/>
  <c r="O7" i="4" l="1"/>
  <c r="B128" i="5" s="1"/>
  <c r="P6" i="4"/>
  <c r="P7" i="4" l="1"/>
  <c r="B129" i="5" s="1"/>
  <c r="Q6" i="4"/>
  <c r="Q7" i="4" l="1"/>
  <c r="B130" i="5" s="1"/>
  <c r="D14" i="2"/>
  <c r="K19" i="3" l="1"/>
  <c r="K20" i="3" s="1"/>
  <c r="K21" i="3" s="1"/>
  <c r="D13" i="5" s="1"/>
  <c r="D17" i="4"/>
  <c r="I21" i="4" l="1"/>
  <c r="J21" i="4"/>
  <c r="H21" i="4"/>
  <c r="K21" i="4"/>
  <c r="F21" i="4"/>
  <c r="F23" i="4" s="1"/>
  <c r="G21" i="4"/>
  <c r="L21" i="4"/>
  <c r="M21" i="4"/>
  <c r="N21" i="4"/>
  <c r="O21" i="4"/>
  <c r="P21" i="4"/>
  <c r="Q21" i="4"/>
  <c r="F24" i="4" l="1"/>
  <c r="G22" i="4" s="1"/>
  <c r="F26" i="4" a="1"/>
  <c r="F26" i="4" s="1"/>
  <c r="F25" i="4"/>
  <c r="E119" i="5" a="1"/>
  <c r="F119" i="5" a="1"/>
  <c r="C119" i="5" a="1"/>
  <c r="D119" i="5" a="1"/>
  <c r="D119" i="5" l="1"/>
  <c r="C119" i="5"/>
  <c r="F119" i="5"/>
  <c r="E119" i="5"/>
  <c r="F28" i="4"/>
  <c r="F27" i="4"/>
  <c r="G23" i="4"/>
  <c r="G24" i="4" s="1"/>
  <c r="H22" i="4" s="1"/>
  <c r="G25" i="4" l="1"/>
  <c r="H23" i="4"/>
  <c r="H24" i="4" s="1"/>
  <c r="I22" i="4" s="1"/>
  <c r="H25" i="4"/>
  <c r="H26" i="4" a="1"/>
  <c r="H26" i="4" s="1"/>
  <c r="G26" i="4" a="1"/>
  <c r="G26" i="4" s="1"/>
  <c r="D120" i="5" a="1"/>
  <c r="E120" i="5" a="1"/>
  <c r="F120" i="5" a="1"/>
  <c r="C120" i="5" a="1"/>
  <c r="E121" i="5" a="1"/>
  <c r="F121" i="5" a="1"/>
  <c r="C121" i="5" a="1"/>
  <c r="D121" i="5" a="1"/>
  <c r="D121" i="5" l="1"/>
  <c r="C121" i="5"/>
  <c r="F121" i="5"/>
  <c r="E121" i="5"/>
  <c r="C120" i="5"/>
  <c r="F120" i="5"/>
  <c r="E120" i="5"/>
  <c r="D120" i="5"/>
  <c r="H27" i="4"/>
  <c r="G27" i="4"/>
  <c r="G28" i="4"/>
  <c r="H28" i="4" s="1"/>
  <c r="I23" i="4"/>
  <c r="I24" i="4" s="1"/>
  <c r="J22" i="4" s="1"/>
  <c r="I26" i="4" a="1"/>
  <c r="I26" i="4" s="1"/>
  <c r="C122" i="5" a="1"/>
  <c r="F122" i="5" a="1"/>
  <c r="E122" i="5" a="1"/>
  <c r="D122" i="5" a="1"/>
  <c r="I25" i="4" l="1"/>
  <c r="D122" i="5"/>
  <c r="E122" i="5"/>
  <c r="F122" i="5"/>
  <c r="C122" i="5"/>
  <c r="I27" i="4"/>
  <c r="J23" i="4"/>
  <c r="J24" i="4" s="1"/>
  <c r="K22" i="4" s="1"/>
  <c r="J26" i="4" a="1"/>
  <c r="J26" i="4" s="1"/>
  <c r="I28" i="4"/>
  <c r="F123" i="5" a="1"/>
  <c r="E123" i="5" a="1"/>
  <c r="D123" i="5" a="1"/>
  <c r="C123" i="5" a="1"/>
  <c r="J25" i="4" l="1"/>
  <c r="C123" i="5"/>
  <c r="D123" i="5"/>
  <c r="E123" i="5"/>
  <c r="F123" i="5"/>
  <c r="J27" i="4"/>
  <c r="K23" i="4"/>
  <c r="K24" i="4" s="1"/>
  <c r="L22" i="4" s="1"/>
  <c r="K26" i="4" a="1"/>
  <c r="K26" i="4" s="1"/>
  <c r="J28" i="4"/>
  <c r="C124" i="5" a="1"/>
  <c r="E124" i="5" a="1"/>
  <c r="D124" i="5" a="1"/>
  <c r="F124" i="5" a="1"/>
  <c r="K25" i="4" l="1"/>
  <c r="F124" i="5"/>
  <c r="D124" i="5"/>
  <c r="E124" i="5"/>
  <c r="C124" i="5"/>
  <c r="L23" i="4"/>
  <c r="L24" i="4" s="1"/>
  <c r="M22" i="4" s="1"/>
  <c r="K27" i="4"/>
  <c r="K28" i="4"/>
  <c r="L26" i="4" l="1" a="1"/>
  <c r="L26" i="4" s="1"/>
  <c r="L27" i="4" s="1"/>
  <c r="M23" i="4"/>
  <c r="M24" i="4" s="1"/>
  <c r="N22" i="4" s="1"/>
  <c r="L25" i="4"/>
  <c r="C125" i="5" a="1"/>
  <c r="D125" i="5" a="1"/>
  <c r="E125" i="5" a="1"/>
  <c r="F125" i="5" a="1"/>
  <c r="M25" i="4" l="1"/>
  <c r="M26" i="4" a="1"/>
  <c r="M26" i="4" s="1"/>
  <c r="L28" i="4"/>
  <c r="M28" i="4" s="1"/>
  <c r="F125" i="5"/>
  <c r="E125" i="5"/>
  <c r="D125" i="5"/>
  <c r="C125" i="5"/>
  <c r="N23" i="4"/>
  <c r="N24" i="4" s="1"/>
  <c r="O22" i="4" s="1"/>
  <c r="N26" i="4" a="1"/>
  <c r="N26" i="4" s="1"/>
  <c r="N25" i="4"/>
  <c r="M27" i="4"/>
  <c r="C126" i="5" a="1"/>
  <c r="F126" i="5" a="1"/>
  <c r="E126" i="5" a="1"/>
  <c r="D126" i="5" a="1"/>
  <c r="F127" i="5" a="1"/>
  <c r="E127" i="5" a="1"/>
  <c r="D127" i="5" a="1"/>
  <c r="C127" i="5" a="1"/>
  <c r="D126" i="5" l="1"/>
  <c r="E126" i="5"/>
  <c r="F126" i="5"/>
  <c r="C126" i="5"/>
  <c r="C127" i="5"/>
  <c r="D127" i="5"/>
  <c r="E127" i="5"/>
  <c r="F127" i="5"/>
  <c r="O26" i="4" a="1"/>
  <c r="O26" i="4" s="1"/>
  <c r="O23" i="4"/>
  <c r="O24" i="4" s="1"/>
  <c r="P22" i="4" s="1"/>
  <c r="O25" i="4"/>
  <c r="N27" i="4"/>
  <c r="N28" i="4"/>
  <c r="C128" i="5" a="1"/>
  <c r="F128" i="5" a="1"/>
  <c r="E128" i="5" a="1"/>
  <c r="D128" i="5" a="1"/>
  <c r="D128" i="5" l="1"/>
  <c r="E128" i="5"/>
  <c r="F128" i="5"/>
  <c r="C128" i="5"/>
  <c r="O27" i="4"/>
  <c r="P25" i="4"/>
  <c r="P26" i="4" a="1"/>
  <c r="P26" i="4" s="1"/>
  <c r="P23" i="4"/>
  <c r="P24" i="4" s="1"/>
  <c r="Q22" i="4" s="1"/>
  <c r="O28" i="4"/>
  <c r="F129" i="5" a="1"/>
  <c r="C129" i="5" a="1"/>
  <c r="D129" i="5" a="1"/>
  <c r="E129" i="5" a="1"/>
  <c r="E129" i="5" l="1"/>
  <c r="D129" i="5"/>
  <c r="C129" i="5"/>
  <c r="F129" i="5"/>
  <c r="P27" i="4"/>
  <c r="Q25" i="4"/>
  <c r="D25" i="4" s="1"/>
  <c r="D35" i="4" s="1" a="1"/>
  <c r="D35" i="4" s="1"/>
  <c r="Q26" i="4" a="1"/>
  <c r="Q26" i="4" s="1"/>
  <c r="Q23" i="4"/>
  <c r="Q24" i="4" s="1"/>
  <c r="P28" i="4"/>
  <c r="D22" i="5" a="1"/>
  <c r="E22" i="5" a="1"/>
  <c r="F22" i="5" a="1"/>
  <c r="G22" i="5" a="1"/>
  <c r="C130" i="5" a="1"/>
  <c r="F130" i="5" a="1"/>
  <c r="D130" i="5" a="1"/>
  <c r="E130" i="5" a="1"/>
  <c r="E130" i="5" l="1"/>
  <c r="D130" i="5"/>
  <c r="F130" i="5"/>
  <c r="C130" i="5"/>
  <c r="G22" i="5"/>
  <c r="F22" i="5"/>
  <c r="E22" i="5"/>
  <c r="D22" i="5"/>
  <c r="Q27" i="4"/>
  <c r="D26" i="4"/>
  <c r="Q28" i="4"/>
  <c r="D34" i="4" l="1" a="1"/>
  <c r="D34" i="4" s="1"/>
  <c r="D33" i="4" a="1"/>
  <c r="D33" i="4" s="1"/>
  <c r="G21" i="5" a="1"/>
  <c r="D21" i="5" a="1"/>
  <c r="F21" i="5" a="1"/>
  <c r="E21" i="5" a="1"/>
  <c r="D78" i="5" a="1"/>
  <c r="D100" i="5" a="1"/>
  <c r="D105" i="5" a="1"/>
  <c r="D94" i="5" a="1"/>
  <c r="D79" i="5" a="1"/>
  <c r="D72" i="5" a="1"/>
  <c r="D101" i="5" a="1"/>
  <c r="D98" i="5" a="1"/>
  <c r="D83" i="5" a="1"/>
  <c r="B6" i="5" a="1"/>
  <c r="D63" i="5" a="1"/>
  <c r="D93" i="5" a="1"/>
  <c r="D91" i="5" a="1"/>
  <c r="D84" i="5" a="1"/>
  <c r="D110" i="5" a="1"/>
  <c r="D104" i="5" a="1"/>
  <c r="D61" i="5" a="1"/>
  <c r="D76" i="5" a="1"/>
  <c r="D108" i="5" a="1"/>
  <c r="D133" i="5" a="1"/>
  <c r="D106" i="5" a="1"/>
  <c r="D80" i="5" a="1"/>
  <c r="D85" i="5" a="1"/>
  <c r="D20" i="5" a="1"/>
  <c r="D12" i="5" a="1"/>
  <c r="D59" i="5" a="1"/>
  <c r="E20" i="5" a="1"/>
  <c r="D99" i="5" a="1"/>
  <c r="D102" i="5" a="1"/>
  <c r="D87" i="5" a="1"/>
  <c r="D60" i="5" a="1"/>
  <c r="D65" i="5" a="1"/>
  <c r="D77" i="5" a="1"/>
  <c r="D135" i="5" a="1"/>
  <c r="D95" i="5" a="1"/>
  <c r="D69" i="5" a="1"/>
  <c r="D92" i="5" a="1"/>
  <c r="B29" i="5" a="1"/>
  <c r="D14" i="5" a="1"/>
  <c r="D67" i="5" a="1"/>
  <c r="D62" i="5" a="1"/>
  <c r="D81" i="5" a="1"/>
  <c r="F20" i="5" a="1"/>
  <c r="D70" i="5" a="1"/>
  <c r="D82" i="5" a="1"/>
  <c r="D71" i="5" a="1"/>
  <c r="D103" i="5" a="1"/>
  <c r="D64" i="5" a="1"/>
  <c r="D96" i="5" a="1"/>
  <c r="D73" i="5" a="1"/>
  <c r="D89" i="5" a="1"/>
  <c r="D90" i="5" a="1"/>
  <c r="D75" i="5" a="1"/>
  <c r="D107" i="5" a="1"/>
  <c r="D68" i="5" a="1"/>
  <c r="D97" i="5" a="1"/>
  <c r="D86" i="5" a="1"/>
  <c r="D134" i="5" a="1"/>
  <c r="G20" i="5" a="1"/>
  <c r="D66" i="5" a="1"/>
  <c r="D88" i="5" a="1"/>
  <c r="D74" i="5" a="1"/>
  <c r="D74" i="5" l="1"/>
  <c r="D88" i="5"/>
  <c r="D66" i="5"/>
  <c r="G20" i="5"/>
  <c r="D134" i="5"/>
  <c r="D86" i="5"/>
  <c r="D97" i="5"/>
  <c r="D68" i="5"/>
  <c r="D107" i="5"/>
  <c r="D75" i="5"/>
  <c r="D90" i="5"/>
  <c r="D89" i="5"/>
  <c r="D73" i="5"/>
  <c r="D96" i="5"/>
  <c r="D64" i="5"/>
  <c r="D103" i="5"/>
  <c r="D71" i="5"/>
  <c r="D82" i="5"/>
  <c r="D70" i="5"/>
  <c r="F20" i="5"/>
  <c r="D81" i="5"/>
  <c r="D62" i="5"/>
  <c r="D67" i="5"/>
  <c r="D14" i="5"/>
  <c r="B29" i="5"/>
  <c r="B112" i="5" s="1"/>
  <c r="E29" i="5"/>
  <c r="D32" i="5"/>
  <c r="B31" i="5"/>
  <c r="B114" i="5" s="1"/>
  <c r="D30" i="5"/>
  <c r="C33" i="5"/>
  <c r="E31" i="5"/>
  <c r="D31" i="5"/>
  <c r="C31" i="5"/>
  <c r="C30" i="5"/>
  <c r="C29" i="5"/>
  <c r="B30" i="5"/>
  <c r="B113" i="5" s="1"/>
  <c r="B32" i="5"/>
  <c r="B115" i="5" s="1"/>
  <c r="E33" i="5"/>
  <c r="D33" i="5"/>
  <c r="E30" i="5"/>
  <c r="B33" i="5"/>
  <c r="B116" i="5" s="1"/>
  <c r="D29" i="5"/>
  <c r="C32" i="5"/>
  <c r="E32" i="5"/>
  <c r="D92" i="5"/>
  <c r="D69" i="5"/>
  <c r="D95" i="5"/>
  <c r="D135" i="5"/>
  <c r="D77" i="5"/>
  <c r="D65" i="5"/>
  <c r="D60" i="5"/>
  <c r="D87" i="5"/>
  <c r="D102" i="5"/>
  <c r="D99" i="5"/>
  <c r="E20" i="5"/>
  <c r="D59" i="5"/>
  <c r="D12" i="5"/>
  <c r="D20" i="5"/>
  <c r="D85" i="5"/>
  <c r="D80" i="5"/>
  <c r="D106" i="5"/>
  <c r="D133" i="5"/>
  <c r="D108" i="5"/>
  <c r="D76" i="5"/>
  <c r="D61" i="5"/>
  <c r="D104" i="5"/>
  <c r="D110" i="5"/>
  <c r="D84" i="5"/>
  <c r="D91" i="5"/>
  <c r="D93" i="5"/>
  <c r="D63" i="5"/>
  <c r="B6" i="5"/>
  <c r="D83" i="5"/>
  <c r="D98" i="5"/>
  <c r="D101" i="5"/>
  <c r="D72" i="5"/>
  <c r="D79" i="5"/>
  <c r="D94" i="5"/>
  <c r="D105" i="5"/>
  <c r="D100" i="5"/>
  <c r="D78" i="5"/>
  <c r="E21" i="5"/>
  <c r="F21" i="5"/>
  <c r="D21" i="5"/>
  <c r="G21" i="5"/>
  <c r="G116" i="5" l="1"/>
  <c r="F113" i="5"/>
  <c r="F114" i="5"/>
  <c r="F116" i="5"/>
  <c r="G115" i="5"/>
  <c r="G112" i="5"/>
  <c r="F115" i="5"/>
  <c r="F112" i="5"/>
  <c r="G113" i="5"/>
  <c r="G11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<sst xmlns="http://schemas.openxmlformats.org/spreadsheetml/2006/main" count="376" uniqueCount="292">
  <si>
    <t>Production Forecast with Decline Uncertainty</t>
  </si>
  <si>
    <t>ModelRisk example  ·  Oil and gas  ·  OG-03</t>
  </si>
  <si>
    <t>How much more will well K-12 produce?  A decline-curve forecast that carries the uncertainty of the fit, not just the best line.</t>
  </si>
  <si>
    <t>Next:  Inputs  ▸</t>
  </si>
  <si>
    <t>Model card</t>
  </si>
  <si>
    <t>Industry</t>
  </si>
  <si>
    <t>Oil and gas</t>
  </si>
  <si>
    <t>Difficulty</t>
  </si>
  <si>
    <t>★★★☆☆   Fits a decline to production history, carries the uncertainty of the fit into the forecast and adds a risk event.</t>
  </si>
  <si>
    <t>Business question</t>
  </si>
  <si>
    <t>Well K-12 has produced for three years. How much more will it produce, for how long, and how likely is the usual single-line forecast to be too optimistic once the uncertainty of the decline and a possible water breakthrough are included?</t>
  </si>
  <si>
    <t>Who it is for</t>
  </si>
  <si>
    <t>Reservoir and production engineers, reserves auditors and planners who forecast producing wells.</t>
  </si>
  <si>
    <t>Main outputs</t>
  </si>
  <si>
    <t>Annual production with a P90 / P50 / P10 band · remaining recoverable volume and estimated ultimate recovery (EUR) · remaining producing life · the chance that the single best-fit forecast is too high · what drives the range.</t>
  </si>
  <si>
    <t>ModelRisk techniques</t>
  </si>
  <si>
    <t>Exponential decline fitted by regression · parameter uncertainty of the fit as a bivariate Normal (VoseMultiNormal) · risk event with uncertain timing and size · annual forecast with an economic limit · fan chart of percentiles over time.</t>
  </si>
  <si>
    <t>File</t>
  </si>
  <si>
    <t>OG-03 Production forecast with decline uncertainty  ·  Version 1.0  ·  October 2026  ·  built with ModelRisk 10</t>
  </si>
  <si>
    <t>The business question</t>
  </si>
  <si>
    <t>Well K-12 has 36 months of production history. The usual forecast fits a decline line through the history and extends it: one line, one number for the remaining volume. But the decline rate is estimated from scattered data, so slightly flatter or steeper lines fit almost as well, and over 12 years the difference adds up. The history also cannot show what has not happened yet: water from the nearest injector may break through and steepen the decline. The model fits an exponential decline to the history by regression, turns the standard errors of the fit into a joint uncertainty for the starting rate and the decline rate, and adds the breakthrough risk. The result is a forecast band rather than a line, a P90 / P50 / P10 range for the remaining volume, and the chance that the single best-fit forecast overstates what the well will produce.</t>
  </si>
  <si>
    <t>How the model works</t>
  </si>
  <si>
    <t>Four sheets after this one, read from left to right. Each one feeds the next.</t>
  </si>
  <si>
    <t>1  Inputs</t>
  </si>
  <si>
    <t>Assumptions the history cannot provide: the economic limit, the first forecast year and the water-breakthrough risk (its chance, when it happens and how much it steepens the decline).</t>
  </si>
  <si>
    <t>2  History</t>
  </si>
  <si>
    <t>Monthly rates for 36 months. An exponential decline is a straight line when the logarithm of the rate is plotted against time, so Excel's LINEST gives the fitted intercept and slope with their standard errors. With their covariance they define a bivariate Normal distribution; VoseMultiNormal draws one plausible line from it in every iteration.</t>
  </si>
  <si>
    <t>3  Forecast</t>
  </si>
  <si>
    <t>Each year starts at the rate where the previous year ended and declines exponentially. From the year of a breakthrough, the decline is multiplied by the breakthrough factor. Production stops when the rate reaches the economic limit. Annual volumes are the exact integral of the exponential decline.</t>
  </si>
  <si>
    <t>4  Results</t>
  </si>
  <si>
    <t>Percentile bands of annual production, the remaining volume and EUR, how the single best-fit forecast compares with the simulated range, and the inputs that drive it.</t>
  </si>
  <si>
    <t>How to use it</t>
  </si>
  <si>
    <t>Step 1</t>
  </si>
  <si>
    <t>Replace the rates on the History sheet with your own well's monthly rates (36 months); the fit and everything after it update.</t>
  </si>
  <si>
    <t>Step 2</t>
  </si>
  <si>
    <t>Press F9 and watch the Forecast sheet: each recalculation is one plausible decline line and breakthrough history.</t>
  </si>
  <si>
    <t>Step 3</t>
  </si>
  <si>
    <t>Run a simulation from the ModelRisk ribbon (10,000 samples with a fixed seed are set).</t>
  </si>
  <si>
    <t>Step 4</t>
  </si>
  <si>
    <t>Set 'Include the uncertainty of the fit' to 0 on the Inputs sheet and simulate again: what remains is the breakthrough risk alone.</t>
  </si>
  <si>
    <t>Workbook map</t>
  </si>
  <si>
    <t>Inputs</t>
  </si>
  <si>
    <t>Economic limit, start of the forecast, the water-breakthrough risk and the switch for the uncertainty of the fit.</t>
  </si>
  <si>
    <t>History</t>
  </si>
  <si>
    <t>Production history, the regression fit and the joint uncertainty of the fitted line.</t>
  </si>
  <si>
    <t>Forecast</t>
  </si>
  <si>
    <t>Annual forecast for one iteration, remaining volume, EUR and model checks.</t>
  </si>
  <si>
    <t>Results</t>
  </si>
  <si>
    <t>Fan chart, volume ranges, comparison with the single-line forecast, and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</si>
  <si>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</si>
  <si>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</si>
  <si>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</si>
  <si>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</si>
  <si>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</si>
  <si>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</si>
  <si>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</si>
  <si>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</si>
  <si>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</si>
  <si>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</si>
  <si>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</si>
  <si>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</si>
  <si>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Rates and volumes</t>
  </si>
  <si>
    <t>bbl/d = barrels per day, as a monthly or annual average; kbbl = thousand barrels.</t>
  </si>
  <si>
    <t>Decline</t>
  </si>
  <si>
    <t>Exponential decline: rate(t) = rate(0) × exp(−D × t), with D per month. A decline of 1.6% per month is about 17% per year.</t>
  </si>
  <si>
    <t>Percentiles</t>
  </si>
  <si>
    <t>Petroleum convention: P90 is the low estimate (90% chance of being exceeded), P10 the high estimate.</t>
  </si>
  <si>
    <t>Key assumptions and limitations</t>
  </si>
  <si>
    <t>Decline type</t>
  </si>
  <si>
    <t>Exponential (Arps b = 0). Many wells decline hyperbolically early in life; the same method works with a non-linear fit of the hyperbolic curve.</t>
  </si>
  <si>
    <t>Fit</t>
  </si>
  <si>
    <t>The regression's standard errors describe the uncertainty of the line. Month-to-month scatter in the future is ignored because it averages out over a year.</t>
  </si>
  <si>
    <t>Breakthrough</t>
  </si>
  <si>
    <t>The steeper decline applies to the whole year in which breakthrough happens, a slightly cautious simplification.</t>
  </si>
  <si>
    <t>Operations</t>
  </si>
  <si>
    <t>No workovers, stimulation or downtime beyond what is already in the history.</t>
  </si>
  <si>
    <t>Data</t>
  </si>
  <si>
    <t>The production history is synthetic, generated for this example.</t>
  </si>
  <si>
    <t>ModelRisk functions used</t>
  </si>
  <si>
    <t>VoseMultiNormal</t>
  </si>
  <si>
    <t>Draws the intercept and slope of the decline line together, with the correlation the regression implies.</t>
  </si>
  <si>
    <t>VoseBernoulli, VosePERT</t>
  </si>
  <si>
    <t>The water-breakthrough risk: whether it happens, when, and how much it steepens the decline.</t>
  </si>
  <si>
    <t>VoseInput, VoseOutput</t>
  </si>
  <si>
    <t>Name the sampled parameters and the forecast outputs; each year's production is an output for the fan chart.</t>
  </si>
  <si>
    <t>VoseSimMean, VoseSimPercentile, VoseSimProbability</t>
  </si>
  <si>
    <t>Statistics of the simulation for the tables and charts on the Results sheet.</t>
  </si>
  <si>
    <t>VoseSimSensitivityMean</t>
  </si>
  <si>
    <t>The tornado chart: every VoseInput ranked by how far the mean remaining volume moves across its range.</t>
  </si>
  <si>
    <t>LINEST (Excel)</t>
  </si>
  <si>
    <t>Regression of log-rate on time, with the standard errors of the intercept and the slope.</t>
  </si>
  <si>
    <t>Further reading</t>
  </si>
  <si>
    <t>Decline curves</t>
  </si>
  <si>
    <t>Arps, J. J. (1945). Analysis of decline curves. Transactions of the AIME 160, 228–247.</t>
  </si>
  <si>
    <t>Uncertainty</t>
  </si>
  <si>
    <t>Vose, D. (2008). Risk Analysis: A Quantitative Guide, 3rd edition. Wiley — fitting models to data and parameter uncertainty.</t>
  </si>
  <si>
    <t>Reserves</t>
  </si>
  <si>
    <t>SPE, WPC, AAPG, SPEE, SEG, SPWLA, EAGE (2018). Petroleum Resources Management System (PRMS).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</si>
  <si>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</si>
  <si>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</si>
  <si>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</si>
  <si>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History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</si>
  <si>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</si>
  <si>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Forecast settings</t>
  </si>
  <si>
    <t>The economic limit ends production. The forecast starts the year after the last month of history.</t>
  </si>
  <si>
    <t>Assumption</t>
  </si>
  <si>
    <t>Unit</t>
  </si>
  <si>
    <t>Value in model</t>
  </si>
  <si>
    <t>Basis / source (illustrative)</t>
  </si>
  <si>
    <t>Economic limit</t>
  </si>
  <si>
    <t>bbl/d</t>
  </si>
  <si>
    <t>Fixed</t>
  </si>
  <si>
    <t>Rate at which the well's operating cost equals its net revenue; it is then shut in.</t>
  </si>
  <si>
    <t>First forecast year</t>
  </si>
  <si>
    <t>year</t>
  </si>
  <si>
    <t>Calendar year of forecast year 1.</t>
  </si>
  <si>
    <t>Average days per month</t>
  </si>
  <si>
    <t>days</t>
  </si>
  <si>
    <t>Calculated</t>
  </si>
  <si>
    <t>Converts a daily rate into a monthly volume.</t>
  </si>
  <si>
    <t>Length of the forecast</t>
  </si>
  <si>
    <t>years</t>
  </si>
  <si>
    <t>The year columns on the Forecast sheet; production after the last one is not counted.</t>
  </si>
  <si>
    <t>Include the uncertainty of the fit</t>
  </si>
  <si>
    <t>1 = yes, 0 = no</t>
  </si>
  <si>
    <t>1 draws the decline line from its joint uncertainty in every iteration; 0 uses the best-fit line only.</t>
  </si>
  <si>
    <t>2   Water breakthrough</t>
  </si>
  <si>
    <t>A risk event: injected water reaches the well and its oil rate declines faster from then on.</t>
  </si>
  <si>
    <t>Low</t>
  </si>
  <si>
    <t>Most likely</t>
  </si>
  <si>
    <t>High</t>
  </si>
  <si>
    <t>Mean</t>
  </si>
  <si>
    <t>Chance of breakthrough within the forecast</t>
  </si>
  <si>
    <t>probability</t>
  </si>
  <si>
    <t>The well is 600 m from the nearest injector; about a third of analogue wells saw breakthrough.</t>
  </si>
  <si>
    <t>Time until breakthrough, if it happens</t>
  </si>
  <si>
    <t>PERT</t>
  </si>
  <si>
    <t>Earliest, typical and latest breakthrough times in analogue wells.</t>
  </si>
  <si>
    <t>Decline multiplier after breakthrough</t>
  </si>
  <si>
    <t>×</t>
  </si>
  <si>
    <t>Water cut rises and the oil rate falls faster: the decline rate is multiplied by this factor.</t>
  </si>
  <si>
    <t>HISTORY   ·   36 months of production and the exponential decline fitted to them by regression.</t>
  </si>
  <si>
    <t>◂  Inputs</t>
  </si>
  <si>
    <t>Next:  Forecast  ▸</t>
  </si>
  <si>
    <t>1   Production history</t>
  </si>
  <si>
    <t>2   Decline fit</t>
  </si>
  <si>
    <t>Monthly average rates (synthetic). Paste your own rates over the yellow cells.</t>
  </si>
  <si>
    <t>ln(rate) = intercept + slope × month: an exponential decline is a straight line in log-rate.</t>
  </si>
  <si>
    <t>Month</t>
  </si>
  <si>
    <t>Rate</t>
  </si>
  <si>
    <t>ln(rate)</t>
  </si>
  <si>
    <t>Fitted rate</t>
  </si>
  <si>
    <t>Volume</t>
  </si>
  <si>
    <t>Cumulative</t>
  </si>
  <si>
    <t>Quantity</t>
  </si>
  <si>
    <t>Value</t>
  </si>
  <si>
    <t>How it is calculated</t>
  </si>
  <si>
    <t>kbbl</t>
  </si>
  <si>
    <t>Slope</t>
  </si>
  <si>
    <t>per month</t>
  </si>
  <si>
    <t>SLOPE of ln(rate) on month</t>
  </si>
  <si>
    <t>Intercept</t>
  </si>
  <si>
    <t>ln(bbl/d)</t>
  </si>
  <si>
    <t>INTERCEPT: the line at month 0</t>
  </si>
  <si>
    <t>R²</t>
  </si>
  <si>
    <t>Share of the variation in ln(rate) that the line explains</t>
  </si>
  <si>
    <t>Scatter around the line (standard deviation)</t>
  </si>
  <si>
    <t>STEYX. About ±9% month to month: downtime, measurement, choke changes</t>
  </si>
  <si>
    <t>Mean month of the history</t>
  </si>
  <si>
    <t>month</t>
  </si>
  <si>
    <t>Needed for the errors and the covariance below</t>
  </si>
  <si>
    <t>Standard error of the slope</t>
  </si>
  <si>
    <t>Scatter ÷ √(sum of squared deviations of the months)</t>
  </si>
  <si>
    <t>Standard error of the intercept</t>
  </si>
  <si>
    <t>Standard error of the slope × √(mean of month²)</t>
  </si>
  <si>
    <t>Fitted decline</t>
  </si>
  <si>
    <t>−slope</t>
  </si>
  <si>
    <t>Fitted decline, annual equivalent</t>
  </si>
  <si>
    <t>per year</t>
  </si>
  <si>
    <t>1 − exp(12 × slope)</t>
  </si>
  <si>
    <t>Rate at the end of the history, best fit</t>
  </si>
  <si>
    <t>The fitted line at the last month of history</t>
  </si>
  <si>
    <t>Best-fit rate at the end of the forecast</t>
  </si>
  <si>
    <t>The line extended over the forecast's months, as if the well kept producing</t>
  </si>
  <si>
    <t>Rate at which the single line stops</t>
  </si>
  <si>
    <t>The economic limit, or the end-of-forecast rate if the well is still above it</t>
  </si>
  <si>
    <t>Single-line forecast of the remaining volume</t>
  </si>
  <si>
    <t>Days per month × (start rate − stop rate) ÷ decline: the volume under the line, no breakthrough</t>
  </si>
  <si>
    <t>3   Joint uncertainty of the fitted line</t>
  </si>
  <si>
    <t>Best fit, and the covariance matrix in the Intercept and Slope columns: the two errors are correlated.</t>
  </si>
  <si>
    <t>Parameter</t>
  </si>
  <si>
    <t>Best fit</t>
  </si>
  <si>
    <t>This iteration</t>
  </si>
  <si>
    <t>Note</t>
  </si>
  <si>
    <t>Variance; covariance = −(mean month) × variance of the slope</t>
  </si>
  <si>
    <t>Covariance matrix of a straight-line regression</t>
  </si>
  <si>
    <t>This iteration: VoseMultiNormal draws one plausible (intercept, slope) pair from this bivariate Normal. Press F9 to draw again.</t>
  </si>
  <si>
    <t>4   History and fitted decline</t>
  </si>
  <si>
    <t>Monthly rates with the best-fit exponential decline.</t>
  </si>
  <si>
    <t>FORECAST   ·   12 years of production in this iteration: sampled decline line, possible water breakthrough, economic limit.</t>
  </si>
  <si>
    <t>◂  History</t>
  </si>
  <si>
    <t>Next:  Results  ▸</t>
  </si>
  <si>
    <t>Forecast year</t>
  </si>
  <si>
    <t>Total</t>
  </si>
  <si>
    <t>Open</t>
  </si>
  <si>
    <t>Calendar year</t>
  </si>
  <si>
    <t>1   Decline line and breakthrough for this iteration</t>
  </si>
  <si>
    <t>The sampled line from the History sheet, or the best fit when the switch is off.</t>
  </si>
  <si>
    <t>Intercept of the line used</t>
  </si>
  <si>
    <t>This iteration's draw (History, section 3), or the best fit when the switch on Inputs is 0</t>
  </si>
  <si>
    <t>Slope of the line used</t>
  </si>
  <si>
    <t>This iteration's draw, or the best fit when the switch is 0</t>
  </si>
  <si>
    <t>Decline rate</t>
  </si>
  <si>
    <t>−slope of the line used</t>
  </si>
  <si>
    <t>Rate at the start of the forecast</t>
  </si>
  <si>
    <t>The line used, at the last month of history</t>
  </si>
  <si>
    <t>Water breakthrough within the forecast?  (1 = yes)</t>
  </si>
  <si>
    <t>1 / 0</t>
  </si>
  <si>
    <t>Bernoulli trial with the chance on the Inputs sheet</t>
  </si>
  <si>
    <t>Steeper decline from forecast year</t>
  </si>
  <si>
    <t>The year in which breakthrough happens; the year after the forecast if it does not</t>
  </si>
  <si>
    <t>2   Annual forecast</t>
  </si>
  <si>
    <t>Each year starts at the rate where the last one ended. Volumes are the exact integral of the exponential decline.</t>
  </si>
  <si>
    <t>Decline rate this year</t>
  </si>
  <si>
    <t>Rate at the start of the year</t>
  </si>
  <si>
    <t>Rate at the end of the year, if it kept producing</t>
  </si>
  <si>
    <t>Rate at the end of the year  (0 = shut in)</t>
  </si>
  <si>
    <t>Share of the year above the economic limit</t>
  </si>
  <si>
    <t>Production  (output)</t>
  </si>
  <si>
    <t>Average rate over the year</t>
  </si>
  <si>
    <t>Cumulative production since first oil</t>
  </si>
  <si>
    <t>3   Value in this iteration</t>
  </si>
  <si>
    <t>Key outputs, recorded by ModelRisk at every sample (VoseOutput). Their statistics appear on the Results sheet.</t>
  </si>
  <si>
    <t>Output</t>
  </si>
  <si>
    <t>Meaning</t>
  </si>
  <si>
    <t>Remaining recoverable volume</t>
  </si>
  <si>
    <t>Production from the end of the history to the economic limit, or to the end of the forecast.</t>
  </si>
  <si>
    <t>Estimated ultimate recovery (EUR)</t>
  </si>
  <si>
    <t>Produced so far plus the remaining volume.</t>
  </si>
  <si>
    <t>Remaining producing life</t>
  </si>
  <si>
    <t>Years until the rate reaches the economic limit (12 if it is still above the limit at the end of the forecast).</t>
  </si>
  <si>
    <t>4   Model checks</t>
  </si>
  <si>
    <t>Should all read OK. A CHECK means an input has been set outside the range the model is built for.</t>
  </si>
  <si>
    <t>The history declines  (fitted slope below zero)</t>
  </si>
  <si>
    <t>The history has 36 positive monthly rates</t>
  </si>
  <si>
    <t>The well starts the forecast above the economic limit</t>
  </si>
  <si>
    <t>The decline is positive in this iteration</t>
  </si>
  <si>
    <t>5   This iteration at a glance</t>
  </si>
  <si>
    <t>Annual production and average rate of the current iteration. Press F9 to see another plausible future.</t>
  </si>
  <si>
    <t>RESULTS   ·   Filled in automatically from the last simulation. Run a simulation after changing any input.</t>
  </si>
  <si>
    <t>◂  Forecast</t>
  </si>
  <si>
    <t>1   Remaining volume: the simulation against the single-line forecast</t>
  </si>
  <si>
    <t>Annual production — P90 / P50 / P10 band</t>
  </si>
  <si>
    <t>The usual forecast extends the best-fit line and ignores what the history cannot show.</t>
  </si>
  <si>
    <t>Measure</t>
  </si>
  <si>
    <t>Remaining recoverable volume, mean of the simulation</t>
  </si>
  <si>
    <t>Single-line forecast  (best-fit line, no breakthrough)</t>
  </si>
  <si>
    <t>Chance of less than the single-line forecast</t>
  </si>
  <si>
    <t>Chance of water breakthrough within the forecast</t>
  </si>
  <si>
    <t>2   Volumes and producing life</t>
  </si>
  <si>
    <t>P90 = low estimate (90% chance of being exceeded), P10 = high estimate.</t>
  </si>
  <si>
    <t>P90 (low)</t>
  </si>
  <si>
    <t>P50</t>
  </si>
  <si>
    <t>P10 (high)</t>
  </si>
  <si>
    <t>Decline rate (before any breakthrough)</t>
  </si>
  <si>
    <t>3   What drives the remaining volume</t>
  </si>
  <si>
    <t>What drives the remaining volume  (kbbl)</t>
  </si>
  <si>
    <t>Lowest and highest mean remaining volume over ten equal groups of each input (VoseSimSensitivityMean), drawn from the overall mean.</t>
  </si>
  <si>
    <t>Input (ranked by influence)</t>
  </si>
  <si>
    <t>Lowest mean</t>
  </si>
  <si>
    <t>Highest mean</t>
  </si>
  <si>
    <t>Rank</t>
  </si>
  <si>
    <t>4   How to read these results</t>
  </si>
  <si>
    <t>Remaining recoverable volume — expectation curve</t>
  </si>
  <si>
    <t>•  The single-line forecast is not the middle of the range. Breakthrough can only shorten the well's life, so the simulated volumes sit mostly below the best-fit line, and the chance of producing less than the single-line forecast is well above 50%.</t>
  </si>
  <si>
    <t>•  The band shows, for each year, the production with a 90%, 50% and 10% chance of being exceeded. It widens with time because a small difference in the decline rate compounds year after year, and breakthroughs pull the low side down.</t>
  </si>
  <si>
    <t>•  Set 'Include the uncertainty of the fit' to 0 on the Inputs sheet and simulate again: the range that remains comes from the breakthrough risk alone. The difference is the part of the range that a longer or cleaner history would remove.</t>
  </si>
  <si>
    <t>•  The intercept and slope are drawn together from VoseMultiNormal because their errors are correlated: drawing them independently would overstate the uncertainty of the rate at the start of the forecast.</t>
  </si>
  <si>
    <t>•  P90 / P50 / P10 of the remaining volume are the low, best and high estimates a reserves report would quote for this well.</t>
  </si>
  <si>
    <t>Chart data</t>
  </si>
  <si>
    <t>Statistics of the last simulation behind the charts and the ranking above. Grouped: click + in the left margin to show them.</t>
  </si>
  <si>
    <t>Cumulative probability</t>
  </si>
  <si>
    <t>Exceedance</t>
  </si>
  <si>
    <t>Remaining</t>
  </si>
  <si>
    <t>Overall mean of Remaining</t>
  </si>
  <si>
    <t>Ranked input (chart)</t>
  </si>
  <si>
    <t>Highest − mean</t>
  </si>
  <si>
    <t>Lowest − mean</t>
  </si>
  <si>
    <t>Period</t>
  </si>
  <si>
    <t>Median</t>
  </si>
  <si>
    <t>Marker</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</si>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</sst>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_);\(#,##0\);&quot;–&quot;_)"/>
    <numFmt numFmtId="165" formatCode="#,##0.0_);\(#,##0.0\);&quot;–&quot;_)"/>
    <numFmt numFmtId="166" formatCode="0.000"/>
    <numFmt numFmtId="167" formatCode="0.00000"/>
    <numFmt numFmtId="168" formatCode="0.0000"/>
    <numFmt numFmtId="169" formatCode="0.0%"/>
    <numFmt numFmtId="170" formatCode="0.0E+00"/>
    <numFmt numFmtId="171" formatCode="#,##0_);\(#,##0\);&quot;–&quot;_);&quot;–&quot;"/>
    <numFmt numFmtId="172" formatCode="0.0%;\-0.0%;0.0%;&quot;–&quot;"/>
    <numFmt numFmtId="173" formatCode="#,##0.0_);\(#,##0.0\);&quot;–&quot;_);&quot;–&quot;"/>
    <numFmt numFmtId="174" formatCode="0.00%;\-0.00%;0.00%;&quot;–&quot;"/>
    <numFmt numFmtId="175" formatCode="0;\-0;0;&quot;–&quot;"/>
  </numFmts>
  <fonts count="27"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9"/>
      <color rgb="FF0F2A47"/>
      <name val="Calibri"/>
    </font>
    <font>
      <b/>
      <sz val="9"/>
      <color rgb="FF8AA0BA"/>
      <name val="Calibri"/>
    </font>
    <font>
      <sz val="10"/>
      <color rgb="FF8AA0BA"/>
      <name val="Calibri"/>
    </font>
    <font>
      <b/>
      <sz val="10"/>
      <color rgb="FF15803D"/>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2" fontId="3" fillId="0" borderId="8" xfId="3" applyNumberFormat="1" applyBorder="1">
      <alignment horizontal="right" vertical="center"/>
    </xf>
    <xf numFmtId="1" fontId="3" fillId="0" borderId="8" xfId="3" applyNumberFormat="1" applyBorder="1">
      <alignment horizontal="right" vertical="center"/>
    </xf>
    <xf numFmtId="9" fontId="1" fillId="2" borderId="7" xfId="1"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2" fontId="2" fillId="3" borderId="7" xfId="2" applyNumberFormat="1" applyBorder="1">
      <alignment horizontal="right" vertical="center"/>
    </xf>
    <xf numFmtId="2" fontId="1" fillId="2" borderId="7" xfId="1" applyNumberFormat="1" applyBorder="1">
      <alignment horizontal="right" vertical="center"/>
    </xf>
    <xf numFmtId="0" fontId="17" fillId="7" borderId="2" xfId="0" applyFont="1" applyFill="1" applyBorder="1" applyAlignment="1">
      <alignment horizontal="right" vertical="center" wrapTex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9" fillId="7" borderId="4" xfId="0" applyFont="1" applyFill="1" applyBorder="1" applyAlignment="1">
      <alignment horizontal="right" vertical="center"/>
    </xf>
    <xf numFmtId="167" fontId="3" fillId="0" borderId="8" xfId="3" applyNumberFormat="1" applyBorder="1">
      <alignment horizontal="right" vertical="center"/>
    </xf>
    <xf numFmtId="166" fontId="3" fillId="0" borderId="8" xfId="3" applyNumberFormat="1" applyBorder="1">
      <alignment horizontal="right" vertical="center"/>
    </xf>
    <xf numFmtId="164" fontId="3" fillId="0" borderId="8" xfId="3" applyNumberFormat="1" applyBorder="1">
      <alignment horizontal="right" vertical="center"/>
    </xf>
    <xf numFmtId="168" fontId="3" fillId="0" borderId="8" xfId="3" applyNumberFormat="1" applyBorder="1">
      <alignment horizontal="right" vertical="center"/>
    </xf>
    <xf numFmtId="10" fontId="3" fillId="0" borderId="8" xfId="3" applyNumberFormat="1" applyBorder="1">
      <alignment horizontal="right" vertical="center"/>
    </xf>
    <xf numFmtId="169" fontId="3" fillId="0" borderId="8" xfId="3" applyNumberFormat="1" applyBorder="1">
      <alignment horizontal="right" vertical="center"/>
    </xf>
    <xf numFmtId="170" fontId="3" fillId="0" borderId="8" xfId="3" applyNumberFormat="1" applyBorder="1">
      <alignment horizontal="right" vertical="center"/>
    </xf>
    <xf numFmtId="167" fontId="2" fillId="3" borderId="7" xfId="2" applyNumberFormat="1" applyBorder="1">
      <alignment horizontal="right" vertical="center"/>
    </xf>
    <xf numFmtId="0" fontId="13" fillId="0" borderId="0" xfId="0" applyFont="1" applyAlignment="1">
      <alignment horizontal="left" vertical="center" indent="1"/>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1" fontId="18" fillId="7" borderId="4" xfId="0" applyNumberFormat="1" applyFont="1" applyFill="1" applyBorder="1" applyAlignment="1">
      <alignment horizontal="right" vertical="center"/>
    </xf>
    <xf numFmtId="10" fontId="2" fillId="3" borderId="7" xfId="2" applyNumberFormat="1" applyBorder="1">
      <alignment horizontal="right" vertical="center"/>
    </xf>
    <xf numFmtId="164" fontId="2" fillId="3" borderId="7" xfId="2" applyNumberFormat="1" applyBorder="1">
      <alignment horizontal="right" vertical="center"/>
    </xf>
    <xf numFmtId="1" fontId="2" fillId="3" borderId="7" xfId="2" applyNumberFormat="1" applyBorder="1">
      <alignment horizontal="right" vertical="center"/>
    </xf>
    <xf numFmtId="164" fontId="22" fillId="0" borderId="8" xfId="3" applyNumberFormat="1" applyFont="1" applyBorder="1">
      <alignment horizontal="right" vertical="center"/>
    </xf>
    <xf numFmtId="2" fontId="12" fillId="0" borderId="8" xfId="3" applyNumberFormat="1" applyFont="1" applyBorder="1">
      <alignment horizontal="right" vertical="center"/>
    </xf>
    <xf numFmtId="165" fontId="12" fillId="0" borderId="8" xfId="3" applyNumberFormat="1" applyFont="1" applyBorder="1">
      <alignment horizontal="right" vertical="center"/>
    </xf>
    <xf numFmtId="165" fontId="4" fillId="4" borderId="9" xfId="4" applyNumberFormat="1" applyBorder="1">
      <alignment horizontal="right" vertical="center"/>
    </xf>
    <xf numFmtId="164"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6" fillId="0" borderId="5" xfId="0" applyFont="1" applyBorder="1"/>
    <xf numFmtId="0" fontId="12" fillId="0" borderId="6" xfId="0" applyFont="1" applyBorder="1" applyAlignment="1">
      <alignment horizontal="left" vertical="center" indent="1"/>
    </xf>
    <xf numFmtId="171" fontId="24" fillId="5" borderId="7" xfId="5" applyNumberFormat="1" applyFont="1" applyBorder="1">
      <alignment horizontal="right" vertical="center"/>
    </xf>
    <xf numFmtId="0" fontId="25" fillId="0" borderId="6" xfId="0" applyFont="1" applyBorder="1" applyAlignment="1">
      <alignment horizontal="left" vertical="center" indent="1"/>
    </xf>
    <xf numFmtId="172" fontId="1" fillId="5" borderId="7" xfId="5" applyNumberFormat="1" applyBorder="1">
      <alignment horizontal="right" vertical="center"/>
    </xf>
    <xf numFmtId="171" fontId="1" fillId="5" borderId="7" xfId="5" applyNumberFormat="1" applyBorder="1">
      <alignment horizontal="right" vertical="center"/>
    </xf>
    <xf numFmtId="173" fontId="1" fillId="5" borderId="7" xfId="5" applyNumberFormat="1" applyBorder="1">
      <alignment horizontal="right" vertical="center"/>
    </xf>
    <xf numFmtId="174" fontId="1" fillId="5" borderId="7" xfId="5" applyNumberFormat="1" applyBorder="1">
      <alignment horizontal="right" vertical="center"/>
    </xf>
    <xf numFmtId="0" fontId="17" fillId="7" borderId="4" xfId="0" applyFont="1" applyFill="1" applyBorder="1" applyAlignment="1">
      <alignment horizontal="center" vertical="center" wrapText="1"/>
    </xf>
    <xf numFmtId="175"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1" fontId="1" fillId="5" borderId="1" xfId="5" applyNumberFormat="1">
      <alignment horizontal="right" vertical="center"/>
    </xf>
    <xf numFmtId="0" fontId="25"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8">
    <dxf>
      <font>
        <color rgb="FF8AA0BA"/>
      </font>
    </dxf>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Monthly rate</c:v>
          </c:tx>
          <c:spPr>
            <a:ln>
              <a:noFill/>
              <a:prstDash val="solid"/>
            </a:ln>
          </c:spPr>
          <c:marker>
            <c:symbol val="circle"/>
            <c:size val="5"/>
            <c:spPr>
              <a:solidFill>
                <a:srgbClr val="0E4F92"/>
              </a:solidFill>
              <a:ln>
                <a:solidFill>
                  <a:srgbClr val="0E4F92"/>
                </a:solidFill>
                <a:prstDash val="solid"/>
              </a:ln>
            </c:spPr>
          </c:marker>
          <c:xVal>
            <c:numRef>
              <c:f>History!$B$10:$B$45</c:f>
              <c:numCache>
                <c:formatCode>0</c:formatCode>
                <c:ptCount val="3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numCache>
            </c:numRef>
          </c:xVal>
          <c:yVal>
            <c:numRef>
              <c:f>History!$C$10:$C$45</c:f>
              <c:numCache>
                <c:formatCode>#,##0_);\(#,##0\);"–"_)</c:formatCode>
                <c:ptCount val="36"/>
                <c:pt idx="0">
                  <c:v>1799</c:v>
                </c:pt>
                <c:pt idx="1">
                  <c:v>1967</c:v>
                </c:pt>
                <c:pt idx="2">
                  <c:v>1878</c:v>
                </c:pt>
                <c:pt idx="3">
                  <c:v>1844</c:v>
                </c:pt>
                <c:pt idx="4">
                  <c:v>1985</c:v>
                </c:pt>
                <c:pt idx="5">
                  <c:v>1473</c:v>
                </c:pt>
                <c:pt idx="6">
                  <c:v>1536</c:v>
                </c:pt>
                <c:pt idx="7">
                  <c:v>1410</c:v>
                </c:pt>
                <c:pt idx="8">
                  <c:v>1567</c:v>
                </c:pt>
                <c:pt idx="9">
                  <c:v>1722</c:v>
                </c:pt>
                <c:pt idx="10">
                  <c:v>1530</c:v>
                </c:pt>
                <c:pt idx="11">
                  <c:v>1586</c:v>
                </c:pt>
                <c:pt idx="12">
                  <c:v>1227</c:v>
                </c:pt>
                <c:pt idx="13">
                  <c:v>1484</c:v>
                </c:pt>
                <c:pt idx="14">
                  <c:v>1314</c:v>
                </c:pt>
                <c:pt idx="15">
                  <c:v>1691</c:v>
                </c:pt>
                <c:pt idx="16">
                  <c:v>1523</c:v>
                </c:pt>
                <c:pt idx="17">
                  <c:v>1508</c:v>
                </c:pt>
                <c:pt idx="18">
                  <c:v>1342</c:v>
                </c:pt>
                <c:pt idx="19">
                  <c:v>1412</c:v>
                </c:pt>
                <c:pt idx="20">
                  <c:v>1396</c:v>
                </c:pt>
                <c:pt idx="21">
                  <c:v>1243</c:v>
                </c:pt>
                <c:pt idx="22">
                  <c:v>1204</c:v>
                </c:pt>
                <c:pt idx="23">
                  <c:v>1232</c:v>
                </c:pt>
                <c:pt idx="24">
                  <c:v>1154</c:v>
                </c:pt>
                <c:pt idx="25">
                  <c:v>1137</c:v>
                </c:pt>
                <c:pt idx="26">
                  <c:v>1154</c:v>
                </c:pt>
                <c:pt idx="27">
                  <c:v>1086</c:v>
                </c:pt>
                <c:pt idx="28">
                  <c:v>1242</c:v>
                </c:pt>
                <c:pt idx="29">
                  <c:v>965</c:v>
                </c:pt>
                <c:pt idx="30">
                  <c:v>1209</c:v>
                </c:pt>
                <c:pt idx="31">
                  <c:v>1030</c:v>
                </c:pt>
                <c:pt idx="32">
                  <c:v>1021</c:v>
                </c:pt>
                <c:pt idx="33">
                  <c:v>927</c:v>
                </c:pt>
                <c:pt idx="34">
                  <c:v>1030</c:v>
                </c:pt>
                <c:pt idx="35">
                  <c:v>1003</c:v>
                </c:pt>
              </c:numCache>
            </c:numRef>
          </c:yVal>
          <c:smooth val="1"/>
          <c:extLst>
            <c:ext xmlns:c16="http://schemas.microsoft.com/office/drawing/2014/chart" uri="{C3380CC4-5D6E-409C-BE32-E72D297353CC}">
              <c16:uniqueId val="{00000000-0681-4120-AD35-4C6B0E4AA417}"/>
            </c:ext>
          </c:extLst>
        </c:ser>
        <c:ser>
          <c:idx val="1"/>
          <c:order val="1"/>
          <c:tx>
            <c:v>Best-fit decline</c:v>
          </c:tx>
          <c:spPr>
            <a:ln w="22000">
              <a:solidFill>
                <a:srgbClr val="B45309"/>
              </a:solidFill>
              <a:prstDash val="solid"/>
            </a:ln>
          </c:spPr>
          <c:marker>
            <c:symbol val="none"/>
          </c:marker>
          <c:xVal>
            <c:numRef>
              <c:f>History!$B$10:$B$45</c:f>
              <c:numCache>
                <c:formatCode>0</c:formatCode>
                <c:ptCount val="3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numCache>
            </c:numRef>
          </c:xVal>
          <c:yVal>
            <c:numRef>
              <c:f>History!$E$10:$E$45</c:f>
              <c:numCache>
                <c:formatCode>#,##0_);\(#,##0\);"–"_)</c:formatCode>
                <c:ptCount val="36"/>
                <c:pt idx="0">
                  <c:v>1867.8134427814789</c:v>
                </c:pt>
                <c:pt idx="1">
                  <c:v>1833.8186121849697</c:v>
                </c:pt>
                <c:pt idx="2">
                  <c:v>1800.4424988975945</c:v>
                </c:pt>
                <c:pt idx="3">
                  <c:v>1767.6738420569873</c:v>
                </c:pt>
                <c:pt idx="4">
                  <c:v>1735.5015857522455</c:v>
                </c:pt>
                <c:pt idx="5">
                  <c:v>1703.9148752937519</c:v>
                </c:pt>
                <c:pt idx="6">
                  <c:v>1672.9030535508764</c:v>
                </c:pt>
                <c:pt idx="7">
                  <c:v>1642.4556573563418</c:v>
                </c:pt>
                <c:pt idx="8">
                  <c:v>1612.5624139760182</c:v>
                </c:pt>
                <c:pt idx="9">
                  <c:v>1583.2132376429802</c:v>
                </c:pt>
                <c:pt idx="10">
                  <c:v>1554.3982261546389</c:v>
                </c:pt>
                <c:pt idx="11">
                  <c:v>1526.1076575318154</c:v>
                </c:pt>
                <c:pt idx="12">
                  <c:v>1498.331986738606</c:v>
                </c:pt>
                <c:pt idx="13">
                  <c:v>1471.0618424619599</c:v>
                </c:pt>
                <c:pt idx="14">
                  <c:v>1444.2880239498647</c:v>
                </c:pt>
                <c:pt idx="15">
                  <c:v>1418.0014979070766</c:v>
                </c:pt>
                <c:pt idx="16">
                  <c:v>1392.1933954473564</c:v>
                </c:pt>
                <c:pt idx="17">
                  <c:v>1366.8550091011623</c:v>
                </c:pt>
                <c:pt idx="18">
                  <c:v>1341.9777898778182</c:v>
                </c:pt>
                <c:pt idx="19">
                  <c:v>1317.5533443811426</c:v>
                </c:pt>
                <c:pt idx="20">
                  <c:v>1293.5734319775763</c:v>
                </c:pt>
                <c:pt idx="21">
                  <c:v>1270.0299620158562</c:v>
                </c:pt>
                <c:pt idx="22">
                  <c:v>1246.9149910972797</c:v>
                </c:pt>
                <c:pt idx="23">
                  <c:v>1224.2207203956639</c:v>
                </c:pt>
                <c:pt idx="24">
                  <c:v>1201.9394930260748</c:v>
                </c:pt>
                <c:pt idx="25">
                  <c:v>1180.0637914614535</c:v>
                </c:pt>
                <c:pt idx="26">
                  <c:v>1158.5862349962495</c:v>
                </c:pt>
                <c:pt idx="27">
                  <c:v>1137.4995772562277</c:v>
                </c:pt>
                <c:pt idx="28">
                  <c:v>1116.7967037535916</c:v>
                </c:pt>
                <c:pt idx="29">
                  <c:v>1096.4706294866098</c:v>
                </c:pt>
                <c:pt idx="30">
                  <c:v>1076.5144965829202</c:v>
                </c:pt>
                <c:pt idx="31">
                  <c:v>1056.921571985737</c:v>
                </c:pt>
                <c:pt idx="32">
                  <c:v>1037.685245182164</c:v>
                </c:pt>
                <c:pt idx="33">
                  <c:v>1018.7990259728542</c:v>
                </c:pt>
                <c:pt idx="34">
                  <c:v>1000.2565422822668</c:v>
                </c:pt>
                <c:pt idx="35">
                  <c:v>982.05153800876769</c:v>
                </c:pt>
              </c:numCache>
            </c:numRef>
          </c:yVal>
          <c:smooth val="1"/>
          <c:extLst>
            <c:ext xmlns:c16="http://schemas.microsoft.com/office/drawing/2014/chart" uri="{C3380CC4-5D6E-409C-BE32-E72D297353CC}">
              <c16:uniqueId val="{00000001-0681-4120-AD35-4C6B0E4AA417}"/>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Month</a:t>
                </a:r>
              </a:p>
            </c:rich>
          </c:tx>
          <c:overlay val="0"/>
        </c:title>
        <c:numFmt formatCode="General" sourceLinked="0"/>
        <c:majorTickMark val="none"/>
        <c:minorTickMark val="none"/>
        <c:tickLblPos val="nextTo"/>
        <c:crossAx val="20"/>
        <c:crosses val="autoZero"/>
        <c:crossBetween val="midCat"/>
      </c:valAx>
      <c:valAx>
        <c:axId val="20"/>
        <c:scaling>
          <c:orientation val="minMax"/>
        </c:scaling>
        <c:delete val="0"/>
        <c:axPos val="l"/>
        <c:majorGridlines>
          <c:spPr>
            <a:ln>
              <a:solidFill>
                <a:srgbClr val="E4E9F0"/>
              </a:solidFill>
              <a:prstDash val="solid"/>
            </a:ln>
          </c:spPr>
        </c:majorGridlines>
        <c:title>
          <c:tx>
            <c:rich>
              <a:bodyPr/>
              <a:lstStyle/>
              <a:p>
                <a:pPr>
                  <a:defRPr/>
                </a:pPr>
                <a:r>
                  <a:rPr lang="en-US"/>
                  <a:t>Rate (bbl/d)</a:t>
                </a:r>
              </a:p>
            </c:rich>
          </c:tx>
          <c:overlay val="0"/>
        </c:title>
        <c:numFmt formatCode="#,##0" sourceLinked="0"/>
        <c:majorTickMark val="none"/>
        <c:minorTickMark val="none"/>
        <c:tickLblPos val="nextTo"/>
        <c:crossAx val="10"/>
        <c:crosses val="min"/>
        <c:crossBetween val="midCat"/>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Production (kbbl, left axis)</c:v>
          </c:tx>
          <c:spPr>
            <a:solidFill>
              <a:srgbClr val="0E4F92"/>
            </a:solidFill>
            <a:ln>
              <a:noFill/>
              <a:prstDash val="solid"/>
            </a:ln>
          </c:spPr>
          <c:invertIfNegative val="1"/>
          <c:cat>
            <c:numRef>
              <c:f>Forecast!$F$7:$Q$7</c:f>
              <c:numCache>
                <c:formatCode>0</c:formatCode>
                <c:ptCount val="12"/>
                <c:pt idx="0">
                  <c:v>2027</c:v>
                </c:pt>
                <c:pt idx="1">
                  <c:v>2028</c:v>
                </c:pt>
                <c:pt idx="2">
                  <c:v>2029</c:v>
                </c:pt>
                <c:pt idx="3">
                  <c:v>2030</c:v>
                </c:pt>
                <c:pt idx="4">
                  <c:v>2031</c:v>
                </c:pt>
                <c:pt idx="5">
                  <c:v>2032</c:v>
                </c:pt>
                <c:pt idx="6">
                  <c:v>2033</c:v>
                </c:pt>
                <c:pt idx="7">
                  <c:v>2034</c:v>
                </c:pt>
                <c:pt idx="8">
                  <c:v>2035</c:v>
                </c:pt>
                <c:pt idx="9">
                  <c:v>2036</c:v>
                </c:pt>
                <c:pt idx="10">
                  <c:v>2037</c:v>
                </c:pt>
                <c:pt idx="11">
                  <c:v>2038</c:v>
                </c:pt>
              </c:numCache>
            </c:numRef>
          </c:cat>
          <c:val>
            <c:numRef>
              <c:f>Forecast!$F$26:$Q$26</c:f>
              <c:numCache>
                <c:formatCode>#,##0.0_);\(#,##0.0\);"–"_)</c:formatCode>
                <c:ptCount val="12"/>
                <c:pt idx="0">
                  <c:v>328.90406676873744</c:v>
                </c:pt>
                <c:pt idx="1">
                  <c:v>266.25658149434258</c:v>
                </c:pt>
                <c:pt idx="2">
                  <c:v>215.54177753265742</c:v>
                </c:pt>
                <c:pt idx="3">
                  <c:v>174.48679616178697</c:v>
                </c:pt>
                <c:pt idx="4">
                  <c:v>141.25169785329473</c:v>
                </c:pt>
                <c:pt idx="5">
                  <c:v>114.3470026691224</c:v>
                </c:pt>
                <c:pt idx="6">
                  <c:v>92.566937021828508</c:v>
                </c:pt>
                <c:pt idx="7">
                  <c:v>74.93539515327403</c:v>
                </c:pt>
                <c:pt idx="8">
                  <c:v>59.200363508028722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53E6-4451-ACA7-0C48067E0F8A}"/>
            </c:ext>
          </c:extLst>
        </c:ser>
        <c:dLbls>
          <c:showLegendKey val="0"/>
          <c:showVal val="0"/>
          <c:showCatName val="0"/>
          <c:showSerName val="0"/>
          <c:showPercent val="0"/>
          <c:showBubbleSize val="0"/>
        </c:dLbls>
        <c:gapWidth val="40"/>
        <c:axId val="10"/>
        <c:axId val="100"/>
      </c:barChart>
      <c:lineChart>
        <c:grouping val="standard"/>
        <c:varyColors val="1"/>
        <c:ser>
          <c:idx val="1"/>
          <c:order val="1"/>
          <c:tx>
            <c:v>Average rate (bbl/d, right axis)</c:v>
          </c:tx>
          <c:spPr>
            <a:ln w="22000">
              <a:solidFill>
                <a:srgbClr val="B45309"/>
              </a:solidFill>
              <a:prstDash val="solid"/>
            </a:ln>
          </c:spPr>
          <c:marker>
            <c:symbol val="none"/>
          </c:marker>
          <c:val>
            <c:numRef>
              <c:f>Forecast!$F$27:$Q$27</c:f>
              <c:numCache>
                <c:formatCode>#,##0_);\(#,##0\);"–"_)</c:formatCode>
                <c:ptCount val="12"/>
                <c:pt idx="0">
                  <c:v>900.490258093737</c:v>
                </c:pt>
                <c:pt idx="1">
                  <c:v>728.97079122338835</c:v>
                </c:pt>
                <c:pt idx="2">
                  <c:v>590.12122527763847</c:v>
                </c:pt>
                <c:pt idx="3">
                  <c:v>477.71881221570698</c:v>
                </c:pt>
                <c:pt idx="4">
                  <c:v>386.72607215138873</c:v>
                </c:pt>
                <c:pt idx="5">
                  <c:v>313.06503126385326</c:v>
                </c:pt>
                <c:pt idx="6">
                  <c:v>253.43446138762081</c:v>
                </c:pt>
                <c:pt idx="7">
                  <c:v>205.16193060444635</c:v>
                </c:pt>
                <c:pt idx="8">
                  <c:v>162.08176182896295</c:v>
                </c:pt>
                <c:pt idx="9">
                  <c:v>0</c:v>
                </c:pt>
                <c:pt idx="10">
                  <c:v>0</c:v>
                </c:pt>
                <c:pt idx="11">
                  <c:v>0</c:v>
                </c:pt>
              </c:numCache>
            </c:numRef>
          </c:val>
          <c:smooth val="0"/>
          <c:extLst>
            <c:ext xmlns:c16="http://schemas.microsoft.com/office/drawing/2014/chart" uri="{C3380CC4-5D6E-409C-BE32-E72D297353CC}">
              <c16:uniqueId val="{00000001-53E6-4451-ACA7-0C48067E0F8A}"/>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0" sourceLinked="1"/>
        <c:majorTickMark val="none"/>
        <c:minorTickMark val="none"/>
        <c:tickLblPos val="nextTo"/>
        <c:crossAx val="100"/>
        <c:crosses val="autoZero"/>
        <c:auto val="1"/>
        <c:lblAlgn val="ctr"/>
        <c:lblOffset val="100"/>
        <c:tickLblSkip val="2"/>
        <c:noMultiLvlLbl val="1"/>
      </c:catAx>
      <c:valAx>
        <c:axId val="100"/>
        <c:scaling>
          <c:orientation val="minMax"/>
        </c:scaling>
        <c:delete val="0"/>
        <c:axPos val="l"/>
        <c:majorGridlines>
          <c:spPr>
            <a:ln>
              <a:solidFill>
                <a:srgbClr val="E4E9F0"/>
              </a:solidFill>
              <a:prstDash val="solid"/>
            </a:ln>
          </c:spPr>
        </c:majorGridlines>
        <c:numFmt formatCode="#,##0" sourceLinked="0"/>
        <c:majorTickMark val="none"/>
        <c:minorTickMark val="none"/>
        <c:tickLblPos val="nextTo"/>
        <c:crossAx val="10"/>
        <c:crosses val="autoZero"/>
        <c:crossBetween val="between"/>
      </c:valAx>
      <c:valAx>
        <c:axId val="200"/>
        <c:scaling>
          <c:orientation val="minMax"/>
          <c:min val="0"/>
        </c:scaling>
        <c:delete val="0"/>
        <c:axPos val="r"/>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P10 (high)</c:v>
          </c:tx>
          <c:spPr>
            <a:ln w="15875">
              <a:solidFill>
                <a:srgbClr val="0E4F92"/>
              </a:solidFill>
              <a:prstDash val="dash"/>
            </a:ln>
          </c:spPr>
          <c:marker>
            <c:symbol val="none"/>
          </c:marker>
          <c:cat>
            <c:numRef>
              <c:f>Results!$B$119:$B$130</c:f>
              <c:numCache>
                <c:formatCode>General</c:formatCode>
                <c:ptCount val="12"/>
                <c:pt idx="0">
                  <c:v>2027</c:v>
                </c:pt>
                <c:pt idx="1">
                  <c:v>2028</c:v>
                </c:pt>
                <c:pt idx="2">
                  <c:v>2029</c:v>
                </c:pt>
                <c:pt idx="3">
                  <c:v>2030</c:v>
                </c:pt>
                <c:pt idx="4">
                  <c:v>2031</c:v>
                </c:pt>
                <c:pt idx="5">
                  <c:v>2032</c:v>
                </c:pt>
                <c:pt idx="6">
                  <c:v>2033</c:v>
                </c:pt>
                <c:pt idx="7">
                  <c:v>2034</c:v>
                </c:pt>
                <c:pt idx="8">
                  <c:v>2035</c:v>
                </c:pt>
                <c:pt idx="9">
                  <c:v>2036</c:v>
                </c:pt>
                <c:pt idx="10">
                  <c:v>2037</c:v>
                </c:pt>
                <c:pt idx="11">
                  <c:v>2038</c:v>
                </c:pt>
              </c:numCache>
            </c:numRef>
          </c:cat>
          <c:val>
            <c:numRef>
              <c:f>Results!$E$119:$E$130</c:f>
              <c:numCache>
                <c:formatCode>#,##0.00</c:formatCode>
                <c:ptCount val="12"/>
                <c:pt idx="0">
                  <c:v>337.10607340516043</c:v>
                </c:pt>
                <c:pt idx="1">
                  <c:v>275.59021576163309</c:v>
                </c:pt>
                <c:pt idx="2">
                  <c:v>224.84085767333062</c:v>
                </c:pt>
                <c:pt idx="3">
                  <c:v>183.01650594562054</c:v>
                </c:pt>
                <c:pt idx="4">
                  <c:v>148.89814635654352</c:v>
                </c:pt>
                <c:pt idx="5">
                  <c:v>121.06560444716862</c:v>
                </c:pt>
                <c:pt idx="6">
                  <c:v>98.48179575059109</c:v>
                </c:pt>
                <c:pt idx="7">
                  <c:v>80.239360792772217</c:v>
                </c:pt>
                <c:pt idx="8">
                  <c:v>65.468453183211707</c:v>
                </c:pt>
                <c:pt idx="9">
                  <c:v>20.822876577920123</c:v>
                </c:pt>
                <c:pt idx="10">
                  <c:v>0</c:v>
                </c:pt>
                <c:pt idx="11">
                  <c:v>0</c:v>
                </c:pt>
              </c:numCache>
            </c:numRef>
          </c:val>
          <c:smooth val="0"/>
          <c:extLst>
            <c:ext xmlns:c16="http://schemas.microsoft.com/office/drawing/2014/chart" uri="{C3380CC4-5D6E-409C-BE32-E72D297353CC}">
              <c16:uniqueId val="{00000000-D321-4333-8525-3C3E71DE2F5A}"/>
            </c:ext>
          </c:extLst>
        </c:ser>
        <c:ser>
          <c:idx val="1"/>
          <c:order val="1"/>
          <c:tx>
            <c:v>Median</c:v>
          </c:tx>
          <c:spPr>
            <a:ln w="28575">
              <a:solidFill>
                <a:srgbClr val="0E4F92"/>
              </a:solidFill>
              <a:prstDash val="solid"/>
            </a:ln>
          </c:spPr>
          <c:marker>
            <c:symbol val="none"/>
          </c:marker>
          <c:cat>
            <c:numRef>
              <c:f>Results!$B$119:$B$130</c:f>
              <c:numCache>
                <c:formatCode>General</c:formatCode>
                <c:ptCount val="12"/>
                <c:pt idx="0">
                  <c:v>2027</c:v>
                </c:pt>
                <c:pt idx="1">
                  <c:v>2028</c:v>
                </c:pt>
                <c:pt idx="2">
                  <c:v>2029</c:v>
                </c:pt>
                <c:pt idx="3">
                  <c:v>2030</c:v>
                </c:pt>
                <c:pt idx="4">
                  <c:v>2031</c:v>
                </c:pt>
                <c:pt idx="5">
                  <c:v>2032</c:v>
                </c:pt>
                <c:pt idx="6">
                  <c:v>2033</c:v>
                </c:pt>
                <c:pt idx="7">
                  <c:v>2034</c:v>
                </c:pt>
                <c:pt idx="8">
                  <c:v>2035</c:v>
                </c:pt>
                <c:pt idx="9">
                  <c:v>2036</c:v>
                </c:pt>
                <c:pt idx="10">
                  <c:v>2037</c:v>
                </c:pt>
                <c:pt idx="11">
                  <c:v>2038</c:v>
                </c:pt>
              </c:numCache>
            </c:numRef>
          </c:cat>
          <c:val>
            <c:numRef>
              <c:f>Results!$D$119:$D$130</c:f>
              <c:numCache>
                <c:formatCode>#,##0.00</c:formatCode>
                <c:ptCount val="12"/>
                <c:pt idx="0">
                  <c:v>322.16127988192682</c:v>
                </c:pt>
                <c:pt idx="1">
                  <c:v>258.07798821546515</c:v>
                </c:pt>
                <c:pt idx="2">
                  <c:v>205.54506638023352</c:v>
                </c:pt>
                <c:pt idx="3">
                  <c:v>162.973912062045</c:v>
                </c:pt>
                <c:pt idx="4">
                  <c:v>128.39533257130844</c:v>
                </c:pt>
                <c:pt idx="5">
                  <c:v>101.03937968693737</c:v>
                </c:pt>
                <c:pt idx="6">
                  <c:v>79.418209281503778</c:v>
                </c:pt>
                <c:pt idx="7">
                  <c:v>62.548555566365387</c:v>
                </c:pt>
                <c:pt idx="8">
                  <c:v>3.3011026532588179</c:v>
                </c:pt>
                <c:pt idx="9">
                  <c:v>0</c:v>
                </c:pt>
                <c:pt idx="10">
                  <c:v>0</c:v>
                </c:pt>
                <c:pt idx="11">
                  <c:v>0</c:v>
                </c:pt>
              </c:numCache>
            </c:numRef>
          </c:val>
          <c:smooth val="0"/>
          <c:extLst>
            <c:ext xmlns:c16="http://schemas.microsoft.com/office/drawing/2014/chart" uri="{C3380CC4-5D6E-409C-BE32-E72D297353CC}">
              <c16:uniqueId val="{00000001-D321-4333-8525-3C3E71DE2F5A}"/>
            </c:ext>
          </c:extLst>
        </c:ser>
        <c:ser>
          <c:idx val="2"/>
          <c:order val="2"/>
          <c:tx>
            <c:v>Mean</c:v>
          </c:tx>
          <c:spPr>
            <a:ln w="19050">
              <a:solidFill>
                <a:srgbClr val="B45309"/>
              </a:solidFill>
              <a:prstDash val="solid"/>
            </a:ln>
          </c:spPr>
          <c:marker>
            <c:symbol val="none"/>
          </c:marker>
          <c:cat>
            <c:numRef>
              <c:f>Results!$B$119:$B$130</c:f>
              <c:numCache>
                <c:formatCode>General</c:formatCode>
                <c:ptCount val="12"/>
                <c:pt idx="0">
                  <c:v>2027</c:v>
                </c:pt>
                <c:pt idx="1">
                  <c:v>2028</c:v>
                </c:pt>
                <c:pt idx="2">
                  <c:v>2029</c:v>
                </c:pt>
                <c:pt idx="3">
                  <c:v>2030</c:v>
                </c:pt>
                <c:pt idx="4">
                  <c:v>2031</c:v>
                </c:pt>
                <c:pt idx="5">
                  <c:v>2032</c:v>
                </c:pt>
                <c:pt idx="6">
                  <c:v>2033</c:v>
                </c:pt>
                <c:pt idx="7">
                  <c:v>2034</c:v>
                </c:pt>
                <c:pt idx="8">
                  <c:v>2035</c:v>
                </c:pt>
                <c:pt idx="9">
                  <c:v>2036</c:v>
                </c:pt>
                <c:pt idx="10">
                  <c:v>2037</c:v>
                </c:pt>
                <c:pt idx="11">
                  <c:v>2038</c:v>
                </c:pt>
              </c:numCache>
            </c:numRef>
          </c:cat>
          <c:val>
            <c:numRef>
              <c:f>Results!$F$119:$F$130</c:f>
              <c:numCache>
                <c:formatCode>#,##0.00</c:formatCode>
                <c:ptCount val="12"/>
                <c:pt idx="0">
                  <c:v>322.37447827728926</c:v>
                </c:pt>
                <c:pt idx="1">
                  <c:v>258.25630191503609</c:v>
                </c:pt>
                <c:pt idx="2">
                  <c:v>205.37449547259129</c:v>
                </c:pt>
                <c:pt idx="3">
                  <c:v>161.70114008229893</c:v>
                </c:pt>
                <c:pt idx="4">
                  <c:v>126.26962327000668</c:v>
                </c:pt>
                <c:pt idx="5">
                  <c:v>96.768804603498808</c:v>
                </c:pt>
                <c:pt idx="6">
                  <c:v>69.849254606712165</c:v>
                </c:pt>
                <c:pt idx="7">
                  <c:v>45.886514306465926</c:v>
                </c:pt>
                <c:pt idx="8">
                  <c:v>21.743899506520165</c:v>
                </c:pt>
                <c:pt idx="9">
                  <c:v>5.2988945944967254</c:v>
                </c:pt>
                <c:pt idx="10">
                  <c:v>0.69312124017137955</c:v>
                </c:pt>
                <c:pt idx="11">
                  <c:v>5.5179823240567825E-2</c:v>
                </c:pt>
              </c:numCache>
            </c:numRef>
          </c:val>
          <c:smooth val="0"/>
          <c:extLst>
            <c:ext xmlns:c16="http://schemas.microsoft.com/office/drawing/2014/chart" uri="{C3380CC4-5D6E-409C-BE32-E72D297353CC}">
              <c16:uniqueId val="{00000002-D321-4333-8525-3C3E71DE2F5A}"/>
            </c:ext>
          </c:extLst>
        </c:ser>
        <c:ser>
          <c:idx val="3"/>
          <c:order val="3"/>
          <c:tx>
            <c:v>P90 (low)</c:v>
          </c:tx>
          <c:spPr>
            <a:ln w="15875">
              <a:solidFill>
                <a:srgbClr val="0E4F92"/>
              </a:solidFill>
              <a:prstDash val="dash"/>
            </a:ln>
          </c:spPr>
          <c:marker>
            <c:symbol val="none"/>
          </c:marker>
          <c:cat>
            <c:numRef>
              <c:f>Results!$B$119:$B$130</c:f>
              <c:numCache>
                <c:formatCode>General</c:formatCode>
                <c:ptCount val="12"/>
                <c:pt idx="0">
                  <c:v>2027</c:v>
                </c:pt>
                <c:pt idx="1">
                  <c:v>2028</c:v>
                </c:pt>
                <c:pt idx="2">
                  <c:v>2029</c:v>
                </c:pt>
                <c:pt idx="3">
                  <c:v>2030</c:v>
                </c:pt>
                <c:pt idx="4">
                  <c:v>2031</c:v>
                </c:pt>
                <c:pt idx="5">
                  <c:v>2032</c:v>
                </c:pt>
                <c:pt idx="6">
                  <c:v>2033</c:v>
                </c:pt>
                <c:pt idx="7">
                  <c:v>2034</c:v>
                </c:pt>
                <c:pt idx="8">
                  <c:v>2035</c:v>
                </c:pt>
                <c:pt idx="9">
                  <c:v>2036</c:v>
                </c:pt>
                <c:pt idx="10">
                  <c:v>2037</c:v>
                </c:pt>
                <c:pt idx="11">
                  <c:v>2038</c:v>
                </c:pt>
              </c:numCache>
            </c:numRef>
          </c:cat>
          <c:val>
            <c:numRef>
              <c:f>Results!$C$119:$C$130</c:f>
              <c:numCache>
                <c:formatCode>#,##0.00</c:formatCode>
                <c:ptCount val="12"/>
                <c:pt idx="0">
                  <c:v>308.01698689430867</c:v>
                </c:pt>
                <c:pt idx="1">
                  <c:v>241.328197341471</c:v>
                </c:pt>
                <c:pt idx="2">
                  <c:v>186.30238930655477</c:v>
                </c:pt>
                <c:pt idx="3">
                  <c:v>139.24445268771311</c:v>
                </c:pt>
                <c:pt idx="4">
                  <c:v>99.477584296586798</c:v>
                </c:pt>
                <c:pt idx="5">
                  <c:v>70.001481956220218</c:v>
                </c:pt>
                <c:pt idx="6">
                  <c:v>9.6804370185443567</c:v>
                </c:pt>
                <c:pt idx="7">
                  <c:v>0</c:v>
                </c:pt>
                <c:pt idx="8">
                  <c:v>0</c:v>
                </c:pt>
                <c:pt idx="9">
                  <c:v>0</c:v>
                </c:pt>
                <c:pt idx="10">
                  <c:v>0</c:v>
                </c:pt>
                <c:pt idx="11">
                  <c:v>0</c:v>
                </c:pt>
              </c:numCache>
            </c:numRef>
          </c:val>
          <c:smooth val="0"/>
          <c:extLst>
            <c:ext xmlns:c16="http://schemas.microsoft.com/office/drawing/2014/chart" uri="{C3380CC4-5D6E-409C-BE32-E72D297353CC}">
              <c16:uniqueId val="{00000003-D321-4333-8525-3C3E71DE2F5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Production (kbbl per year)</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Results!$B$112:$B$116</c:f>
              <c:strCache>
                <c:ptCount val="5"/>
                <c:pt idx="0">
                  <c:v>Decline rate</c:v>
                </c:pt>
                <c:pt idx="1">
                  <c:v>Start rate</c:v>
                </c:pt>
                <c:pt idx="2">
                  <c:v>Water breakthrough</c:v>
                </c:pt>
                <c:pt idx="3">
                  <c:v>Time to breakthrough</c:v>
                </c:pt>
                <c:pt idx="4">
                  <c:v>Breakthrough decline factor</c:v>
                </c:pt>
              </c:strCache>
            </c:strRef>
          </c:cat>
          <c:val>
            <c:numRef>
              <c:f>Results!$F$112:$F$116</c:f>
              <c:numCache>
                <c:formatCode>#,##0_);\(#,##0\);"–"_)</c:formatCode>
                <c:ptCount val="5"/>
                <c:pt idx="0">
                  <c:v>251.81109032742938</c:v>
                </c:pt>
                <c:pt idx="1">
                  <c:v>236.70146846950911</c:v>
                </c:pt>
                <c:pt idx="2">
                  <c:v>79.008476535526142</c:v>
                </c:pt>
                <c:pt idx="3">
                  <c:v>48.1900614065014</c:v>
                </c:pt>
                <c:pt idx="4">
                  <c:v>22.227842057401176</c:v>
                </c:pt>
              </c:numCache>
            </c:numRef>
          </c:val>
          <c:extLst>
            <c:ext xmlns:c16="http://schemas.microsoft.com/office/drawing/2014/chart" uri="{C3380CC4-5D6E-409C-BE32-E72D297353CC}">
              <c16:uniqueId val="{00000000-3C7D-4C82-802E-3CD6CC3417B5}"/>
            </c:ext>
          </c:extLst>
        </c:ser>
        <c:ser>
          <c:idx val="1"/>
          <c:order val="1"/>
          <c:tx>
            <c:v>Lowest group mean</c:v>
          </c:tx>
          <c:spPr>
            <a:solidFill>
              <a:srgbClr val="B91C1C"/>
            </a:solidFill>
            <a:ln>
              <a:noFill/>
              <a:prstDash val="solid"/>
            </a:ln>
          </c:spPr>
          <c:invertIfNegative val="0"/>
          <c:cat>
            <c:strRef>
              <c:f>Results!$B$112:$B$116</c:f>
              <c:strCache>
                <c:ptCount val="5"/>
                <c:pt idx="0">
                  <c:v>Decline rate</c:v>
                </c:pt>
                <c:pt idx="1">
                  <c:v>Start rate</c:v>
                </c:pt>
                <c:pt idx="2">
                  <c:v>Water breakthrough</c:v>
                </c:pt>
                <c:pt idx="3">
                  <c:v>Time to breakthrough</c:v>
                </c:pt>
                <c:pt idx="4">
                  <c:v>Breakthrough decline factor</c:v>
                </c:pt>
              </c:strCache>
            </c:strRef>
          </c:cat>
          <c:val>
            <c:numRef>
              <c:f>Results!$G$112:$G$116</c:f>
              <c:numCache>
                <c:formatCode>#,##0_);\(#,##0\);"–"_)</c:formatCode>
                <c:ptCount val="5"/>
                <c:pt idx="0">
                  <c:v>-210.70643864743943</c:v>
                </c:pt>
                <c:pt idx="1">
                  <c:v>-202.49649541946792</c:v>
                </c:pt>
                <c:pt idx="2">
                  <c:v>-143.30012373325803</c:v>
                </c:pt>
                <c:pt idx="3">
                  <c:v>-52.660837488059087</c:v>
                </c:pt>
                <c:pt idx="4">
                  <c:v>-28.034996242232637</c:v>
                </c:pt>
              </c:numCache>
            </c:numRef>
          </c:val>
          <c:extLst>
            <c:ext xmlns:c16="http://schemas.microsoft.com/office/drawing/2014/chart" uri="{C3380CC4-5D6E-409C-BE32-E72D297353CC}">
              <c16:uniqueId val="{00000001-3C7D-4C82-802E-3CD6CC3417B5}"/>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Chance of at least this volume</c:v>
          </c:tx>
          <c:spPr>
            <a:ln w="25400">
              <a:solidFill>
                <a:srgbClr val="0E4F92"/>
              </a:solidFill>
              <a:prstDash val="solid"/>
            </a:ln>
          </c:spPr>
          <c:marker>
            <c:symbol val="none"/>
          </c:marker>
          <c:xVal>
            <c:numRef>
              <c:f>Results!$D$59:$D$108</c:f>
              <c:numCache>
                <c:formatCode>#,##0.00</c:formatCode>
                <c:ptCount val="50"/>
                <c:pt idx="0">
                  <c:v>892.11376780038199</c:v>
                </c:pt>
                <c:pt idx="1">
                  <c:v>969.00253270299424</c:v>
                </c:pt>
                <c:pt idx="2">
                  <c:v>1009.9068812315863</c:v>
                </c:pt>
                <c:pt idx="3">
                  <c:v>1042.5103865850804</c:v>
                </c:pt>
                <c:pt idx="4">
                  <c:v>1067.7004892359278</c:v>
                </c:pt>
                <c:pt idx="5">
                  <c:v>1090.2316896464051</c:v>
                </c:pt>
                <c:pt idx="6">
                  <c:v>1110.1417363698265</c:v>
                </c:pt>
                <c:pt idx="7">
                  <c:v>1127.4132538076917</c:v>
                </c:pt>
                <c:pt idx="8">
                  <c:v>1143.6677411916648</c:v>
                </c:pt>
                <c:pt idx="9">
                  <c:v>1157.6232926846258</c:v>
                </c:pt>
                <c:pt idx="10">
                  <c:v>1171.2560007087704</c:v>
                </c:pt>
                <c:pt idx="11">
                  <c:v>1183.1735998118052</c:v>
                </c:pt>
                <c:pt idx="12">
                  <c:v>1194.5120546401167</c:v>
                </c:pt>
                <c:pt idx="13">
                  <c:v>1205.5048108738868</c:v>
                </c:pt>
                <c:pt idx="14">
                  <c:v>1217.0850569321726</c:v>
                </c:pt>
                <c:pt idx="15">
                  <c:v>1226.7140227218822</c:v>
                </c:pt>
                <c:pt idx="16">
                  <c:v>1235.9840143221793</c:v>
                </c:pt>
                <c:pt idx="17">
                  <c:v>1246.1276491242484</c:v>
                </c:pt>
                <c:pt idx="18">
                  <c:v>1255.2386176845357</c:v>
                </c:pt>
                <c:pt idx="19">
                  <c:v>1264.237191746932</c:v>
                </c:pt>
                <c:pt idx="20">
                  <c:v>1274.5825675981791</c:v>
                </c:pt>
                <c:pt idx="21">
                  <c:v>1283.7257643134858</c:v>
                </c:pt>
                <c:pt idx="22">
                  <c:v>1292.186850549306</c:v>
                </c:pt>
                <c:pt idx="23">
                  <c:v>1302.1522320000381</c:v>
                </c:pt>
                <c:pt idx="24">
                  <c:v>1310.5429447186855</c:v>
                </c:pt>
                <c:pt idx="25">
                  <c:v>1318.4155567715018</c:v>
                </c:pt>
                <c:pt idx="26">
                  <c:v>1326.4007979182909</c:v>
                </c:pt>
                <c:pt idx="27">
                  <c:v>1335.1626492503588</c:v>
                </c:pt>
                <c:pt idx="28">
                  <c:v>1343.7989950648368</c:v>
                </c:pt>
                <c:pt idx="29">
                  <c:v>1352.6145740642596</c:v>
                </c:pt>
                <c:pt idx="30">
                  <c:v>1361.1952325013522</c:v>
                </c:pt>
                <c:pt idx="31">
                  <c:v>1370.7613820575082</c:v>
                </c:pt>
                <c:pt idx="32">
                  <c:v>1381.2592706088408</c:v>
                </c:pt>
                <c:pt idx="33">
                  <c:v>1391.3330324064234</c:v>
                </c:pt>
                <c:pt idx="34">
                  <c:v>1400.5896732656327</c:v>
                </c:pt>
                <c:pt idx="35">
                  <c:v>1410.8092615725184</c:v>
                </c:pt>
                <c:pt idx="36">
                  <c:v>1421.747934489453</c:v>
                </c:pt>
                <c:pt idx="37">
                  <c:v>1433.3172892130219</c:v>
                </c:pt>
                <c:pt idx="38">
                  <c:v>1445.3643312986833</c:v>
                </c:pt>
                <c:pt idx="39">
                  <c:v>1457.9880317007671</c:v>
                </c:pt>
                <c:pt idx="40">
                  <c:v>1472.3726041840807</c:v>
                </c:pt>
                <c:pt idx="41">
                  <c:v>1485.6522617625799</c:v>
                </c:pt>
                <c:pt idx="42">
                  <c:v>1498.9074217145462</c:v>
                </c:pt>
                <c:pt idx="43">
                  <c:v>1516.1306661022365</c:v>
                </c:pt>
                <c:pt idx="44">
                  <c:v>1534.2949502009408</c:v>
                </c:pt>
                <c:pt idx="45">
                  <c:v>1555.2882580915414</c:v>
                </c:pt>
                <c:pt idx="46">
                  <c:v>1580.2101221138694</c:v>
                </c:pt>
                <c:pt idx="47">
                  <c:v>1615.8795882705547</c:v>
                </c:pt>
                <c:pt idx="48">
                  <c:v>1663.0452530214707</c:v>
                </c:pt>
                <c:pt idx="49">
                  <c:v>1757.2528901746552</c:v>
                </c:pt>
              </c:numCache>
            </c:numRef>
          </c:xVal>
          <c:yVal>
            <c:numRef>
              <c:f>Results!$C$59:$C$108</c:f>
              <c:numCache>
                <c:formatCode>0%</c:formatCode>
                <c:ptCount val="50"/>
                <c:pt idx="0">
                  <c:v>0.99</c:v>
                </c:pt>
                <c:pt idx="1">
                  <c:v>0.97</c:v>
                </c:pt>
                <c:pt idx="2">
                  <c:v>0.95</c:v>
                </c:pt>
                <c:pt idx="3">
                  <c:v>0.92999999999999994</c:v>
                </c:pt>
                <c:pt idx="4">
                  <c:v>0.91</c:v>
                </c:pt>
                <c:pt idx="5">
                  <c:v>0.89</c:v>
                </c:pt>
                <c:pt idx="6">
                  <c:v>0.87</c:v>
                </c:pt>
                <c:pt idx="7">
                  <c:v>0.85</c:v>
                </c:pt>
                <c:pt idx="8">
                  <c:v>0.83</c:v>
                </c:pt>
                <c:pt idx="9">
                  <c:v>0.81</c:v>
                </c:pt>
                <c:pt idx="10">
                  <c:v>0.79</c:v>
                </c:pt>
                <c:pt idx="11">
                  <c:v>0.77</c:v>
                </c:pt>
                <c:pt idx="12">
                  <c:v>0.75</c:v>
                </c:pt>
                <c:pt idx="13">
                  <c:v>0.73</c:v>
                </c:pt>
                <c:pt idx="14">
                  <c:v>0.71</c:v>
                </c:pt>
                <c:pt idx="15">
                  <c:v>0.69</c:v>
                </c:pt>
                <c:pt idx="16">
                  <c:v>0.66999999999999993</c:v>
                </c:pt>
                <c:pt idx="17">
                  <c:v>0.65</c:v>
                </c:pt>
                <c:pt idx="18">
                  <c:v>0.63</c:v>
                </c:pt>
                <c:pt idx="19">
                  <c:v>0.61</c:v>
                </c:pt>
                <c:pt idx="20">
                  <c:v>0.59000000000000008</c:v>
                </c:pt>
                <c:pt idx="21">
                  <c:v>0.57000000000000006</c:v>
                </c:pt>
                <c:pt idx="22">
                  <c:v>0.55000000000000004</c:v>
                </c:pt>
                <c:pt idx="23">
                  <c:v>0.53</c:v>
                </c:pt>
                <c:pt idx="24">
                  <c:v>0.51</c:v>
                </c:pt>
                <c:pt idx="25">
                  <c:v>0.49</c:v>
                </c:pt>
                <c:pt idx="26">
                  <c:v>0.47</c:v>
                </c:pt>
                <c:pt idx="27">
                  <c:v>0.44999999999999996</c:v>
                </c:pt>
                <c:pt idx="28">
                  <c:v>0.43000000000000005</c:v>
                </c:pt>
                <c:pt idx="29">
                  <c:v>0.41000000000000003</c:v>
                </c:pt>
                <c:pt idx="30">
                  <c:v>0.39</c:v>
                </c:pt>
                <c:pt idx="31">
                  <c:v>0.37</c:v>
                </c:pt>
                <c:pt idx="32">
                  <c:v>0.35</c:v>
                </c:pt>
                <c:pt idx="33">
                  <c:v>0.32999999999999996</c:v>
                </c:pt>
                <c:pt idx="34">
                  <c:v>0.31000000000000005</c:v>
                </c:pt>
                <c:pt idx="35">
                  <c:v>0.29000000000000004</c:v>
                </c:pt>
                <c:pt idx="36">
                  <c:v>0.27</c:v>
                </c:pt>
                <c:pt idx="37">
                  <c:v>0.25</c:v>
                </c:pt>
                <c:pt idx="38">
                  <c:v>0.22999999999999998</c:v>
                </c:pt>
                <c:pt idx="39">
                  <c:v>0.20999999999999996</c:v>
                </c:pt>
                <c:pt idx="40">
                  <c:v>0.18999999999999995</c:v>
                </c:pt>
                <c:pt idx="41">
                  <c:v>0.17000000000000004</c:v>
                </c:pt>
                <c:pt idx="42">
                  <c:v>0.15000000000000002</c:v>
                </c:pt>
                <c:pt idx="43">
                  <c:v>0.13</c:v>
                </c:pt>
                <c:pt idx="44">
                  <c:v>0.10999999999999999</c:v>
                </c:pt>
                <c:pt idx="45">
                  <c:v>8.9999999999999969E-2</c:v>
                </c:pt>
                <c:pt idx="46">
                  <c:v>6.9999999999999951E-2</c:v>
                </c:pt>
                <c:pt idx="47">
                  <c:v>5.0000000000000044E-2</c:v>
                </c:pt>
                <c:pt idx="48">
                  <c:v>3.0000000000000027E-2</c:v>
                </c:pt>
                <c:pt idx="49">
                  <c:v>1.0000000000000009E-2</c:v>
                </c:pt>
              </c:numCache>
            </c:numRef>
          </c:yVal>
          <c:smooth val="1"/>
          <c:extLst>
            <c:ext xmlns:c16="http://schemas.microsoft.com/office/drawing/2014/chart" uri="{C3380CC4-5D6E-409C-BE32-E72D297353CC}">
              <c16:uniqueId val="{00000000-854B-4B61-B282-54579B0F8701}"/>
            </c:ext>
          </c:extLst>
        </c:ser>
        <c:ser>
          <c:idx val="1"/>
          <c:order val="1"/>
          <c:tx>
            <c:v>P90 / P50 / P10</c:v>
          </c:tx>
          <c:spPr>
            <a:ln>
              <a:noFill/>
              <a:prstDash val="solid"/>
            </a:ln>
          </c:spPr>
          <c:marker>
            <c:symbol val="circle"/>
            <c:size val="7"/>
            <c:spPr>
              <a:solidFill>
                <a:srgbClr val="B45309"/>
              </a:solidFill>
              <a:ln>
                <a:solidFill>
                  <a:srgbClr val="B45309"/>
                </a:solidFill>
                <a:prstDash val="solid"/>
              </a:ln>
            </c:spPr>
          </c:marker>
          <c:xVal>
            <c:numRef>
              <c:f>Results!$D$133:$D$135</c:f>
              <c:numCache>
                <c:formatCode>#,##0.00</c:formatCode>
                <c:ptCount val="3"/>
                <c:pt idx="0">
                  <c:v>1078.4806009248157</c:v>
                </c:pt>
                <c:pt idx="1">
                  <c:v>1314.4310463773681</c:v>
                </c:pt>
                <c:pt idx="2">
                  <c:v>1545.8156892636212</c:v>
                </c:pt>
              </c:numCache>
            </c:numRef>
          </c:xVal>
          <c:yVal>
            <c:numRef>
              <c:f>Results!$C$133:$C$135</c:f>
              <c:numCache>
                <c:formatCode>0%</c:formatCode>
                <c:ptCount val="3"/>
                <c:pt idx="0">
                  <c:v>0.9</c:v>
                </c:pt>
                <c:pt idx="1">
                  <c:v>0.5</c:v>
                </c:pt>
                <c:pt idx="2">
                  <c:v>0.1</c:v>
                </c:pt>
              </c:numCache>
            </c:numRef>
          </c:yVal>
          <c:smooth val="1"/>
          <c:extLst>
            <c:ext xmlns:c16="http://schemas.microsoft.com/office/drawing/2014/chart" uri="{C3380CC4-5D6E-409C-BE32-E72D297353CC}">
              <c16:uniqueId val="{00000001-854B-4B61-B282-54579B0F8701}"/>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Remaining volume (kbbl)</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Probability of at least this value</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31</xdr:row>
      <xdr:rowOff>0</xdr:rowOff>
    </xdr:from>
    <xdr:ext cx="7020000" cy="273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45</xdr:row>
      <xdr:rowOff>0</xdr:rowOff>
    </xdr:from>
    <xdr:ext cx="7920000" cy="2592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26</xdr:row>
      <xdr:rowOff>0</xdr:rowOff>
    </xdr:from>
    <xdr:ext cx="6263999" cy="21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40</xdr:row>
      <xdr:rowOff>0</xdr:rowOff>
    </xdr:from>
    <xdr:ext cx="6263999" cy="2376000"/>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7"/>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8" t="s">
        <v>20</v>
      </c>
      <c r="C16" s="8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39.4"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ht="26.25" x14ac:dyDescent="0.45">
      <c r="B59" s="9" t="s">
        <v>70</v>
      </c>
      <c r="C59" s="10" t="s">
        <v>71</v>
      </c>
    </row>
    <row r="60" spans="2:3" x14ac:dyDescent="0.45">
      <c r="B60" s="9" t="s">
        <v>72</v>
      </c>
      <c r="C60" s="10" t="s">
        <v>73</v>
      </c>
    </row>
    <row r="61" spans="2:3" x14ac:dyDescent="0.45">
      <c r="B61" s="9" t="s">
        <v>74</v>
      </c>
      <c r="C61" s="10" t="s">
        <v>75</v>
      </c>
    </row>
    <row r="62" spans="2:3" x14ac:dyDescent="0.45">
      <c r="B62" s="9" t="s">
        <v>76</v>
      </c>
      <c r="C62" s="10" t="s">
        <v>77</v>
      </c>
    </row>
    <row r="63" spans="2:3" ht="12" customHeight="1" x14ac:dyDescent="0.45"/>
    <row r="64" spans="2:3" ht="22.05" customHeight="1" x14ac:dyDescent="0.5">
      <c r="B64" s="7" t="s">
        <v>78</v>
      </c>
      <c r="C64" s="8"/>
    </row>
    <row r="65" spans="2:3" x14ac:dyDescent="0.45">
      <c r="B65" s="20" t="s">
        <v>79</v>
      </c>
      <c r="C65" s="10" t="s">
        <v>80</v>
      </c>
    </row>
    <row r="66" spans="2:3" x14ac:dyDescent="0.45">
      <c r="B66" s="20" t="s">
        <v>81</v>
      </c>
      <c r="C66" s="10" t="s">
        <v>82</v>
      </c>
    </row>
    <row r="67" spans="2:3" x14ac:dyDescent="0.45">
      <c r="B67" s="20" t="s">
        <v>83</v>
      </c>
      <c r="C67" s="10" t="s">
        <v>84</v>
      </c>
    </row>
    <row r="68" spans="2:3" ht="39.4" x14ac:dyDescent="0.45">
      <c r="B68" s="20" t="s">
        <v>85</v>
      </c>
      <c r="C68" s="10" t="s">
        <v>86</v>
      </c>
    </row>
    <row r="69" spans="2:3" x14ac:dyDescent="0.45">
      <c r="B69" s="20" t="s">
        <v>87</v>
      </c>
      <c r="C69" s="10" t="s">
        <v>88</v>
      </c>
    </row>
    <row r="70" spans="2:3" x14ac:dyDescent="0.45">
      <c r="B70" s="20" t="s">
        <v>89</v>
      </c>
      <c r="C70" s="10" t="s">
        <v>90</v>
      </c>
    </row>
    <row r="71" spans="2:3" ht="12" customHeight="1" x14ac:dyDescent="0.45"/>
    <row r="72" spans="2:3" ht="22.05" customHeight="1" x14ac:dyDescent="0.5">
      <c r="B72" s="7" t="s">
        <v>91</v>
      </c>
      <c r="C72" s="8"/>
    </row>
    <row r="73" spans="2:3" x14ac:dyDescent="0.45">
      <c r="B73" s="9" t="s">
        <v>92</v>
      </c>
      <c r="C73" s="10" t="s">
        <v>93</v>
      </c>
    </row>
    <row r="74" spans="2:3" x14ac:dyDescent="0.45">
      <c r="B74" s="9" t="s">
        <v>94</v>
      </c>
      <c r="C74" s="10" t="s">
        <v>95</v>
      </c>
    </row>
    <row r="75" spans="2:3" x14ac:dyDescent="0.45">
      <c r="B75" s="9" t="s">
        <v>96</v>
      </c>
      <c r="C75" s="10" t="s">
        <v>97</v>
      </c>
    </row>
    <row r="76" spans="2:3" ht="16.05" customHeight="1" x14ac:dyDescent="0.45"/>
    <row r="77" spans="2:3" x14ac:dyDescent="0.45">
      <c r="B77" s="86" t="s">
        <v>98</v>
      </c>
      <c r="C77" s="87"/>
    </row>
  </sheetData>
  <mergeCells count="2">
    <mergeCell ref="B77:C77"/>
    <mergeCell ref="B16:C16"/>
  </mergeCells>
  <hyperlinks>
    <hyperlink ref="D4" location="'Inputs'!A1" display="Next:  Inputs  ▸" xr:uid="{00000000-0004-0000-0000-000000000000}"/>
    <hyperlink ref="B40" location="'Inputs'!A1" display="Inputs" xr:uid="{00000000-0004-0000-0000-000001000000}"/>
    <hyperlink ref="B41" location="'History'!A1" display="History" xr:uid="{00000000-0004-0000-0000-000002000000}"/>
    <hyperlink ref="B42" location="'Forecast'!A1" display="Forecast" xr:uid="{00000000-0004-0000-0000-000003000000}"/>
    <hyperlink ref="B43"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99</v>
      </c>
      <c r="C3" s="1"/>
      <c r="D3" s="1"/>
      <c r="E3" s="1"/>
      <c r="F3" s="1"/>
      <c r="G3" s="1"/>
      <c r="H3" s="1"/>
      <c r="I3" s="1"/>
      <c r="J3" s="1"/>
    </row>
    <row r="4" spans="1:10" ht="20" customHeight="1" x14ac:dyDescent="0.45">
      <c r="A4" s="5"/>
      <c r="B4" s="22" t="s">
        <v>100</v>
      </c>
      <c r="C4" s="5"/>
      <c r="D4" s="5"/>
      <c r="E4" s="5"/>
      <c r="F4" s="5"/>
      <c r="G4" s="5"/>
      <c r="H4" s="5"/>
      <c r="I4" s="5"/>
      <c r="J4" s="6" t="s">
        <v>101</v>
      </c>
    </row>
    <row r="5" spans="1:10" ht="8" customHeight="1" x14ac:dyDescent="0.45"/>
    <row r="6" spans="1:10" ht="30" customHeight="1" x14ac:dyDescent="0.45">
      <c r="B6" s="89" t="s">
        <v>102</v>
      </c>
      <c r="C6" s="87"/>
      <c r="D6" s="87"/>
      <c r="E6" s="87"/>
      <c r="F6" s="87"/>
      <c r="G6" s="87"/>
      <c r="H6" s="87"/>
      <c r="I6" s="87"/>
      <c r="J6" s="87"/>
    </row>
    <row r="7" spans="1:10" ht="6" customHeight="1" x14ac:dyDescent="0.45"/>
    <row r="8" spans="1:10" ht="22.05" customHeight="1" x14ac:dyDescent="0.5">
      <c r="B8" s="7" t="s">
        <v>103</v>
      </c>
      <c r="C8" s="8"/>
      <c r="D8" s="8"/>
      <c r="E8" s="8"/>
      <c r="F8" s="8"/>
      <c r="G8" s="8"/>
      <c r="H8" s="8"/>
      <c r="I8" s="8"/>
      <c r="J8" s="8"/>
    </row>
    <row r="9" spans="1:10" ht="18" customHeight="1" x14ac:dyDescent="0.45">
      <c r="B9" s="13" t="s">
        <v>104</v>
      </c>
    </row>
    <row r="10" spans="1:10" ht="18" customHeight="1" x14ac:dyDescent="0.45">
      <c r="B10" s="23" t="s">
        <v>105</v>
      </c>
      <c r="C10" s="23" t="s">
        <v>106</v>
      </c>
      <c r="D10" s="24" t="s">
        <v>107</v>
      </c>
      <c r="E10" s="23" t="s">
        <v>94</v>
      </c>
      <c r="F10" s="5"/>
      <c r="G10" s="5"/>
      <c r="H10" s="5"/>
      <c r="I10" s="5"/>
      <c r="J10" s="23" t="s">
        <v>108</v>
      </c>
    </row>
    <row r="11" spans="1:10" x14ac:dyDescent="0.45">
      <c r="B11" s="25" t="s">
        <v>109</v>
      </c>
      <c r="C11" s="26" t="s">
        <v>110</v>
      </c>
      <c r="D11" s="27">
        <v>150</v>
      </c>
      <c r="E11" s="26" t="s">
        <v>111</v>
      </c>
      <c r="F11" s="28"/>
      <c r="G11" s="28"/>
      <c r="H11" s="28"/>
      <c r="I11" s="28"/>
      <c r="J11" s="29" t="s">
        <v>112</v>
      </c>
    </row>
    <row r="12" spans="1:10" x14ac:dyDescent="0.45">
      <c r="B12" s="25" t="s">
        <v>113</v>
      </c>
      <c r="C12" s="26" t="s">
        <v>114</v>
      </c>
      <c r="D12" s="30">
        <v>2027</v>
      </c>
      <c r="E12" s="26" t="s">
        <v>111</v>
      </c>
      <c r="F12" s="28"/>
      <c r="G12" s="28"/>
      <c r="H12" s="28"/>
      <c r="I12" s="28"/>
      <c r="J12" s="29" t="s">
        <v>115</v>
      </c>
    </row>
    <row r="13" spans="1:10" x14ac:dyDescent="0.45">
      <c r="B13" s="25" t="s">
        <v>116</v>
      </c>
      <c r="C13" s="26" t="s">
        <v>117</v>
      </c>
      <c r="D13" s="31">
        <f>365.25/12</f>
        <v>30.4375</v>
      </c>
      <c r="E13" s="26" t="s">
        <v>118</v>
      </c>
      <c r="F13" s="28"/>
      <c r="G13" s="28"/>
      <c r="H13" s="28"/>
      <c r="I13" s="28"/>
      <c r="J13" s="29" t="s">
        <v>119</v>
      </c>
    </row>
    <row r="14" spans="1:10" x14ac:dyDescent="0.45">
      <c r="B14" s="25" t="s">
        <v>120</v>
      </c>
      <c r="C14" s="26" t="s">
        <v>121</v>
      </c>
      <c r="D14" s="32">
        <f>COUNT(Forecast!$F$6:$Q$6)</f>
        <v>12</v>
      </c>
      <c r="E14" s="26" t="s">
        <v>118</v>
      </c>
      <c r="F14" s="28"/>
      <c r="G14" s="28"/>
      <c r="H14" s="28"/>
      <c r="I14" s="28"/>
      <c r="J14" s="29" t="s">
        <v>122</v>
      </c>
    </row>
    <row r="15" spans="1:10" ht="23.25" x14ac:dyDescent="0.45">
      <c r="B15" s="25" t="s">
        <v>123</v>
      </c>
      <c r="C15" s="26" t="s">
        <v>124</v>
      </c>
      <c r="D15" s="30">
        <v>1</v>
      </c>
      <c r="E15" s="26" t="s">
        <v>111</v>
      </c>
      <c r="F15" s="28"/>
      <c r="G15" s="28"/>
      <c r="H15" s="28"/>
      <c r="I15" s="28"/>
      <c r="J15" s="29" t="s">
        <v>125</v>
      </c>
    </row>
    <row r="16" spans="1:10" ht="8" customHeight="1" x14ac:dyDescent="0.45"/>
    <row r="17" spans="2:10" ht="22.05" customHeight="1" x14ac:dyDescent="0.5">
      <c r="B17" s="7" t="s">
        <v>126</v>
      </c>
      <c r="C17" s="8"/>
      <c r="D17" s="8"/>
      <c r="E17" s="8"/>
      <c r="F17" s="8"/>
      <c r="G17" s="8"/>
      <c r="H17" s="8"/>
      <c r="I17" s="8"/>
      <c r="J17" s="8"/>
    </row>
    <row r="18" spans="2:10" ht="18" customHeight="1" x14ac:dyDescent="0.45">
      <c r="B18" s="13" t="s">
        <v>127</v>
      </c>
    </row>
    <row r="19" spans="2:10" ht="18" customHeight="1" x14ac:dyDescent="0.45">
      <c r="B19" s="23" t="s">
        <v>105</v>
      </c>
      <c r="C19" s="23" t="s">
        <v>106</v>
      </c>
      <c r="D19" s="24" t="s">
        <v>107</v>
      </c>
      <c r="E19" s="23" t="s">
        <v>94</v>
      </c>
      <c r="F19" s="24" t="s">
        <v>128</v>
      </c>
      <c r="G19" s="24" t="s">
        <v>129</v>
      </c>
      <c r="H19" s="24" t="s">
        <v>130</v>
      </c>
      <c r="I19" s="24" t="s">
        <v>131</v>
      </c>
      <c r="J19" s="23" t="s">
        <v>108</v>
      </c>
    </row>
    <row r="20" spans="2:10" ht="23.25" x14ac:dyDescent="0.45">
      <c r="B20" s="25" t="s">
        <v>132</v>
      </c>
      <c r="C20" s="26" t="s">
        <v>133</v>
      </c>
      <c r="D20" s="33">
        <v>0.35</v>
      </c>
      <c r="E20" s="26" t="s">
        <v>111</v>
      </c>
      <c r="F20" s="28"/>
      <c r="G20" s="28"/>
      <c r="H20" s="28"/>
      <c r="I20" s="28"/>
      <c r="J20" s="29" t="s">
        <v>134</v>
      </c>
    </row>
    <row r="21" spans="2:10" x14ac:dyDescent="0.45">
      <c r="B21" s="25" t="s">
        <v>135</v>
      </c>
      <c r="C21" s="26" t="s">
        <v>121</v>
      </c>
      <c r="D21" s="34" cm="1">
        <f t="array" aca="1" ref="D21" ca="1">_xll.VoseInput("Time to breakthrough","years")+_xll.VosePERT(F21,G21,H21)</f>
        <v>2.9799931019663592</v>
      </c>
      <c r="E21" s="26" t="s">
        <v>136</v>
      </c>
      <c r="F21" s="35">
        <v>1</v>
      </c>
      <c r="G21" s="35">
        <v>3</v>
      </c>
      <c r="H21" s="35">
        <v>8</v>
      </c>
      <c r="I21" s="36" cm="1">
        <f t="array" ref="I21">IF(AND(F21&lt;=G21,G21&lt;=H21,F21&lt;H21),_xll.VoseMean(_xll.VosePERTObject(F21,G21,H21)),"✗ range")</f>
        <v>3.5</v>
      </c>
      <c r="J21" s="29" t="s">
        <v>137</v>
      </c>
    </row>
    <row r="22" spans="2:10" x14ac:dyDescent="0.45">
      <c r="B22" s="25" t="s">
        <v>138</v>
      </c>
      <c r="C22" s="26" t="s">
        <v>139</v>
      </c>
      <c r="D22" s="37" cm="1">
        <f t="array" aca="1" ref="D22" ca="1">_xll.VoseInput("Breakthrough decline factor","×")+_xll.VosePERT(F22,G22,H22)</f>
        <v>1.4992668608923119</v>
      </c>
      <c r="E22" s="26" t="s">
        <v>136</v>
      </c>
      <c r="F22" s="38">
        <v>1.2</v>
      </c>
      <c r="G22" s="38">
        <v>1.5</v>
      </c>
      <c r="H22" s="38">
        <v>2.2000000000000002</v>
      </c>
      <c r="I22" s="31" cm="1">
        <f t="array" ref="I22">IF(AND(F22&lt;=G22,G22&lt;=H22,F22&lt;H22),_xll.VoseMean(_xll.VosePERTObject(F22,G22,H22)),"✗ range")</f>
        <v>1.5666666666666667</v>
      </c>
      <c r="J22" s="29" t="s">
        <v>140</v>
      </c>
    </row>
    <row r="23" spans="2:10" ht="8" customHeight="1" x14ac:dyDescent="0.45"/>
  </sheetData>
  <mergeCells count="1">
    <mergeCell ref="B6:J6"/>
  </mergeCells>
  <conditionalFormatting sqref="I21:I22">
    <cfRule type="expression" dxfId="7" priority="1">
      <formula>LEFT($I21,1)="✗"</formula>
    </cfRule>
  </conditionalFormatting>
  <dataValidations count="5">
    <dataValidation type="decimal" operator="greaterThan" showErrorMessage="1" errorTitle="Positive value" error="Enter a value greater than zero." sqref="D11" xr:uid="{00000000-0002-0000-0100-000000000000}">
      <formula1>0</formula1>
    </dataValidation>
    <dataValidation type="whole" showErrorMessage="1" errorTitle="Year" error="Enter a calendar year." sqref="D12" xr:uid="{00000000-0002-0000-0100-000001000000}">
      <formula1>1900</formula1>
      <formula2>2200</formula2>
    </dataValidation>
    <dataValidation type="whole" showErrorMessage="1" errorTitle="Switch" error="Enter 1 (yes) or 0 (no)." sqref="D15" xr:uid="{00000000-0002-0000-0100-000002000000}">
      <formula1>0</formula1>
      <formula2>1</formula2>
    </dataValidation>
    <dataValidation type="decimal" showErrorMessage="1" errorTitle="Probability" error="Enter a value between 0% and 100%." sqref="D20" xr:uid="{00000000-0002-0000-0100-000003000000}">
      <formula1>0</formula1>
      <formula2>1</formula2>
    </dataValidation>
    <dataValidation type="custom" showErrorMessage="1" errorTitle="PERT range" error="Low must be below High, with Most likely between them." sqref="F21:H22" xr:uid="{00000000-0002-0000-0100-000004000000}">
      <formula1>AND($F21&lt;=$G21,$G21&lt;=$H21,$F21&lt;$H21)</formula1>
    </dataValidation>
  </dataValidations>
  <hyperlinks>
    <hyperlink ref="B4" location="'About'!A1" display="◂  About" xr:uid="{00000000-0004-0000-0100-000000000000}"/>
    <hyperlink ref="J4" location="'History'!A1" display="Next:  Histor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F5876"/>
    <pageSetUpPr fitToPage="1"/>
  </sheetPr>
  <dimension ref="A1:O45"/>
  <sheetViews>
    <sheetView showGridLines="0" workbookViewId="0">
      <pane ySplit="5" topLeftCell="A6" activePane="bottomLeft" state="frozen"/>
      <selection pane="bottomLeft"/>
    </sheetView>
  </sheetViews>
  <sheetFormatPr defaultRowHeight="14.25" x14ac:dyDescent="0.45"/>
  <cols>
    <col min="1" max="1" width="2" customWidth="1"/>
    <col min="2" max="2" width="9" customWidth="1"/>
    <col min="3" max="3" width="11" customWidth="1"/>
    <col min="4" max="4" width="10" customWidth="1"/>
    <col min="5" max="6" width="11" customWidth="1"/>
    <col min="7" max="7" width="12" customWidth="1"/>
    <col min="8" max="8" width="3" customWidth="1"/>
    <col min="9" max="9" width="44" customWidth="1"/>
    <col min="10" max="12" width="12" customWidth="1"/>
    <col min="13" max="13" width="13" customWidth="1"/>
    <col min="14" max="14" width="2" customWidth="1"/>
    <col min="15" max="15" width="52"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141</v>
      </c>
      <c r="C3" s="1"/>
      <c r="D3" s="1"/>
      <c r="E3" s="1"/>
      <c r="F3" s="1"/>
      <c r="G3" s="1"/>
      <c r="H3" s="1"/>
      <c r="I3" s="1"/>
      <c r="J3" s="1"/>
      <c r="K3" s="1"/>
      <c r="L3" s="1"/>
      <c r="M3" s="1"/>
      <c r="N3" s="1"/>
      <c r="O3" s="1"/>
    </row>
    <row r="4" spans="1:15" ht="20" customHeight="1" x14ac:dyDescent="0.45">
      <c r="A4" s="5"/>
      <c r="B4" s="22" t="s">
        <v>142</v>
      </c>
      <c r="C4" s="5"/>
      <c r="D4" s="5"/>
      <c r="E4" s="5"/>
      <c r="F4" s="5"/>
      <c r="G4" s="5"/>
      <c r="H4" s="5"/>
      <c r="I4" s="5"/>
      <c r="J4" s="5"/>
      <c r="K4" s="5"/>
      <c r="L4" s="5"/>
      <c r="M4" s="5"/>
      <c r="N4" s="5"/>
      <c r="O4" s="6" t="s">
        <v>143</v>
      </c>
    </row>
    <row r="5" spans="1:15" ht="8" customHeight="1" x14ac:dyDescent="0.45"/>
    <row r="6" spans="1:15" ht="18" customHeight="1" x14ac:dyDescent="0.5">
      <c r="B6" s="7" t="s">
        <v>144</v>
      </c>
      <c r="C6" s="8"/>
      <c r="D6" s="8"/>
      <c r="E6" s="8"/>
      <c r="F6" s="8"/>
      <c r="G6" s="8"/>
      <c r="I6" s="7" t="s">
        <v>145</v>
      </c>
      <c r="J6" s="8"/>
      <c r="K6" s="8"/>
      <c r="L6" s="8"/>
      <c r="M6" s="8"/>
      <c r="N6" s="8"/>
      <c r="O6" s="8"/>
    </row>
    <row r="7" spans="1:15" ht="18" customHeight="1" x14ac:dyDescent="0.45">
      <c r="B7" s="13" t="s">
        <v>146</v>
      </c>
      <c r="I7" s="13" t="s">
        <v>147</v>
      </c>
    </row>
    <row r="8" spans="1:15" ht="18" customHeight="1" x14ac:dyDescent="0.45">
      <c r="B8" s="39" t="s">
        <v>148</v>
      </c>
      <c r="C8" s="39" t="s">
        <v>149</v>
      </c>
      <c r="D8" s="39" t="s">
        <v>150</v>
      </c>
      <c r="E8" s="39" t="s">
        <v>151</v>
      </c>
      <c r="F8" s="39" t="s">
        <v>152</v>
      </c>
      <c r="G8" s="39" t="s">
        <v>153</v>
      </c>
      <c r="I8" s="40" t="s">
        <v>154</v>
      </c>
      <c r="J8" s="40" t="s">
        <v>106</v>
      </c>
      <c r="K8" s="41" t="s">
        <v>155</v>
      </c>
      <c r="L8" s="40" t="s">
        <v>156</v>
      </c>
      <c r="M8" s="5"/>
      <c r="N8" s="5"/>
      <c r="O8" s="5"/>
    </row>
    <row r="9" spans="1:15" ht="18" customHeight="1" x14ac:dyDescent="0.45">
      <c r="B9" s="42"/>
      <c r="C9" s="42" t="s">
        <v>110</v>
      </c>
      <c r="D9" s="42"/>
      <c r="E9" s="42" t="s">
        <v>110</v>
      </c>
      <c r="F9" s="42" t="s">
        <v>157</v>
      </c>
      <c r="G9" s="42" t="s">
        <v>157</v>
      </c>
      <c r="I9" s="25" t="s">
        <v>158</v>
      </c>
      <c r="J9" s="26" t="s">
        <v>159</v>
      </c>
      <c r="K9" s="43">
        <f>SLOPE(Hist_LnRate,Hist_Month)</f>
        <v>-1.8367998688442834E-2</v>
      </c>
      <c r="L9" s="26" t="s">
        <v>160</v>
      </c>
      <c r="M9" s="28"/>
      <c r="N9" s="28"/>
      <c r="O9" s="28"/>
    </row>
    <row r="10" spans="1:15" ht="18" customHeight="1" x14ac:dyDescent="0.45">
      <c r="B10" s="32">
        <v>1</v>
      </c>
      <c r="C10" s="27">
        <v>1799</v>
      </c>
      <c r="D10" s="44">
        <f t="shared" ref="D10:D45" si="0">LN(C10)</f>
        <v>7.4949862339505335</v>
      </c>
      <c r="E10" s="45">
        <f t="shared" ref="E10:E45" si="1">EXP(Fit_Intercept+Fit_Slope*B10)</f>
        <v>1867.8134427814789</v>
      </c>
      <c r="F10" s="36">
        <f t="shared" ref="F10:F45" si="2">C10*DaysPerMonth/1000</f>
        <v>54.757062500000004</v>
      </c>
      <c r="G10" s="36">
        <f>F10</f>
        <v>54.757062500000004</v>
      </c>
      <c r="I10" s="25" t="s">
        <v>161</v>
      </c>
      <c r="J10" s="26" t="s">
        <v>162</v>
      </c>
      <c r="K10" s="46">
        <f>INTERCEPT(Hist_LnRate,Hist_Month)</f>
        <v>7.5508917424585587</v>
      </c>
      <c r="L10" s="26" t="s">
        <v>163</v>
      </c>
      <c r="M10" s="28"/>
      <c r="N10" s="28"/>
      <c r="O10" s="28"/>
    </row>
    <row r="11" spans="1:15" ht="18" customHeight="1" x14ac:dyDescent="0.45">
      <c r="B11" s="32">
        <v>2</v>
      </c>
      <c r="C11" s="27">
        <v>1967</v>
      </c>
      <c r="D11" s="44">
        <f t="shared" si="0"/>
        <v>7.5842648183890589</v>
      </c>
      <c r="E11" s="45">
        <f t="shared" si="1"/>
        <v>1833.8186121849697</v>
      </c>
      <c r="F11" s="36">
        <f t="shared" si="2"/>
        <v>59.870562499999998</v>
      </c>
      <c r="G11" s="36">
        <f t="shared" ref="G11:G45" si="3">G10+F11</f>
        <v>114.62762499999999</v>
      </c>
      <c r="I11" s="25" t="s">
        <v>164</v>
      </c>
      <c r="J11" s="26"/>
      <c r="K11" s="44">
        <f>RSQ(Hist_LnRate,Hist_Month)</f>
        <v>0.83621008898557736</v>
      </c>
      <c r="L11" s="26" t="s">
        <v>165</v>
      </c>
      <c r="M11" s="28"/>
      <c r="N11" s="28"/>
      <c r="O11" s="28"/>
    </row>
    <row r="12" spans="1:15" ht="18" customHeight="1" x14ac:dyDescent="0.45">
      <c r="B12" s="32">
        <v>3</v>
      </c>
      <c r="C12" s="27">
        <v>1878</v>
      </c>
      <c r="D12" s="44">
        <f t="shared" si="0"/>
        <v>7.5379626597682083</v>
      </c>
      <c r="E12" s="45">
        <f t="shared" si="1"/>
        <v>1800.4424988975945</v>
      </c>
      <c r="F12" s="36">
        <f t="shared" si="2"/>
        <v>57.161625000000001</v>
      </c>
      <c r="G12" s="36">
        <f t="shared" si="3"/>
        <v>171.78924999999998</v>
      </c>
      <c r="I12" s="25" t="s">
        <v>166</v>
      </c>
      <c r="J12" s="26" t="s">
        <v>162</v>
      </c>
      <c r="K12" s="44">
        <f>STEYX(Hist_LnRate,Hist_Month)</f>
        <v>8.6896796194402132E-2</v>
      </c>
      <c r="L12" s="26" t="s">
        <v>167</v>
      </c>
      <c r="M12" s="28"/>
      <c r="N12" s="28"/>
      <c r="O12" s="28"/>
    </row>
    <row r="13" spans="1:15" ht="18" customHeight="1" x14ac:dyDescent="0.45">
      <c r="B13" s="32">
        <v>4</v>
      </c>
      <c r="C13" s="27">
        <v>1844</v>
      </c>
      <c r="D13" s="44">
        <f t="shared" si="0"/>
        <v>7.5196924041165394</v>
      </c>
      <c r="E13" s="45">
        <f t="shared" si="1"/>
        <v>1767.6738420569873</v>
      </c>
      <c r="F13" s="36">
        <f t="shared" si="2"/>
        <v>56.126750000000001</v>
      </c>
      <c r="G13" s="36">
        <f t="shared" si="3"/>
        <v>227.916</v>
      </c>
      <c r="I13" s="25" t="s">
        <v>168</v>
      </c>
      <c r="J13" s="26" t="s">
        <v>169</v>
      </c>
      <c r="K13" s="36">
        <f>AVERAGE(Hist_Month)</f>
        <v>18.5</v>
      </c>
      <c r="L13" s="26" t="s">
        <v>170</v>
      </c>
      <c r="M13" s="28"/>
      <c r="N13" s="28"/>
      <c r="O13" s="28"/>
    </row>
    <row r="14" spans="1:15" ht="18" customHeight="1" x14ac:dyDescent="0.45">
      <c r="B14" s="32">
        <v>5</v>
      </c>
      <c r="C14" s="27">
        <v>1985</v>
      </c>
      <c r="D14" s="44">
        <f t="shared" si="0"/>
        <v>7.5933741931212904</v>
      </c>
      <c r="E14" s="45">
        <f t="shared" si="1"/>
        <v>1735.5015857522455</v>
      </c>
      <c r="F14" s="36">
        <f t="shared" si="2"/>
        <v>60.418437500000003</v>
      </c>
      <c r="G14" s="36">
        <f t="shared" si="3"/>
        <v>288.33443749999998</v>
      </c>
      <c r="I14" s="25" t="s">
        <v>171</v>
      </c>
      <c r="J14" s="26" t="s">
        <v>159</v>
      </c>
      <c r="K14" s="43">
        <f>Fit_SEy/SQRT(DEVSQ(Hist_Month))</f>
        <v>1.3941459874967903E-3</v>
      </c>
      <c r="L14" s="26" t="s">
        <v>172</v>
      </c>
      <c r="M14" s="28"/>
      <c r="N14" s="28"/>
      <c r="O14" s="28"/>
    </row>
    <row r="15" spans="1:15" ht="18" customHeight="1" x14ac:dyDescent="0.45">
      <c r="B15" s="32">
        <v>6</v>
      </c>
      <c r="C15" s="27">
        <v>1473</v>
      </c>
      <c r="D15" s="44">
        <f t="shared" si="0"/>
        <v>7.2950564164626304</v>
      </c>
      <c r="E15" s="45">
        <f t="shared" si="1"/>
        <v>1703.9148752937519</v>
      </c>
      <c r="F15" s="36">
        <f t="shared" si="2"/>
        <v>44.8344375</v>
      </c>
      <c r="G15" s="36">
        <f t="shared" si="3"/>
        <v>333.16887499999996</v>
      </c>
      <c r="I15" s="25" t="s">
        <v>173</v>
      </c>
      <c r="J15" s="26" t="s">
        <v>162</v>
      </c>
      <c r="K15" s="46">
        <f>Fit_SE_Slope*SQRT(SUMSQ(Hist_Month)/COUNT(Hist_Month))</f>
        <v>2.957977866735606E-2</v>
      </c>
      <c r="L15" s="26" t="s">
        <v>174</v>
      </c>
      <c r="M15" s="28"/>
      <c r="N15" s="28"/>
      <c r="O15" s="28"/>
    </row>
    <row r="16" spans="1:15" ht="18" customHeight="1" x14ac:dyDescent="0.45">
      <c r="B16" s="32">
        <v>7</v>
      </c>
      <c r="C16" s="27">
        <v>1536</v>
      </c>
      <c r="D16" s="44">
        <f t="shared" si="0"/>
        <v>7.3369369137076177</v>
      </c>
      <c r="E16" s="45">
        <f t="shared" si="1"/>
        <v>1672.9030535508764</v>
      </c>
      <c r="F16" s="36">
        <f t="shared" si="2"/>
        <v>46.752000000000002</v>
      </c>
      <c r="G16" s="36">
        <f t="shared" si="3"/>
        <v>379.92087499999997</v>
      </c>
      <c r="I16" s="25" t="s">
        <v>175</v>
      </c>
      <c r="J16" s="26" t="s">
        <v>159</v>
      </c>
      <c r="K16" s="47">
        <f>-Fit_Slope</f>
        <v>1.8367998688442834E-2</v>
      </c>
      <c r="L16" s="26" t="s">
        <v>176</v>
      </c>
      <c r="M16" s="28"/>
      <c r="N16" s="28"/>
      <c r="O16" s="28"/>
    </row>
    <row r="17" spans="2:15" ht="18" customHeight="1" x14ac:dyDescent="0.45">
      <c r="B17" s="32">
        <v>8</v>
      </c>
      <c r="C17" s="27">
        <v>1410</v>
      </c>
      <c r="D17" s="44">
        <f t="shared" si="0"/>
        <v>7.2513449833722143</v>
      </c>
      <c r="E17" s="45">
        <f t="shared" si="1"/>
        <v>1642.4556573563418</v>
      </c>
      <c r="F17" s="36">
        <f t="shared" si="2"/>
        <v>42.916874999999997</v>
      </c>
      <c r="G17" s="36">
        <f t="shared" si="3"/>
        <v>422.83774999999997</v>
      </c>
      <c r="I17" s="25" t="s">
        <v>177</v>
      </c>
      <c r="J17" s="26" t="s">
        <v>178</v>
      </c>
      <c r="K17" s="48">
        <f>1-EXP(12*Fit_Slope)</f>
        <v>0.19781496780141716</v>
      </c>
      <c r="L17" s="26" t="s">
        <v>179</v>
      </c>
      <c r="M17" s="28"/>
      <c r="N17" s="28"/>
      <c r="O17" s="28"/>
    </row>
    <row r="18" spans="2:15" ht="18" customHeight="1" x14ac:dyDescent="0.45">
      <c r="B18" s="32">
        <v>9</v>
      </c>
      <c r="C18" s="27">
        <v>1567</v>
      </c>
      <c r="D18" s="44">
        <f t="shared" si="0"/>
        <v>7.3569182423560209</v>
      </c>
      <c r="E18" s="45">
        <f t="shared" si="1"/>
        <v>1612.5624139760182</v>
      </c>
      <c r="F18" s="36">
        <f t="shared" si="2"/>
        <v>47.695562500000001</v>
      </c>
      <c r="G18" s="36">
        <f t="shared" si="3"/>
        <v>470.53331249999997</v>
      </c>
      <c r="I18" s="25" t="s">
        <v>180</v>
      </c>
      <c r="J18" s="26" t="s">
        <v>110</v>
      </c>
      <c r="K18" s="45">
        <f>EXP(Fit_Intercept+Fit_Slope*Hist_LastMonth)</f>
        <v>982.05153800876769</v>
      </c>
      <c r="L18" s="26" t="s">
        <v>181</v>
      </c>
      <c r="M18" s="28"/>
      <c r="N18" s="28"/>
      <c r="O18" s="28"/>
    </row>
    <row r="19" spans="2:15" ht="18" customHeight="1" x14ac:dyDescent="0.45">
      <c r="B19" s="32">
        <v>10</v>
      </c>
      <c r="C19" s="27">
        <v>1722</v>
      </c>
      <c r="D19" s="44">
        <f t="shared" si="0"/>
        <v>7.4512416849876759</v>
      </c>
      <c r="E19" s="45">
        <f t="shared" si="1"/>
        <v>1583.2132376429802</v>
      </c>
      <c r="F19" s="36">
        <f t="shared" si="2"/>
        <v>52.413375000000002</v>
      </c>
      <c r="G19" s="36">
        <f t="shared" si="3"/>
        <v>522.94668749999994</v>
      </c>
      <c r="I19" s="25" t="s">
        <v>182</v>
      </c>
      <c r="J19" s="26" t="s">
        <v>110</v>
      </c>
      <c r="K19" s="45">
        <f>Fit_StartRate*EXP(Fit_Slope*12*ForecastYears)</f>
        <v>69.731487866215929</v>
      </c>
      <c r="L19" s="26" t="s">
        <v>183</v>
      </c>
      <c r="M19" s="28"/>
      <c r="N19" s="28"/>
      <c r="O19" s="28"/>
    </row>
    <row r="20" spans="2:15" ht="18" customHeight="1" x14ac:dyDescent="0.45">
      <c r="B20" s="32">
        <v>11</v>
      </c>
      <c r="C20" s="27">
        <v>1530</v>
      </c>
      <c r="D20" s="44">
        <f t="shared" si="0"/>
        <v>7.3330230143864812</v>
      </c>
      <c r="E20" s="45">
        <f t="shared" si="1"/>
        <v>1554.3982261546389</v>
      </c>
      <c r="F20" s="36">
        <f t="shared" si="2"/>
        <v>46.569375000000001</v>
      </c>
      <c r="G20" s="36">
        <f t="shared" si="3"/>
        <v>569.51606249999998</v>
      </c>
      <c r="I20" s="25" t="s">
        <v>184</v>
      </c>
      <c r="J20" s="26" t="s">
        <v>110</v>
      </c>
      <c r="K20" s="45">
        <f>MAX(EconLimit,Fit_EndRate)</f>
        <v>150</v>
      </c>
      <c r="L20" s="26" t="s">
        <v>185</v>
      </c>
      <c r="M20" s="28"/>
      <c r="N20" s="28"/>
      <c r="O20" s="28"/>
    </row>
    <row r="21" spans="2:15" ht="18" customHeight="1" x14ac:dyDescent="0.45">
      <c r="B21" s="32">
        <v>12</v>
      </c>
      <c r="C21" s="27">
        <v>1586</v>
      </c>
      <c r="D21" s="44">
        <f t="shared" si="0"/>
        <v>7.368970402194793</v>
      </c>
      <c r="E21" s="45">
        <f t="shared" si="1"/>
        <v>1526.1076575318154</v>
      </c>
      <c r="F21" s="36">
        <f t="shared" si="2"/>
        <v>48.273874999999997</v>
      </c>
      <c r="G21" s="36">
        <f t="shared" si="3"/>
        <v>617.78993749999995</v>
      </c>
      <c r="I21" s="25" t="s">
        <v>186</v>
      </c>
      <c r="J21" s="26" t="s">
        <v>157</v>
      </c>
      <c r="K21" s="45">
        <f>MAX(0,DaysPerMonth*(Fit_StartRate-Fit_StopRate)/Fit_Decline/1000)</f>
        <v>1378.7875923617494</v>
      </c>
      <c r="L21" s="26" t="s">
        <v>187</v>
      </c>
      <c r="M21" s="28"/>
      <c r="N21" s="28"/>
      <c r="O21" s="28"/>
    </row>
    <row r="22" spans="2:15" ht="18" customHeight="1" x14ac:dyDescent="0.45">
      <c r="B22" s="32">
        <v>13</v>
      </c>
      <c r="C22" s="27">
        <v>1227</v>
      </c>
      <c r="D22" s="44">
        <f t="shared" si="0"/>
        <v>7.1123274447109113</v>
      </c>
      <c r="E22" s="45">
        <f t="shared" si="1"/>
        <v>1498.331986738606</v>
      </c>
      <c r="F22" s="36">
        <f t="shared" si="2"/>
        <v>37.346812499999999</v>
      </c>
      <c r="G22" s="36">
        <f t="shared" si="3"/>
        <v>655.13674999999989</v>
      </c>
    </row>
    <row r="23" spans="2:15" ht="18" customHeight="1" x14ac:dyDescent="0.5">
      <c r="B23" s="32">
        <v>14</v>
      </c>
      <c r="C23" s="27">
        <v>1484</v>
      </c>
      <c r="D23" s="44">
        <f t="shared" si="0"/>
        <v>7.3024964237273258</v>
      </c>
      <c r="E23" s="45">
        <f t="shared" si="1"/>
        <v>1471.0618424619599</v>
      </c>
      <c r="F23" s="36">
        <f t="shared" si="2"/>
        <v>45.169249999999998</v>
      </c>
      <c r="G23" s="36">
        <f t="shared" si="3"/>
        <v>700.30599999999993</v>
      </c>
      <c r="I23" s="7" t="s">
        <v>188</v>
      </c>
      <c r="J23" s="8"/>
      <c r="K23" s="8"/>
      <c r="L23" s="8"/>
      <c r="M23" s="8"/>
      <c r="N23" s="8"/>
      <c r="O23" s="8"/>
    </row>
    <row r="24" spans="2:15" ht="18" customHeight="1" x14ac:dyDescent="0.45">
      <c r="B24" s="32">
        <v>15</v>
      </c>
      <c r="C24" s="27">
        <v>1314</v>
      </c>
      <c r="D24" s="44">
        <f t="shared" si="0"/>
        <v>7.1808311990445555</v>
      </c>
      <c r="E24" s="45">
        <f t="shared" si="1"/>
        <v>1444.2880239498647</v>
      </c>
      <c r="F24" s="36">
        <f t="shared" si="2"/>
        <v>39.994875</v>
      </c>
      <c r="G24" s="36">
        <f t="shared" si="3"/>
        <v>740.30087499999991</v>
      </c>
      <c r="I24" s="13" t="s">
        <v>189</v>
      </c>
    </row>
    <row r="25" spans="2:15" ht="18" customHeight="1" x14ac:dyDescent="0.45">
      <c r="B25" s="32">
        <v>16</v>
      </c>
      <c r="C25" s="27">
        <v>1691</v>
      </c>
      <c r="D25" s="44">
        <f t="shared" si="0"/>
        <v>7.4330753488985799</v>
      </c>
      <c r="E25" s="45">
        <f t="shared" si="1"/>
        <v>1418.0014979070766</v>
      </c>
      <c r="F25" s="36">
        <f t="shared" si="2"/>
        <v>51.469812500000003</v>
      </c>
      <c r="G25" s="36">
        <f t="shared" si="3"/>
        <v>791.77068749999989</v>
      </c>
      <c r="I25" s="23" t="s">
        <v>190</v>
      </c>
      <c r="J25" s="24" t="s">
        <v>191</v>
      </c>
      <c r="K25" s="24" t="s">
        <v>161</v>
      </c>
      <c r="L25" s="24" t="s">
        <v>158</v>
      </c>
      <c r="M25" s="24" t="s">
        <v>192</v>
      </c>
      <c r="N25" s="5"/>
      <c r="O25" s="23" t="s">
        <v>193</v>
      </c>
    </row>
    <row r="26" spans="2:15" ht="18" customHeight="1" x14ac:dyDescent="0.45">
      <c r="B26" s="32">
        <v>17</v>
      </c>
      <c r="C26" s="27">
        <v>1523</v>
      </c>
      <c r="D26" s="44">
        <f t="shared" si="0"/>
        <v>7.3284373528951621</v>
      </c>
      <c r="E26" s="45">
        <f t="shared" si="1"/>
        <v>1392.1933954473564</v>
      </c>
      <c r="F26" s="36">
        <f t="shared" si="2"/>
        <v>46.356312500000001</v>
      </c>
      <c r="G26" s="36">
        <f t="shared" si="3"/>
        <v>838.12699999999995</v>
      </c>
      <c r="I26" s="25" t="s">
        <v>161</v>
      </c>
      <c r="J26" s="43">
        <f>Fit_Intercept</f>
        <v>7.5508917424585587</v>
      </c>
      <c r="K26" s="49">
        <f>Fit_SE_Int^2</f>
        <v>8.7496330600977262E-4</v>
      </c>
      <c r="L26" s="49">
        <f>-Fit_MeanMonth*Fit_SE_Slope^2</f>
        <v>-3.5957396137387909E-5</v>
      </c>
      <c r="M26" s="50">
        <f t="array" aca="1" ref="M26:M27" ca="1">_xll.VoseMultiNormal(Fit_Means,Fit_Cov)</f>
        <v>7.5406495042589654</v>
      </c>
      <c r="N26" s="28"/>
      <c r="O26" s="26" t="s">
        <v>194</v>
      </c>
    </row>
    <row r="27" spans="2:15" ht="18" customHeight="1" x14ac:dyDescent="0.45">
      <c r="B27" s="32">
        <v>18</v>
      </c>
      <c r="C27" s="27">
        <v>1508</v>
      </c>
      <c r="D27" s="44">
        <f t="shared" si="0"/>
        <v>7.3185395485679017</v>
      </c>
      <c r="E27" s="45">
        <f t="shared" si="1"/>
        <v>1366.8550091011623</v>
      </c>
      <c r="F27" s="36">
        <f t="shared" si="2"/>
        <v>45.899749999999997</v>
      </c>
      <c r="G27" s="36">
        <f t="shared" si="3"/>
        <v>884.02674999999999</v>
      </c>
      <c r="I27" s="25" t="s">
        <v>158</v>
      </c>
      <c r="J27" s="43">
        <f>Fit_Slope</f>
        <v>-1.8367998688442834E-2</v>
      </c>
      <c r="K27" s="49">
        <f>L26</f>
        <v>-3.5957396137387909E-5</v>
      </c>
      <c r="L27" s="49">
        <f>Fit_SE_Slope^2</f>
        <v>1.9436430344534006E-6</v>
      </c>
      <c r="M27" s="50">
        <f ca="1"/>
        <v>-1.7608806827529796E-2</v>
      </c>
      <c r="N27" s="28"/>
      <c r="O27" s="26" t="s">
        <v>195</v>
      </c>
    </row>
    <row r="28" spans="2:15" ht="18" customHeight="1" x14ac:dyDescent="0.45">
      <c r="B28" s="32">
        <v>19</v>
      </c>
      <c r="C28" s="27">
        <v>1342</v>
      </c>
      <c r="D28" s="44">
        <f t="shared" si="0"/>
        <v>7.2019163175316274</v>
      </c>
      <c r="E28" s="45">
        <f t="shared" si="1"/>
        <v>1341.9777898778182</v>
      </c>
      <c r="F28" s="36">
        <f t="shared" si="2"/>
        <v>40.847124999999998</v>
      </c>
      <c r="G28" s="36">
        <f t="shared" si="3"/>
        <v>924.873875</v>
      </c>
      <c r="I28" s="51" t="s">
        <v>196</v>
      </c>
    </row>
    <row r="29" spans="2:15" ht="18" customHeight="1" x14ac:dyDescent="0.45">
      <c r="B29" s="32">
        <v>20</v>
      </c>
      <c r="C29" s="27">
        <v>1412</v>
      </c>
      <c r="D29" s="44">
        <f t="shared" si="0"/>
        <v>7.2527624180531873</v>
      </c>
      <c r="E29" s="45">
        <f t="shared" si="1"/>
        <v>1317.5533443811426</v>
      </c>
      <c r="F29" s="36">
        <f t="shared" si="2"/>
        <v>42.97775</v>
      </c>
      <c r="G29" s="36">
        <f t="shared" si="3"/>
        <v>967.85162500000001</v>
      </c>
    </row>
    <row r="30" spans="2:15" ht="18" customHeight="1" x14ac:dyDescent="0.5">
      <c r="B30" s="32">
        <v>21</v>
      </c>
      <c r="C30" s="27">
        <v>1396</v>
      </c>
      <c r="D30" s="44">
        <f t="shared" si="0"/>
        <v>7.2413662833223178</v>
      </c>
      <c r="E30" s="45">
        <f t="shared" si="1"/>
        <v>1293.5734319775763</v>
      </c>
      <c r="F30" s="36">
        <f t="shared" si="2"/>
        <v>42.490749999999998</v>
      </c>
      <c r="G30" s="36">
        <f t="shared" si="3"/>
        <v>1010.3423750000001</v>
      </c>
      <c r="I30" s="7" t="s">
        <v>197</v>
      </c>
      <c r="J30" s="8"/>
      <c r="K30" s="8"/>
      <c r="L30" s="8"/>
      <c r="M30" s="8"/>
      <c r="N30" s="8"/>
      <c r="O30" s="8"/>
    </row>
    <row r="31" spans="2:15" ht="18" customHeight="1" x14ac:dyDescent="0.45">
      <c r="B31" s="32">
        <v>22</v>
      </c>
      <c r="C31" s="27">
        <v>1243</v>
      </c>
      <c r="D31" s="44">
        <f t="shared" si="0"/>
        <v>7.1252830915107115</v>
      </c>
      <c r="E31" s="45">
        <f t="shared" si="1"/>
        <v>1270.0299620158562</v>
      </c>
      <c r="F31" s="36">
        <f t="shared" si="2"/>
        <v>37.833812500000001</v>
      </c>
      <c r="G31" s="36">
        <f t="shared" si="3"/>
        <v>1048.1761875</v>
      </c>
      <c r="I31" s="13" t="s">
        <v>198</v>
      </c>
    </row>
    <row r="32" spans="2:15" ht="18" customHeight="1" x14ac:dyDescent="0.45">
      <c r="B32" s="32">
        <v>23</v>
      </c>
      <c r="C32" s="27">
        <v>1204</v>
      </c>
      <c r="D32" s="44">
        <f t="shared" si="0"/>
        <v>7.0934046258687662</v>
      </c>
      <c r="E32" s="45">
        <f t="shared" si="1"/>
        <v>1246.9149910972797</v>
      </c>
      <c r="F32" s="36">
        <f t="shared" si="2"/>
        <v>36.646749999999997</v>
      </c>
      <c r="G32" s="36">
        <f t="shared" si="3"/>
        <v>1084.8229375000001</v>
      </c>
    </row>
    <row r="33" spans="2:7" ht="18" customHeight="1" x14ac:dyDescent="0.45">
      <c r="B33" s="32">
        <v>24</v>
      </c>
      <c r="C33" s="27">
        <v>1232</v>
      </c>
      <c r="D33" s="44">
        <f t="shared" si="0"/>
        <v>7.1163941440934648</v>
      </c>
      <c r="E33" s="45">
        <f t="shared" si="1"/>
        <v>1224.2207203956639</v>
      </c>
      <c r="F33" s="36">
        <f t="shared" si="2"/>
        <v>37.499000000000002</v>
      </c>
      <c r="G33" s="36">
        <f t="shared" si="3"/>
        <v>1122.3219375000001</v>
      </c>
    </row>
    <row r="34" spans="2:7" ht="18" customHeight="1" x14ac:dyDescent="0.45">
      <c r="B34" s="32">
        <v>25</v>
      </c>
      <c r="C34" s="27">
        <v>1154</v>
      </c>
      <c r="D34" s="44">
        <f t="shared" si="0"/>
        <v>7.0509894470680452</v>
      </c>
      <c r="E34" s="45">
        <f t="shared" si="1"/>
        <v>1201.9394930260748</v>
      </c>
      <c r="F34" s="36">
        <f t="shared" si="2"/>
        <v>35.124875000000003</v>
      </c>
      <c r="G34" s="36">
        <f t="shared" si="3"/>
        <v>1157.4468125000001</v>
      </c>
    </row>
    <row r="35" spans="2:7" ht="18" customHeight="1" x14ac:dyDescent="0.45">
      <c r="B35" s="32">
        <v>26</v>
      </c>
      <c r="C35" s="27">
        <v>1137</v>
      </c>
      <c r="D35" s="44">
        <f t="shared" si="0"/>
        <v>7.0361484937505363</v>
      </c>
      <c r="E35" s="45">
        <f t="shared" si="1"/>
        <v>1180.0637914614535</v>
      </c>
      <c r="F35" s="36">
        <f t="shared" si="2"/>
        <v>34.607437500000003</v>
      </c>
      <c r="G35" s="36">
        <f t="shared" si="3"/>
        <v>1192.0542500000001</v>
      </c>
    </row>
    <row r="36" spans="2:7" ht="18" customHeight="1" x14ac:dyDescent="0.45">
      <c r="B36" s="32">
        <v>27</v>
      </c>
      <c r="C36" s="27">
        <v>1154</v>
      </c>
      <c r="D36" s="44">
        <f t="shared" si="0"/>
        <v>7.0509894470680452</v>
      </c>
      <c r="E36" s="45">
        <f t="shared" si="1"/>
        <v>1158.5862349962495</v>
      </c>
      <c r="F36" s="36">
        <f t="shared" si="2"/>
        <v>35.124875000000003</v>
      </c>
      <c r="G36" s="36">
        <f t="shared" si="3"/>
        <v>1227.1791250000001</v>
      </c>
    </row>
    <row r="37" spans="2:7" ht="18" customHeight="1" x14ac:dyDescent="0.45">
      <c r="B37" s="32">
        <v>28</v>
      </c>
      <c r="C37" s="27">
        <v>1086</v>
      </c>
      <c r="D37" s="44">
        <f t="shared" si="0"/>
        <v>6.9902565004938806</v>
      </c>
      <c r="E37" s="45">
        <f t="shared" si="1"/>
        <v>1137.4995772562277</v>
      </c>
      <c r="F37" s="36">
        <f t="shared" si="2"/>
        <v>33.055124999999997</v>
      </c>
      <c r="G37" s="36">
        <f t="shared" si="3"/>
        <v>1260.2342500000002</v>
      </c>
    </row>
    <row r="38" spans="2:7" ht="18" customHeight="1" x14ac:dyDescent="0.45">
      <c r="B38" s="32">
        <v>29</v>
      </c>
      <c r="C38" s="27">
        <v>1242</v>
      </c>
      <c r="D38" s="44">
        <f t="shared" si="0"/>
        <v>7.1244782624934242</v>
      </c>
      <c r="E38" s="45">
        <f t="shared" si="1"/>
        <v>1116.7967037535916</v>
      </c>
      <c r="F38" s="36">
        <f t="shared" si="2"/>
        <v>37.803375000000003</v>
      </c>
      <c r="G38" s="36">
        <f t="shared" si="3"/>
        <v>1298.0376250000002</v>
      </c>
    </row>
    <row r="39" spans="2:7" ht="18" customHeight="1" x14ac:dyDescent="0.45">
      <c r="B39" s="32">
        <v>30</v>
      </c>
      <c r="C39" s="27">
        <v>965</v>
      </c>
      <c r="D39" s="44">
        <f t="shared" si="0"/>
        <v>6.8721281013389861</v>
      </c>
      <c r="E39" s="45">
        <f t="shared" si="1"/>
        <v>1096.4706294866098</v>
      </c>
      <c r="F39" s="36">
        <f t="shared" si="2"/>
        <v>29.372187499999999</v>
      </c>
      <c r="G39" s="36">
        <f t="shared" si="3"/>
        <v>1327.4098125000003</v>
      </c>
    </row>
    <row r="40" spans="2:7" ht="18" customHeight="1" x14ac:dyDescent="0.45">
      <c r="B40" s="32">
        <v>31</v>
      </c>
      <c r="C40" s="27">
        <v>1209</v>
      </c>
      <c r="D40" s="44">
        <f t="shared" si="0"/>
        <v>7.0975488506147926</v>
      </c>
      <c r="E40" s="45">
        <f t="shared" si="1"/>
        <v>1076.5144965829202</v>
      </c>
      <c r="F40" s="36">
        <f t="shared" si="2"/>
        <v>36.798937500000001</v>
      </c>
      <c r="G40" s="36">
        <f t="shared" si="3"/>
        <v>1364.2087500000002</v>
      </c>
    </row>
    <row r="41" spans="2:7" ht="18" customHeight="1" x14ac:dyDescent="0.45">
      <c r="B41" s="32">
        <v>32</v>
      </c>
      <c r="C41" s="27">
        <v>1030</v>
      </c>
      <c r="D41" s="44">
        <f t="shared" si="0"/>
        <v>6.9373140812236818</v>
      </c>
      <c r="E41" s="45">
        <f t="shared" si="1"/>
        <v>1056.921571985737</v>
      </c>
      <c r="F41" s="36">
        <f t="shared" si="2"/>
        <v>31.350625000000001</v>
      </c>
      <c r="G41" s="36">
        <f t="shared" si="3"/>
        <v>1395.5593750000003</v>
      </c>
    </row>
    <row r="42" spans="2:7" ht="18" customHeight="1" x14ac:dyDescent="0.45">
      <c r="B42" s="32">
        <v>33</v>
      </c>
      <c r="C42" s="27">
        <v>1021</v>
      </c>
      <c r="D42" s="44">
        <f t="shared" si="0"/>
        <v>6.9285378181646653</v>
      </c>
      <c r="E42" s="45">
        <f t="shared" si="1"/>
        <v>1037.685245182164</v>
      </c>
      <c r="F42" s="36">
        <f t="shared" si="2"/>
        <v>31.076687499999998</v>
      </c>
      <c r="G42" s="36">
        <f t="shared" si="3"/>
        <v>1426.6360625000002</v>
      </c>
    </row>
    <row r="43" spans="2:7" ht="18" customHeight="1" x14ac:dyDescent="0.45">
      <c r="B43" s="32">
        <v>34</v>
      </c>
      <c r="C43" s="27">
        <v>927</v>
      </c>
      <c r="D43" s="44">
        <f t="shared" si="0"/>
        <v>6.831953565565855</v>
      </c>
      <c r="E43" s="45">
        <f t="shared" si="1"/>
        <v>1018.7990259728542</v>
      </c>
      <c r="F43" s="36">
        <f t="shared" si="2"/>
        <v>28.215562500000001</v>
      </c>
      <c r="G43" s="36">
        <f t="shared" si="3"/>
        <v>1454.8516250000002</v>
      </c>
    </row>
    <row r="44" spans="2:7" ht="18" customHeight="1" x14ac:dyDescent="0.45">
      <c r="B44" s="32">
        <v>35</v>
      </c>
      <c r="C44" s="27">
        <v>1030</v>
      </c>
      <c r="D44" s="44">
        <f t="shared" si="0"/>
        <v>6.9373140812236818</v>
      </c>
      <c r="E44" s="45">
        <f t="shared" si="1"/>
        <v>1000.2565422822668</v>
      </c>
      <c r="F44" s="36">
        <f t="shared" si="2"/>
        <v>31.350625000000001</v>
      </c>
      <c r="G44" s="36">
        <f t="shared" si="3"/>
        <v>1486.2022500000003</v>
      </c>
    </row>
    <row r="45" spans="2:7" ht="18" customHeight="1" x14ac:dyDescent="0.45">
      <c r="B45" s="32">
        <v>36</v>
      </c>
      <c r="C45" s="27">
        <v>1003</v>
      </c>
      <c r="D45" s="44">
        <f t="shared" si="0"/>
        <v>6.9107507879619359</v>
      </c>
      <c r="E45" s="45">
        <f t="shared" si="1"/>
        <v>982.05153800876769</v>
      </c>
      <c r="F45" s="36">
        <f t="shared" si="2"/>
        <v>30.528812500000001</v>
      </c>
      <c r="G45" s="36">
        <f t="shared" si="3"/>
        <v>1516.7310625000002</v>
      </c>
    </row>
  </sheetData>
  <dataValidations count="1">
    <dataValidation type="decimal" operator="greaterThan" showErrorMessage="1" errorTitle="Rate" error="Enter a positive monthly average rate (bbl/d)." sqref="C10:C45" xr:uid="{00000000-0002-0000-0200-000000000000}">
      <formula1>0</formula1>
    </dataValidation>
  </dataValidations>
  <hyperlinks>
    <hyperlink ref="B4" location="'Inputs'!A1" display="◂  Inputs" xr:uid="{00000000-0004-0000-0200-000000000000}"/>
    <hyperlink ref="O4" location="'Forecast'!A1" display="Next:  Forecast  ▸" xr:uid="{00000000-0004-0000-0200-000001000000}"/>
  </hyperlinks>
  <printOptions horizontalCentered="1"/>
  <pageMargins left="0.4" right="0.4" top="0.5" bottom="0.6" header="0.25" footer="0.25"/>
  <pageSetup paperSize="9" scale="57" orientation="landscape" r:id="rId1"/>
  <headerFooter>
    <oddFooter>&amp;L&amp;K3F5876&amp;8&amp;F · &amp;A&amp;R&amp;K3F5876&amp;8Page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Q45"/>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6" customWidth="1"/>
    <col min="3" max="4" width="11" customWidth="1"/>
    <col min="5" max="5" width="9" customWidth="1"/>
    <col min="6" max="17" width="9.46484375" customWidth="1"/>
  </cols>
  <sheetData>
    <row r="1" spans="1:17" ht="6" customHeight="1" x14ac:dyDescent="0.45"/>
    <row r="2" spans="1:17" ht="30" customHeight="1" x14ac:dyDescent="0.45">
      <c r="A2" s="1"/>
      <c r="B2" s="21" t="s">
        <v>0</v>
      </c>
      <c r="C2" s="1"/>
      <c r="D2" s="1"/>
      <c r="E2" s="1"/>
      <c r="F2" s="1"/>
      <c r="G2" s="1"/>
      <c r="H2" s="1"/>
      <c r="I2" s="1"/>
      <c r="J2" s="1"/>
      <c r="K2" s="1"/>
      <c r="L2" s="1"/>
      <c r="M2" s="1"/>
      <c r="N2" s="1"/>
      <c r="O2" s="1"/>
      <c r="P2" s="1"/>
      <c r="Q2" s="3" t="s">
        <v>1</v>
      </c>
    </row>
    <row r="3" spans="1:17" ht="20" customHeight="1" x14ac:dyDescent="0.45">
      <c r="A3" s="1"/>
      <c r="B3" s="4" t="s">
        <v>199</v>
      </c>
      <c r="C3" s="1"/>
      <c r="D3" s="1"/>
      <c r="E3" s="1"/>
      <c r="F3" s="1"/>
      <c r="G3" s="1"/>
      <c r="H3" s="1"/>
      <c r="I3" s="1"/>
      <c r="J3" s="1"/>
      <c r="K3" s="1"/>
      <c r="L3" s="1"/>
      <c r="M3" s="1"/>
      <c r="N3" s="1"/>
      <c r="O3" s="1"/>
      <c r="P3" s="1"/>
      <c r="Q3" s="1"/>
    </row>
    <row r="4" spans="1:17" ht="20" customHeight="1" x14ac:dyDescent="0.45">
      <c r="A4" s="5"/>
      <c r="B4" s="22" t="s">
        <v>200</v>
      </c>
      <c r="C4" s="5"/>
      <c r="D4" s="5"/>
      <c r="E4" s="5"/>
      <c r="F4" s="5"/>
      <c r="G4" s="5"/>
      <c r="H4" s="5"/>
      <c r="I4" s="5"/>
      <c r="J4" s="5"/>
      <c r="K4" s="5"/>
      <c r="L4" s="5"/>
      <c r="M4" s="5"/>
      <c r="N4" s="5"/>
      <c r="O4" s="5"/>
      <c r="P4" s="5"/>
      <c r="Q4" s="6" t="s">
        <v>201</v>
      </c>
    </row>
    <row r="5" spans="1:17" ht="8" customHeight="1" x14ac:dyDescent="0.45"/>
    <row r="6" spans="1:17" ht="16.05" customHeight="1" x14ac:dyDescent="0.45">
      <c r="B6" s="52" t="s">
        <v>202</v>
      </c>
      <c r="C6" s="53"/>
      <c r="D6" s="54" t="s">
        <v>203</v>
      </c>
      <c r="E6" s="55" t="s">
        <v>204</v>
      </c>
      <c r="F6" s="56">
        <v>1</v>
      </c>
      <c r="G6" s="56">
        <f t="shared" ref="G6:Q6" si="0">F6+1</f>
        <v>2</v>
      </c>
      <c r="H6" s="56">
        <f t="shared" si="0"/>
        <v>3</v>
      </c>
      <c r="I6" s="56">
        <f t="shared" si="0"/>
        <v>4</v>
      </c>
      <c r="J6" s="56">
        <f t="shared" si="0"/>
        <v>5</v>
      </c>
      <c r="K6" s="56">
        <f t="shared" si="0"/>
        <v>6</v>
      </c>
      <c r="L6" s="56">
        <f t="shared" si="0"/>
        <v>7</v>
      </c>
      <c r="M6" s="56">
        <f t="shared" si="0"/>
        <v>8</v>
      </c>
      <c r="N6" s="56">
        <f t="shared" si="0"/>
        <v>9</v>
      </c>
      <c r="O6" s="56">
        <f t="shared" si="0"/>
        <v>10</v>
      </c>
      <c r="P6" s="56">
        <f t="shared" si="0"/>
        <v>11</v>
      </c>
      <c r="Q6" s="56">
        <f t="shared" si="0"/>
        <v>12</v>
      </c>
    </row>
    <row r="7" spans="1:17" ht="16.05" customHeight="1" x14ac:dyDescent="0.45">
      <c r="B7" s="40" t="s">
        <v>205</v>
      </c>
      <c r="C7" s="5"/>
      <c r="D7" s="5"/>
      <c r="E7" s="5"/>
      <c r="F7" s="57">
        <f t="shared" ref="F7:Q7" si="1">FirstForecastYear-1+F$6</f>
        <v>2027</v>
      </c>
      <c r="G7" s="57">
        <f t="shared" si="1"/>
        <v>2028</v>
      </c>
      <c r="H7" s="57">
        <f t="shared" si="1"/>
        <v>2029</v>
      </c>
      <c r="I7" s="57">
        <f t="shared" si="1"/>
        <v>2030</v>
      </c>
      <c r="J7" s="57">
        <f t="shared" si="1"/>
        <v>2031</v>
      </c>
      <c r="K7" s="57">
        <f t="shared" si="1"/>
        <v>2032</v>
      </c>
      <c r="L7" s="57">
        <f t="shared" si="1"/>
        <v>2033</v>
      </c>
      <c r="M7" s="57">
        <f t="shared" si="1"/>
        <v>2034</v>
      </c>
      <c r="N7" s="57">
        <f t="shared" si="1"/>
        <v>2035</v>
      </c>
      <c r="O7" s="57">
        <f t="shared" si="1"/>
        <v>2036</v>
      </c>
      <c r="P7" s="57">
        <f t="shared" si="1"/>
        <v>2037</v>
      </c>
      <c r="Q7" s="57">
        <f t="shared" si="1"/>
        <v>2038</v>
      </c>
    </row>
    <row r="8" spans="1:17" ht="6" customHeight="1" x14ac:dyDescent="0.45"/>
    <row r="9" spans="1:17" ht="22.05" customHeight="1" x14ac:dyDescent="0.5">
      <c r="B9" s="7" t="s">
        <v>206</v>
      </c>
      <c r="C9" s="8"/>
      <c r="D9" s="8"/>
      <c r="E9" s="8"/>
      <c r="F9" s="8"/>
      <c r="G9" s="8"/>
      <c r="H9" s="8"/>
      <c r="I9" s="8"/>
      <c r="J9" s="8"/>
      <c r="K9" s="8"/>
      <c r="L9" s="8"/>
      <c r="M9" s="8"/>
      <c r="N9" s="8"/>
      <c r="O9" s="8"/>
      <c r="P9" s="8"/>
      <c r="Q9" s="8"/>
    </row>
    <row r="10" spans="1:17" ht="18" customHeight="1" x14ac:dyDescent="0.45">
      <c r="B10" s="13" t="s">
        <v>207</v>
      </c>
    </row>
    <row r="11" spans="1:17" ht="18" customHeight="1" x14ac:dyDescent="0.45">
      <c r="B11" s="40" t="s">
        <v>154</v>
      </c>
      <c r="C11" s="40" t="s">
        <v>106</v>
      </c>
      <c r="D11" s="41" t="s">
        <v>155</v>
      </c>
      <c r="E11" s="5"/>
      <c r="F11" s="40" t="s">
        <v>156</v>
      </c>
      <c r="G11" s="5"/>
      <c r="H11" s="5"/>
      <c r="I11" s="5"/>
      <c r="J11" s="5"/>
      <c r="K11" s="5"/>
      <c r="L11" s="5"/>
      <c r="M11" s="5"/>
      <c r="N11" s="5"/>
      <c r="O11" s="5"/>
      <c r="P11" s="5"/>
      <c r="Q11" s="5"/>
    </row>
    <row r="12" spans="1:17" x14ac:dyDescent="0.45">
      <c r="B12" s="25" t="s">
        <v>208</v>
      </c>
      <c r="C12" s="26" t="s">
        <v>162</v>
      </c>
      <c r="D12" s="46">
        <f ca="1">IF(UseFitUncertainty=1,MN_Int,Fit_Intercept)</f>
        <v>7.5406495042589654</v>
      </c>
      <c r="E12" s="28"/>
      <c r="F12" s="26" t="s">
        <v>209</v>
      </c>
      <c r="G12" s="28"/>
      <c r="H12" s="28"/>
      <c r="I12" s="28"/>
      <c r="J12" s="28"/>
      <c r="K12" s="28"/>
      <c r="L12" s="28"/>
      <c r="M12" s="28"/>
      <c r="N12" s="28"/>
      <c r="O12" s="28"/>
      <c r="P12" s="28"/>
      <c r="Q12" s="28"/>
    </row>
    <row r="13" spans="1:17" x14ac:dyDescent="0.45">
      <c r="B13" s="25" t="s">
        <v>210</v>
      </c>
      <c r="C13" s="26" t="s">
        <v>159</v>
      </c>
      <c r="D13" s="43">
        <f ca="1">IF(UseFitUncertainty=1,MN_Slope,Fit_Slope)</f>
        <v>-1.7608806827529796E-2</v>
      </c>
      <c r="E13" s="28"/>
      <c r="F13" s="26" t="s">
        <v>211</v>
      </c>
      <c r="G13" s="28"/>
      <c r="H13" s="28"/>
      <c r="I13" s="28"/>
      <c r="J13" s="28"/>
      <c r="K13" s="28"/>
      <c r="L13" s="28"/>
      <c r="M13" s="28"/>
      <c r="N13" s="28"/>
      <c r="O13" s="28"/>
      <c r="P13" s="28"/>
      <c r="Q13" s="28"/>
    </row>
    <row r="14" spans="1:17" x14ac:dyDescent="0.45">
      <c r="B14" s="25" t="s">
        <v>212</v>
      </c>
      <c r="C14" s="26" t="s">
        <v>159</v>
      </c>
      <c r="D14" s="58" cm="1">
        <f t="array" aca="1" ref="D14" ca="1">_xll.VoseInput("Decline rate","per month")-Line_Slope</f>
        <v>1.7608806827529796E-2</v>
      </c>
      <c r="E14" s="28"/>
      <c r="F14" s="26" t="s">
        <v>213</v>
      </c>
      <c r="G14" s="28"/>
      <c r="H14" s="28"/>
      <c r="I14" s="28"/>
      <c r="J14" s="28"/>
      <c r="K14" s="28"/>
      <c r="L14" s="28"/>
      <c r="M14" s="28"/>
      <c r="N14" s="28"/>
      <c r="O14" s="28"/>
      <c r="P14" s="28"/>
      <c r="Q14" s="28"/>
    </row>
    <row r="15" spans="1:17" x14ac:dyDescent="0.45">
      <c r="B15" s="25" t="s">
        <v>214</v>
      </c>
      <c r="C15" s="26" t="s">
        <v>110</v>
      </c>
      <c r="D15" s="59" cm="1">
        <f t="array" aca="1" ref="D15" ca="1">_xll.VoseInput("Start rate","bbl/d")+EXP(Line_Int+Line_Slope*Hist_LastMonth)</f>
        <v>998.97770238836426</v>
      </c>
      <c r="E15" s="28"/>
      <c r="F15" s="26" t="s">
        <v>215</v>
      </c>
      <c r="G15" s="28"/>
      <c r="H15" s="28"/>
      <c r="I15" s="28"/>
      <c r="J15" s="28"/>
      <c r="K15" s="28"/>
      <c r="L15" s="28"/>
      <c r="M15" s="28"/>
      <c r="N15" s="28"/>
      <c r="O15" s="28"/>
      <c r="P15" s="28"/>
      <c r="Q15" s="28"/>
    </row>
    <row r="16" spans="1:17" x14ac:dyDescent="0.45">
      <c r="B16" s="25" t="s">
        <v>216</v>
      </c>
      <c r="C16" s="26" t="s">
        <v>217</v>
      </c>
      <c r="D16" s="60" cm="1">
        <f t="array" aca="1" ref="D16" ca="1">_xll.VoseInput("Water breakthrough","1 = yes")+_xll.VoseBernoulli(Prob_WBT)</f>
        <v>0</v>
      </c>
      <c r="E16" s="28"/>
      <c r="F16" s="26" t="s">
        <v>218</v>
      </c>
      <c r="G16" s="28"/>
      <c r="H16" s="28"/>
      <c r="I16" s="28"/>
      <c r="J16" s="28"/>
      <c r="K16" s="28"/>
      <c r="L16" s="28"/>
      <c r="M16" s="28"/>
      <c r="N16" s="28"/>
      <c r="O16" s="28"/>
      <c r="P16" s="28"/>
      <c r="Q16" s="28"/>
    </row>
    <row r="17" spans="2:17" x14ac:dyDescent="0.45">
      <c r="B17" s="25" t="s">
        <v>219</v>
      </c>
      <c r="C17" s="26" t="s">
        <v>114</v>
      </c>
      <c r="D17" s="32">
        <f ca="1">IF(WBT_Occurs=1,INT(WBT_Time)+1,ForecastYears+1)</f>
        <v>13</v>
      </c>
      <c r="E17" s="28"/>
      <c r="F17" s="26" t="s">
        <v>220</v>
      </c>
      <c r="G17" s="28"/>
      <c r="H17" s="28"/>
      <c r="I17" s="28"/>
      <c r="J17" s="28"/>
      <c r="K17" s="28"/>
      <c r="L17" s="28"/>
      <c r="M17" s="28"/>
      <c r="N17" s="28"/>
      <c r="O17" s="28"/>
      <c r="P17" s="28"/>
      <c r="Q17" s="28"/>
    </row>
    <row r="18" spans="2:17" ht="8" customHeight="1" x14ac:dyDescent="0.45"/>
    <row r="19" spans="2:17" ht="22.05" customHeight="1" x14ac:dyDescent="0.5">
      <c r="B19" s="7" t="s">
        <v>221</v>
      </c>
      <c r="C19" s="8"/>
      <c r="D19" s="8"/>
      <c r="E19" s="8"/>
      <c r="F19" s="8"/>
      <c r="G19" s="8"/>
      <c r="H19" s="8"/>
      <c r="I19" s="8"/>
      <c r="J19" s="8"/>
      <c r="K19" s="8"/>
      <c r="L19" s="8"/>
      <c r="M19" s="8"/>
      <c r="N19" s="8"/>
      <c r="O19" s="8"/>
      <c r="P19" s="8"/>
      <c r="Q19" s="8"/>
    </row>
    <row r="20" spans="2:17" ht="18" customHeight="1" x14ac:dyDescent="0.45">
      <c r="B20" s="13" t="s">
        <v>222</v>
      </c>
    </row>
    <row r="21" spans="2:17" x14ac:dyDescent="0.45">
      <c r="B21" s="25" t="s">
        <v>223</v>
      </c>
      <c r="C21" s="26" t="s">
        <v>159</v>
      </c>
      <c r="D21" s="28"/>
      <c r="E21" s="28"/>
      <c r="F21" s="47">
        <f t="shared" ref="F21:Q21" ca="1" si="2">Decline*IF(F$6&gt;=WBT_From,WBT_Factor,1)</f>
        <v>1.7608806827529796E-2</v>
      </c>
      <c r="G21" s="47">
        <f t="shared" ca="1" si="2"/>
        <v>1.7608806827529796E-2</v>
      </c>
      <c r="H21" s="47">
        <f t="shared" ca="1" si="2"/>
        <v>1.7608806827529796E-2</v>
      </c>
      <c r="I21" s="47">
        <f t="shared" ca="1" si="2"/>
        <v>1.7608806827529796E-2</v>
      </c>
      <c r="J21" s="47">
        <f t="shared" ca="1" si="2"/>
        <v>1.7608806827529796E-2</v>
      </c>
      <c r="K21" s="47">
        <f t="shared" ca="1" si="2"/>
        <v>1.7608806827529796E-2</v>
      </c>
      <c r="L21" s="47">
        <f t="shared" ca="1" si="2"/>
        <v>1.7608806827529796E-2</v>
      </c>
      <c r="M21" s="47">
        <f t="shared" ca="1" si="2"/>
        <v>1.7608806827529796E-2</v>
      </c>
      <c r="N21" s="47">
        <f t="shared" ca="1" si="2"/>
        <v>1.7608806827529796E-2</v>
      </c>
      <c r="O21" s="47">
        <f t="shared" ca="1" si="2"/>
        <v>1.7608806827529796E-2</v>
      </c>
      <c r="P21" s="47">
        <f t="shared" ca="1" si="2"/>
        <v>1.7608806827529796E-2</v>
      </c>
      <c r="Q21" s="47">
        <f t="shared" ca="1" si="2"/>
        <v>1.7608806827529796E-2</v>
      </c>
    </row>
    <row r="22" spans="2:17" x14ac:dyDescent="0.45">
      <c r="B22" s="25" t="s">
        <v>224</v>
      </c>
      <c r="C22" s="26" t="s">
        <v>110</v>
      </c>
      <c r="D22" s="28"/>
      <c r="E22" s="28"/>
      <c r="F22" s="45">
        <f t="shared" ref="F22:Q22" ca="1" si="3">E24</f>
        <v>998.97770238836426</v>
      </c>
      <c r="G22" s="45">
        <f t="shared" ca="1" si="3"/>
        <v>808.69899433022351</v>
      </c>
      <c r="H22" s="45">
        <f t="shared" ca="1" si="3"/>
        <v>654.66332418345314</v>
      </c>
      <c r="I22" s="45">
        <f t="shared" ca="1" si="3"/>
        <v>529.96735625458359</v>
      </c>
      <c r="J22" s="45">
        <f t="shared" ca="1" si="3"/>
        <v>429.02265686838319</v>
      </c>
      <c r="K22" s="45">
        <f t="shared" ca="1" si="3"/>
        <v>347.30524047218535</v>
      </c>
      <c r="L22" s="45">
        <f t="shared" ca="1" si="3"/>
        <v>281.15282055242812</v>
      </c>
      <c r="M22" s="45">
        <f t="shared" ca="1" si="3"/>
        <v>227.60067886426404</v>
      </c>
      <c r="N22" s="45">
        <f t="shared" ca="1" si="3"/>
        <v>184.24879721174281</v>
      </c>
      <c r="O22" s="45">
        <f t="shared" ca="1" si="3"/>
        <v>0</v>
      </c>
      <c r="P22" s="45">
        <f t="shared" ca="1" si="3"/>
        <v>0</v>
      </c>
      <c r="Q22" s="45">
        <f t="shared" ca="1" si="3"/>
        <v>0</v>
      </c>
    </row>
    <row r="23" spans="2:17" x14ac:dyDescent="0.45">
      <c r="B23" s="25" t="s">
        <v>225</v>
      </c>
      <c r="C23" s="26" t="s">
        <v>110</v>
      </c>
      <c r="D23" s="28"/>
      <c r="E23" s="28"/>
      <c r="F23" s="45">
        <f t="shared" ref="F23:Q23" ca="1" si="4">IF(F22&gt;0,F22*EXP(-12*F21),0)</f>
        <v>808.69899433022351</v>
      </c>
      <c r="G23" s="45">
        <f t="shared" ca="1" si="4"/>
        <v>654.66332418345314</v>
      </c>
      <c r="H23" s="45">
        <f t="shared" ca="1" si="4"/>
        <v>529.96735625458359</v>
      </c>
      <c r="I23" s="45">
        <f t="shared" ca="1" si="4"/>
        <v>429.02265686838319</v>
      </c>
      <c r="J23" s="45">
        <f t="shared" ca="1" si="4"/>
        <v>347.30524047218535</v>
      </c>
      <c r="K23" s="45">
        <f t="shared" ca="1" si="4"/>
        <v>281.15282055242812</v>
      </c>
      <c r="L23" s="45">
        <f t="shared" ca="1" si="4"/>
        <v>227.60067886426404</v>
      </c>
      <c r="M23" s="45">
        <f t="shared" ca="1" si="4"/>
        <v>184.24879721174281</v>
      </c>
      <c r="N23" s="45">
        <f t="shared" ca="1" si="4"/>
        <v>149.15429709337346</v>
      </c>
      <c r="O23" s="45">
        <f t="shared" ca="1" si="4"/>
        <v>0</v>
      </c>
      <c r="P23" s="45">
        <f t="shared" ca="1" si="4"/>
        <v>0</v>
      </c>
      <c r="Q23" s="45">
        <f t="shared" ca="1" si="4"/>
        <v>0</v>
      </c>
    </row>
    <row r="24" spans="2:17" x14ac:dyDescent="0.45">
      <c r="B24" s="25" t="s">
        <v>226</v>
      </c>
      <c r="C24" s="26" t="s">
        <v>110</v>
      </c>
      <c r="D24" s="28"/>
      <c r="E24" s="61">
        <f ca="1">StartRate</f>
        <v>998.97770238836426</v>
      </c>
      <c r="F24" s="45">
        <f t="shared" ref="F24:Q24" ca="1" si="5">IF(F23&gt;=EconLimit,F23,0)</f>
        <v>808.69899433022351</v>
      </c>
      <c r="G24" s="45">
        <f t="shared" ca="1" si="5"/>
        <v>654.66332418345314</v>
      </c>
      <c r="H24" s="45">
        <f t="shared" ca="1" si="5"/>
        <v>529.96735625458359</v>
      </c>
      <c r="I24" s="45">
        <f t="shared" ca="1" si="5"/>
        <v>429.02265686838319</v>
      </c>
      <c r="J24" s="45">
        <f t="shared" ca="1" si="5"/>
        <v>347.30524047218535</v>
      </c>
      <c r="K24" s="45">
        <f t="shared" ca="1" si="5"/>
        <v>281.15282055242812</v>
      </c>
      <c r="L24" s="45">
        <f t="shared" ca="1" si="5"/>
        <v>227.60067886426404</v>
      </c>
      <c r="M24" s="45">
        <f t="shared" ca="1" si="5"/>
        <v>184.24879721174281</v>
      </c>
      <c r="N24" s="45">
        <f t="shared" ca="1" si="5"/>
        <v>0</v>
      </c>
      <c r="O24" s="45">
        <f t="shared" ca="1" si="5"/>
        <v>0</v>
      </c>
      <c r="P24" s="45">
        <f t="shared" ca="1" si="5"/>
        <v>0</v>
      </c>
      <c r="Q24" s="45">
        <f t="shared" ca="1" si="5"/>
        <v>0</v>
      </c>
    </row>
    <row r="25" spans="2:17" x14ac:dyDescent="0.45">
      <c r="B25" s="25" t="s">
        <v>227</v>
      </c>
      <c r="C25" s="26" t="s">
        <v>121</v>
      </c>
      <c r="D25" s="62">
        <f ca="1">SUM(F25:Q25)</f>
        <v>8.9732426835382313</v>
      </c>
      <c r="E25" s="28"/>
      <c r="F25" s="31">
        <f t="shared" ref="F25:Q25" ca="1" si="6">IF(F22&lt;=EconLimit,0,IF(F23&gt;=EconLimit,1,LN(F22/EconLimit)/(12*F21)))</f>
        <v>1</v>
      </c>
      <c r="G25" s="31">
        <f t="shared" ca="1" si="6"/>
        <v>1</v>
      </c>
      <c r="H25" s="31">
        <f t="shared" ca="1" si="6"/>
        <v>1</v>
      </c>
      <c r="I25" s="31">
        <f t="shared" ca="1" si="6"/>
        <v>1</v>
      </c>
      <c r="J25" s="31">
        <f t="shared" ca="1" si="6"/>
        <v>1</v>
      </c>
      <c r="K25" s="31">
        <f t="shared" ca="1" si="6"/>
        <v>1</v>
      </c>
      <c r="L25" s="31">
        <f t="shared" ca="1" si="6"/>
        <v>1</v>
      </c>
      <c r="M25" s="31">
        <f t="shared" ca="1" si="6"/>
        <v>1</v>
      </c>
      <c r="N25" s="31">
        <f t="shared" ca="1" si="6"/>
        <v>0.97324268353823085</v>
      </c>
      <c r="O25" s="31">
        <f t="shared" ca="1" si="6"/>
        <v>0</v>
      </c>
      <c r="P25" s="31">
        <f t="shared" ca="1" si="6"/>
        <v>0</v>
      </c>
      <c r="Q25" s="31">
        <f t="shared" ca="1" si="6"/>
        <v>0</v>
      </c>
    </row>
    <row r="26" spans="2:17" x14ac:dyDescent="0.45">
      <c r="B26" s="25" t="s">
        <v>228</v>
      </c>
      <c r="C26" s="26" t="s">
        <v>157</v>
      </c>
      <c r="D26" s="63">
        <f ca="1">SUM(F26:Q26)</f>
        <v>1467.4906181630729</v>
      </c>
      <c r="E26" s="28"/>
      <c r="F26" s="64" cm="1">
        <f t="array" aca="1" ref="F26" ca="1">_xll.VoseOutput("Production year 1","kbbl")+IF(F22&lt;=EconLimit,0,DaysPerMonth*(F22-MAX(EconLimit,F23))/F21/1000)</f>
        <v>328.90406676873744</v>
      </c>
      <c r="G26" s="64" cm="1">
        <f t="array" aca="1" ref="G26" ca="1">_xll.VoseOutput("Production year 2","kbbl")+IF(G22&lt;=EconLimit,0,DaysPerMonth*(G22-MAX(EconLimit,G23))/G21/1000)</f>
        <v>266.25658149434258</v>
      </c>
      <c r="H26" s="64" cm="1">
        <f t="array" aca="1" ref="H26" ca="1">_xll.VoseOutput("Production year 3","kbbl")+IF(H22&lt;=EconLimit,0,DaysPerMonth*(H22-MAX(EconLimit,H23))/H21/1000)</f>
        <v>215.54177753265742</v>
      </c>
      <c r="I26" s="64" cm="1">
        <f t="array" aca="1" ref="I26" ca="1">_xll.VoseOutput("Production year 4","kbbl")+IF(I22&lt;=EconLimit,0,DaysPerMonth*(I22-MAX(EconLimit,I23))/I21/1000)</f>
        <v>174.48679616178697</v>
      </c>
      <c r="J26" s="64" cm="1">
        <f t="array" aca="1" ref="J26" ca="1">_xll.VoseOutput("Production year 5","kbbl")+IF(J22&lt;=EconLimit,0,DaysPerMonth*(J22-MAX(EconLimit,J23))/J21/1000)</f>
        <v>141.25169785329473</v>
      </c>
      <c r="K26" s="64" cm="1">
        <f t="array" aca="1" ref="K26" ca="1">_xll.VoseOutput("Production year 6","kbbl")+IF(K22&lt;=EconLimit,0,DaysPerMonth*(K22-MAX(EconLimit,K23))/K21/1000)</f>
        <v>114.3470026691224</v>
      </c>
      <c r="L26" s="64" cm="1">
        <f t="array" aca="1" ref="L26" ca="1">_xll.VoseOutput("Production year 7","kbbl")+IF(L22&lt;=EconLimit,0,DaysPerMonth*(L22-MAX(EconLimit,L23))/L21/1000)</f>
        <v>92.566937021828508</v>
      </c>
      <c r="M26" s="64" cm="1">
        <f t="array" aca="1" ref="M26" ca="1">_xll.VoseOutput("Production year 8","kbbl")+IF(M22&lt;=EconLimit,0,DaysPerMonth*(M22-MAX(EconLimit,M23))/M21/1000)</f>
        <v>74.93539515327403</v>
      </c>
      <c r="N26" s="64" cm="1">
        <f t="array" aca="1" ref="N26" ca="1">_xll.VoseOutput("Production year 9","kbbl")+IF(N22&lt;=EconLimit,0,DaysPerMonth*(N22-MAX(EconLimit,N23))/N21/1000)</f>
        <v>59.200363508028722</v>
      </c>
      <c r="O26" s="64" cm="1">
        <f t="array" aca="1" ref="O26" ca="1">_xll.VoseOutput("Production year 10","kbbl")+IF(O22&lt;=EconLimit,0,DaysPerMonth*(O22-MAX(EconLimit,O23))/O21/1000)</f>
        <v>0</v>
      </c>
      <c r="P26" s="64" cm="1">
        <f t="array" aca="1" ref="P26" ca="1">_xll.VoseOutput("Production year 11","kbbl")+IF(P22&lt;=EconLimit,0,DaysPerMonth*(P22-MAX(EconLimit,P23))/P21/1000)</f>
        <v>0</v>
      </c>
      <c r="Q26" s="64" cm="1">
        <f t="array" aca="1" ref="Q26" ca="1">_xll.VoseOutput("Production year 12","kbbl")+IF(Q22&lt;=EconLimit,0,DaysPerMonth*(Q22-MAX(EconLimit,Q23))/Q21/1000)</f>
        <v>0</v>
      </c>
    </row>
    <row r="27" spans="2:17" x14ac:dyDescent="0.45">
      <c r="B27" s="25" t="s">
        <v>229</v>
      </c>
      <c r="C27" s="26" t="s">
        <v>110</v>
      </c>
      <c r="D27" s="28"/>
      <c r="E27" s="28"/>
      <c r="F27" s="45">
        <f t="shared" ref="F27:Q27" ca="1" si="7">F26*1000/(12*DaysPerMonth)</f>
        <v>900.490258093737</v>
      </c>
      <c r="G27" s="45">
        <f t="shared" ca="1" si="7"/>
        <v>728.97079122338835</v>
      </c>
      <c r="H27" s="45">
        <f t="shared" ca="1" si="7"/>
        <v>590.12122527763847</v>
      </c>
      <c r="I27" s="45">
        <f t="shared" ca="1" si="7"/>
        <v>477.71881221570698</v>
      </c>
      <c r="J27" s="45">
        <f t="shared" ca="1" si="7"/>
        <v>386.72607215138873</v>
      </c>
      <c r="K27" s="45">
        <f t="shared" ca="1" si="7"/>
        <v>313.06503126385326</v>
      </c>
      <c r="L27" s="45">
        <f t="shared" ca="1" si="7"/>
        <v>253.43446138762081</v>
      </c>
      <c r="M27" s="45">
        <f t="shared" ca="1" si="7"/>
        <v>205.16193060444635</v>
      </c>
      <c r="N27" s="45">
        <f t="shared" ca="1" si="7"/>
        <v>162.08176182896295</v>
      </c>
      <c r="O27" s="45">
        <f t="shared" ca="1" si="7"/>
        <v>0</v>
      </c>
      <c r="P27" s="45">
        <f t="shared" ca="1" si="7"/>
        <v>0</v>
      </c>
      <c r="Q27" s="45">
        <f t="shared" ca="1" si="7"/>
        <v>0</v>
      </c>
    </row>
    <row r="28" spans="2:17" x14ac:dyDescent="0.45">
      <c r="B28" s="25" t="s">
        <v>230</v>
      </c>
      <c r="C28" s="26" t="s">
        <v>157</v>
      </c>
      <c r="D28" s="28"/>
      <c r="E28" s="61">
        <f>Hist_Cum</f>
        <v>1516.7310625000002</v>
      </c>
      <c r="F28" s="45">
        <f t="shared" ref="F28:Q28" ca="1" si="8">E28+F26</f>
        <v>1845.6351292687377</v>
      </c>
      <c r="G28" s="45">
        <f t="shared" ca="1" si="8"/>
        <v>2111.8917107630805</v>
      </c>
      <c r="H28" s="45">
        <f t="shared" ca="1" si="8"/>
        <v>2327.4334882957378</v>
      </c>
      <c r="I28" s="45">
        <f t="shared" ca="1" si="8"/>
        <v>2501.9202844575248</v>
      </c>
      <c r="J28" s="45">
        <f t="shared" ca="1" si="8"/>
        <v>2643.1719823108197</v>
      </c>
      <c r="K28" s="45">
        <f t="shared" ca="1" si="8"/>
        <v>2757.5189849799422</v>
      </c>
      <c r="L28" s="45">
        <f t="shared" ca="1" si="8"/>
        <v>2850.0859220017705</v>
      </c>
      <c r="M28" s="45">
        <f t="shared" ca="1" si="8"/>
        <v>2925.0213171550445</v>
      </c>
      <c r="N28" s="45">
        <f t="shared" ca="1" si="8"/>
        <v>2984.2216806630731</v>
      </c>
      <c r="O28" s="45">
        <f t="shared" ca="1" si="8"/>
        <v>2984.2216806630731</v>
      </c>
      <c r="P28" s="45">
        <f t="shared" ca="1" si="8"/>
        <v>2984.2216806630731</v>
      </c>
      <c r="Q28" s="45">
        <f t="shared" ca="1" si="8"/>
        <v>2984.2216806630731</v>
      </c>
    </row>
    <row r="29" spans="2:17" ht="8" customHeight="1" x14ac:dyDescent="0.45"/>
    <row r="30" spans="2:17" ht="22.05" customHeight="1" x14ac:dyDescent="0.5">
      <c r="B30" s="7" t="s">
        <v>231</v>
      </c>
      <c r="C30" s="8"/>
      <c r="D30" s="8"/>
      <c r="E30" s="8"/>
      <c r="F30" s="8"/>
      <c r="G30" s="8"/>
      <c r="H30" s="8"/>
      <c r="I30" s="8"/>
      <c r="J30" s="8"/>
      <c r="K30" s="8"/>
      <c r="L30" s="8"/>
      <c r="M30" s="8"/>
      <c r="N30" s="8"/>
      <c r="O30" s="8"/>
      <c r="P30" s="8"/>
      <c r="Q30" s="8"/>
    </row>
    <row r="31" spans="2:17" ht="18" customHeight="1" x14ac:dyDescent="0.45">
      <c r="B31" s="13" t="s">
        <v>232</v>
      </c>
    </row>
    <row r="32" spans="2:17" ht="18" customHeight="1" x14ac:dyDescent="0.45">
      <c r="B32" s="40" t="s">
        <v>233</v>
      </c>
      <c r="C32" s="40" t="s">
        <v>106</v>
      </c>
      <c r="D32" s="41" t="s">
        <v>155</v>
      </c>
      <c r="E32" s="5"/>
      <c r="F32" s="40" t="s">
        <v>234</v>
      </c>
      <c r="G32" s="5"/>
      <c r="H32" s="5"/>
      <c r="I32" s="5"/>
      <c r="J32" s="5"/>
      <c r="K32" s="5"/>
      <c r="L32" s="5"/>
      <c r="M32" s="5"/>
      <c r="N32" s="5"/>
      <c r="O32" s="5"/>
      <c r="P32" s="5"/>
      <c r="Q32" s="5"/>
    </row>
    <row r="33" spans="2:17" x14ac:dyDescent="0.45">
      <c r="B33" s="25" t="s">
        <v>235</v>
      </c>
      <c r="C33" s="26" t="s">
        <v>157</v>
      </c>
      <c r="D33" s="65" cm="1">
        <f t="array" aca="1" ref="D33" ca="1">_xll.VoseOutput("Remaining recoverable volume","kbbl")+D26</f>
        <v>1467.4906181630729</v>
      </c>
      <c r="E33" s="28"/>
      <c r="F33" s="26" t="s">
        <v>236</v>
      </c>
      <c r="G33" s="28"/>
      <c r="H33" s="28"/>
      <c r="I33" s="28"/>
      <c r="J33" s="28"/>
      <c r="K33" s="28"/>
      <c r="L33" s="28"/>
      <c r="M33" s="28"/>
      <c r="N33" s="28"/>
      <c r="O33" s="28"/>
      <c r="P33" s="28"/>
      <c r="Q33" s="28"/>
    </row>
    <row r="34" spans="2:17" x14ac:dyDescent="0.45">
      <c r="B34" s="25" t="s">
        <v>237</v>
      </c>
      <c r="C34" s="26" t="s">
        <v>157</v>
      </c>
      <c r="D34" s="65" cm="1">
        <f t="array" aca="1" ref="D34" ca="1">_xll.VoseOutput("EUR","kbbl")+Hist_Cum+D26</f>
        <v>2984.2216806630731</v>
      </c>
      <c r="E34" s="28"/>
      <c r="F34" s="26" t="s">
        <v>238</v>
      </c>
      <c r="G34" s="28"/>
      <c r="H34" s="28"/>
      <c r="I34" s="28"/>
      <c r="J34" s="28"/>
      <c r="K34" s="28"/>
      <c r="L34" s="28"/>
      <c r="M34" s="28"/>
      <c r="N34" s="28"/>
      <c r="O34" s="28"/>
      <c r="P34" s="28"/>
      <c r="Q34" s="28"/>
    </row>
    <row r="35" spans="2:17" x14ac:dyDescent="0.45">
      <c r="B35" s="25" t="s">
        <v>239</v>
      </c>
      <c r="C35" s="26" t="s">
        <v>121</v>
      </c>
      <c r="D35" s="64" cm="1">
        <f t="array" aca="1" ref="D35" ca="1">_xll.VoseOutput("Remaining producing life","years")+D25</f>
        <v>8.9732426835382313</v>
      </c>
      <c r="E35" s="28"/>
      <c r="F35" s="26" t="s">
        <v>240</v>
      </c>
      <c r="G35" s="28"/>
      <c r="H35" s="28"/>
      <c r="I35" s="28"/>
      <c r="J35" s="28"/>
      <c r="K35" s="28"/>
      <c r="L35" s="28"/>
      <c r="M35" s="28"/>
      <c r="N35" s="28"/>
      <c r="O35" s="28"/>
      <c r="P35" s="28"/>
      <c r="Q35" s="28"/>
    </row>
    <row r="36" spans="2:17" ht="8" customHeight="1" x14ac:dyDescent="0.45"/>
    <row r="37" spans="2:17" ht="22.05" customHeight="1" x14ac:dyDescent="0.5">
      <c r="B37" s="7" t="s">
        <v>241</v>
      </c>
      <c r="C37" s="8"/>
      <c r="D37" s="8"/>
      <c r="E37" s="8"/>
      <c r="F37" s="8"/>
      <c r="G37" s="8"/>
      <c r="H37" s="8"/>
      <c r="I37" s="8"/>
      <c r="J37" s="8"/>
      <c r="K37" s="8"/>
      <c r="L37" s="8"/>
      <c r="M37" s="8"/>
      <c r="N37" s="8"/>
      <c r="O37" s="8"/>
      <c r="P37" s="8"/>
      <c r="Q37" s="8"/>
    </row>
    <row r="38" spans="2:17" ht="18" customHeight="1" x14ac:dyDescent="0.45">
      <c r="B38" s="13" t="s">
        <v>242</v>
      </c>
    </row>
    <row r="39" spans="2:17" x14ac:dyDescent="0.45">
      <c r="B39" s="25" t="s">
        <v>243</v>
      </c>
      <c r="C39" s="28"/>
      <c r="D39" s="66" t="str">
        <f>IF(Fit_Slope&lt;0,"OK","CHECK")</f>
        <v>OK</v>
      </c>
      <c r="E39" s="28"/>
      <c r="F39" s="28"/>
      <c r="G39" s="28"/>
      <c r="H39" s="28"/>
      <c r="I39" s="28"/>
      <c r="J39" s="28"/>
      <c r="K39" s="28"/>
      <c r="L39" s="28"/>
      <c r="M39" s="28"/>
      <c r="N39" s="28"/>
      <c r="O39" s="28"/>
      <c r="P39" s="28"/>
      <c r="Q39" s="28"/>
    </row>
    <row r="40" spans="2:17" x14ac:dyDescent="0.45">
      <c r="B40" s="25" t="s">
        <v>244</v>
      </c>
      <c r="C40" s="28"/>
      <c r="D40" s="66" t="str">
        <f>IF(AND(COUNT(Hist_Rate)=36,MIN(Hist_Rate)&gt;0),"OK","CHECK")</f>
        <v>OK</v>
      </c>
      <c r="E40" s="28"/>
      <c r="F40" s="28"/>
      <c r="G40" s="28"/>
      <c r="H40" s="28"/>
      <c r="I40" s="28"/>
      <c r="J40" s="28"/>
      <c r="K40" s="28"/>
      <c r="L40" s="28"/>
      <c r="M40" s="28"/>
      <c r="N40" s="28"/>
      <c r="O40" s="28"/>
      <c r="P40" s="28"/>
      <c r="Q40" s="28"/>
    </row>
    <row r="41" spans="2:17" x14ac:dyDescent="0.45">
      <c r="B41" s="25" t="s">
        <v>245</v>
      </c>
      <c r="C41" s="28"/>
      <c r="D41" s="66" t="str">
        <f>IF(Fit_StartRate&gt;EconLimit,"OK","CHECK")</f>
        <v>OK</v>
      </c>
      <c r="E41" s="28"/>
      <c r="F41" s="28"/>
      <c r="G41" s="28"/>
      <c r="H41" s="28"/>
      <c r="I41" s="28"/>
      <c r="J41" s="28"/>
      <c r="K41" s="28"/>
      <c r="L41" s="28"/>
      <c r="M41" s="28"/>
      <c r="N41" s="28"/>
      <c r="O41" s="28"/>
      <c r="P41" s="28"/>
      <c r="Q41" s="28"/>
    </row>
    <row r="42" spans="2:17" x14ac:dyDescent="0.45">
      <c r="B42" s="25" t="s">
        <v>246</v>
      </c>
      <c r="C42" s="28"/>
      <c r="D42" s="66" t="str">
        <f ca="1">IF(Decline&gt;0,"OK","CHECK")</f>
        <v>OK</v>
      </c>
      <c r="E42" s="28"/>
      <c r="F42" s="28"/>
      <c r="G42" s="28"/>
      <c r="H42" s="28"/>
      <c r="I42" s="28"/>
      <c r="J42" s="28"/>
      <c r="K42" s="28"/>
      <c r="L42" s="28"/>
      <c r="M42" s="28"/>
      <c r="N42" s="28"/>
      <c r="O42" s="28"/>
      <c r="P42" s="28"/>
      <c r="Q42" s="28"/>
    </row>
    <row r="43" spans="2:17" ht="14" customHeight="1" x14ac:dyDescent="0.45"/>
    <row r="44" spans="2:17" ht="22.05" customHeight="1" x14ac:dyDescent="0.5">
      <c r="B44" s="7" t="s">
        <v>247</v>
      </c>
      <c r="C44" s="8"/>
      <c r="D44" s="8"/>
      <c r="E44" s="8"/>
      <c r="F44" s="8"/>
      <c r="G44" s="8"/>
      <c r="H44" s="8"/>
      <c r="I44" s="8"/>
      <c r="J44" s="8"/>
      <c r="K44" s="8"/>
      <c r="L44" s="8"/>
      <c r="M44" s="8"/>
      <c r="N44" s="8"/>
      <c r="O44" s="8"/>
      <c r="P44" s="8"/>
      <c r="Q44" s="8"/>
    </row>
    <row r="45" spans="2:17" ht="18" customHeight="1" x14ac:dyDescent="0.45">
      <c r="B45" s="13" t="s">
        <v>248</v>
      </c>
    </row>
  </sheetData>
  <conditionalFormatting sqref="D39:D42">
    <cfRule type="expression" dxfId="6" priority="1">
      <formula>D39="CHECK"</formula>
    </cfRule>
  </conditionalFormatting>
  <hyperlinks>
    <hyperlink ref="B4" location="'History'!A1" display="◂  History" xr:uid="{00000000-0004-0000-0300-000000000000}"/>
    <hyperlink ref="Q4" location="'Results'!A1" display="Next:  Results  ▸" xr:uid="{00000000-0004-0000-0300-000001000000}"/>
  </hyperlinks>
  <printOptions horizontalCentered="1"/>
  <pageMargins left="0.4" right="0.4" top="0.5" bottom="0.6" header="0.25" footer="0.25"/>
  <pageSetup paperSize="9" scale="52"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35"/>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249</v>
      </c>
      <c r="C3" s="1"/>
      <c r="D3" s="1"/>
      <c r="E3" s="1"/>
      <c r="F3" s="1"/>
      <c r="G3" s="1"/>
      <c r="H3" s="1"/>
      <c r="I3" s="1"/>
      <c r="J3" s="1"/>
      <c r="K3" s="1"/>
      <c r="L3" s="1"/>
      <c r="M3" s="1"/>
      <c r="N3" s="1"/>
      <c r="O3" s="1"/>
      <c r="P3" s="1"/>
      <c r="Q3" s="1"/>
      <c r="R3" s="1"/>
    </row>
    <row r="4" spans="1:18" ht="20" customHeight="1" x14ac:dyDescent="0.45">
      <c r="A4" s="5"/>
      <c r="B4" s="22" t="s">
        <v>250</v>
      </c>
      <c r="C4" s="5"/>
      <c r="D4" s="5"/>
      <c r="E4" s="5"/>
      <c r="F4" s="5"/>
      <c r="G4" s="5"/>
      <c r="H4" s="5"/>
      <c r="I4" s="5"/>
      <c r="J4" s="5"/>
      <c r="K4" s="5"/>
      <c r="L4" s="5"/>
      <c r="M4" s="5"/>
      <c r="N4" s="5"/>
      <c r="O4" s="5"/>
      <c r="P4" s="5"/>
      <c r="Q4" s="5"/>
      <c r="R4" s="5"/>
    </row>
    <row r="5" spans="1:18" ht="8" customHeight="1" x14ac:dyDescent="0.45"/>
    <row r="6" spans="1:18" ht="26" customHeight="1" x14ac:dyDescent="0.45">
      <c r="B6" s="67" t="str" cm="1">
        <f t="array" aca="1" ref="B6" ca="1">IF(ISNUMBER(_xll.VoseSimMean(Remaining)),"✔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8"/>
      <c r="D6" s="68"/>
      <c r="E6" s="68"/>
      <c r="F6" s="68"/>
      <c r="G6" s="68"/>
    </row>
    <row r="7" spans="1:18" x14ac:dyDescent="0.45">
      <c r="B7" s="69"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251</v>
      </c>
      <c r="C9" s="8"/>
      <c r="D9" s="8"/>
      <c r="E9" s="8"/>
      <c r="F9" s="8"/>
      <c r="G9" s="8"/>
      <c r="I9" s="70" t="s">
        <v>252</v>
      </c>
      <c r="J9" s="8"/>
      <c r="K9" s="8"/>
      <c r="L9" s="8"/>
      <c r="M9" s="8"/>
      <c r="N9" s="8"/>
      <c r="O9" s="8"/>
      <c r="P9" s="8"/>
      <c r="Q9" s="8"/>
      <c r="R9" s="8"/>
    </row>
    <row r="10" spans="1:18" ht="18" customHeight="1" x14ac:dyDescent="0.45">
      <c r="B10" s="13" t="s">
        <v>253</v>
      </c>
    </row>
    <row r="11" spans="1:18" ht="18" customHeight="1" x14ac:dyDescent="0.45">
      <c r="B11" s="23" t="s">
        <v>254</v>
      </c>
      <c r="C11" s="23" t="s">
        <v>106</v>
      </c>
      <c r="D11" s="24" t="s">
        <v>155</v>
      </c>
      <c r="E11" s="5"/>
      <c r="F11" s="5"/>
      <c r="G11" s="5"/>
    </row>
    <row r="12" spans="1:18" ht="22.05" customHeight="1" x14ac:dyDescent="0.45">
      <c r="B12" s="71" t="s">
        <v>255</v>
      </c>
      <c r="C12" s="26" t="s">
        <v>157</v>
      </c>
      <c r="D12" s="72" cm="1">
        <f t="array" aca="1" ref="D12" ca="1">_xll.VoseSimMean(Remaining)</f>
        <v>1314.2725728531184</v>
      </c>
      <c r="E12" s="28"/>
      <c r="F12" s="28"/>
      <c r="G12" s="28"/>
    </row>
    <row r="13" spans="1:18" x14ac:dyDescent="0.45">
      <c r="B13" s="73" t="s">
        <v>256</v>
      </c>
      <c r="C13" s="26" t="s">
        <v>157</v>
      </c>
      <c r="D13" s="45">
        <f>Det_Remaining</f>
        <v>1378.7875923617494</v>
      </c>
      <c r="E13" s="28"/>
      <c r="F13" s="28"/>
      <c r="G13" s="28"/>
    </row>
    <row r="14" spans="1:18" x14ac:dyDescent="0.45">
      <c r="B14" s="25" t="s">
        <v>257</v>
      </c>
      <c r="C14" s="26" t="s">
        <v>133</v>
      </c>
      <c r="D14" s="74" cm="1">
        <f t="array" aca="1" ref="D14" ca="1">_xll.VoseSimProbability(Remaining,Det_Remaining)</f>
        <v>0.64513548645135488</v>
      </c>
      <c r="E14" s="28"/>
      <c r="F14" s="28"/>
      <c r="G14" s="28"/>
    </row>
    <row r="15" spans="1:18" x14ac:dyDescent="0.45">
      <c r="B15" s="25" t="s">
        <v>258</v>
      </c>
      <c r="C15" s="26" t="s">
        <v>133</v>
      </c>
      <c r="D15" s="74" cm="1">
        <f t="array" aca="1" ref="D15" ca="1">_xll.VoseSimMean(WBT_Occurs)</f>
        <v>0.35539999999999999</v>
      </c>
      <c r="E15" s="28"/>
      <c r="F15" s="28"/>
      <c r="G15" s="28"/>
    </row>
    <row r="16" spans="1:18" ht="8" customHeight="1" x14ac:dyDescent="0.45"/>
    <row r="17" spans="2:18" ht="22.05" customHeight="1" x14ac:dyDescent="0.5">
      <c r="B17" s="7" t="s">
        <v>259</v>
      </c>
      <c r="C17" s="8"/>
      <c r="D17" s="8"/>
      <c r="E17" s="8"/>
      <c r="F17" s="8"/>
      <c r="G17" s="8"/>
    </row>
    <row r="18" spans="2:18" ht="18" customHeight="1" x14ac:dyDescent="0.45">
      <c r="B18" s="13" t="s">
        <v>260</v>
      </c>
    </row>
    <row r="19" spans="2:18" ht="18" customHeight="1" x14ac:dyDescent="0.45">
      <c r="B19" s="23" t="s">
        <v>254</v>
      </c>
      <c r="C19" s="23" t="s">
        <v>106</v>
      </c>
      <c r="D19" s="24" t="s">
        <v>261</v>
      </c>
      <c r="E19" s="24" t="s">
        <v>262</v>
      </c>
      <c r="F19" s="24" t="s">
        <v>263</v>
      </c>
      <c r="G19" s="24" t="s">
        <v>131</v>
      </c>
    </row>
    <row r="20" spans="2:18" x14ac:dyDescent="0.45">
      <c r="B20" s="25" t="s">
        <v>235</v>
      </c>
      <c r="C20" s="26" t="s">
        <v>157</v>
      </c>
      <c r="D20" s="75" cm="1">
        <f t="array" aca="1" ref="D20" ca="1">_xll.VoseSimPercentile(Remaining,0.1)</f>
        <v>1078.4806009248157</v>
      </c>
      <c r="E20" s="75" cm="1">
        <f t="array" aca="1" ref="E20" ca="1">_xll.VoseSimPercentile(Remaining,0.5)</f>
        <v>1314.4310463773681</v>
      </c>
      <c r="F20" s="75" cm="1">
        <f t="array" aca="1" ref="F20" ca="1">_xll.VoseSimPercentile(Remaining,0.9)</f>
        <v>1545.8156892636212</v>
      </c>
      <c r="G20" s="75" cm="1">
        <f t="array" aca="1" ref="G20" ca="1">_xll.VoseSimMean(Remaining)</f>
        <v>1314.2725728531184</v>
      </c>
    </row>
    <row r="21" spans="2:18" x14ac:dyDescent="0.45">
      <c r="B21" s="25" t="s">
        <v>237</v>
      </c>
      <c r="C21" s="26" t="s">
        <v>157</v>
      </c>
      <c r="D21" s="75" cm="1">
        <f t="array" aca="1" ref="D21" ca="1">_xll.VoseSimPercentile(UltimateRecovery,0.1)</f>
        <v>2595.2116634248159</v>
      </c>
      <c r="E21" s="75" cm="1">
        <f t="array" aca="1" ref="E21" ca="1">_xll.VoseSimPercentile(UltimateRecovery,0.5)</f>
        <v>2831.1621088773682</v>
      </c>
      <c r="F21" s="75" cm="1">
        <f t="array" aca="1" ref="F21" ca="1">_xll.VoseSimPercentile(UltimateRecovery,0.9)</f>
        <v>3062.5467517636216</v>
      </c>
      <c r="G21" s="75" cm="1">
        <f t="array" aca="1" ref="G21" ca="1">_xll.VoseSimMean(UltimateRecovery)</f>
        <v>2831.0036353531141</v>
      </c>
    </row>
    <row r="22" spans="2:18" x14ac:dyDescent="0.45">
      <c r="B22" s="25" t="s">
        <v>239</v>
      </c>
      <c r="C22" s="26" t="s">
        <v>121</v>
      </c>
      <c r="D22" s="76" cm="1">
        <f t="array" aca="1" ref="D22" ca="1">_xll.VoseSimPercentile(RemainingLife,0.1)</f>
        <v>6.1714614760239579</v>
      </c>
      <c r="E22" s="76" cm="1">
        <f t="array" aca="1" ref="E22" ca="1">_xll.VoseSimPercentile(RemainingLife,0.5)</f>
        <v>8.0598414924004178</v>
      </c>
      <c r="F22" s="76" cm="1">
        <f t="array" aca="1" ref="F22" ca="1">_xll.VoseSimPercentile(RemainingLife,0.9)</f>
        <v>9.3659853913002955</v>
      </c>
      <c r="G22" s="76" cm="1">
        <f t="array" aca="1" ref="G22" ca="1">_xll.VoseSimMean(RemainingLife)</f>
        <v>7.9014988662282306</v>
      </c>
    </row>
    <row r="23" spans="2:18" x14ac:dyDescent="0.45">
      <c r="B23" s="25" t="s">
        <v>214</v>
      </c>
      <c r="C23" s="26" t="s">
        <v>110</v>
      </c>
      <c r="D23" s="75" cm="1">
        <f t="array" aca="1" ref="D23" ca="1">_xll.VoseSimPercentile(StartRate,0.1)</f>
        <v>947.77348871547269</v>
      </c>
      <c r="E23" s="75" cm="1">
        <f t="array" aca="1" ref="E23" ca="1">_xll.VoseSimPercentile(StartRate,0.5)</f>
        <v>982.65264451272446</v>
      </c>
      <c r="F23" s="75" cm="1">
        <f t="array" aca="1" ref="F23" ca="1">_xll.VoseSimPercentile(StartRate,0.9)</f>
        <v>1019.0867941074</v>
      </c>
      <c r="G23" s="75" cm="1">
        <f t="array" aca="1" ref="G23" ca="1">_xll.VoseSimMean(StartRate)</f>
        <v>983.03191635876647</v>
      </c>
    </row>
    <row r="24" spans="2:18" x14ac:dyDescent="0.45">
      <c r="B24" s="25" t="s">
        <v>264</v>
      </c>
      <c r="C24" s="26" t="s">
        <v>159</v>
      </c>
      <c r="D24" s="77" cm="1">
        <f t="array" aca="1" ref="D24" ca="1">_xll.VoseSimPercentile(Decline,0.1)</f>
        <v>1.6571370025397474E-2</v>
      </c>
      <c r="E24" s="77" cm="1">
        <f t="array" aca="1" ref="E24" ca="1">_xll.VoseSimPercentile(Decline,0.5)</f>
        <v>1.8341178286673171E-2</v>
      </c>
      <c r="F24" s="77" cm="1">
        <f t="array" aca="1" ref="F24" ca="1">_xll.VoseSimPercentile(Decline,0.9)</f>
        <v>2.0096285166561603E-2</v>
      </c>
      <c r="G24" s="77" cm="1">
        <f t="array" aca="1" ref="G24" ca="1">_xll.VoseSimMean(Decline)</f>
        <v>1.8334521311206678E-2</v>
      </c>
    </row>
    <row r="25" spans="2:18" ht="8" customHeight="1" x14ac:dyDescent="0.45"/>
    <row r="26" spans="2:18" ht="22.05" customHeight="1" x14ac:dyDescent="0.5">
      <c r="B26" s="7" t="s">
        <v>265</v>
      </c>
      <c r="C26" s="8"/>
      <c r="D26" s="8"/>
      <c r="E26" s="8"/>
      <c r="F26" s="8"/>
      <c r="G26" s="8"/>
      <c r="I26" s="70" t="s">
        <v>266</v>
      </c>
      <c r="J26" s="8"/>
      <c r="K26" s="8"/>
      <c r="L26" s="8"/>
      <c r="M26" s="8"/>
      <c r="N26" s="8"/>
      <c r="O26" s="8"/>
      <c r="P26" s="8"/>
      <c r="Q26" s="8"/>
      <c r="R26" s="8"/>
    </row>
    <row r="27" spans="2:18" ht="18" customHeight="1" x14ac:dyDescent="0.45">
      <c r="B27" s="13" t="s">
        <v>267</v>
      </c>
    </row>
    <row r="28" spans="2:18" ht="18" customHeight="1" x14ac:dyDescent="0.45">
      <c r="B28" s="23" t="s">
        <v>268</v>
      </c>
      <c r="C28" s="24" t="s">
        <v>269</v>
      </c>
      <c r="D28" s="24" t="s">
        <v>270</v>
      </c>
      <c r="E28" s="78" t="s">
        <v>271</v>
      </c>
      <c r="F28" s="5"/>
      <c r="G28" s="5"/>
    </row>
    <row r="29" spans="2:18" x14ac:dyDescent="0.45">
      <c r="B29" s="25" t="str">
        <f t="array" aca="1" ref="B29:E33" ca="1">_xll.VoseSimSensitivityMean(Remaining,10,1,FALSE)</f>
        <v>Decline rate</v>
      </c>
      <c r="C29" s="75">
        <f ca="1"/>
        <v>1103.566134205679</v>
      </c>
      <c r="D29" s="75">
        <f ca="1"/>
        <v>1566.0836631805478</v>
      </c>
      <c r="E29" s="79">
        <f ca="1"/>
        <v>1</v>
      </c>
      <c r="F29" s="28"/>
      <c r="G29" s="28"/>
    </row>
    <row r="30" spans="2:18" x14ac:dyDescent="0.45">
      <c r="B30" s="25" t="str">
        <f ca="1"/>
        <v>Start rate</v>
      </c>
      <c r="C30" s="75">
        <f ca="1"/>
        <v>1111.7760774336505</v>
      </c>
      <c r="D30" s="75">
        <f ca="1"/>
        <v>1550.9740413226275</v>
      </c>
      <c r="E30" s="79">
        <f ca="1"/>
        <v>2</v>
      </c>
      <c r="F30" s="28"/>
      <c r="G30" s="28"/>
    </row>
    <row r="31" spans="2:18" x14ac:dyDescent="0.45">
      <c r="B31" s="25" t="str">
        <f ca="1"/>
        <v>Water breakthrough</v>
      </c>
      <c r="C31" s="75">
        <f ca="1"/>
        <v>1170.9724491198604</v>
      </c>
      <c r="D31" s="75">
        <f ca="1"/>
        <v>1393.2810493886445</v>
      </c>
      <c r="E31" s="79">
        <f ca="1"/>
        <v>3</v>
      </c>
      <c r="F31" s="28"/>
      <c r="G31" s="28"/>
    </row>
    <row r="32" spans="2:18" x14ac:dyDescent="0.45">
      <c r="B32" s="25" t="str">
        <f ca="1"/>
        <v>Time to breakthrough</v>
      </c>
      <c r="C32" s="75">
        <f ca="1"/>
        <v>1261.6117353650593</v>
      </c>
      <c r="D32" s="75">
        <f ca="1"/>
        <v>1362.4626342596198</v>
      </c>
      <c r="E32" s="79">
        <f ca="1"/>
        <v>4</v>
      </c>
      <c r="F32" s="28"/>
      <c r="G32" s="28"/>
    </row>
    <row r="33" spans="2:18" x14ac:dyDescent="0.45">
      <c r="B33" s="25" t="str">
        <f ca="1"/>
        <v>Breakthrough decline factor</v>
      </c>
      <c r="C33" s="75">
        <f ca="1"/>
        <v>1286.2375766108858</v>
      </c>
      <c r="D33" s="75">
        <f ca="1"/>
        <v>1336.5004149105196</v>
      </c>
      <c r="E33" s="79">
        <f ca="1"/>
        <v>5</v>
      </c>
      <c r="F33" s="28"/>
      <c r="G33" s="28"/>
    </row>
    <row r="40" spans="2:18" ht="22.05" customHeight="1" x14ac:dyDescent="0.5">
      <c r="B40" s="7" t="s">
        <v>272</v>
      </c>
      <c r="C40" s="8"/>
      <c r="D40" s="8"/>
      <c r="E40" s="8"/>
      <c r="F40" s="8"/>
      <c r="G40" s="8"/>
      <c r="I40" s="70" t="s">
        <v>273</v>
      </c>
      <c r="J40" s="8"/>
      <c r="K40" s="8"/>
      <c r="L40" s="8"/>
      <c r="M40" s="8"/>
      <c r="N40" s="8"/>
      <c r="O40" s="8"/>
      <c r="P40" s="8"/>
      <c r="Q40" s="8"/>
      <c r="R40" s="8"/>
    </row>
    <row r="41" spans="2:18" ht="32" customHeight="1" x14ac:dyDescent="0.45">
      <c r="B41" s="88" t="s">
        <v>274</v>
      </c>
      <c r="C41" s="87"/>
      <c r="D41" s="87"/>
      <c r="E41" s="87"/>
      <c r="F41" s="87"/>
      <c r="G41" s="87"/>
    </row>
    <row r="42" spans="2:18" ht="32" customHeight="1" x14ac:dyDescent="0.45">
      <c r="B42" s="88" t="s">
        <v>275</v>
      </c>
      <c r="C42" s="87"/>
      <c r="D42" s="87"/>
      <c r="E42" s="87"/>
      <c r="F42" s="87"/>
      <c r="G42" s="87"/>
    </row>
    <row r="43" spans="2:18" ht="32" customHeight="1" x14ac:dyDescent="0.45">
      <c r="B43" s="88" t="s">
        <v>276</v>
      </c>
      <c r="C43" s="87"/>
      <c r="D43" s="87"/>
      <c r="E43" s="87"/>
      <c r="F43" s="87"/>
      <c r="G43" s="87"/>
    </row>
    <row r="44" spans="2:18" ht="32" customHeight="1" x14ac:dyDescent="0.45">
      <c r="B44" s="88" t="s">
        <v>277</v>
      </c>
      <c r="C44" s="87"/>
      <c r="D44" s="87"/>
      <c r="E44" s="87"/>
      <c r="F44" s="87"/>
      <c r="G44" s="87"/>
    </row>
    <row r="45" spans="2:18" ht="19.05" customHeight="1" x14ac:dyDescent="0.45">
      <c r="B45" s="88" t="s">
        <v>278</v>
      </c>
      <c r="C45" s="87"/>
      <c r="D45" s="87"/>
      <c r="E45" s="87"/>
      <c r="F45" s="87"/>
      <c r="G45" s="87"/>
    </row>
    <row r="46" spans="2:18" ht="14" customHeight="1" x14ac:dyDescent="0.45"/>
    <row r="55" spans="2:7" ht="14" customHeight="1" x14ac:dyDescent="0.45"/>
    <row r="56" spans="2:7" ht="22.05" customHeight="1" x14ac:dyDescent="0.5">
      <c r="B56" s="7" t="s">
        <v>279</v>
      </c>
      <c r="C56" s="8"/>
      <c r="D56" s="8"/>
      <c r="E56" s="8"/>
      <c r="F56" s="8"/>
      <c r="G56" s="8"/>
    </row>
    <row r="57" spans="2:7" ht="18" customHeight="1" x14ac:dyDescent="0.45">
      <c r="B57" s="13" t="s">
        <v>280</v>
      </c>
    </row>
    <row r="58" spans="2:7" ht="28.05" hidden="1" customHeight="1" outlineLevel="1" x14ac:dyDescent="0.45">
      <c r="B58" s="24" t="s">
        <v>281</v>
      </c>
      <c r="C58" s="24" t="s">
        <v>282</v>
      </c>
      <c r="D58" s="24" t="s">
        <v>283</v>
      </c>
      <c r="E58" s="5"/>
      <c r="F58" s="5"/>
      <c r="G58" s="5"/>
    </row>
    <row r="59" spans="2:7" hidden="1" outlineLevel="1" x14ac:dyDescent="0.45">
      <c r="B59" s="80">
        <v>0.01</v>
      </c>
      <c r="C59" s="80">
        <f t="shared" ref="C59:C90" si="0">1-B59</f>
        <v>0.99</v>
      </c>
      <c r="D59" s="81" cm="1">
        <f t="array" aca="1" ref="D59" ca="1">IF(ISNUMBER(_xll.VoseSimPercentile(Remaining,$B59)),_xll.VoseSimPercentile(Remaining,$B59),NA())</f>
        <v>892.11376780038199</v>
      </c>
    </row>
    <row r="60" spans="2:7" hidden="1" outlineLevel="1" x14ac:dyDescent="0.45">
      <c r="B60" s="80">
        <v>0.03</v>
      </c>
      <c r="C60" s="80">
        <f t="shared" si="0"/>
        <v>0.97</v>
      </c>
      <c r="D60" s="81" cm="1">
        <f t="array" aca="1" ref="D60" ca="1">IF(ISNUMBER(_xll.VoseSimPercentile(Remaining,$B60)),_xll.VoseSimPercentile(Remaining,$B60),NA())</f>
        <v>969.00253270299424</v>
      </c>
    </row>
    <row r="61" spans="2:7" hidden="1" outlineLevel="1" x14ac:dyDescent="0.45">
      <c r="B61" s="80">
        <v>0.05</v>
      </c>
      <c r="C61" s="80">
        <f t="shared" si="0"/>
        <v>0.95</v>
      </c>
      <c r="D61" s="81" cm="1">
        <f t="array" aca="1" ref="D61" ca="1">IF(ISNUMBER(_xll.VoseSimPercentile(Remaining,$B61)),_xll.VoseSimPercentile(Remaining,$B61),NA())</f>
        <v>1009.9068812315863</v>
      </c>
    </row>
    <row r="62" spans="2:7" hidden="1" outlineLevel="1" x14ac:dyDescent="0.45">
      <c r="B62" s="80">
        <v>7.0000000000000007E-2</v>
      </c>
      <c r="C62" s="80">
        <f t="shared" si="0"/>
        <v>0.92999999999999994</v>
      </c>
      <c r="D62" s="81" cm="1">
        <f t="array" aca="1" ref="D62" ca="1">IF(ISNUMBER(_xll.VoseSimPercentile(Remaining,$B62)),_xll.VoseSimPercentile(Remaining,$B62),NA())</f>
        <v>1042.5103865850804</v>
      </c>
    </row>
    <row r="63" spans="2:7" hidden="1" outlineLevel="1" x14ac:dyDescent="0.45">
      <c r="B63" s="80">
        <v>0.09</v>
      </c>
      <c r="C63" s="80">
        <f t="shared" si="0"/>
        <v>0.91</v>
      </c>
      <c r="D63" s="81" cm="1">
        <f t="array" aca="1" ref="D63" ca="1">IF(ISNUMBER(_xll.VoseSimPercentile(Remaining,$B63)),_xll.VoseSimPercentile(Remaining,$B63),NA())</f>
        <v>1067.7004892359278</v>
      </c>
    </row>
    <row r="64" spans="2:7" hidden="1" outlineLevel="1" x14ac:dyDescent="0.45">
      <c r="B64" s="80">
        <v>0.11</v>
      </c>
      <c r="C64" s="80">
        <f t="shared" si="0"/>
        <v>0.89</v>
      </c>
      <c r="D64" s="81" cm="1">
        <f t="array" aca="1" ref="D64" ca="1">IF(ISNUMBER(_xll.VoseSimPercentile(Remaining,$B64)),_xll.VoseSimPercentile(Remaining,$B64),NA())</f>
        <v>1090.2316896464051</v>
      </c>
    </row>
    <row r="65" spans="2:4" hidden="1" outlineLevel="1" x14ac:dyDescent="0.45">
      <c r="B65" s="80">
        <v>0.13</v>
      </c>
      <c r="C65" s="80">
        <f t="shared" si="0"/>
        <v>0.87</v>
      </c>
      <c r="D65" s="81" cm="1">
        <f t="array" aca="1" ref="D65" ca="1">IF(ISNUMBER(_xll.VoseSimPercentile(Remaining,$B65)),_xll.VoseSimPercentile(Remaining,$B65),NA())</f>
        <v>1110.1417363698265</v>
      </c>
    </row>
    <row r="66" spans="2:4" hidden="1" outlineLevel="1" x14ac:dyDescent="0.45">
      <c r="B66" s="80">
        <v>0.15</v>
      </c>
      <c r="C66" s="80">
        <f t="shared" si="0"/>
        <v>0.85</v>
      </c>
      <c r="D66" s="81" cm="1">
        <f t="array" aca="1" ref="D66" ca="1">IF(ISNUMBER(_xll.VoseSimPercentile(Remaining,$B66)),_xll.VoseSimPercentile(Remaining,$B66),NA())</f>
        <v>1127.4132538076917</v>
      </c>
    </row>
    <row r="67" spans="2:4" hidden="1" outlineLevel="1" x14ac:dyDescent="0.45">
      <c r="B67" s="80">
        <v>0.17</v>
      </c>
      <c r="C67" s="80">
        <f t="shared" si="0"/>
        <v>0.83</v>
      </c>
      <c r="D67" s="81" cm="1">
        <f t="array" aca="1" ref="D67" ca="1">IF(ISNUMBER(_xll.VoseSimPercentile(Remaining,$B67)),_xll.VoseSimPercentile(Remaining,$B67),NA())</f>
        <v>1143.6677411916648</v>
      </c>
    </row>
    <row r="68" spans="2:4" hidden="1" outlineLevel="1" x14ac:dyDescent="0.45">
      <c r="B68" s="80">
        <v>0.19</v>
      </c>
      <c r="C68" s="80">
        <f t="shared" si="0"/>
        <v>0.81</v>
      </c>
      <c r="D68" s="81" cm="1">
        <f t="array" aca="1" ref="D68" ca="1">IF(ISNUMBER(_xll.VoseSimPercentile(Remaining,$B68)),_xll.VoseSimPercentile(Remaining,$B68),NA())</f>
        <v>1157.6232926846258</v>
      </c>
    </row>
    <row r="69" spans="2:4" hidden="1" outlineLevel="1" x14ac:dyDescent="0.45">
      <c r="B69" s="80">
        <v>0.21</v>
      </c>
      <c r="C69" s="80">
        <f t="shared" si="0"/>
        <v>0.79</v>
      </c>
      <c r="D69" s="81" cm="1">
        <f t="array" aca="1" ref="D69" ca="1">IF(ISNUMBER(_xll.VoseSimPercentile(Remaining,$B69)),_xll.VoseSimPercentile(Remaining,$B69),NA())</f>
        <v>1171.2560007087704</v>
      </c>
    </row>
    <row r="70" spans="2:4" hidden="1" outlineLevel="1" x14ac:dyDescent="0.45">
      <c r="B70" s="80">
        <v>0.23</v>
      </c>
      <c r="C70" s="80">
        <f t="shared" si="0"/>
        <v>0.77</v>
      </c>
      <c r="D70" s="81" cm="1">
        <f t="array" aca="1" ref="D70" ca="1">IF(ISNUMBER(_xll.VoseSimPercentile(Remaining,$B70)),_xll.VoseSimPercentile(Remaining,$B70),NA())</f>
        <v>1183.1735998118052</v>
      </c>
    </row>
    <row r="71" spans="2:4" hidden="1" outlineLevel="1" x14ac:dyDescent="0.45">
      <c r="B71" s="80">
        <v>0.25</v>
      </c>
      <c r="C71" s="80">
        <f t="shared" si="0"/>
        <v>0.75</v>
      </c>
      <c r="D71" s="81" cm="1">
        <f t="array" aca="1" ref="D71" ca="1">IF(ISNUMBER(_xll.VoseSimPercentile(Remaining,$B71)),_xll.VoseSimPercentile(Remaining,$B71),NA())</f>
        <v>1194.5120546401167</v>
      </c>
    </row>
    <row r="72" spans="2:4" hidden="1" outlineLevel="1" x14ac:dyDescent="0.45">
      <c r="B72" s="80">
        <v>0.27</v>
      </c>
      <c r="C72" s="80">
        <f t="shared" si="0"/>
        <v>0.73</v>
      </c>
      <c r="D72" s="81" cm="1">
        <f t="array" aca="1" ref="D72" ca="1">IF(ISNUMBER(_xll.VoseSimPercentile(Remaining,$B72)),_xll.VoseSimPercentile(Remaining,$B72),NA())</f>
        <v>1205.5048108738868</v>
      </c>
    </row>
    <row r="73" spans="2:4" hidden="1" outlineLevel="1" x14ac:dyDescent="0.45">
      <c r="B73" s="80">
        <v>0.28999999999999998</v>
      </c>
      <c r="C73" s="80">
        <f t="shared" si="0"/>
        <v>0.71</v>
      </c>
      <c r="D73" s="81" cm="1">
        <f t="array" aca="1" ref="D73" ca="1">IF(ISNUMBER(_xll.VoseSimPercentile(Remaining,$B73)),_xll.VoseSimPercentile(Remaining,$B73),NA())</f>
        <v>1217.0850569321726</v>
      </c>
    </row>
    <row r="74" spans="2:4" hidden="1" outlineLevel="1" x14ac:dyDescent="0.45">
      <c r="B74" s="80">
        <v>0.31</v>
      </c>
      <c r="C74" s="80">
        <f t="shared" si="0"/>
        <v>0.69</v>
      </c>
      <c r="D74" s="81" cm="1">
        <f t="array" aca="1" ref="D74" ca="1">IF(ISNUMBER(_xll.VoseSimPercentile(Remaining,$B74)),_xll.VoseSimPercentile(Remaining,$B74),NA())</f>
        <v>1226.7140227218822</v>
      </c>
    </row>
    <row r="75" spans="2:4" hidden="1" outlineLevel="1" x14ac:dyDescent="0.45">
      <c r="B75" s="80">
        <v>0.33</v>
      </c>
      <c r="C75" s="80">
        <f t="shared" si="0"/>
        <v>0.66999999999999993</v>
      </c>
      <c r="D75" s="81" cm="1">
        <f t="array" aca="1" ref="D75" ca="1">IF(ISNUMBER(_xll.VoseSimPercentile(Remaining,$B75)),_xll.VoseSimPercentile(Remaining,$B75),NA())</f>
        <v>1235.9840143221793</v>
      </c>
    </row>
    <row r="76" spans="2:4" hidden="1" outlineLevel="1" x14ac:dyDescent="0.45">
      <c r="B76" s="80">
        <v>0.35</v>
      </c>
      <c r="C76" s="80">
        <f t="shared" si="0"/>
        <v>0.65</v>
      </c>
      <c r="D76" s="81" cm="1">
        <f t="array" aca="1" ref="D76" ca="1">IF(ISNUMBER(_xll.VoseSimPercentile(Remaining,$B76)),_xll.VoseSimPercentile(Remaining,$B76),NA())</f>
        <v>1246.1276491242484</v>
      </c>
    </row>
    <row r="77" spans="2:4" hidden="1" outlineLevel="1" x14ac:dyDescent="0.45">
      <c r="B77" s="80">
        <v>0.37</v>
      </c>
      <c r="C77" s="80">
        <f t="shared" si="0"/>
        <v>0.63</v>
      </c>
      <c r="D77" s="81" cm="1">
        <f t="array" aca="1" ref="D77" ca="1">IF(ISNUMBER(_xll.VoseSimPercentile(Remaining,$B77)),_xll.VoseSimPercentile(Remaining,$B77),NA())</f>
        <v>1255.2386176845357</v>
      </c>
    </row>
    <row r="78" spans="2:4" hidden="1" outlineLevel="1" x14ac:dyDescent="0.45">
      <c r="B78" s="80">
        <v>0.39</v>
      </c>
      <c r="C78" s="80">
        <f t="shared" si="0"/>
        <v>0.61</v>
      </c>
      <c r="D78" s="81" cm="1">
        <f t="array" aca="1" ref="D78" ca="1">IF(ISNUMBER(_xll.VoseSimPercentile(Remaining,$B78)),_xll.VoseSimPercentile(Remaining,$B78),NA())</f>
        <v>1264.237191746932</v>
      </c>
    </row>
    <row r="79" spans="2:4" hidden="1" outlineLevel="1" x14ac:dyDescent="0.45">
      <c r="B79" s="80">
        <v>0.41</v>
      </c>
      <c r="C79" s="80">
        <f t="shared" si="0"/>
        <v>0.59000000000000008</v>
      </c>
      <c r="D79" s="81" cm="1">
        <f t="array" aca="1" ref="D79" ca="1">IF(ISNUMBER(_xll.VoseSimPercentile(Remaining,$B79)),_xll.VoseSimPercentile(Remaining,$B79),NA())</f>
        <v>1274.5825675981791</v>
      </c>
    </row>
    <row r="80" spans="2:4" hidden="1" outlineLevel="1" x14ac:dyDescent="0.45">
      <c r="B80" s="80">
        <v>0.43</v>
      </c>
      <c r="C80" s="80">
        <f t="shared" si="0"/>
        <v>0.57000000000000006</v>
      </c>
      <c r="D80" s="81" cm="1">
        <f t="array" aca="1" ref="D80" ca="1">IF(ISNUMBER(_xll.VoseSimPercentile(Remaining,$B80)),_xll.VoseSimPercentile(Remaining,$B80),NA())</f>
        <v>1283.7257643134858</v>
      </c>
    </row>
    <row r="81" spans="2:4" hidden="1" outlineLevel="1" x14ac:dyDescent="0.45">
      <c r="B81" s="80">
        <v>0.45</v>
      </c>
      <c r="C81" s="80">
        <f t="shared" si="0"/>
        <v>0.55000000000000004</v>
      </c>
      <c r="D81" s="81" cm="1">
        <f t="array" aca="1" ref="D81" ca="1">IF(ISNUMBER(_xll.VoseSimPercentile(Remaining,$B81)),_xll.VoseSimPercentile(Remaining,$B81),NA())</f>
        <v>1292.186850549306</v>
      </c>
    </row>
    <row r="82" spans="2:4" hidden="1" outlineLevel="1" x14ac:dyDescent="0.45">
      <c r="B82" s="80">
        <v>0.47</v>
      </c>
      <c r="C82" s="80">
        <f t="shared" si="0"/>
        <v>0.53</v>
      </c>
      <c r="D82" s="81" cm="1">
        <f t="array" aca="1" ref="D82" ca="1">IF(ISNUMBER(_xll.VoseSimPercentile(Remaining,$B82)),_xll.VoseSimPercentile(Remaining,$B82),NA())</f>
        <v>1302.1522320000381</v>
      </c>
    </row>
    <row r="83" spans="2:4" hidden="1" outlineLevel="1" x14ac:dyDescent="0.45">
      <c r="B83" s="80">
        <v>0.49</v>
      </c>
      <c r="C83" s="80">
        <f t="shared" si="0"/>
        <v>0.51</v>
      </c>
      <c r="D83" s="81" cm="1">
        <f t="array" aca="1" ref="D83" ca="1">IF(ISNUMBER(_xll.VoseSimPercentile(Remaining,$B83)),_xll.VoseSimPercentile(Remaining,$B83),NA())</f>
        <v>1310.5429447186855</v>
      </c>
    </row>
    <row r="84" spans="2:4" hidden="1" outlineLevel="1" x14ac:dyDescent="0.45">
      <c r="B84" s="80">
        <v>0.51</v>
      </c>
      <c r="C84" s="80">
        <f t="shared" si="0"/>
        <v>0.49</v>
      </c>
      <c r="D84" s="81" cm="1">
        <f t="array" aca="1" ref="D84" ca="1">IF(ISNUMBER(_xll.VoseSimPercentile(Remaining,$B84)),_xll.VoseSimPercentile(Remaining,$B84),NA())</f>
        <v>1318.4155567715018</v>
      </c>
    </row>
    <row r="85" spans="2:4" hidden="1" outlineLevel="1" x14ac:dyDescent="0.45">
      <c r="B85" s="80">
        <v>0.53</v>
      </c>
      <c r="C85" s="80">
        <f t="shared" si="0"/>
        <v>0.47</v>
      </c>
      <c r="D85" s="81" cm="1">
        <f t="array" aca="1" ref="D85" ca="1">IF(ISNUMBER(_xll.VoseSimPercentile(Remaining,$B85)),_xll.VoseSimPercentile(Remaining,$B85),NA())</f>
        <v>1326.4007979182909</v>
      </c>
    </row>
    <row r="86" spans="2:4" hidden="1" outlineLevel="1" x14ac:dyDescent="0.45">
      <c r="B86" s="80">
        <v>0.55000000000000004</v>
      </c>
      <c r="C86" s="80">
        <f t="shared" si="0"/>
        <v>0.44999999999999996</v>
      </c>
      <c r="D86" s="81" cm="1">
        <f t="array" aca="1" ref="D86" ca="1">IF(ISNUMBER(_xll.VoseSimPercentile(Remaining,$B86)),_xll.VoseSimPercentile(Remaining,$B86),NA())</f>
        <v>1335.1626492503588</v>
      </c>
    </row>
    <row r="87" spans="2:4" hidden="1" outlineLevel="1" x14ac:dyDescent="0.45">
      <c r="B87" s="80">
        <v>0.56999999999999995</v>
      </c>
      <c r="C87" s="80">
        <f t="shared" si="0"/>
        <v>0.43000000000000005</v>
      </c>
      <c r="D87" s="81" cm="1">
        <f t="array" aca="1" ref="D87" ca="1">IF(ISNUMBER(_xll.VoseSimPercentile(Remaining,$B87)),_xll.VoseSimPercentile(Remaining,$B87),NA())</f>
        <v>1343.7989950648368</v>
      </c>
    </row>
    <row r="88" spans="2:4" hidden="1" outlineLevel="1" x14ac:dyDescent="0.45">
      <c r="B88" s="80">
        <v>0.59</v>
      </c>
      <c r="C88" s="80">
        <f t="shared" si="0"/>
        <v>0.41000000000000003</v>
      </c>
      <c r="D88" s="81" cm="1">
        <f t="array" aca="1" ref="D88" ca="1">IF(ISNUMBER(_xll.VoseSimPercentile(Remaining,$B88)),_xll.VoseSimPercentile(Remaining,$B88),NA())</f>
        <v>1352.6145740642596</v>
      </c>
    </row>
    <row r="89" spans="2:4" hidden="1" outlineLevel="1" x14ac:dyDescent="0.45">
      <c r="B89" s="80">
        <v>0.61</v>
      </c>
      <c r="C89" s="80">
        <f t="shared" si="0"/>
        <v>0.39</v>
      </c>
      <c r="D89" s="81" cm="1">
        <f t="array" aca="1" ref="D89" ca="1">IF(ISNUMBER(_xll.VoseSimPercentile(Remaining,$B89)),_xll.VoseSimPercentile(Remaining,$B89),NA())</f>
        <v>1361.1952325013522</v>
      </c>
    </row>
    <row r="90" spans="2:4" hidden="1" outlineLevel="1" x14ac:dyDescent="0.45">
      <c r="B90" s="80">
        <v>0.63</v>
      </c>
      <c r="C90" s="80">
        <f t="shared" si="0"/>
        <v>0.37</v>
      </c>
      <c r="D90" s="81" cm="1">
        <f t="array" aca="1" ref="D90" ca="1">IF(ISNUMBER(_xll.VoseSimPercentile(Remaining,$B90)),_xll.VoseSimPercentile(Remaining,$B90),NA())</f>
        <v>1370.7613820575082</v>
      </c>
    </row>
    <row r="91" spans="2:4" hidden="1" outlineLevel="1" x14ac:dyDescent="0.45">
      <c r="B91" s="80">
        <v>0.65</v>
      </c>
      <c r="C91" s="80">
        <f t="shared" ref="C91:C122" si="1">1-B91</f>
        <v>0.35</v>
      </c>
      <c r="D91" s="81" cm="1">
        <f t="array" aca="1" ref="D91" ca="1">IF(ISNUMBER(_xll.VoseSimPercentile(Remaining,$B91)),_xll.VoseSimPercentile(Remaining,$B91),NA())</f>
        <v>1381.2592706088408</v>
      </c>
    </row>
    <row r="92" spans="2:4" hidden="1" outlineLevel="1" x14ac:dyDescent="0.45">
      <c r="B92" s="80">
        <v>0.67</v>
      </c>
      <c r="C92" s="80">
        <f t="shared" si="1"/>
        <v>0.32999999999999996</v>
      </c>
      <c r="D92" s="81" cm="1">
        <f t="array" aca="1" ref="D92" ca="1">IF(ISNUMBER(_xll.VoseSimPercentile(Remaining,$B92)),_xll.VoseSimPercentile(Remaining,$B92),NA())</f>
        <v>1391.3330324064234</v>
      </c>
    </row>
    <row r="93" spans="2:4" hidden="1" outlineLevel="1" x14ac:dyDescent="0.45">
      <c r="B93" s="80">
        <v>0.69</v>
      </c>
      <c r="C93" s="80">
        <f t="shared" si="1"/>
        <v>0.31000000000000005</v>
      </c>
      <c r="D93" s="81" cm="1">
        <f t="array" aca="1" ref="D93" ca="1">IF(ISNUMBER(_xll.VoseSimPercentile(Remaining,$B93)),_xll.VoseSimPercentile(Remaining,$B93),NA())</f>
        <v>1400.5896732656327</v>
      </c>
    </row>
    <row r="94" spans="2:4" hidden="1" outlineLevel="1" x14ac:dyDescent="0.45">
      <c r="B94" s="80">
        <v>0.71</v>
      </c>
      <c r="C94" s="80">
        <f t="shared" si="1"/>
        <v>0.29000000000000004</v>
      </c>
      <c r="D94" s="81" cm="1">
        <f t="array" aca="1" ref="D94" ca="1">IF(ISNUMBER(_xll.VoseSimPercentile(Remaining,$B94)),_xll.VoseSimPercentile(Remaining,$B94),NA())</f>
        <v>1410.8092615725184</v>
      </c>
    </row>
    <row r="95" spans="2:4" hidden="1" outlineLevel="1" x14ac:dyDescent="0.45">
      <c r="B95" s="80">
        <v>0.73</v>
      </c>
      <c r="C95" s="80">
        <f t="shared" si="1"/>
        <v>0.27</v>
      </c>
      <c r="D95" s="81" cm="1">
        <f t="array" aca="1" ref="D95" ca="1">IF(ISNUMBER(_xll.VoseSimPercentile(Remaining,$B95)),_xll.VoseSimPercentile(Remaining,$B95),NA())</f>
        <v>1421.747934489453</v>
      </c>
    </row>
    <row r="96" spans="2:4" hidden="1" outlineLevel="1" x14ac:dyDescent="0.45">
      <c r="B96" s="80">
        <v>0.75</v>
      </c>
      <c r="C96" s="80">
        <f t="shared" si="1"/>
        <v>0.25</v>
      </c>
      <c r="D96" s="81" cm="1">
        <f t="array" aca="1" ref="D96" ca="1">IF(ISNUMBER(_xll.VoseSimPercentile(Remaining,$B96)),_xll.VoseSimPercentile(Remaining,$B96),NA())</f>
        <v>1433.3172892130219</v>
      </c>
    </row>
    <row r="97" spans="2:7" hidden="1" outlineLevel="1" x14ac:dyDescent="0.45">
      <c r="B97" s="80">
        <v>0.77</v>
      </c>
      <c r="C97" s="80">
        <f t="shared" si="1"/>
        <v>0.22999999999999998</v>
      </c>
      <c r="D97" s="81" cm="1">
        <f t="array" aca="1" ref="D97" ca="1">IF(ISNUMBER(_xll.VoseSimPercentile(Remaining,$B97)),_xll.VoseSimPercentile(Remaining,$B97),NA())</f>
        <v>1445.3643312986833</v>
      </c>
    </row>
    <row r="98" spans="2:7" hidden="1" outlineLevel="1" x14ac:dyDescent="0.45">
      <c r="B98" s="80">
        <v>0.79</v>
      </c>
      <c r="C98" s="80">
        <f t="shared" si="1"/>
        <v>0.20999999999999996</v>
      </c>
      <c r="D98" s="81" cm="1">
        <f t="array" aca="1" ref="D98" ca="1">IF(ISNUMBER(_xll.VoseSimPercentile(Remaining,$B98)),_xll.VoseSimPercentile(Remaining,$B98),NA())</f>
        <v>1457.9880317007671</v>
      </c>
    </row>
    <row r="99" spans="2:7" hidden="1" outlineLevel="1" x14ac:dyDescent="0.45">
      <c r="B99" s="80">
        <v>0.81</v>
      </c>
      <c r="C99" s="80">
        <f t="shared" si="1"/>
        <v>0.18999999999999995</v>
      </c>
      <c r="D99" s="81" cm="1">
        <f t="array" aca="1" ref="D99" ca="1">IF(ISNUMBER(_xll.VoseSimPercentile(Remaining,$B99)),_xll.VoseSimPercentile(Remaining,$B99),NA())</f>
        <v>1472.3726041840807</v>
      </c>
    </row>
    <row r="100" spans="2:7" hidden="1" outlineLevel="1" x14ac:dyDescent="0.45">
      <c r="B100" s="80">
        <v>0.83</v>
      </c>
      <c r="C100" s="80">
        <f t="shared" si="1"/>
        <v>0.17000000000000004</v>
      </c>
      <c r="D100" s="81" cm="1">
        <f t="array" aca="1" ref="D100" ca="1">IF(ISNUMBER(_xll.VoseSimPercentile(Remaining,$B100)),_xll.VoseSimPercentile(Remaining,$B100),NA())</f>
        <v>1485.6522617625799</v>
      </c>
    </row>
    <row r="101" spans="2:7" hidden="1" outlineLevel="1" x14ac:dyDescent="0.45">
      <c r="B101" s="80">
        <v>0.85</v>
      </c>
      <c r="C101" s="80">
        <f t="shared" si="1"/>
        <v>0.15000000000000002</v>
      </c>
      <c r="D101" s="81" cm="1">
        <f t="array" aca="1" ref="D101" ca="1">IF(ISNUMBER(_xll.VoseSimPercentile(Remaining,$B101)),_xll.VoseSimPercentile(Remaining,$B101),NA())</f>
        <v>1498.9074217145462</v>
      </c>
    </row>
    <row r="102" spans="2:7" hidden="1" outlineLevel="1" x14ac:dyDescent="0.45">
      <c r="B102" s="80">
        <v>0.87</v>
      </c>
      <c r="C102" s="80">
        <f t="shared" si="1"/>
        <v>0.13</v>
      </c>
      <c r="D102" s="81" cm="1">
        <f t="array" aca="1" ref="D102" ca="1">IF(ISNUMBER(_xll.VoseSimPercentile(Remaining,$B102)),_xll.VoseSimPercentile(Remaining,$B102),NA())</f>
        <v>1516.1306661022365</v>
      </c>
    </row>
    <row r="103" spans="2:7" hidden="1" outlineLevel="1" x14ac:dyDescent="0.45">
      <c r="B103" s="80">
        <v>0.89</v>
      </c>
      <c r="C103" s="80">
        <f t="shared" si="1"/>
        <v>0.10999999999999999</v>
      </c>
      <c r="D103" s="81" cm="1">
        <f t="array" aca="1" ref="D103" ca="1">IF(ISNUMBER(_xll.VoseSimPercentile(Remaining,$B103)),_xll.VoseSimPercentile(Remaining,$B103),NA())</f>
        <v>1534.2949502009408</v>
      </c>
    </row>
    <row r="104" spans="2:7" hidden="1" outlineLevel="1" x14ac:dyDescent="0.45">
      <c r="B104" s="80">
        <v>0.91</v>
      </c>
      <c r="C104" s="80">
        <f t="shared" si="1"/>
        <v>8.9999999999999969E-2</v>
      </c>
      <c r="D104" s="81" cm="1">
        <f t="array" aca="1" ref="D104" ca="1">IF(ISNUMBER(_xll.VoseSimPercentile(Remaining,$B104)),_xll.VoseSimPercentile(Remaining,$B104),NA())</f>
        <v>1555.2882580915414</v>
      </c>
    </row>
    <row r="105" spans="2:7" hidden="1" outlineLevel="1" x14ac:dyDescent="0.45">
      <c r="B105" s="80">
        <v>0.93</v>
      </c>
      <c r="C105" s="80">
        <f t="shared" si="1"/>
        <v>6.9999999999999951E-2</v>
      </c>
      <c r="D105" s="81" cm="1">
        <f t="array" aca="1" ref="D105" ca="1">IF(ISNUMBER(_xll.VoseSimPercentile(Remaining,$B105)),_xll.VoseSimPercentile(Remaining,$B105),NA())</f>
        <v>1580.2101221138694</v>
      </c>
    </row>
    <row r="106" spans="2:7" hidden="1" outlineLevel="1" x14ac:dyDescent="0.45">
      <c r="B106" s="80">
        <v>0.95</v>
      </c>
      <c r="C106" s="80">
        <f t="shared" si="1"/>
        <v>5.0000000000000044E-2</v>
      </c>
      <c r="D106" s="81" cm="1">
        <f t="array" aca="1" ref="D106" ca="1">IF(ISNUMBER(_xll.VoseSimPercentile(Remaining,$B106)),_xll.VoseSimPercentile(Remaining,$B106),NA())</f>
        <v>1615.8795882705547</v>
      </c>
    </row>
    <row r="107" spans="2:7" hidden="1" outlineLevel="1" x14ac:dyDescent="0.45">
      <c r="B107" s="80">
        <v>0.97</v>
      </c>
      <c r="C107" s="80">
        <f t="shared" si="1"/>
        <v>3.0000000000000027E-2</v>
      </c>
      <c r="D107" s="81" cm="1">
        <f t="array" aca="1" ref="D107" ca="1">IF(ISNUMBER(_xll.VoseSimPercentile(Remaining,$B107)),_xll.VoseSimPercentile(Remaining,$B107),NA())</f>
        <v>1663.0452530214707</v>
      </c>
    </row>
    <row r="108" spans="2:7" hidden="1" outlineLevel="1" x14ac:dyDescent="0.45">
      <c r="B108" s="80">
        <v>0.99</v>
      </c>
      <c r="C108" s="80">
        <f t="shared" si="1"/>
        <v>1.0000000000000009E-2</v>
      </c>
      <c r="D108" s="81" cm="1">
        <f t="array" aca="1" ref="D108" ca="1">IF(ISNUMBER(_xll.VoseSimPercentile(Remaining,$B108)),_xll.VoseSimPercentile(Remaining,$B108),NA())</f>
        <v>1757.2528901746552</v>
      </c>
    </row>
    <row r="109" spans="2:7" hidden="1" outlineLevel="1" x14ac:dyDescent="0.45"/>
    <row r="110" spans="2:7" hidden="1" outlineLevel="1" x14ac:dyDescent="0.45">
      <c r="B110" s="82" t="s">
        <v>284</v>
      </c>
      <c r="D110" s="83" cm="1">
        <f t="array" aca="1" ref="D110" ca="1">_xll.VoseSimMean(Remaining)</f>
        <v>1314.2725728531184</v>
      </c>
    </row>
    <row r="111" spans="2:7" ht="18" hidden="1" customHeight="1" outlineLevel="1" x14ac:dyDescent="0.45">
      <c r="B111" s="23" t="s">
        <v>285</v>
      </c>
      <c r="C111" s="5"/>
      <c r="D111" s="5"/>
      <c r="E111" s="5"/>
      <c r="F111" s="24" t="s">
        <v>286</v>
      </c>
      <c r="G111" s="24" t="s">
        <v>287</v>
      </c>
    </row>
    <row r="112" spans="2:7" hidden="1" outlineLevel="1" x14ac:dyDescent="0.45">
      <c r="B112" s="84" t="str">
        <f ca="1">B29</f>
        <v>Decline rate</v>
      </c>
      <c r="F112" s="85">
        <f ca="1">IFERROR(D29-$D$110,NA())</f>
        <v>251.81109032742938</v>
      </c>
      <c r="G112" s="85">
        <f ca="1">IFERROR(C29-$D$110,NA())</f>
        <v>-210.70643864743943</v>
      </c>
    </row>
    <row r="113" spans="2:7" hidden="1" outlineLevel="1" x14ac:dyDescent="0.45">
      <c r="B113" s="84" t="str">
        <f ca="1">B30</f>
        <v>Start rate</v>
      </c>
      <c r="F113" s="85">
        <f ca="1">IFERROR(D30-$D$110,NA())</f>
        <v>236.70146846950911</v>
      </c>
      <c r="G113" s="85">
        <f ca="1">IFERROR(C30-$D$110,NA())</f>
        <v>-202.49649541946792</v>
      </c>
    </row>
    <row r="114" spans="2:7" hidden="1" outlineLevel="1" x14ac:dyDescent="0.45">
      <c r="B114" s="84" t="str">
        <f ca="1">B31</f>
        <v>Water breakthrough</v>
      </c>
      <c r="F114" s="85">
        <f ca="1">IFERROR(D31-$D$110,NA())</f>
        <v>79.008476535526142</v>
      </c>
      <c r="G114" s="85">
        <f ca="1">IFERROR(C31-$D$110,NA())</f>
        <v>-143.30012373325803</v>
      </c>
    </row>
    <row r="115" spans="2:7" hidden="1" outlineLevel="1" x14ac:dyDescent="0.45">
      <c r="B115" s="84" t="str">
        <f ca="1">B32</f>
        <v>Time to breakthrough</v>
      </c>
      <c r="F115" s="85">
        <f ca="1">IFERROR(D32-$D$110,NA())</f>
        <v>48.1900614065014</v>
      </c>
      <c r="G115" s="85">
        <f ca="1">IFERROR(C32-$D$110,NA())</f>
        <v>-52.660837488059087</v>
      </c>
    </row>
    <row r="116" spans="2:7" hidden="1" outlineLevel="1" x14ac:dyDescent="0.45">
      <c r="B116" s="84" t="str">
        <f ca="1">B33</f>
        <v>Breakthrough decline factor</v>
      </c>
      <c r="F116" s="85">
        <f ca="1">IFERROR(D33-$D$110,NA())</f>
        <v>22.227842057401176</v>
      </c>
      <c r="G116" s="85">
        <f ca="1">IFERROR(C33-$D$110,NA())</f>
        <v>-28.034996242232637</v>
      </c>
    </row>
    <row r="117" spans="2:7" hidden="1" outlineLevel="1" x14ac:dyDescent="0.45"/>
    <row r="118" spans="2:7" ht="28.05" hidden="1" customHeight="1" outlineLevel="1" x14ac:dyDescent="0.45">
      <c r="B118" s="23" t="s">
        <v>288</v>
      </c>
      <c r="C118" s="24" t="s">
        <v>261</v>
      </c>
      <c r="D118" s="24" t="s">
        <v>289</v>
      </c>
      <c r="E118" s="24" t="s">
        <v>263</v>
      </c>
      <c r="F118" s="24" t="s">
        <v>131</v>
      </c>
      <c r="G118" s="5"/>
    </row>
    <row r="119" spans="2:7" hidden="1" outlineLevel="1" x14ac:dyDescent="0.45">
      <c r="B119" s="84">
        <f>Forecast!F7</f>
        <v>2027</v>
      </c>
      <c r="C119" s="81" cm="1">
        <f t="array" aca="1" ref="C119" ca="1">IF(ISNUMBER(_xll.VoseSimPercentile(Forecast!F26,0.1)),_xll.VoseSimPercentile(Forecast!F26,0.1),NA())</f>
        <v>308.01698689430867</v>
      </c>
      <c r="D119" s="81" cm="1">
        <f t="array" aca="1" ref="D119" ca="1">IF(ISNUMBER(_xll.VoseSimPercentile(Forecast!F26,0.5)),_xll.VoseSimPercentile(Forecast!F26,0.5),NA())</f>
        <v>322.16127988192682</v>
      </c>
      <c r="E119" s="81" cm="1">
        <f t="array" aca="1" ref="E119" ca="1">IF(ISNUMBER(_xll.VoseSimPercentile(Forecast!F26,0.9)),_xll.VoseSimPercentile(Forecast!F26,0.9),NA())</f>
        <v>337.10607340516043</v>
      </c>
      <c r="F119" s="81" cm="1">
        <f t="array" aca="1" ref="F119" ca="1">IF(ISNUMBER(_xll.VoseSimMean(Forecast!F26)),_xll.VoseSimMean(Forecast!F26),NA())</f>
        <v>322.37447827728926</v>
      </c>
    </row>
    <row r="120" spans="2:7" hidden="1" outlineLevel="1" x14ac:dyDescent="0.45">
      <c r="B120" s="84">
        <f>Forecast!G7</f>
        <v>2028</v>
      </c>
      <c r="C120" s="81" cm="1">
        <f t="array" aca="1" ref="C120" ca="1">IF(ISNUMBER(_xll.VoseSimPercentile(Forecast!G26,0.1)),_xll.VoseSimPercentile(Forecast!G26,0.1),NA())</f>
        <v>241.328197341471</v>
      </c>
      <c r="D120" s="81" cm="1">
        <f t="array" aca="1" ref="D120" ca="1">IF(ISNUMBER(_xll.VoseSimPercentile(Forecast!G26,0.5)),_xll.VoseSimPercentile(Forecast!G26,0.5),NA())</f>
        <v>258.07798821546515</v>
      </c>
      <c r="E120" s="81" cm="1">
        <f t="array" aca="1" ref="E120" ca="1">IF(ISNUMBER(_xll.VoseSimPercentile(Forecast!G26,0.9)),_xll.VoseSimPercentile(Forecast!G26,0.9),NA())</f>
        <v>275.59021576163309</v>
      </c>
      <c r="F120" s="81" cm="1">
        <f t="array" aca="1" ref="F120" ca="1">IF(ISNUMBER(_xll.VoseSimMean(Forecast!G26)),_xll.VoseSimMean(Forecast!G26),NA())</f>
        <v>258.25630191503609</v>
      </c>
    </row>
    <row r="121" spans="2:7" hidden="1" outlineLevel="1" x14ac:dyDescent="0.45">
      <c r="B121" s="84">
        <f>Forecast!H7</f>
        <v>2029</v>
      </c>
      <c r="C121" s="81" cm="1">
        <f t="array" aca="1" ref="C121" ca="1">IF(ISNUMBER(_xll.VoseSimPercentile(Forecast!H26,0.1)),_xll.VoseSimPercentile(Forecast!H26,0.1),NA())</f>
        <v>186.30238930655477</v>
      </c>
      <c r="D121" s="81" cm="1">
        <f t="array" aca="1" ref="D121" ca="1">IF(ISNUMBER(_xll.VoseSimPercentile(Forecast!H26,0.5)),_xll.VoseSimPercentile(Forecast!H26,0.5),NA())</f>
        <v>205.54506638023352</v>
      </c>
      <c r="E121" s="81" cm="1">
        <f t="array" aca="1" ref="E121" ca="1">IF(ISNUMBER(_xll.VoseSimPercentile(Forecast!H26,0.9)),_xll.VoseSimPercentile(Forecast!H26,0.9),NA())</f>
        <v>224.84085767333062</v>
      </c>
      <c r="F121" s="81" cm="1">
        <f t="array" aca="1" ref="F121" ca="1">IF(ISNUMBER(_xll.VoseSimMean(Forecast!H26)),_xll.VoseSimMean(Forecast!H26),NA())</f>
        <v>205.37449547259129</v>
      </c>
    </row>
    <row r="122" spans="2:7" hidden="1" outlineLevel="1" x14ac:dyDescent="0.45">
      <c r="B122" s="84">
        <f>Forecast!I7</f>
        <v>2030</v>
      </c>
      <c r="C122" s="81" cm="1">
        <f t="array" aca="1" ref="C122" ca="1">IF(ISNUMBER(_xll.VoseSimPercentile(Forecast!I26,0.1)),_xll.VoseSimPercentile(Forecast!I26,0.1),NA())</f>
        <v>139.24445268771311</v>
      </c>
      <c r="D122" s="81" cm="1">
        <f t="array" aca="1" ref="D122" ca="1">IF(ISNUMBER(_xll.VoseSimPercentile(Forecast!I26,0.5)),_xll.VoseSimPercentile(Forecast!I26,0.5),NA())</f>
        <v>162.973912062045</v>
      </c>
      <c r="E122" s="81" cm="1">
        <f t="array" aca="1" ref="E122" ca="1">IF(ISNUMBER(_xll.VoseSimPercentile(Forecast!I26,0.9)),_xll.VoseSimPercentile(Forecast!I26,0.9),NA())</f>
        <v>183.01650594562054</v>
      </c>
      <c r="F122" s="81" cm="1">
        <f t="array" aca="1" ref="F122" ca="1">IF(ISNUMBER(_xll.VoseSimMean(Forecast!I26)),_xll.VoseSimMean(Forecast!I26),NA())</f>
        <v>161.70114008229893</v>
      </c>
    </row>
    <row r="123" spans="2:7" hidden="1" outlineLevel="1" x14ac:dyDescent="0.45">
      <c r="B123" s="84">
        <f>Forecast!J7</f>
        <v>2031</v>
      </c>
      <c r="C123" s="81" cm="1">
        <f t="array" aca="1" ref="C123" ca="1">IF(ISNUMBER(_xll.VoseSimPercentile(Forecast!J26,0.1)),_xll.VoseSimPercentile(Forecast!J26,0.1),NA())</f>
        <v>99.477584296586798</v>
      </c>
      <c r="D123" s="81" cm="1">
        <f t="array" aca="1" ref="D123" ca="1">IF(ISNUMBER(_xll.VoseSimPercentile(Forecast!J26,0.5)),_xll.VoseSimPercentile(Forecast!J26,0.5),NA())</f>
        <v>128.39533257130844</v>
      </c>
      <c r="E123" s="81" cm="1">
        <f t="array" aca="1" ref="E123" ca="1">IF(ISNUMBER(_xll.VoseSimPercentile(Forecast!J26,0.9)),_xll.VoseSimPercentile(Forecast!J26,0.9),NA())</f>
        <v>148.89814635654352</v>
      </c>
      <c r="F123" s="81" cm="1">
        <f t="array" aca="1" ref="F123" ca="1">IF(ISNUMBER(_xll.VoseSimMean(Forecast!J26)),_xll.VoseSimMean(Forecast!J26),NA())</f>
        <v>126.26962327000668</v>
      </c>
    </row>
    <row r="124" spans="2:7" hidden="1" outlineLevel="1" x14ac:dyDescent="0.45">
      <c r="B124" s="84">
        <f>Forecast!K7</f>
        <v>2032</v>
      </c>
      <c r="C124" s="81" cm="1">
        <f t="array" aca="1" ref="C124" ca="1">IF(ISNUMBER(_xll.VoseSimPercentile(Forecast!K26,0.1)),_xll.VoseSimPercentile(Forecast!K26,0.1),NA())</f>
        <v>70.001481956220218</v>
      </c>
      <c r="D124" s="81" cm="1">
        <f t="array" aca="1" ref="D124" ca="1">IF(ISNUMBER(_xll.VoseSimPercentile(Forecast!K26,0.5)),_xll.VoseSimPercentile(Forecast!K26,0.5),NA())</f>
        <v>101.03937968693737</v>
      </c>
      <c r="E124" s="81" cm="1">
        <f t="array" aca="1" ref="E124" ca="1">IF(ISNUMBER(_xll.VoseSimPercentile(Forecast!K26,0.9)),_xll.VoseSimPercentile(Forecast!K26,0.9),NA())</f>
        <v>121.06560444716862</v>
      </c>
      <c r="F124" s="81" cm="1">
        <f t="array" aca="1" ref="F124" ca="1">IF(ISNUMBER(_xll.VoseSimMean(Forecast!K26)),_xll.VoseSimMean(Forecast!K26),NA())</f>
        <v>96.768804603498808</v>
      </c>
    </row>
    <row r="125" spans="2:7" hidden="1" outlineLevel="1" x14ac:dyDescent="0.45">
      <c r="B125" s="84">
        <f>Forecast!L7</f>
        <v>2033</v>
      </c>
      <c r="C125" s="81" cm="1">
        <f t="array" aca="1" ref="C125" ca="1">IF(ISNUMBER(_xll.VoseSimPercentile(Forecast!L26,0.1)),_xll.VoseSimPercentile(Forecast!L26,0.1),NA())</f>
        <v>9.6804370185443567</v>
      </c>
      <c r="D125" s="81" cm="1">
        <f t="array" aca="1" ref="D125" ca="1">IF(ISNUMBER(_xll.VoseSimPercentile(Forecast!L26,0.5)),_xll.VoseSimPercentile(Forecast!L26,0.5),NA())</f>
        <v>79.418209281503778</v>
      </c>
      <c r="E125" s="81" cm="1">
        <f t="array" aca="1" ref="E125" ca="1">IF(ISNUMBER(_xll.VoseSimPercentile(Forecast!L26,0.9)),_xll.VoseSimPercentile(Forecast!L26,0.9),NA())</f>
        <v>98.48179575059109</v>
      </c>
      <c r="F125" s="81" cm="1">
        <f t="array" aca="1" ref="F125" ca="1">IF(ISNUMBER(_xll.VoseSimMean(Forecast!L26)),_xll.VoseSimMean(Forecast!L26),NA())</f>
        <v>69.849254606712165</v>
      </c>
    </row>
    <row r="126" spans="2:7" hidden="1" outlineLevel="1" x14ac:dyDescent="0.45">
      <c r="B126" s="84">
        <f>Forecast!M7</f>
        <v>2034</v>
      </c>
      <c r="C126" s="81" cm="1">
        <f t="array" aca="1" ref="C126" ca="1">IF(ISNUMBER(_xll.VoseSimPercentile(Forecast!M26,0.1)),_xll.VoseSimPercentile(Forecast!M26,0.1),NA())</f>
        <v>0</v>
      </c>
      <c r="D126" s="81" cm="1">
        <f t="array" aca="1" ref="D126" ca="1">IF(ISNUMBER(_xll.VoseSimPercentile(Forecast!M26,0.5)),_xll.VoseSimPercentile(Forecast!M26,0.5),NA())</f>
        <v>62.548555566365387</v>
      </c>
      <c r="E126" s="81" cm="1">
        <f t="array" aca="1" ref="E126" ca="1">IF(ISNUMBER(_xll.VoseSimPercentile(Forecast!M26,0.9)),_xll.VoseSimPercentile(Forecast!M26,0.9),NA())</f>
        <v>80.239360792772217</v>
      </c>
      <c r="F126" s="81" cm="1">
        <f t="array" aca="1" ref="F126" ca="1">IF(ISNUMBER(_xll.VoseSimMean(Forecast!M26)),_xll.VoseSimMean(Forecast!M26),NA())</f>
        <v>45.886514306465926</v>
      </c>
    </row>
    <row r="127" spans="2:7" hidden="1" outlineLevel="1" x14ac:dyDescent="0.45">
      <c r="B127" s="84">
        <f>Forecast!N7</f>
        <v>2035</v>
      </c>
      <c r="C127" s="81" cm="1">
        <f t="array" aca="1" ref="C127" ca="1">IF(ISNUMBER(_xll.VoseSimPercentile(Forecast!N26,0.1)),_xll.VoseSimPercentile(Forecast!N26,0.1),NA())</f>
        <v>0</v>
      </c>
      <c r="D127" s="81" cm="1">
        <f t="array" aca="1" ref="D127" ca="1">IF(ISNUMBER(_xll.VoseSimPercentile(Forecast!N26,0.5)),_xll.VoseSimPercentile(Forecast!N26,0.5),NA())</f>
        <v>3.3011026532588179</v>
      </c>
      <c r="E127" s="81" cm="1">
        <f t="array" aca="1" ref="E127" ca="1">IF(ISNUMBER(_xll.VoseSimPercentile(Forecast!N26,0.9)),_xll.VoseSimPercentile(Forecast!N26,0.9),NA())</f>
        <v>65.468453183211707</v>
      </c>
      <c r="F127" s="81" cm="1">
        <f t="array" aca="1" ref="F127" ca="1">IF(ISNUMBER(_xll.VoseSimMean(Forecast!N26)),_xll.VoseSimMean(Forecast!N26),NA())</f>
        <v>21.743899506520165</v>
      </c>
    </row>
    <row r="128" spans="2:7" hidden="1" outlineLevel="1" x14ac:dyDescent="0.45">
      <c r="B128" s="84">
        <f>Forecast!O7</f>
        <v>2036</v>
      </c>
      <c r="C128" s="81" cm="1">
        <f t="array" aca="1" ref="C128" ca="1">IF(ISNUMBER(_xll.VoseSimPercentile(Forecast!O26,0.1)),_xll.VoseSimPercentile(Forecast!O26,0.1),NA())</f>
        <v>0</v>
      </c>
      <c r="D128" s="81" cm="1">
        <f t="array" aca="1" ref="D128" ca="1">IF(ISNUMBER(_xll.VoseSimPercentile(Forecast!O26,0.5)),_xll.VoseSimPercentile(Forecast!O26,0.5),NA())</f>
        <v>0</v>
      </c>
      <c r="E128" s="81" cm="1">
        <f t="array" aca="1" ref="E128" ca="1">IF(ISNUMBER(_xll.VoseSimPercentile(Forecast!O26,0.9)),_xll.VoseSimPercentile(Forecast!O26,0.9),NA())</f>
        <v>20.822876577920123</v>
      </c>
      <c r="F128" s="81" cm="1">
        <f t="array" aca="1" ref="F128" ca="1">IF(ISNUMBER(_xll.VoseSimMean(Forecast!O26)),_xll.VoseSimMean(Forecast!O26),NA())</f>
        <v>5.2988945944967254</v>
      </c>
    </row>
    <row r="129" spans="2:7" hidden="1" outlineLevel="1" x14ac:dyDescent="0.45">
      <c r="B129" s="84">
        <f>Forecast!P7</f>
        <v>2037</v>
      </c>
      <c r="C129" s="81" cm="1">
        <f t="array" aca="1" ref="C129" ca="1">IF(ISNUMBER(_xll.VoseSimPercentile(Forecast!P26,0.1)),_xll.VoseSimPercentile(Forecast!P26,0.1),NA())</f>
        <v>0</v>
      </c>
      <c r="D129" s="81" cm="1">
        <f t="array" aca="1" ref="D129" ca="1">IF(ISNUMBER(_xll.VoseSimPercentile(Forecast!P26,0.5)),_xll.VoseSimPercentile(Forecast!P26,0.5),NA())</f>
        <v>0</v>
      </c>
      <c r="E129" s="81" cm="1">
        <f t="array" aca="1" ref="E129" ca="1">IF(ISNUMBER(_xll.VoseSimPercentile(Forecast!P26,0.9)),_xll.VoseSimPercentile(Forecast!P26,0.9),NA())</f>
        <v>0</v>
      </c>
      <c r="F129" s="81" cm="1">
        <f t="array" aca="1" ref="F129" ca="1">IF(ISNUMBER(_xll.VoseSimMean(Forecast!P26)),_xll.VoseSimMean(Forecast!P26),NA())</f>
        <v>0.69312124017137955</v>
      </c>
    </row>
    <row r="130" spans="2:7" hidden="1" outlineLevel="1" x14ac:dyDescent="0.45">
      <c r="B130" s="84">
        <f>Forecast!Q7</f>
        <v>2038</v>
      </c>
      <c r="C130" s="81" cm="1">
        <f t="array" aca="1" ref="C130" ca="1">IF(ISNUMBER(_xll.VoseSimPercentile(Forecast!Q26,0.1)),_xll.VoseSimPercentile(Forecast!Q26,0.1),NA())</f>
        <v>0</v>
      </c>
      <c r="D130" s="81" cm="1">
        <f t="array" aca="1" ref="D130" ca="1">IF(ISNUMBER(_xll.VoseSimPercentile(Forecast!Q26,0.5)),_xll.VoseSimPercentile(Forecast!Q26,0.5),NA())</f>
        <v>0</v>
      </c>
      <c r="E130" s="81" cm="1">
        <f t="array" aca="1" ref="E130" ca="1">IF(ISNUMBER(_xll.VoseSimPercentile(Forecast!Q26,0.9)),_xll.VoseSimPercentile(Forecast!Q26,0.9),NA())</f>
        <v>0</v>
      </c>
      <c r="F130" s="81" cm="1">
        <f t="array" aca="1" ref="F130" ca="1">IF(ISNUMBER(_xll.VoseSimMean(Forecast!Q26)),_xll.VoseSimMean(Forecast!Q26),NA())</f>
        <v>5.5179823240567825E-2</v>
      </c>
    </row>
    <row r="131" spans="2:7" hidden="1" outlineLevel="1" x14ac:dyDescent="0.45"/>
    <row r="132" spans="2:7" ht="18" hidden="1" customHeight="1" outlineLevel="1" x14ac:dyDescent="0.45">
      <c r="B132" s="23" t="s">
        <v>290</v>
      </c>
      <c r="C132" s="24" t="s">
        <v>282</v>
      </c>
      <c r="D132" s="24" t="s">
        <v>155</v>
      </c>
      <c r="E132" s="5"/>
      <c r="F132" s="5"/>
      <c r="G132" s="5"/>
    </row>
    <row r="133" spans="2:7" hidden="1" outlineLevel="1" x14ac:dyDescent="0.45">
      <c r="B133" s="82" t="s">
        <v>261</v>
      </c>
      <c r="C133" s="80">
        <v>0.9</v>
      </c>
      <c r="D133" s="81" cm="1">
        <f t="array" aca="1" ref="D133" ca="1">IF(ISNUMBER(_xll.VoseSimPercentile(Remaining,0.1)),_xll.VoseSimPercentile(Remaining,0.1),NA())</f>
        <v>1078.4806009248157</v>
      </c>
    </row>
    <row r="134" spans="2:7" hidden="1" outlineLevel="1" x14ac:dyDescent="0.45">
      <c r="B134" s="82" t="s">
        <v>262</v>
      </c>
      <c r="C134" s="80">
        <v>0.5</v>
      </c>
      <c r="D134" s="81" cm="1">
        <f t="array" aca="1" ref="D134" ca="1">IF(ISNUMBER(_xll.VoseSimPercentile(Remaining,0.5)),_xll.VoseSimPercentile(Remaining,0.5),NA())</f>
        <v>1314.4310463773681</v>
      </c>
    </row>
    <row r="135" spans="2:7" hidden="1" outlineLevel="1" x14ac:dyDescent="0.45">
      <c r="B135" s="82" t="s">
        <v>263</v>
      </c>
      <c r="C135" s="80">
        <v>0.1</v>
      </c>
      <c r="D135" s="81" cm="1">
        <f t="array" aca="1" ref="D135" ca="1">IF(ISNUMBER(_xll.VoseSimPercentile(Remaining,0.9)),_xll.VoseSimPercentile(Remaining,0.9),NA())</f>
        <v>1545.8156892636212</v>
      </c>
    </row>
  </sheetData>
  <mergeCells count="5">
    <mergeCell ref="B42:G42"/>
    <mergeCell ref="B45:G45"/>
    <mergeCell ref="B41:G41"/>
    <mergeCell ref="B43:G43"/>
    <mergeCell ref="B44:G44"/>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119:F130">
    <cfRule type="expression" dxfId="3" priority="5">
      <formula>ISNA(C119)</formula>
    </cfRule>
  </conditionalFormatting>
  <conditionalFormatting sqref="D59:D108">
    <cfRule type="expression" dxfId="2" priority="3">
      <formula>ISNA(D59)</formula>
    </cfRule>
  </conditionalFormatting>
  <conditionalFormatting sqref="D133:D135">
    <cfRule type="expression" dxfId="1" priority="6">
      <formula>ISNA(D133)</formula>
    </cfRule>
  </conditionalFormatting>
  <conditionalFormatting sqref="F112:G116">
    <cfRule type="expression" dxfId="0" priority="4">
      <formula>ISNA(F112)</formula>
    </cfRule>
  </conditionalFormatting>
  <hyperlinks>
    <hyperlink ref="B4" location="'Forecast'!A1" display="◂  Forecast"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E020-7E7F-477F-A2B1-EBB2D5BD0830}">
  <dimension ref="A1:B1"/>
  <sheetViews>
    <sheetView workbookViewId="0"/>
  </sheetViews>
  <sheetFormatPr defaultRowHeight="14.25" x14ac:dyDescent="0.45"/>
  <sheetData>
    <row r="1" spans="1:2" x14ac:dyDescent="0.45">
      <c r="A1" s="90" t="s">
        <v>291</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1E5DA-BFF8-42FF-880D-F0BE81E2B18F}">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C8CF-AE07-4588-A378-629DA98C2A19}">
  <dimension ref="B3:B202"/>
  <sheetViews>
    <sheetView workbookViewId="0"/>
  </sheetViews>
  <sheetFormatPr defaultRowHeight="14.25" x14ac:dyDescent="0.45"/>
  <sheetData>
    <row r="3" spans="2:2" x14ac:dyDescent="0.45">
      <c r="B3">
        <v>15</v>
      </c>
    </row>
    <row r="4" spans="2:2" x14ac:dyDescent="0.45">
      <c r="B4">
        <v>40</v>
      </c>
    </row>
    <row r="5" spans="2:2" x14ac:dyDescent="0.45">
      <c r="B5">
        <v>160</v>
      </c>
    </row>
    <row r="6" spans="2:2" x14ac:dyDescent="0.45">
      <c r="B6">
        <v>324</v>
      </c>
    </row>
    <row r="7" spans="2:2" x14ac:dyDescent="0.45">
      <c r="B7">
        <v>471</v>
      </c>
    </row>
    <row r="8" spans="2:2" x14ac:dyDescent="0.45">
      <c r="B8">
        <v>498</v>
      </c>
    </row>
    <row r="9" spans="2:2" x14ac:dyDescent="0.45">
      <c r="B9">
        <v>304</v>
      </c>
    </row>
    <row r="10" spans="2:2" x14ac:dyDescent="0.45">
      <c r="B10">
        <v>134</v>
      </c>
    </row>
    <row r="11" spans="2:2" x14ac:dyDescent="0.45">
      <c r="B11">
        <v>43</v>
      </c>
    </row>
    <row r="12" spans="2:2" x14ac:dyDescent="0.45">
      <c r="B12">
        <v>11</v>
      </c>
    </row>
    <row r="13" spans="2:2" x14ac:dyDescent="0.45">
      <c r="B13">
        <v>3</v>
      </c>
    </row>
    <row r="14" spans="2:2" x14ac:dyDescent="0.45">
      <c r="B14">
        <v>36</v>
      </c>
    </row>
    <row r="15" spans="2:2" x14ac:dyDescent="0.45">
      <c r="B15">
        <v>123</v>
      </c>
    </row>
    <row r="16" spans="2:2" x14ac:dyDescent="0.45">
      <c r="B16">
        <v>338</v>
      </c>
    </row>
    <row r="17" spans="2:2" x14ac:dyDescent="0.45">
      <c r="B17">
        <v>522</v>
      </c>
    </row>
    <row r="18" spans="2:2" x14ac:dyDescent="0.45">
      <c r="B18">
        <v>509</v>
      </c>
    </row>
    <row r="19" spans="2:2" x14ac:dyDescent="0.45">
      <c r="B19">
        <v>297</v>
      </c>
    </row>
    <row r="20" spans="2:2" x14ac:dyDescent="0.45">
      <c r="B20">
        <v>129</v>
      </c>
    </row>
    <row r="21" spans="2:2" x14ac:dyDescent="0.45">
      <c r="B21">
        <v>34</v>
      </c>
    </row>
    <row r="22" spans="2:2" x14ac:dyDescent="0.45">
      <c r="B22">
        <v>9</v>
      </c>
    </row>
    <row r="23" spans="2:2" x14ac:dyDescent="0.45">
      <c r="B23">
        <v>1306</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0</v>
      </c>
    </row>
    <row r="30" spans="2:2" x14ac:dyDescent="0.45">
      <c r="B30">
        <v>0</v>
      </c>
    </row>
    <row r="31" spans="2:2" x14ac:dyDescent="0.45">
      <c r="B31">
        <v>0</v>
      </c>
    </row>
    <row r="32" spans="2:2" x14ac:dyDescent="0.45">
      <c r="B32">
        <v>694</v>
      </c>
    </row>
    <row r="33" spans="2:2" x14ac:dyDescent="0.45">
      <c r="B33">
        <v>6</v>
      </c>
    </row>
    <row r="34" spans="2:2" x14ac:dyDescent="0.45">
      <c r="B34">
        <v>36</v>
      </c>
    </row>
    <row r="35" spans="2:2" x14ac:dyDescent="0.45">
      <c r="B35">
        <v>138</v>
      </c>
    </row>
    <row r="36" spans="2:2" x14ac:dyDescent="0.45">
      <c r="B36">
        <v>366</v>
      </c>
    </row>
    <row r="37" spans="2:2" x14ac:dyDescent="0.45">
      <c r="B37">
        <v>523</v>
      </c>
    </row>
    <row r="38" spans="2:2" x14ac:dyDescent="0.45">
      <c r="B38">
        <v>496</v>
      </c>
    </row>
    <row r="39" spans="2:2" x14ac:dyDescent="0.45">
      <c r="B39">
        <v>283</v>
      </c>
    </row>
    <row r="40" spans="2:2" x14ac:dyDescent="0.45">
      <c r="B40">
        <v>112</v>
      </c>
    </row>
    <row r="41" spans="2:2" x14ac:dyDescent="0.45">
      <c r="B41">
        <v>32</v>
      </c>
    </row>
    <row r="42" spans="2:2" x14ac:dyDescent="0.45">
      <c r="B42">
        <v>8</v>
      </c>
    </row>
    <row r="43" spans="2:2" x14ac:dyDescent="0.45">
      <c r="B43">
        <v>1</v>
      </c>
    </row>
    <row r="44" spans="2:2" x14ac:dyDescent="0.45">
      <c r="B44">
        <v>10</v>
      </c>
    </row>
    <row r="45" spans="2:2" x14ac:dyDescent="0.45">
      <c r="B45">
        <v>41</v>
      </c>
    </row>
    <row r="46" spans="2:2" x14ac:dyDescent="0.45">
      <c r="B46">
        <v>190</v>
      </c>
    </row>
    <row r="47" spans="2:2" x14ac:dyDescent="0.45">
      <c r="B47">
        <v>488</v>
      </c>
    </row>
    <row r="48" spans="2:2" x14ac:dyDescent="0.45">
      <c r="B48">
        <v>618</v>
      </c>
    </row>
    <row r="49" spans="2:2" x14ac:dyDescent="0.45">
      <c r="B49">
        <v>417</v>
      </c>
    </row>
    <row r="50" spans="2:2" x14ac:dyDescent="0.45">
      <c r="B50">
        <v>175</v>
      </c>
    </row>
    <row r="51" spans="2:2" x14ac:dyDescent="0.45">
      <c r="B51">
        <v>51</v>
      </c>
    </row>
    <row r="52" spans="2:2" x14ac:dyDescent="0.45">
      <c r="B52">
        <v>9</v>
      </c>
    </row>
    <row r="53" spans="2:2" x14ac:dyDescent="0.45">
      <c r="B53">
        <v>2</v>
      </c>
    </row>
    <row r="54" spans="2:2" x14ac:dyDescent="0.45">
      <c r="B54">
        <v>7</v>
      </c>
    </row>
    <row r="55" spans="2:2" x14ac:dyDescent="0.45">
      <c r="B55">
        <v>19</v>
      </c>
    </row>
    <row r="56" spans="2:2" x14ac:dyDescent="0.45">
      <c r="B56">
        <v>36</v>
      </c>
    </row>
    <row r="57" spans="2:2" x14ac:dyDescent="0.45">
      <c r="B57">
        <v>180</v>
      </c>
    </row>
    <row r="58" spans="2:2" x14ac:dyDescent="0.45">
      <c r="B58">
        <v>611</v>
      </c>
    </row>
    <row r="59" spans="2:2" x14ac:dyDescent="0.45">
      <c r="B59">
        <v>691</v>
      </c>
    </row>
    <row r="60" spans="2:2" x14ac:dyDescent="0.45">
      <c r="B60">
        <v>344</v>
      </c>
    </row>
    <row r="61" spans="2:2" x14ac:dyDescent="0.45">
      <c r="B61">
        <v>100</v>
      </c>
    </row>
    <row r="62" spans="2:2" x14ac:dyDescent="0.45">
      <c r="B62">
        <v>10</v>
      </c>
    </row>
    <row r="63" spans="2:2" x14ac:dyDescent="0.45">
      <c r="B63">
        <v>2</v>
      </c>
    </row>
    <row r="64" spans="2:2" x14ac:dyDescent="0.45">
      <c r="B64">
        <v>6</v>
      </c>
    </row>
    <row r="65" spans="2:2" x14ac:dyDescent="0.45">
      <c r="B65">
        <v>29</v>
      </c>
    </row>
    <row r="66" spans="2:2" x14ac:dyDescent="0.45">
      <c r="B66">
        <v>54</v>
      </c>
    </row>
    <row r="67" spans="2:2" x14ac:dyDescent="0.45">
      <c r="B67">
        <v>161</v>
      </c>
    </row>
    <row r="68" spans="2:2" x14ac:dyDescent="0.45">
      <c r="B68">
        <v>510</v>
      </c>
    </row>
    <row r="69" spans="2:2" x14ac:dyDescent="0.45">
      <c r="B69">
        <v>743</v>
      </c>
    </row>
    <row r="70" spans="2:2" x14ac:dyDescent="0.45">
      <c r="B70">
        <v>372</v>
      </c>
    </row>
    <row r="71" spans="2:2" x14ac:dyDescent="0.45">
      <c r="B71">
        <v>111</v>
      </c>
    </row>
    <row r="72" spans="2:2" x14ac:dyDescent="0.45">
      <c r="B72">
        <v>12</v>
      </c>
    </row>
    <row r="73" spans="2:2" x14ac:dyDescent="0.45">
      <c r="B73">
        <v>2</v>
      </c>
    </row>
    <row r="74" spans="2:2" x14ac:dyDescent="0.45">
      <c r="B74">
        <v>3</v>
      </c>
    </row>
    <row r="75" spans="2:2" x14ac:dyDescent="0.45">
      <c r="B75">
        <v>5</v>
      </c>
    </row>
    <row r="76" spans="2:2" x14ac:dyDescent="0.45">
      <c r="B76">
        <v>25</v>
      </c>
    </row>
    <row r="77" spans="2:2" x14ac:dyDescent="0.45">
      <c r="B77">
        <v>81</v>
      </c>
    </row>
    <row r="78" spans="2:2" x14ac:dyDescent="0.45">
      <c r="B78">
        <v>249</v>
      </c>
    </row>
    <row r="79" spans="2:2" x14ac:dyDescent="0.45">
      <c r="B79">
        <v>705</v>
      </c>
    </row>
    <row r="80" spans="2:2" x14ac:dyDescent="0.45">
      <c r="B80">
        <v>698</v>
      </c>
    </row>
    <row r="81" spans="2:2" x14ac:dyDescent="0.45">
      <c r="B81">
        <v>206</v>
      </c>
    </row>
    <row r="82" spans="2:2" x14ac:dyDescent="0.45">
      <c r="B82">
        <v>26</v>
      </c>
    </row>
    <row r="83" spans="2:2" x14ac:dyDescent="0.45">
      <c r="B83">
        <v>40</v>
      </c>
    </row>
    <row r="84" spans="2:2" x14ac:dyDescent="0.45">
      <c r="B84">
        <v>18</v>
      </c>
    </row>
    <row r="85" spans="2:2" x14ac:dyDescent="0.45">
      <c r="B85">
        <v>35</v>
      </c>
    </row>
    <row r="86" spans="2:2" x14ac:dyDescent="0.45">
      <c r="B86">
        <v>39</v>
      </c>
    </row>
    <row r="87" spans="2:2" x14ac:dyDescent="0.45">
      <c r="B87">
        <v>185</v>
      </c>
    </row>
    <row r="88" spans="2:2" x14ac:dyDescent="0.45">
      <c r="B88">
        <v>365</v>
      </c>
    </row>
    <row r="89" spans="2:2" x14ac:dyDescent="0.45">
      <c r="B89">
        <v>732</v>
      </c>
    </row>
    <row r="90" spans="2:2" x14ac:dyDescent="0.45">
      <c r="B90">
        <v>445</v>
      </c>
    </row>
    <row r="91" spans="2:2" x14ac:dyDescent="0.45">
      <c r="B91">
        <v>128</v>
      </c>
    </row>
    <row r="92" spans="2:2" x14ac:dyDescent="0.45">
      <c r="B92">
        <v>13</v>
      </c>
    </row>
    <row r="93" spans="2:2" x14ac:dyDescent="0.45">
      <c r="B93">
        <v>216</v>
      </c>
    </row>
    <row r="94" spans="2:2" x14ac:dyDescent="0.45">
      <c r="B94">
        <v>76</v>
      </c>
    </row>
    <row r="95" spans="2:2" x14ac:dyDescent="0.45">
      <c r="B95">
        <v>61</v>
      </c>
    </row>
    <row r="96" spans="2:2" x14ac:dyDescent="0.45">
      <c r="B96">
        <v>68</v>
      </c>
    </row>
    <row r="97" spans="2:2" x14ac:dyDescent="0.45">
      <c r="B97">
        <v>99</v>
      </c>
    </row>
    <row r="98" spans="2:2" x14ac:dyDescent="0.45">
      <c r="B98">
        <v>483</v>
      </c>
    </row>
    <row r="99" spans="2:2" x14ac:dyDescent="0.45">
      <c r="B99">
        <v>609</v>
      </c>
    </row>
    <row r="100" spans="2:2" x14ac:dyDescent="0.45">
      <c r="B100">
        <v>297</v>
      </c>
    </row>
    <row r="101" spans="2:2" x14ac:dyDescent="0.45">
      <c r="B101">
        <v>80</v>
      </c>
    </row>
    <row r="102" spans="2:2" x14ac:dyDescent="0.45">
      <c r="B102">
        <v>11</v>
      </c>
    </row>
    <row r="103" spans="2:2" x14ac:dyDescent="0.45">
      <c r="B103">
        <v>538</v>
      </c>
    </row>
    <row r="104" spans="2:2" x14ac:dyDescent="0.45">
      <c r="B104">
        <v>72</v>
      </c>
    </row>
    <row r="105" spans="2:2" x14ac:dyDescent="0.45">
      <c r="B105">
        <v>99</v>
      </c>
    </row>
    <row r="106" spans="2:2" x14ac:dyDescent="0.45">
      <c r="B106">
        <v>96</v>
      </c>
    </row>
    <row r="107" spans="2:2" x14ac:dyDescent="0.45">
      <c r="B107">
        <v>104</v>
      </c>
    </row>
    <row r="108" spans="2:2" x14ac:dyDescent="0.45">
      <c r="B108">
        <v>357</v>
      </c>
    </row>
    <row r="109" spans="2:2" x14ac:dyDescent="0.45">
      <c r="B109">
        <v>461</v>
      </c>
    </row>
    <row r="110" spans="2:2" x14ac:dyDescent="0.45">
      <c r="B110">
        <v>207</v>
      </c>
    </row>
    <row r="111" spans="2:2" x14ac:dyDescent="0.45">
      <c r="B111">
        <v>57</v>
      </c>
    </row>
    <row r="112" spans="2:2" x14ac:dyDescent="0.45">
      <c r="B112">
        <v>9</v>
      </c>
    </row>
    <row r="113" spans="2:2" x14ac:dyDescent="0.45">
      <c r="B113">
        <v>1068</v>
      </c>
    </row>
    <row r="114" spans="2:2" x14ac:dyDescent="0.45">
      <c r="B114">
        <v>131</v>
      </c>
    </row>
    <row r="115" spans="2:2" x14ac:dyDescent="0.45">
      <c r="B115">
        <v>131</v>
      </c>
    </row>
    <row r="116" spans="2:2" x14ac:dyDescent="0.45">
      <c r="B116">
        <v>87</v>
      </c>
    </row>
    <row r="117" spans="2:2" x14ac:dyDescent="0.45">
      <c r="B117">
        <v>95</v>
      </c>
    </row>
    <row r="118" spans="2:2" x14ac:dyDescent="0.45">
      <c r="B118">
        <v>85</v>
      </c>
    </row>
    <row r="119" spans="2:2" x14ac:dyDescent="0.45">
      <c r="B119">
        <v>208</v>
      </c>
    </row>
    <row r="120" spans="2:2" x14ac:dyDescent="0.45">
      <c r="B120">
        <v>155</v>
      </c>
    </row>
    <row r="121" spans="2:2" x14ac:dyDescent="0.45">
      <c r="B121">
        <v>33</v>
      </c>
    </row>
    <row r="122" spans="2:2" x14ac:dyDescent="0.45">
      <c r="B122">
        <v>7</v>
      </c>
    </row>
    <row r="123" spans="2:2" x14ac:dyDescent="0.45">
      <c r="B123">
        <v>1689</v>
      </c>
    </row>
    <row r="124" spans="2:2" x14ac:dyDescent="0.45">
      <c r="B124">
        <v>53</v>
      </c>
    </row>
    <row r="125" spans="2:2" x14ac:dyDescent="0.45">
      <c r="B125">
        <v>46</v>
      </c>
    </row>
    <row r="126" spans="2:2" x14ac:dyDescent="0.45">
      <c r="B126">
        <v>48</v>
      </c>
    </row>
    <row r="127" spans="2:2" x14ac:dyDescent="0.45">
      <c r="B127">
        <v>28</v>
      </c>
    </row>
    <row r="128" spans="2:2" x14ac:dyDescent="0.45">
      <c r="B128">
        <v>26</v>
      </c>
    </row>
    <row r="129" spans="2:2" x14ac:dyDescent="0.45">
      <c r="B129">
        <v>22</v>
      </c>
    </row>
    <row r="130" spans="2:2" x14ac:dyDescent="0.45">
      <c r="B130">
        <v>56</v>
      </c>
    </row>
    <row r="131" spans="2:2" x14ac:dyDescent="0.45">
      <c r="B131">
        <v>25</v>
      </c>
    </row>
    <row r="132" spans="2:2" x14ac:dyDescent="0.45">
      <c r="B132">
        <v>7</v>
      </c>
    </row>
    <row r="133" spans="2:2" x14ac:dyDescent="0.45">
      <c r="B133">
        <v>1940</v>
      </c>
    </row>
    <row r="134" spans="2:2" x14ac:dyDescent="0.45">
      <c r="B134">
        <v>20</v>
      </c>
    </row>
    <row r="135" spans="2:2" x14ac:dyDescent="0.45">
      <c r="B135">
        <v>8</v>
      </c>
    </row>
    <row r="136" spans="2:2" x14ac:dyDescent="0.45">
      <c r="B136">
        <v>2</v>
      </c>
    </row>
    <row r="137" spans="2:2" x14ac:dyDescent="0.45">
      <c r="B137">
        <v>8</v>
      </c>
    </row>
    <row r="138" spans="2:2" x14ac:dyDescent="0.45">
      <c r="B138">
        <v>7</v>
      </c>
    </row>
    <row r="139" spans="2:2" x14ac:dyDescent="0.45">
      <c r="B139">
        <v>2</v>
      </c>
    </row>
    <row r="140" spans="2:2" x14ac:dyDescent="0.45">
      <c r="B140">
        <v>2</v>
      </c>
    </row>
    <row r="141" spans="2:2" x14ac:dyDescent="0.45">
      <c r="B141">
        <v>5</v>
      </c>
    </row>
    <row r="142" spans="2:2" x14ac:dyDescent="0.45">
      <c r="B142">
        <v>6</v>
      </c>
    </row>
    <row r="143" spans="2:2" x14ac:dyDescent="0.45">
      <c r="B143">
        <v>1994</v>
      </c>
    </row>
    <row r="144" spans="2:2" x14ac:dyDescent="0.45">
      <c r="B144">
        <v>1</v>
      </c>
    </row>
    <row r="145" spans="2:2" x14ac:dyDescent="0.45">
      <c r="B145">
        <v>2</v>
      </c>
    </row>
    <row r="146" spans="2:2" x14ac:dyDescent="0.45">
      <c r="B146">
        <v>1</v>
      </c>
    </row>
    <row r="147" spans="2:2" x14ac:dyDescent="0.45">
      <c r="B147">
        <v>0</v>
      </c>
    </row>
    <row r="148" spans="2:2" x14ac:dyDescent="0.45">
      <c r="B148">
        <v>0</v>
      </c>
    </row>
    <row r="149" spans="2:2" x14ac:dyDescent="0.45">
      <c r="B149">
        <v>0</v>
      </c>
    </row>
    <row r="150" spans="2:2" x14ac:dyDescent="0.45">
      <c r="B150">
        <v>1</v>
      </c>
    </row>
    <row r="151" spans="2:2" x14ac:dyDescent="0.45">
      <c r="B151">
        <v>0</v>
      </c>
    </row>
    <row r="152" spans="2:2" x14ac:dyDescent="0.45">
      <c r="B152">
        <v>1</v>
      </c>
    </row>
    <row r="153" spans="2:2" x14ac:dyDescent="0.45">
      <c r="B153">
        <v>5</v>
      </c>
    </row>
    <row r="154" spans="2:2" x14ac:dyDescent="0.45">
      <c r="B154">
        <v>48</v>
      </c>
    </row>
    <row r="155" spans="2:2" x14ac:dyDescent="0.45">
      <c r="B155">
        <v>138</v>
      </c>
    </row>
    <row r="156" spans="2:2" x14ac:dyDescent="0.45">
      <c r="B156">
        <v>390</v>
      </c>
    </row>
    <row r="157" spans="2:2" x14ac:dyDescent="0.45">
      <c r="B157">
        <v>594</v>
      </c>
    </row>
    <row r="158" spans="2:2" x14ac:dyDescent="0.45">
      <c r="B158">
        <v>471</v>
      </c>
    </row>
    <row r="159" spans="2:2" x14ac:dyDescent="0.45">
      <c r="B159">
        <v>242</v>
      </c>
    </row>
    <row r="160" spans="2:2" x14ac:dyDescent="0.45">
      <c r="B160">
        <v>84</v>
      </c>
    </row>
    <row r="161" spans="2:2" x14ac:dyDescent="0.45">
      <c r="B161">
        <v>22</v>
      </c>
    </row>
    <row r="162" spans="2:2" x14ac:dyDescent="0.45">
      <c r="B162">
        <v>6</v>
      </c>
    </row>
    <row r="163" spans="2:2" x14ac:dyDescent="0.45">
      <c r="B163">
        <v>5</v>
      </c>
    </row>
    <row r="164" spans="2:2" x14ac:dyDescent="0.45">
      <c r="B164">
        <v>48</v>
      </c>
    </row>
    <row r="165" spans="2:2" x14ac:dyDescent="0.45">
      <c r="B165">
        <v>138</v>
      </c>
    </row>
    <row r="166" spans="2:2" x14ac:dyDescent="0.45">
      <c r="B166">
        <v>390</v>
      </c>
    </row>
    <row r="167" spans="2:2" x14ac:dyDescent="0.45">
      <c r="B167">
        <v>594</v>
      </c>
    </row>
    <row r="168" spans="2:2" x14ac:dyDescent="0.45">
      <c r="B168">
        <v>471</v>
      </c>
    </row>
    <row r="169" spans="2:2" x14ac:dyDescent="0.45">
      <c r="B169">
        <v>242</v>
      </c>
    </row>
    <row r="170" spans="2:2" x14ac:dyDescent="0.45">
      <c r="B170">
        <v>84</v>
      </c>
    </row>
    <row r="171" spans="2:2" x14ac:dyDescent="0.45">
      <c r="B171">
        <v>22</v>
      </c>
    </row>
    <row r="172" spans="2:2" x14ac:dyDescent="0.45">
      <c r="B172">
        <v>6</v>
      </c>
    </row>
    <row r="173" spans="2:2" x14ac:dyDescent="0.45">
      <c r="B173">
        <v>7</v>
      </c>
    </row>
    <row r="174" spans="2:2" x14ac:dyDescent="0.45">
      <c r="B174">
        <v>51</v>
      </c>
    </row>
    <row r="175" spans="2:2" x14ac:dyDescent="0.45">
      <c r="B175">
        <v>179</v>
      </c>
    </row>
    <row r="176" spans="2:2" x14ac:dyDescent="0.45">
      <c r="B176">
        <v>262</v>
      </c>
    </row>
    <row r="177" spans="2:2" x14ac:dyDescent="0.45">
      <c r="B177">
        <v>381</v>
      </c>
    </row>
    <row r="178" spans="2:2" x14ac:dyDescent="0.45">
      <c r="B178">
        <v>541</v>
      </c>
    </row>
    <row r="179" spans="2:2" x14ac:dyDescent="0.45">
      <c r="B179">
        <v>372</v>
      </c>
    </row>
    <row r="180" spans="2:2" x14ac:dyDescent="0.45">
      <c r="B180">
        <v>166</v>
      </c>
    </row>
    <row r="181" spans="2:2" x14ac:dyDescent="0.45">
      <c r="B181">
        <v>33</v>
      </c>
    </row>
    <row r="182" spans="2:2" x14ac:dyDescent="0.45">
      <c r="B182">
        <v>8</v>
      </c>
    </row>
    <row r="183" spans="2:2" x14ac:dyDescent="0.45">
      <c r="B183">
        <v>122</v>
      </c>
    </row>
    <row r="184" spans="2:2" x14ac:dyDescent="0.45">
      <c r="B184">
        <v>255</v>
      </c>
    </row>
    <row r="185" spans="2:2" x14ac:dyDescent="0.45">
      <c r="B185">
        <v>331</v>
      </c>
    </row>
    <row r="186" spans="2:2" x14ac:dyDescent="0.45">
      <c r="B186">
        <v>369</v>
      </c>
    </row>
    <row r="187" spans="2:2" x14ac:dyDescent="0.45">
      <c r="B187">
        <v>290</v>
      </c>
    </row>
    <row r="188" spans="2:2" x14ac:dyDescent="0.45">
      <c r="B188">
        <v>271</v>
      </c>
    </row>
    <row r="189" spans="2:2" x14ac:dyDescent="0.45">
      <c r="B189">
        <v>184</v>
      </c>
    </row>
    <row r="190" spans="2:2" x14ac:dyDescent="0.45">
      <c r="B190">
        <v>105</v>
      </c>
    </row>
    <row r="191" spans="2:2" x14ac:dyDescent="0.45">
      <c r="B191">
        <v>56</v>
      </c>
    </row>
    <row r="192" spans="2:2" x14ac:dyDescent="0.45">
      <c r="B192">
        <v>17</v>
      </c>
    </row>
    <row r="193" spans="2:2" x14ac:dyDescent="0.45">
      <c r="B193">
        <v>125</v>
      </c>
    </row>
    <row r="194" spans="2:2" x14ac:dyDescent="0.45">
      <c r="B194">
        <v>240</v>
      </c>
    </row>
    <row r="195" spans="2:2" x14ac:dyDescent="0.45">
      <c r="B195">
        <v>337</v>
      </c>
    </row>
    <row r="196" spans="2:2" x14ac:dyDescent="0.45">
      <c r="B196">
        <v>360</v>
      </c>
    </row>
    <row r="197" spans="2:2" x14ac:dyDescent="0.45">
      <c r="B197">
        <v>303</v>
      </c>
    </row>
    <row r="198" spans="2:2" x14ac:dyDescent="0.45">
      <c r="B198">
        <v>248</v>
      </c>
    </row>
    <row r="199" spans="2:2" x14ac:dyDescent="0.45">
      <c r="B199">
        <v>201</v>
      </c>
    </row>
    <row r="200" spans="2:2" x14ac:dyDescent="0.45">
      <c r="B200">
        <v>103</v>
      </c>
    </row>
    <row r="201" spans="2:2" x14ac:dyDescent="0.45">
      <c r="B201">
        <v>61</v>
      </c>
    </row>
    <row r="202" spans="2:2" x14ac:dyDescent="0.45">
      <c r="B202">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8F734246-676D-4820-932C-BDF46BEB3A53}">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54</vt:i4>
      </vt:variant>
    </vt:vector>
  </HeadingPairs>
  <TitlesOfParts>
    <vt:vector size="62" baseType="lpstr">
      <vt:lpstr>About</vt:lpstr>
      <vt:lpstr>Inputs</vt:lpstr>
      <vt:lpstr>History</vt:lpstr>
      <vt:lpstr>Forecast</vt:lpstr>
      <vt:lpstr>Results</vt:lpstr>
      <vt:lpstr>ModelRiskDSN</vt:lpstr>
      <vt:lpstr>ModelRiskSYS1</vt:lpstr>
      <vt:lpstr>ModelRiskCharts</vt:lpstr>
      <vt:lpstr>Checks</vt:lpstr>
      <vt:lpstr>DaysPerMonth</vt:lpstr>
      <vt:lpstr>Decline</vt:lpstr>
      <vt:lpstr>Det_Remaining</vt:lpstr>
      <vt:lpstr>EconLimit</vt:lpstr>
      <vt:lpstr>FirstForecastYear</vt:lpstr>
      <vt:lpstr>Fit_Cov</vt:lpstr>
      <vt:lpstr>Fit_Decline</vt:lpstr>
      <vt:lpstr>Fit_DeclineYr</vt:lpstr>
      <vt:lpstr>Fit_EndRate</vt:lpstr>
      <vt:lpstr>Fit_Intercept</vt:lpstr>
      <vt:lpstr>Fit_MeanMonth</vt:lpstr>
      <vt:lpstr>Fit_Means</vt:lpstr>
      <vt:lpstr>Fit_R2</vt:lpstr>
      <vt:lpstr>Fit_SE_Int</vt:lpstr>
      <vt:lpstr>Fit_SE_Slope</vt:lpstr>
      <vt:lpstr>Fit_SEy</vt:lpstr>
      <vt:lpstr>Fit_Slope</vt:lpstr>
      <vt:lpstr>Fit_StartRate</vt:lpstr>
      <vt:lpstr>Fit_StopRate</vt:lpstr>
      <vt:lpstr>ForecastYears</vt:lpstr>
      <vt:lpstr>Hist_Cum</vt:lpstr>
      <vt:lpstr>Hist_LastMonth</vt:lpstr>
      <vt:lpstr>Hist_LnRate</vt:lpstr>
      <vt:lpstr>Hist_Month</vt:lpstr>
      <vt:lpstr>Hist_Rate</vt:lpstr>
      <vt:lpstr>InputMeans</vt:lpstr>
      <vt:lpstr>Line_Int</vt:lpstr>
      <vt:lpstr>Line_Slope</vt:lpstr>
      <vt:lpstr>MN_Int</vt:lpstr>
      <vt:lpstr>MN_Slope</vt:lpstr>
      <vt:lpstr>Results!Print_Area</vt:lpstr>
      <vt:lpstr>Forecast!Print_Titles</vt:lpstr>
      <vt:lpstr>History!Print_Titles</vt:lpstr>
      <vt:lpstr>Inputs!Print_Titles</vt:lpstr>
      <vt:lpstr>Results!Print_Titles</vt:lpstr>
      <vt:lpstr>Prob_WBT</vt:lpstr>
      <vt:lpstr>Remaining</vt:lpstr>
      <vt:lpstr>RemainingLife</vt:lpstr>
      <vt:lpstr>StartRate</vt:lpstr>
      <vt:lpstr>UltimateRecovery</vt:lpstr>
      <vt:lpstr>UseFitUncertainty</vt:lpstr>
      <vt:lpstr>WBT_Factor</vt:lpstr>
      <vt:lpstr>WBT_Factor_Hi</vt:lpstr>
      <vt:lpstr>WBT_Factor_Lo</vt:lpstr>
      <vt:lpstr>WBT_Factor_Mean</vt:lpstr>
      <vt:lpstr>WBT_Factor_ML</vt:lpstr>
      <vt:lpstr>WBT_From</vt:lpstr>
      <vt:lpstr>WBT_Occurs</vt:lpstr>
      <vt:lpstr>WBT_Time</vt:lpstr>
      <vt:lpstr>WBT_Time_Hi</vt:lpstr>
      <vt:lpstr>WBT_Time_Lo</vt:lpstr>
      <vt:lpstr>WBT_Time_Mean</vt:lpstr>
      <vt:lpstr>WBT_Time_ML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OG-03 Production Forecast with Decline Uncertainty</dc:title>
  <dc:subject>ModelRisk industry example library — Oil and gas</dc:subject>
  <dc:creator>Vose Software</dc:creator>
  <cp:keywords>ModelRisk; Monte Carlo; Oil and gas</cp:keywords>
  <dc:description>Decline-curve forecast of a producing well, with the regression's parameter uncertainty and a water-breakthrough risk.</dc:description>
  <cp:lastModifiedBy>Timour Koupeev</cp:lastModifiedBy>
  <cp:lastPrinted>2026-10-05T16:42:16Z</cp:lastPrinted>
  <dcterms:created xsi:type="dcterms:W3CDTF">2026-10-05T16:38:09Z</dcterms:created>
  <dcterms:modified xsi:type="dcterms:W3CDTF">2026-10-05T16:42:18Z</dcterms:modified>
</cp:coreProperties>
</file>