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D0D71072-08EE-4646-877C-CCAC632E83E4}"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Outcomes" sheetId="3" r:id="rId3"/>
    <sheet name="Results" sheetId="4" r:id="rId4"/>
    <sheet name="ModelRiskDSN" sheetId="5" state="hidden" r:id="rId5"/>
    <sheet name="ModelRiskSYS1" sheetId="6" state="hidden" r:id="rId6"/>
    <sheet name="ModelRiskCharts" sheetId="7" state="hidden" r:id="rId7"/>
  </sheets>
  <definedNames>
    <definedName name="AnySuccess">Outcomes!$D$24</definedName>
    <definedName name="BothSuccess">Outcomes!$D$25</definedName>
    <definedName name="BreakEven">Outcomes!$D$34</definedName>
    <definedName name="Chance_Charge">Inputs!$D$11</definedName>
    <definedName name="Chance_L_Res">Inputs!$D$23</definedName>
    <definedName name="Chance_L_Trap">Inputs!$D$24</definedName>
    <definedName name="Chance_U_Res">Inputs!$D$16</definedName>
    <definedName name="Chance_U_Trap">Inputs!$D$17</definedName>
    <definedName name="Charge">Outcomes!$D$19</definedName>
    <definedName name="Cost_Well">Inputs!$D$30</definedName>
    <definedName name="Cost_Well_Hi">Inputs!$H$30</definedName>
    <definedName name="Cost_Well_Lo">Inputs!$F$30</definedName>
    <definedName name="Cost_Well_Mean">Inputs!$I$30</definedName>
    <definedName name="Cost_Well_ML">Inputs!$G$30</definedName>
    <definedName name="InputMeans">Inputs!$I$18:$I$31</definedName>
    <definedName name="L_Local">Outcomes!$D$21</definedName>
    <definedName name="L_Success">Outcomes!$D$23</definedName>
    <definedName name="Outcome">Outcomes!$D$26</definedName>
    <definedName name="P_Any">Outcomes!$D$13</definedName>
    <definedName name="P_Any_Indep">Outcomes!$E$13</definedName>
    <definedName name="P_Both">Outcomes!$D$14</definedName>
    <definedName name="P_Both_Indep">Outcomes!$E$14</definedName>
    <definedName name="P_L">Outcomes!$D$12</definedName>
    <definedName name="P_L_Indep">Outcomes!$E$12</definedName>
    <definedName name="P_L_Own">Outcomes!$D$10</definedName>
    <definedName name="P_L_Own_Indep">Outcomes!$E$10</definedName>
    <definedName name="P_U">Outcomes!$D$11</definedName>
    <definedName name="P_U_Indep">Outcomes!$E$11</definedName>
    <definedName name="P_U_Own">Outcomes!$D$9</definedName>
    <definedName name="P_U_Own_Indep">Outcomes!$E$9</definedName>
    <definedName name="_xlnm.Print_Area" localSheetId="3">Results!$A$1:$R$43</definedName>
    <definedName name="_xlnm.Print_Titles" localSheetId="1">Inputs!$1:$4</definedName>
    <definedName name="_xlnm.Print_Titles" localSheetId="2">Outcomes!$1:$4</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_Local">Outcomes!$D$20</definedName>
    <definedName name="U_Success">Outcomes!$D$22</definedName>
    <definedName name="Value">Outcomes!$D$33</definedName>
    <definedName name="ValuePerBbl">Inputs!$D$31</definedName>
    <definedName name="ValuePerBbl_Hi">Inputs!$H$31</definedName>
    <definedName name="ValuePerBbl_Lo">Inputs!$F$31</definedName>
    <definedName name="ValuePerBbl_Mean">Inputs!$I$31</definedName>
    <definedName name="ValuePerBbl_ML">Inputs!$G$31</definedName>
    <definedName name="Vol_L">Inputs!$D$25</definedName>
    <definedName name="Vol_L_Hi">Inputs!$H$25</definedName>
    <definedName name="Vol_L_Lo">Inputs!$F$25</definedName>
    <definedName name="Vol_L_Mean">Inputs!$I$25</definedName>
    <definedName name="Vol_U">Inputs!$D$18</definedName>
    <definedName name="Vol_U_Hi">Inputs!$H$18</definedName>
    <definedName name="Vol_U_Lo">Inputs!$F$18</definedName>
    <definedName name="Vol_U_Mean">Inputs!$I$18</definedName>
    <definedName name="Volume">Outcomes!$D$32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8" i="4" l="1"/>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E10" i="3"/>
  <c r="D10" i="3"/>
  <c r="E12" i="3" s="1"/>
  <c r="E12" i="4" s="1"/>
  <c r="E9" i="3"/>
  <c r="D9" i="3"/>
  <c r="D11" i="3" s="1"/>
  <c r="D11" i="4" s="1"/>
  <c r="D19" i="3" a="1"/>
  <c r="D21" i="3" a="1"/>
  <c r="D20" i="3" a="1"/>
  <c r="D18" i="2" a="1"/>
  <c r="D30" i="2" a="1"/>
  <c r="I25" i="2" a="1"/>
  <c r="I31" i="2" a="1"/>
  <c r="D25" i="2" a="1"/>
  <c r="D31" i="2" a="1"/>
  <c r="I30" i="2" a="1"/>
  <c r="I18" i="2" a="1"/>
  <c r="D20" i="3" l="1"/>
  <c r="D21" i="3"/>
  <c r="D19" i="3"/>
  <c r="E11" i="3"/>
  <c r="E11" i="4" s="1"/>
  <c r="D12" i="3"/>
  <c r="D14" i="3"/>
  <c r="D14" i="4" s="1"/>
  <c r="D13" i="3"/>
  <c r="D13" i="4" s="1"/>
  <c r="I18" i="2"/>
  <c r="I30" i="2"/>
  <c r="D31" i="2"/>
  <c r="D25" i="2"/>
  <c r="I31" i="2"/>
  <c r="I25" i="2"/>
  <c r="D30" i="2"/>
  <c r="D18" i="2"/>
  <c r="E14" i="3" l="1"/>
  <c r="E14" i="4" s="1"/>
  <c r="D12" i="4"/>
  <c r="B42" i="4"/>
  <c r="D35" i="4"/>
  <c r="D34" i="3"/>
  <c r="D23" i="3"/>
  <c r="D22" i="3"/>
  <c r="E13" i="3"/>
  <c r="E13" i="4" s="1"/>
  <c r="F12" i="4" a="1"/>
  <c r="F11" i="4" a="1"/>
  <c r="F11" i="4" l="1"/>
  <c r="F12" i="4"/>
  <c r="D32" i="3" a="1"/>
  <c r="D32" i="3" s="1"/>
  <c r="D25" i="3" a="1"/>
  <c r="D25" i="3" s="1"/>
  <c r="D24" i="3" a="1"/>
  <c r="D24" i="3" s="1"/>
  <c r="D26" i="3" a="1"/>
  <c r="D26" i="3" s="1"/>
  <c r="F14" i="4" a="1"/>
  <c r="F13" i="4" a="1"/>
  <c r="D31" i="4" a="1"/>
  <c r="D103" i="4" a="1"/>
  <c r="D101" i="4" a="1"/>
  <c r="D102" i="4" a="1"/>
  <c r="E80" i="4" a="1"/>
  <c r="E79" i="4" a="1"/>
  <c r="E53" i="4" a="1"/>
  <c r="E77" i="4" a="1"/>
  <c r="E69" i="4" a="1"/>
  <c r="E89" i="4" a="1"/>
  <c r="E62" i="4" a="1"/>
  <c r="E78" i="4" a="1"/>
  <c r="E94" i="4" a="1"/>
  <c r="E49" i="4" a="1"/>
  <c r="E96" i="4" a="1"/>
  <c r="E51" i="4" a="1"/>
  <c r="E73" i="4" a="1"/>
  <c r="E93" i="4" a="1"/>
  <c r="E66" i="4" a="1"/>
  <c r="E82" i="4" a="1"/>
  <c r="E98" i="4" a="1"/>
  <c r="E55" i="4" a="1"/>
  <c r="E97" i="4" a="1"/>
  <c r="E68" i="4" a="1"/>
  <c r="E84" i="4" a="1"/>
  <c r="E61" i="4" a="1"/>
  <c r="E59" i="4" a="1"/>
  <c r="E71" i="4" a="1"/>
  <c r="E56" i="4" a="1"/>
  <c r="E81" i="4" a="1"/>
  <c r="E52" i="4" a="1"/>
  <c r="E70" i="4" a="1"/>
  <c r="E86" i="4" a="1"/>
  <c r="E67" i="4" a="1"/>
  <c r="E65" i="4" a="1"/>
  <c r="E91" i="4" a="1"/>
  <c r="E72" i="4" a="1"/>
  <c r="E75" i="4" a="1"/>
  <c r="E57" i="4" a="1"/>
  <c r="E85" i="4" a="1"/>
  <c r="E58" i="4" a="1"/>
  <c r="E74" i="4" a="1"/>
  <c r="E90" i="4" a="1"/>
  <c r="E95" i="4" a="1"/>
  <c r="E64" i="4" a="1"/>
  <c r="E50" i="4" a="1"/>
  <c r="E83" i="4" a="1"/>
  <c r="E54" i="4" a="1"/>
  <c r="E88" i="4" a="1"/>
  <c r="E63" i="4" a="1"/>
  <c r="E87" i="4" a="1"/>
  <c r="E60" i="4" a="1"/>
  <c r="E76" i="4" a="1"/>
  <c r="E92" i="4" a="1"/>
  <c r="D30" i="4" a="1"/>
  <c r="D30" i="4" l="1"/>
  <c r="E92" i="4"/>
  <c r="E76" i="4"/>
  <c r="E60" i="4"/>
  <c r="E87" i="4"/>
  <c r="E63" i="4"/>
  <c r="E88" i="4"/>
  <c r="E54" i="4"/>
  <c r="E83" i="4"/>
  <c r="E50" i="4"/>
  <c r="E64" i="4"/>
  <c r="E95" i="4"/>
  <c r="E90" i="4"/>
  <c r="E74" i="4"/>
  <c r="E58" i="4"/>
  <c r="E85" i="4"/>
  <c r="E57" i="4"/>
  <c r="E75" i="4"/>
  <c r="E72" i="4"/>
  <c r="E91" i="4"/>
  <c r="E65" i="4"/>
  <c r="E67" i="4"/>
  <c r="E86" i="4"/>
  <c r="E70" i="4"/>
  <c r="E52" i="4"/>
  <c r="E81" i="4"/>
  <c r="E56" i="4"/>
  <c r="E71" i="4"/>
  <c r="E59" i="4"/>
  <c r="E61" i="4"/>
  <c r="E84" i="4"/>
  <c r="E68" i="4"/>
  <c r="E97" i="4"/>
  <c r="E55" i="4"/>
  <c r="E98" i="4"/>
  <c r="E82" i="4"/>
  <c r="E66" i="4"/>
  <c r="E93" i="4"/>
  <c r="E73" i="4"/>
  <c r="E51" i="4"/>
  <c r="E96" i="4"/>
  <c r="E49" i="4"/>
  <c r="E94" i="4"/>
  <c r="E78" i="4"/>
  <c r="E62" i="4"/>
  <c r="E89" i="4"/>
  <c r="E69" i="4"/>
  <c r="E77" i="4"/>
  <c r="E53" i="4"/>
  <c r="E79" i="4"/>
  <c r="E80" i="4"/>
  <c r="D102" i="4"/>
  <c r="D101" i="4"/>
  <c r="D19" i="4" s="1"/>
  <c r="D103" i="4"/>
  <c r="D31" i="4"/>
  <c r="D33" i="4" s="1"/>
  <c r="F13" i="4"/>
  <c r="F14" i="4"/>
  <c r="D33" i="3" a="1"/>
  <c r="D33" i="3" s="1"/>
  <c r="D27" i="3"/>
  <c r="D90" i="4" a="1"/>
  <c r="D58" i="4" a="1"/>
  <c r="D95" i="4" a="1"/>
  <c r="D29" i="4" a="1"/>
  <c r="D72" i="4" a="1"/>
  <c r="D86" i="4" a="1"/>
  <c r="D91" i="4" a="1"/>
  <c r="D68" i="4" a="1"/>
  <c r="D82" i="4" a="1"/>
  <c r="D50" i="4" a="1"/>
  <c r="D87" i="4" a="1"/>
  <c r="D92" i="4" a="1"/>
  <c r="D76" i="4" a="1"/>
  <c r="D60" i="4" a="1"/>
  <c r="D97" i="4" a="1"/>
  <c r="D81" i="4" a="1"/>
  <c r="D65" i="4" a="1"/>
  <c r="D49" i="4" a="1"/>
  <c r="D28" i="4" a="1"/>
  <c r="D93" i="4" a="1"/>
  <c r="D75" i="4" a="1"/>
  <c r="D52" i="4" a="1"/>
  <c r="D79" i="4" a="1"/>
  <c r="D56" i="4" a="1"/>
  <c r="D77" i="4" a="1"/>
  <c r="D54" i="4" a="1"/>
  <c r="D59" i="4" a="1"/>
  <c r="D66" i="4" a="1"/>
  <c r="D55" i="4" a="1"/>
  <c r="B6" i="4" a="1"/>
  <c r="D69" i="4" a="1"/>
  <c r="D53" i="4" a="1"/>
  <c r="D74" i="4" a="1"/>
  <c r="D63" i="4" a="1"/>
  <c r="D88" i="4" a="1"/>
  <c r="D61" i="4" a="1"/>
  <c r="D70" i="4" a="1"/>
  <c r="D84" i="4" a="1"/>
  <c r="D89" i="4" a="1"/>
  <c r="D73" i="4" a="1"/>
  <c r="D57" i="4" a="1"/>
  <c r="D98" i="4" a="1"/>
  <c r="D71" i="4" a="1"/>
  <c r="D96" i="4" a="1"/>
  <c r="D80" i="4" a="1"/>
  <c r="D64" i="4" a="1"/>
  <c r="D85" i="4" a="1"/>
  <c r="D94" i="4" a="1"/>
  <c r="D78" i="4" a="1"/>
  <c r="D62" i="4" a="1"/>
  <c r="D34" i="4" a="1"/>
  <c r="D83" i="4" a="1"/>
  <c r="D67" i="4" a="1"/>
  <c r="D51" i="4" a="1"/>
  <c r="D20" i="4" l="1"/>
  <c r="D51" i="4"/>
  <c r="D67" i="4"/>
  <c r="D83" i="4"/>
  <c r="D34" i="4"/>
  <c r="D62" i="4"/>
  <c r="D78" i="4"/>
  <c r="D94" i="4"/>
  <c r="D85" i="4"/>
  <c r="D64" i="4"/>
  <c r="D80" i="4"/>
  <c r="D96" i="4"/>
  <c r="D71" i="4"/>
  <c r="D98" i="4"/>
  <c r="D57" i="4"/>
  <c r="D73" i="4"/>
  <c r="D89" i="4"/>
  <c r="D84" i="4"/>
  <c r="D70" i="4"/>
  <c r="D61" i="4"/>
  <c r="D88" i="4"/>
  <c r="D63" i="4"/>
  <c r="D74" i="4"/>
  <c r="D53" i="4"/>
  <c r="D69" i="4"/>
  <c r="B6" i="4"/>
  <c r="D55" i="4"/>
  <c r="D66" i="4"/>
  <c r="D59" i="4"/>
  <c r="D54" i="4"/>
  <c r="D77" i="4"/>
  <c r="D56" i="4"/>
  <c r="D79" i="4"/>
  <c r="D52" i="4"/>
  <c r="D75" i="4"/>
  <c r="D93" i="4"/>
  <c r="D28" i="4"/>
  <c r="D36" i="4" s="1"/>
  <c r="D49" i="4"/>
  <c r="D65" i="4"/>
  <c r="D81" i="4"/>
  <c r="D97" i="4"/>
  <c r="D60" i="4"/>
  <c r="D76" i="4"/>
  <c r="D92" i="4"/>
  <c r="D87" i="4"/>
  <c r="D50" i="4"/>
  <c r="D82" i="4"/>
  <c r="D68" i="4"/>
  <c r="D91" i="4"/>
  <c r="D86" i="4"/>
  <c r="D72" i="4"/>
  <c r="D29" i="4"/>
  <c r="D95" i="4"/>
  <c r="D58" i="4"/>
  <c r="D90" i="4"/>
  <c r="D32" i="4"/>
  <c r="D21" i="4"/>
  <c r="D22" i="4"/>
  <c r="D23"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<sst xmlns="http://schemas.openxmlformats.org/spreadsheetml/2006/main" count="322" uniqueCount="225">
  <si>
    <t>Chance of Success with Shared Risk</t>
  </si>
  <si>
    <t>ModelRisk example  ·  Oil and gas  ·  OG-02</t>
  </si>
  <si>
    <t>One well, two stacked targets that share the same source rock.  What are the real chances of success, and what is the well worth?</t>
  </si>
  <si>
    <t>Next:  Inputs  ▸</t>
  </si>
  <si>
    <t>Model card</t>
  </si>
  <si>
    <t>Industry</t>
  </si>
  <si>
    <t>Oil and gas</t>
  </si>
  <si>
    <t>Difficulty</t>
  </si>
  <si>
    <t>★★☆☆☆   Dependent chance factors: one shared risk and two independent ones, with risked volumes and value.</t>
  </si>
  <si>
    <t>Business question</t>
  </si>
  <si>
    <t>The Harrier well tests two stacked reservoir targets that depend on the same source rock. What is the chance of finding oil in at least one target, in both, and what is the expected value of drilling?</t>
  </si>
  <si>
    <t>Who it is for</t>
  </si>
  <si>
    <t>Prospect evaluators, exploration managers and anyone combining chance factors for several targets or prospects.</t>
  </si>
  <si>
    <t>Main outputs</t>
  </si>
  <si>
    <t>Chance of success per target, of at least one discovery and of both · outcome probabilities · risked volume · expected value of the well.</t>
  </si>
  <si>
    <t>ModelRisk techniques</t>
  </si>
  <si>
    <t>Bernoulli trials for shared and independent risks · Lognormal success volumes from P90 and P10 · risked value · comparison of simulated and analytical probabilities.</t>
  </si>
  <si>
    <t>File</t>
  </si>
  <si>
    <t>OG-02 Chance of success with shared risk  ·  Version 1.0  ·  October 2026  ·  built with ModelRisk 10</t>
  </si>
  <si>
    <t>The business question</t>
  </si>
  <si>
    <t>The Harrier exploration well will test two stacked sandstone targets, Upper and Lower. Both need oil to have been generated and to have migrated into the structure — a single shared risk. Each target also needs its own reservoir and its own trap and seal, which are independent of the other target's. A common mistake is to multiply each target's overall chance and treat the two targets as independent. Because the charge risk is shared, that overstates the chance of finding oil in at least one target and understates the chance of finding it in both. The model shows the difference, then values the well using the risked discovered volume.</t>
  </si>
  <si>
    <t>How the model works</t>
  </si>
  <si>
    <t>Three sheets after this one, read from left to right. Each one feeds the next.</t>
  </si>
  <si>
    <t>1  Inputs</t>
  </si>
  <si>
    <t>Chance factors are probabilities; success volumes are Lognormal from P90 and P10 estimates; well cost and value per barrel are PERT ranges.</t>
  </si>
  <si>
    <t>2  Outcomes</t>
  </si>
  <si>
    <t>The chances are first combined analytically — once correctly, with the charge risk shared, and once as if the two targets were independent. Then one well is simulated: a Bernoulli trial for the shared charge and one for each target's own elements. A target succeeds only if the charge works and its own elements are present.</t>
  </si>
  <si>
    <t>3  Results</t>
  </si>
  <si>
    <t>The simulation confirms the shared-risk numbers. The value of drilling is the discovered volume times the value per barrel, minus the well cost; its mean over all samples is the expected value.</t>
  </si>
  <si>
    <t>How to use it</t>
  </si>
  <si>
    <t>Step 1</t>
  </si>
  <si>
    <t>Change the chance factors, volumes and costs on the Inputs sheet.</t>
  </si>
  <si>
    <t>Step 2</t>
  </si>
  <si>
    <t>Press F9 and watch the Outcomes sheet: each recalculation is one possible result of drilling Harrier.</t>
  </si>
  <si>
    <t>Step 3</t>
  </si>
  <si>
    <t>Run a simulation from the ModelRisk ribbon (10,000 samples with a fixed seed are set).</t>
  </si>
  <si>
    <t>Step 4</t>
  </si>
  <si>
    <t>Compare the three columns of the chance-of-success table on the Results sheet.</t>
  </si>
  <si>
    <t>Workbook map</t>
  </si>
  <si>
    <t>Inputs</t>
  </si>
  <si>
    <t>Chance factors, success volumes, well cost and value per barrel.</t>
  </si>
  <si>
    <t>Outcomes</t>
  </si>
  <si>
    <t>Analytical chances of success and one simulated outcome of the well.</t>
  </si>
  <si>
    <t>Results</t>
  </si>
  <si>
    <t>Chances of success, outcome probabilities, risked volume and value, and charts.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</si>
  <si>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</si>
  <si>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</si>
  <si>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</si>
  <si>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</si>
  <si>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</si>
  <si>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</si>
  <si>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</si>
  <si>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</si>
  <si>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</si>
  <si>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</si>
  <si>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</si>
  <si>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</si>
  <si>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Chance factors</t>
  </si>
  <si>
    <t>Probabilities that an element is present. A target succeeds only if every element it needs is present.</t>
  </si>
  <si>
    <t>Volumes</t>
  </si>
  <si>
    <t>Recoverable oil if the target succeeds, in million barrels (MMbbl); P90 is the low estimate, P10 the high.</t>
  </si>
  <si>
    <t>Value</t>
  </si>
  <si>
    <t>US$ million; value per barrel is the development NPV per barrel of discovered oil.</t>
  </si>
  <si>
    <t>Key assumptions and limitations</t>
  </si>
  <si>
    <t>Dependence</t>
  </si>
  <si>
    <t>Only the charge is shared. In practice trap and seal can be partly shared too; add another shared Bernoulli for that.</t>
  </si>
  <si>
    <t>A constant value per barrel; development economics of each discovery size are not modelled (see OG-05).</t>
  </si>
  <si>
    <t>The two targets' volumes are independent of each other.</t>
  </si>
  <si>
    <t>Data</t>
  </si>
  <si>
    <t>All figures are illustrative. Harrier is not a real prospect.</t>
  </si>
  <si>
    <t>ModelRisk functions used</t>
  </si>
  <si>
    <t>VoseBernoulli</t>
  </si>
  <si>
    <t>Whether the shared charge works and whether each target's own elements are present.</t>
  </si>
  <si>
    <t>VoseLognormalAlt</t>
  </si>
  <si>
    <t>Success volumes from P90 and P10 estimates.</t>
  </si>
  <si>
    <t>VosePERT</t>
  </si>
  <si>
    <t>Well cost and value per barrel.</t>
  </si>
  <si>
    <t>VoseInput, VoseOutput</t>
  </si>
  <si>
    <t>Name the uncertain inputs and the outputs.</t>
  </si>
  <si>
    <t>VoseSimMean, VoseSimProbability, VoseSimPercentile</t>
  </si>
  <si>
    <t>Simulation statistics on the Results sheet.</t>
  </si>
  <si>
    <t>Further reading</t>
  </si>
  <si>
    <t>Exploration</t>
  </si>
  <si>
    <t>Rose, P. R. (2001). Risk Analysis and Management of Petroleum Exploration Ventures. AAPG Methods in Exploration 12.</t>
  </si>
  <si>
    <t>Dependent risks</t>
  </si>
  <si>
    <t>Vose, D. (2008). Risk Analysis: A Quantitative Guide, 3rd edition. Wiley — chapters on correlation and dependency.</t>
  </si>
  <si>
    <t>Next model</t>
  </si>
  <si>
    <t>OG-06 extends shared risk to a portfolio of prospects in two plays.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</si>
  <si>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</si>
  <si>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</si>
  <si>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</si>
  <si>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Outcomes  ▸</t>
  </si>
  <si>
    <t>How to read this sheet:  yellow cells are inputs.  Orange cells hold ModelRisk distributions and show the current random sample (press F9 to draw again).  Low / Most likely / High are the minimum, most likely and maximum for PERT; the P90 (low) and P10 (high) estimates for Lognormal — P90 means a 90% chance of being exceeded.  Mean is the distribution's average (VoseMean); it shows ✗ if a range is out of order.</t>
  </si>
  <si>
    <t>1   Shared chance factor</t>
  </si>
  <si>
    <t>Applies to both targets at once: if the charge fails, neither target can hold oil.</t>
  </si>
  <si>
    <t>Assumption</t>
  </si>
  <si>
    <t>Unit</t>
  </si>
  <si>
    <t>Value in model</t>
  </si>
  <si>
    <t>Uncertainty</t>
  </si>
  <si>
    <t>Basis / source (illustrative)</t>
  </si>
  <si>
    <t>Source rock and charge</t>
  </si>
  <si>
    <t>probability</t>
  </si>
  <si>
    <t>Fixed</t>
  </si>
  <si>
    <t>Oil-prone source rock is proven nearby; the doubt is whether oil migrated into the Harrier structure.</t>
  </si>
  <si>
    <t>2   Upper target</t>
  </si>
  <si>
    <t>Target-specific elements, independent of the Lower target.</t>
  </si>
  <si>
    <t>Low</t>
  </si>
  <si>
    <t>Most likely</t>
  </si>
  <si>
    <t>High</t>
  </si>
  <si>
    <t>Mean</t>
  </si>
  <si>
    <t>Reservoir presence and quality</t>
  </si>
  <si>
    <t>Channel sands seen on seismic.</t>
  </si>
  <si>
    <t>Trap and seal</t>
  </si>
  <si>
    <t>Dip closure under a thin shale.</t>
  </si>
  <si>
    <t>Recoverable volume if successful</t>
  </si>
  <si>
    <t>MMbbl</t>
  </si>
  <si>
    <t>Lognormal  · P90, P10</t>
  </si>
  <si>
    <t>–</t>
  </si>
  <si>
    <t>Volumetric range for the Upper target.</t>
  </si>
  <si>
    <t>3   Lower target</t>
  </si>
  <si>
    <t>Target-specific elements, independent of the Upper target.</t>
  </si>
  <si>
    <t>Deeper sands; porosity may be degraded.</t>
  </si>
  <si>
    <t>Fault-bounded closure; seal along the fault is uncertain.</t>
  </si>
  <si>
    <t>Volumetric range for the Lower target.</t>
  </si>
  <si>
    <t>4   Economics</t>
  </si>
  <si>
    <t>Cost of the well and the value of each barrel discovered (US$, real terms).</t>
  </si>
  <si>
    <t>Exploration well cost</t>
  </si>
  <si>
    <t>US$m</t>
  </si>
  <si>
    <t>PERT</t>
  </si>
  <si>
    <t>Deeper well to reach both targets; spent whatever the result.</t>
  </si>
  <si>
    <t>Value per barrel discovered</t>
  </si>
  <si>
    <t>US$/bbl</t>
  </si>
  <si>
    <t>Development NPV per barrel from screening economics of similar discoveries.</t>
  </si>
  <si>
    <t>OUTCOMES   ·   The chances of success worked out analytically, then one simulated outcome of drilling the well.</t>
  </si>
  <si>
    <t>◂  Inputs</t>
  </si>
  <si>
    <t>Next:  Results  ▸</t>
  </si>
  <si>
    <t>1   Chance of success, worked out analytically</t>
  </si>
  <si>
    <t>The same inputs combined two ways: correctly, with the charge shared, and as if the targets were independent.</t>
  </si>
  <si>
    <t>Chance of</t>
  </si>
  <si>
    <t>Shared charge</t>
  </si>
  <si>
    <t>If independent</t>
  </si>
  <si>
    <t>How it is calculated</t>
  </si>
  <si>
    <t>The Upper target's own elements</t>
  </si>
  <si>
    <t>Reservoir × trap: everything but the shared charge</t>
  </si>
  <si>
    <t>The Lower target's own elements</t>
  </si>
  <si>
    <t>Oil in the Upper target</t>
  </si>
  <si>
    <t>Charge × its own elements — the same either way</t>
  </si>
  <si>
    <t>Oil in the Lower target</t>
  </si>
  <si>
    <t>Oil in at least one target</t>
  </si>
  <si>
    <t>Shared: charge × (1 − both targets' own elements fail).  Independent: 1 − both targets fail.</t>
  </si>
  <si>
    <t>Oil in both targets</t>
  </si>
  <si>
    <t>Shared: the charge is counted once.  Independent: it is counted twice.</t>
  </si>
  <si>
    <t>2   One simulated well</t>
  </si>
  <si>
    <t>Each recalculation draws whether the shared charge works and whether each target's own elements are present.</t>
  </si>
  <si>
    <t>Quantity</t>
  </si>
  <si>
    <t>Charge works?  (1 = yes)</t>
  </si>
  <si>
    <t>1 / 0</t>
  </si>
  <si>
    <t>Bernoulli trial with the shared chance</t>
  </si>
  <si>
    <t>Upper target's own elements present?</t>
  </si>
  <si>
    <t>Bernoulli trial with the Upper target's own chance (section 1)</t>
  </si>
  <si>
    <t>Lower target's own elements present?</t>
  </si>
  <si>
    <t>Bernoulli trial with the Lower target's own chance (section 1)</t>
  </si>
  <si>
    <t>Oil in the Upper target?</t>
  </si>
  <si>
    <t>Needs the charge AND its own elements</t>
  </si>
  <si>
    <t>Oil in the Lower target?</t>
  </si>
  <si>
    <t>Oil in at least one target?</t>
  </si>
  <si>
    <t>1 if either target holds oil</t>
  </si>
  <si>
    <t>Oil in both targets?</t>
  </si>
  <si>
    <t>1 if both targets hold oil</t>
  </si>
  <si>
    <t>Outcome  (code)</t>
  </si>
  <si>
    <t>1 – 4</t>
  </si>
  <si>
    <t>1 = dry,  2 = Upper only,  3 = Lower only,  4 = both</t>
  </si>
  <si>
    <t>Outcome</t>
  </si>
  <si>
    <t>The outcome of this iteration in words</t>
  </si>
  <si>
    <t>3   Volume and value</t>
  </si>
  <si>
    <t>What this well finds and what it is worth.</t>
  </si>
  <si>
    <t>Discovered volume</t>
  </si>
  <si>
    <t>Each successful target's volume (from Inputs); zero for a dry target</t>
  </si>
  <si>
    <t>Value of drilling the well</t>
  </si>
  <si>
    <t>Discovered volume × value per barrel − well cost. Its mean over all samples is the expected value.</t>
  </si>
  <si>
    <t>Break-even discovery size</t>
  </si>
  <si>
    <t>Well cost ÷ value per barrel: a smaller discovery does not pay for the well</t>
  </si>
  <si>
    <t>RESULTS   ·   Filled in automatically from the last simulation. Run a simulation after changing any input.</t>
  </si>
  <si>
    <t>◂  Outcomes</t>
  </si>
  <si>
    <t>1   Chance of success</t>
  </si>
  <si>
    <t>Value of drilling — cumulative probability</t>
  </si>
  <si>
    <t>Analytical with the charge shared, analytical as if independent, and simulated.</t>
  </si>
  <si>
    <t>Shared</t>
  </si>
  <si>
    <t>Independent</t>
  </si>
  <si>
    <t>Simulated</t>
  </si>
  <si>
    <t>2   Outcomes of drilling the well</t>
  </si>
  <si>
    <t>Simulated share of wells ending in each outcome.</t>
  </si>
  <si>
    <t>Probability</t>
  </si>
  <si>
    <t>Dry hole</t>
  </si>
  <si>
    <t>Upper target only</t>
  </si>
  <si>
    <t>Lower target only</t>
  </si>
  <si>
    <t>Both targets</t>
  </si>
  <si>
    <t>Total</t>
  </si>
  <si>
    <t>3   Value of drilling</t>
  </si>
  <si>
    <t>Discovered volume — chance of finding at least this much</t>
  </si>
  <si>
    <t>Expected value = the average value over all simulated wells, dry holes included.</t>
  </si>
  <si>
    <t>Measure</t>
  </si>
  <si>
    <t>Expected value of drilling the well</t>
  </si>
  <si>
    <t>Value of drilling, 90th percentile</t>
  </si>
  <si>
    <t>Risked volume  (dry holes count as zero)</t>
  </si>
  <si>
    <t>Chance of a discovery</t>
  </si>
  <si>
    <t>Mean volume if oil is found</t>
  </si>
  <si>
    <t>Chance of a dry hole  (1 − chance of a discovery)</t>
  </si>
  <si>
    <t>Chance the well loses money</t>
  </si>
  <si>
    <t>Break-even size  (mean cost ÷ mean value per barrel)</t>
  </si>
  <si>
    <t>Recommendation</t>
  </si>
  <si>
    <t>4   How to read these results</t>
  </si>
  <si>
    <t>•  The charge is shared, so if it fails both targets are dry together. Treating the targets as independent counts the charge risk twice for 'both' and lets one target succeed while the other's charge fails — which cannot happen.</t>
  </si>
  <si>
    <t>•  So the independent shortcut overstates the chance of at least one discovery and understates the chance of both. The simulated column matches the shared-charge column, not the independent one.</t>
  </si>
  <si>
    <t>•  The expected value counts every outcome, including the dry holes. The 'mean volume if oil is found' is the risked volume divided by the chance of a discovery.</t>
  </si>
  <si>
    <t>•  The discovered-volume chart drops straight down at zero: the size of that drop is the chance of a dry hole.</t>
  </si>
  <si>
    <t>Chart data</t>
  </si>
  <si>
    <t>Statistics of the last simulation behind the charts and the ranking above. Grouped: click + in the left margin to show them.</t>
  </si>
  <si>
    <t>Cumulative probability</t>
  </si>
  <si>
    <t>Exceedance</t>
  </si>
  <si>
    <t>Volume</t>
  </si>
  <si>
    <t>Outcome helper: Outcome</t>
  </si>
  <si>
    <t>Below</t>
  </si>
  <si>
    <t>Cumulative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</si>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</sst>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0.0\);&quot;–&quot;_)"/>
    <numFmt numFmtId="165" formatCode="#,##0.00_);\(#,##0.00\);&quot;–&quot;_)"/>
    <numFmt numFmtId="166" formatCode="0.0%"/>
    <numFmt numFmtId="167" formatCode="0.0%;\-0.0%;0.0%;&quot;–&quot;"/>
    <numFmt numFmtId="168" formatCode="#,##0.0_);\(#,##0.0\);&quot;–&quot;_);&quot;–&quot;"/>
    <numFmt numFmtId="169" formatCode="0.0"/>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b/>
      <sz val="13"/>
      <color rgb="FF0E4F92"/>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5">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9"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4" fontId="2" fillId="3" borderId="7" xfId="2" applyNumberFormat="1" applyBorder="1">
      <alignment horizontal="right" vertical="center"/>
    </xf>
    <xf numFmtId="164" fontId="1" fillId="2" borderId="7" xfId="1" applyNumberFormat="1" applyBorder="1">
      <alignment horizontal="right" vertical="center"/>
    </xf>
    <xf numFmtId="0" fontId="19" fillId="0" borderId="6" xfId="0" applyFont="1" applyBorder="1" applyAlignment="1">
      <alignment horizontal="center" vertical="center"/>
    </xf>
    <xf numFmtId="164" fontId="3" fillId="0" borderId="8" xfId="3"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166" fontId="3" fillId="0" borderId="8" xfId="3" applyNumberFormat="1" applyBorder="1">
      <alignment horizontal="right" vertical="center"/>
    </xf>
    <xf numFmtId="1" fontId="2" fillId="3" borderId="7" xfId="2" applyNumberFormat="1" applyBorder="1">
      <alignment horizontal="right" vertical="center"/>
    </xf>
    <xf numFmtId="1" fontId="3" fillId="0" borderId="8" xfId="3" applyNumberFormat="1" applyBorder="1">
      <alignment horizontal="right" vertical="center"/>
    </xf>
    <xf numFmtId="1" fontId="4" fillId="4" borderId="9" xfId="4" applyNumberFormat="1" applyBorder="1">
      <alignment horizontal="right" vertical="center"/>
    </xf>
    <xf numFmtId="0" fontId="12" fillId="0" borderId="8" xfId="3" applyFont="1" applyBorder="1">
      <alignment horizontal="right" vertical="center"/>
    </xf>
    <xf numFmtId="164" fontId="4" fillId="4" borderId="9" xfId="4" applyNumberFormat="1" applyBorder="1">
      <alignment horizontal="right" vertical="center"/>
    </xf>
    <xf numFmtId="0" fontId="15" fillId="5" borderId="10" xfId="0" applyFont="1" applyFill="1" applyBorder="1" applyAlignment="1">
      <alignment horizontal="left" vertical="center" indent="1"/>
    </xf>
    <xf numFmtId="0" fontId="0" fillId="5" borderId="10" xfId="0" applyFill="1" applyBorder="1"/>
    <xf numFmtId="0" fontId="22" fillId="0" borderId="5" xfId="0" applyFont="1" applyBorder="1"/>
    <xf numFmtId="167" fontId="1" fillId="5" borderId="7" xfId="5" applyNumberFormat="1" applyBorder="1">
      <alignment horizontal="right" vertical="center"/>
    </xf>
    <xf numFmtId="0" fontId="12" fillId="0" borderId="6" xfId="0" applyFont="1" applyBorder="1" applyAlignment="1">
      <alignment horizontal="left" vertical="center" indent="1"/>
    </xf>
    <xf numFmtId="167" fontId="1" fillId="5" borderId="1" xfId="5" applyNumberFormat="1">
      <alignment horizontal="right" vertical="center"/>
    </xf>
    <xf numFmtId="0" fontId="12" fillId="0" borderId="11" xfId="0" applyFont="1" applyBorder="1" applyAlignment="1">
      <alignment horizontal="left" vertical="center" indent="1"/>
    </xf>
    <xf numFmtId="0" fontId="0" fillId="0" borderId="11" xfId="0" applyBorder="1"/>
    <xf numFmtId="167" fontId="12" fillId="0" borderId="11" xfId="3" applyNumberFormat="1" applyFont="1" applyBorder="1">
      <alignment horizontal="right" vertical="center"/>
    </xf>
    <xf numFmtId="168" fontId="20" fillId="5" borderId="7" xfId="5" applyNumberFormat="1" applyFont="1" applyBorder="1">
      <alignment horizontal="right" vertical="center"/>
    </xf>
    <xf numFmtId="168" fontId="1" fillId="5" borderId="7" xfId="5" applyNumberFormat="1" applyBorder="1">
      <alignment horizontal="right" vertical="center"/>
    </xf>
    <xf numFmtId="0" fontId="21"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0" fontId="21" fillId="0" borderId="0" xfId="0" applyFont="1"/>
    <xf numFmtId="169" fontId="3" fillId="0" borderId="2" xfId="3" applyNumberFormat="1">
      <alignment horizontal="right" vertical="center"/>
    </xf>
    <xf numFmtId="167"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B91C1C"/>
      </font>
    </dxf>
    <dxf>
      <font>
        <color rgb="FF15803D"/>
      </font>
    </dxf>
    <dxf>
      <font>
        <color rgb="FFB45309"/>
      </font>
      <fill>
        <patternFill patternType="solid">
          <fgColor rgb="FFFEF3C7"/>
          <bgColor rgb="FFFEF3C7"/>
        </patternFill>
      </fill>
    </dxf>
    <dxf>
      <font>
        <color rgb="FF15803D"/>
      </font>
      <fill>
        <patternFill patternType="solid">
          <fgColor rgb="FFDCFCE7"/>
          <bgColor rgb="FFDCFCE7"/>
        </patternFill>
      </fill>
    </dxf>
    <dxf>
      <font>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Value of drilling the well</c:v>
          </c:tx>
          <c:spPr>
            <a:ln w="25400">
              <a:solidFill>
                <a:srgbClr val="0E4F92"/>
              </a:solidFill>
              <a:prstDash val="solid"/>
            </a:ln>
          </c:spPr>
          <c:marker>
            <c:symbol val="none"/>
          </c:marker>
          <c:xVal>
            <c:numRef>
              <c:f>Results!$D$49:$D$98</c:f>
              <c:numCache>
                <c:formatCode>#,##0.00</c:formatCode>
                <c:ptCount val="50"/>
                <c:pt idx="0">
                  <c:v>-44.989416930507588</c:v>
                </c:pt>
                <c:pt idx="1">
                  <c:v>-43.407375880425761</c:v>
                </c:pt>
                <c:pt idx="2">
                  <c:v>-42.219169449023425</c:v>
                </c:pt>
                <c:pt idx="3">
                  <c:v>-41.287083208835845</c:v>
                </c:pt>
                <c:pt idx="4">
                  <c:v>-40.600133698895426</c:v>
                </c:pt>
                <c:pt idx="5">
                  <c:v>-40.009921548198946</c:v>
                </c:pt>
                <c:pt idx="6">
                  <c:v>-39.488691539684673</c:v>
                </c:pt>
                <c:pt idx="7">
                  <c:v>-38.948664955125039</c:v>
                </c:pt>
                <c:pt idx="8">
                  <c:v>-38.500038913544543</c:v>
                </c:pt>
                <c:pt idx="9">
                  <c:v>-38.024971081685749</c:v>
                </c:pt>
                <c:pt idx="10">
                  <c:v>-37.607479111043283</c:v>
                </c:pt>
                <c:pt idx="11">
                  <c:v>-37.149346828743361</c:v>
                </c:pt>
                <c:pt idx="12">
                  <c:v>-36.735451263649423</c:v>
                </c:pt>
                <c:pt idx="13">
                  <c:v>-36.328299573888813</c:v>
                </c:pt>
                <c:pt idx="14">
                  <c:v>-35.937929236820644</c:v>
                </c:pt>
                <c:pt idx="15">
                  <c:v>-35.525698588933665</c:v>
                </c:pt>
                <c:pt idx="16">
                  <c:v>-35.07221039060974</c:v>
                </c:pt>
                <c:pt idx="17">
                  <c:v>-34.626327282947138</c:v>
                </c:pt>
                <c:pt idx="18">
                  <c:v>-34.197661042439869</c:v>
                </c:pt>
                <c:pt idx="19">
                  <c:v>-33.68769084588854</c:v>
                </c:pt>
                <c:pt idx="20">
                  <c:v>-33.1678520926557</c:v>
                </c:pt>
                <c:pt idx="21">
                  <c:v>-32.615878652062456</c:v>
                </c:pt>
                <c:pt idx="22">
                  <c:v>-32.019682925748675</c:v>
                </c:pt>
                <c:pt idx="23">
                  <c:v>-31.061240197673531</c:v>
                </c:pt>
                <c:pt idx="24">
                  <c:v>-7.2332042718274749</c:v>
                </c:pt>
                <c:pt idx="25">
                  <c:v>3.8329689327934915</c:v>
                </c:pt>
                <c:pt idx="26">
                  <c:v>12.502032385284082</c:v>
                </c:pt>
                <c:pt idx="27">
                  <c:v>21.041393187469467</c:v>
                </c:pt>
                <c:pt idx="28">
                  <c:v>28.519639838563428</c:v>
                </c:pt>
                <c:pt idx="29">
                  <c:v>36.073011835164628</c:v>
                </c:pt>
                <c:pt idx="30">
                  <c:v>43.0985813516821</c:v>
                </c:pt>
                <c:pt idx="31">
                  <c:v>50.09481060495564</c:v>
                </c:pt>
                <c:pt idx="32">
                  <c:v>58.102049424891781</c:v>
                </c:pt>
                <c:pt idx="33">
                  <c:v>66.786330158481491</c:v>
                </c:pt>
                <c:pt idx="34">
                  <c:v>75.321186700872317</c:v>
                </c:pt>
                <c:pt idx="35">
                  <c:v>84.290866483936654</c:v>
                </c:pt>
                <c:pt idx="36">
                  <c:v>93.921815943925523</c:v>
                </c:pt>
                <c:pt idx="37">
                  <c:v>104.69253364187711</c:v>
                </c:pt>
                <c:pt idx="38">
                  <c:v>116.66807559937588</c:v>
                </c:pt>
                <c:pt idx="39">
                  <c:v>129.99754084169234</c:v>
                </c:pt>
                <c:pt idx="40">
                  <c:v>144.4563819660581</c:v>
                </c:pt>
                <c:pt idx="41">
                  <c:v>159.71145326214634</c:v>
                </c:pt>
                <c:pt idx="42">
                  <c:v>175.62816990721035</c:v>
                </c:pt>
                <c:pt idx="43">
                  <c:v>194.00233192920467</c:v>
                </c:pt>
                <c:pt idx="44">
                  <c:v>213.53966007898845</c:v>
                </c:pt>
                <c:pt idx="45">
                  <c:v>238.53224642125218</c:v>
                </c:pt>
                <c:pt idx="46">
                  <c:v>273.06822635425772</c:v>
                </c:pt>
                <c:pt idx="47">
                  <c:v>314.6701243506451</c:v>
                </c:pt>
                <c:pt idx="48">
                  <c:v>379.50729513663396</c:v>
                </c:pt>
                <c:pt idx="49">
                  <c:v>521.68917483032067</c:v>
                </c:pt>
              </c:numCache>
            </c:numRef>
          </c:xVal>
          <c:yVal>
            <c:numRef>
              <c:f>Results!$B$49:$B$98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1480-4C8C-9017-6DFA5A36702D}"/>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Value (US$ million)</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Chance of at least this volume</c:v>
          </c:tx>
          <c:spPr>
            <a:ln w="25400">
              <a:solidFill>
                <a:srgbClr val="0E4F92"/>
              </a:solidFill>
              <a:prstDash val="solid"/>
            </a:ln>
          </c:spPr>
          <c:marker>
            <c:symbol val="none"/>
          </c:marker>
          <c:xVal>
            <c:numRef>
              <c:f>Results!$E$49:$E$98</c:f>
              <c:numCache>
                <c:formatCode>#,##0.00</c:formatCode>
                <c:ptCount val="5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6.492146737880649</c:v>
                </c:pt>
                <c:pt idx="25">
                  <c:v>8.4276352970374742</c:v>
                </c:pt>
                <c:pt idx="26">
                  <c:v>10.179162027367473</c:v>
                </c:pt>
                <c:pt idx="27">
                  <c:v>11.664245015146607</c:v>
                </c:pt>
                <c:pt idx="28">
                  <c:v>13.040688212832768</c:v>
                </c:pt>
                <c:pt idx="29">
                  <c:v>14.503659482628368</c:v>
                </c:pt>
                <c:pt idx="30">
                  <c:v>16.065610101500187</c:v>
                </c:pt>
                <c:pt idx="31">
                  <c:v>17.459092122680676</c:v>
                </c:pt>
                <c:pt idx="32">
                  <c:v>18.909902837018869</c:v>
                </c:pt>
                <c:pt idx="33">
                  <c:v>20.283614814122991</c:v>
                </c:pt>
                <c:pt idx="34">
                  <c:v>22.068421775261548</c:v>
                </c:pt>
                <c:pt idx="35">
                  <c:v>24.216570768187161</c:v>
                </c:pt>
                <c:pt idx="36">
                  <c:v>26.12987306812261</c:v>
                </c:pt>
                <c:pt idx="37">
                  <c:v>28.167789268624137</c:v>
                </c:pt>
                <c:pt idx="38">
                  <c:v>30.252131944863201</c:v>
                </c:pt>
                <c:pt idx="39">
                  <c:v>32.875937354454408</c:v>
                </c:pt>
                <c:pt idx="40">
                  <c:v>35.50800815461448</c:v>
                </c:pt>
                <c:pt idx="41">
                  <c:v>38.298125292761135</c:v>
                </c:pt>
                <c:pt idx="42">
                  <c:v>41.766797079766555</c:v>
                </c:pt>
                <c:pt idx="43">
                  <c:v>45.194015240487069</c:v>
                </c:pt>
                <c:pt idx="44">
                  <c:v>49.106537835939996</c:v>
                </c:pt>
                <c:pt idx="45">
                  <c:v>53.336672427138744</c:v>
                </c:pt>
                <c:pt idx="46">
                  <c:v>58.866195127152821</c:v>
                </c:pt>
                <c:pt idx="47">
                  <c:v>66.5974731019665</c:v>
                </c:pt>
                <c:pt idx="48">
                  <c:v>79.281513388067907</c:v>
                </c:pt>
                <c:pt idx="49">
                  <c:v>106.03529234486774</c:v>
                </c:pt>
              </c:numCache>
            </c:numRef>
          </c:xVal>
          <c:yVal>
            <c:numRef>
              <c:f>Results!$C$49:$C$98</c:f>
              <c:numCache>
                <c:formatCode>0%</c:formatCode>
                <c:ptCount val="50"/>
                <c:pt idx="0">
                  <c:v>0.99</c:v>
                </c:pt>
                <c:pt idx="1">
                  <c:v>0.97</c:v>
                </c:pt>
                <c:pt idx="2">
                  <c:v>0.95</c:v>
                </c:pt>
                <c:pt idx="3">
                  <c:v>0.92999999999999994</c:v>
                </c:pt>
                <c:pt idx="4">
                  <c:v>0.91</c:v>
                </c:pt>
                <c:pt idx="5">
                  <c:v>0.89</c:v>
                </c:pt>
                <c:pt idx="6">
                  <c:v>0.87</c:v>
                </c:pt>
                <c:pt idx="7">
                  <c:v>0.85</c:v>
                </c:pt>
                <c:pt idx="8">
                  <c:v>0.83</c:v>
                </c:pt>
                <c:pt idx="9">
                  <c:v>0.81</c:v>
                </c:pt>
                <c:pt idx="10">
                  <c:v>0.79</c:v>
                </c:pt>
                <c:pt idx="11">
                  <c:v>0.77</c:v>
                </c:pt>
                <c:pt idx="12">
                  <c:v>0.75</c:v>
                </c:pt>
                <c:pt idx="13">
                  <c:v>0.73</c:v>
                </c:pt>
                <c:pt idx="14">
                  <c:v>0.71</c:v>
                </c:pt>
                <c:pt idx="15">
                  <c:v>0.69</c:v>
                </c:pt>
                <c:pt idx="16">
                  <c:v>0.66999999999999993</c:v>
                </c:pt>
                <c:pt idx="17">
                  <c:v>0.65</c:v>
                </c:pt>
                <c:pt idx="18">
                  <c:v>0.63</c:v>
                </c:pt>
                <c:pt idx="19">
                  <c:v>0.61</c:v>
                </c:pt>
                <c:pt idx="20">
                  <c:v>0.59000000000000008</c:v>
                </c:pt>
                <c:pt idx="21">
                  <c:v>0.57000000000000006</c:v>
                </c:pt>
                <c:pt idx="22">
                  <c:v>0.55000000000000004</c:v>
                </c:pt>
                <c:pt idx="23">
                  <c:v>0.53</c:v>
                </c:pt>
                <c:pt idx="24">
                  <c:v>0.51</c:v>
                </c:pt>
                <c:pt idx="25">
                  <c:v>0.49</c:v>
                </c:pt>
                <c:pt idx="26">
                  <c:v>0.47</c:v>
                </c:pt>
                <c:pt idx="27">
                  <c:v>0.44999999999999996</c:v>
                </c:pt>
                <c:pt idx="28">
                  <c:v>0.43000000000000005</c:v>
                </c:pt>
                <c:pt idx="29">
                  <c:v>0.41000000000000003</c:v>
                </c:pt>
                <c:pt idx="30">
                  <c:v>0.39</c:v>
                </c:pt>
                <c:pt idx="31">
                  <c:v>0.37</c:v>
                </c:pt>
                <c:pt idx="32">
                  <c:v>0.35</c:v>
                </c:pt>
                <c:pt idx="33">
                  <c:v>0.32999999999999996</c:v>
                </c:pt>
                <c:pt idx="34">
                  <c:v>0.31000000000000005</c:v>
                </c:pt>
                <c:pt idx="35">
                  <c:v>0.29000000000000004</c:v>
                </c:pt>
                <c:pt idx="36">
                  <c:v>0.27</c:v>
                </c:pt>
                <c:pt idx="37">
                  <c:v>0.25</c:v>
                </c:pt>
                <c:pt idx="38">
                  <c:v>0.22999999999999998</c:v>
                </c:pt>
                <c:pt idx="39">
                  <c:v>0.20999999999999996</c:v>
                </c:pt>
                <c:pt idx="40">
                  <c:v>0.18999999999999995</c:v>
                </c:pt>
                <c:pt idx="41">
                  <c:v>0.17000000000000004</c:v>
                </c:pt>
                <c:pt idx="42">
                  <c:v>0.15000000000000002</c:v>
                </c:pt>
                <c:pt idx="43">
                  <c:v>0.13</c:v>
                </c:pt>
                <c:pt idx="44">
                  <c:v>0.10999999999999999</c:v>
                </c:pt>
                <c:pt idx="45">
                  <c:v>8.9999999999999969E-2</c:v>
                </c:pt>
                <c:pt idx="46">
                  <c:v>6.9999999999999951E-2</c:v>
                </c:pt>
                <c:pt idx="47">
                  <c:v>5.0000000000000044E-2</c:v>
                </c:pt>
                <c:pt idx="48">
                  <c:v>3.0000000000000027E-2</c:v>
                </c:pt>
                <c:pt idx="49">
                  <c:v>1.0000000000000009E-2</c:v>
                </c:pt>
              </c:numCache>
            </c:numRef>
          </c:yVal>
          <c:smooth val="1"/>
          <c:extLst>
            <c:ext xmlns:c16="http://schemas.microsoft.com/office/drawing/2014/chart" uri="{C3380CC4-5D6E-409C-BE32-E72D297353CC}">
              <c16:uniqueId val="{00000000-7FF8-4C4E-8228-912D0A14D95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Discovered volume (MMbbl)</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Probability of at least this value</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8</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0" t="s">
        <v>20</v>
      </c>
      <c r="C16" s="61"/>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61</v>
      </c>
      <c r="C57" s="10" t="s">
        <v>66</v>
      </c>
    </row>
    <row r="58" spans="2:3" x14ac:dyDescent="0.45">
      <c r="B58" s="9" t="s">
        <v>59</v>
      </c>
      <c r="C58" s="10" t="s">
        <v>67</v>
      </c>
    </row>
    <row r="59" spans="2:3" x14ac:dyDescent="0.45">
      <c r="B59" s="9" t="s">
        <v>68</v>
      </c>
      <c r="C59" s="10" t="s">
        <v>69</v>
      </c>
    </row>
    <row r="60" spans="2:3" ht="12" customHeight="1" x14ac:dyDescent="0.45"/>
    <row r="61" spans="2:3" ht="22.05" customHeight="1" x14ac:dyDescent="0.5">
      <c r="B61" s="7" t="s">
        <v>70</v>
      </c>
      <c r="C61" s="8"/>
    </row>
    <row r="62" spans="2:3" x14ac:dyDescent="0.45">
      <c r="B62" s="20" t="s">
        <v>71</v>
      </c>
      <c r="C62" s="10" t="s">
        <v>72</v>
      </c>
    </row>
    <row r="63" spans="2:3" x14ac:dyDescent="0.45">
      <c r="B63" s="20" t="s">
        <v>73</v>
      </c>
      <c r="C63" s="10" t="s">
        <v>74</v>
      </c>
    </row>
    <row r="64" spans="2:3" x14ac:dyDescent="0.45">
      <c r="B64" s="20" t="s">
        <v>75</v>
      </c>
      <c r="C64" s="10" t="s">
        <v>76</v>
      </c>
    </row>
    <row r="65" spans="2:3" x14ac:dyDescent="0.45">
      <c r="B65" s="20" t="s">
        <v>77</v>
      </c>
      <c r="C65" s="10" t="s">
        <v>78</v>
      </c>
    </row>
    <row r="66" spans="2:3" ht="39.4" x14ac:dyDescent="0.45">
      <c r="B66" s="20" t="s">
        <v>79</v>
      </c>
      <c r="C66" s="10" t="s">
        <v>80</v>
      </c>
    </row>
    <row r="67" spans="2:3" ht="12" customHeight="1" x14ac:dyDescent="0.45"/>
    <row r="68" spans="2:3" ht="22.05" customHeight="1" x14ac:dyDescent="0.5">
      <c r="B68" s="7" t="s">
        <v>81</v>
      </c>
      <c r="C68" s="8"/>
    </row>
    <row r="69" spans="2:3" x14ac:dyDescent="0.45">
      <c r="B69" s="9" t="s">
        <v>82</v>
      </c>
      <c r="C69" s="10" t="s">
        <v>83</v>
      </c>
    </row>
    <row r="70" spans="2:3" x14ac:dyDescent="0.45">
      <c r="B70" s="9" t="s">
        <v>84</v>
      </c>
      <c r="C70" s="10" t="s">
        <v>85</v>
      </c>
    </row>
    <row r="71" spans="2:3" x14ac:dyDescent="0.45">
      <c r="B71" s="9" t="s">
        <v>86</v>
      </c>
      <c r="C71" s="10" t="s">
        <v>87</v>
      </c>
    </row>
    <row r="72" spans="2:3" ht="16.05" customHeight="1" x14ac:dyDescent="0.45"/>
    <row r="73" spans="2:3" x14ac:dyDescent="0.45">
      <c r="B73" s="62" t="s">
        <v>88</v>
      </c>
      <c r="C73" s="61"/>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Outcomes'!A1" display="Outcom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89</v>
      </c>
      <c r="C3" s="1"/>
      <c r="D3" s="1"/>
      <c r="E3" s="1"/>
      <c r="F3" s="1"/>
      <c r="G3" s="1"/>
      <c r="H3" s="1"/>
      <c r="I3" s="1"/>
      <c r="J3" s="1"/>
    </row>
    <row r="4" spans="1:10" ht="20" customHeight="1" x14ac:dyDescent="0.45">
      <c r="A4" s="5"/>
      <c r="B4" s="22" t="s">
        <v>90</v>
      </c>
      <c r="C4" s="5"/>
      <c r="D4" s="5"/>
      <c r="E4" s="5"/>
      <c r="F4" s="5"/>
      <c r="G4" s="5"/>
      <c r="H4" s="5"/>
      <c r="I4" s="5"/>
      <c r="J4" s="6" t="s">
        <v>91</v>
      </c>
    </row>
    <row r="5" spans="1:10" ht="8" customHeight="1" x14ac:dyDescent="0.45"/>
    <row r="6" spans="1:10" ht="30" customHeight="1" x14ac:dyDescent="0.45">
      <c r="B6" s="63" t="s">
        <v>92</v>
      </c>
      <c r="C6" s="61"/>
      <c r="D6" s="61"/>
      <c r="E6" s="61"/>
      <c r="F6" s="61"/>
      <c r="G6" s="61"/>
      <c r="H6" s="61"/>
      <c r="I6" s="61"/>
      <c r="J6" s="61"/>
    </row>
    <row r="7" spans="1:10" ht="6" customHeight="1" x14ac:dyDescent="0.45"/>
    <row r="8" spans="1:10" ht="22.05" customHeight="1" x14ac:dyDescent="0.5">
      <c r="B8" s="7" t="s">
        <v>93</v>
      </c>
      <c r="C8" s="8"/>
      <c r="D8" s="8"/>
      <c r="E8" s="8"/>
      <c r="F8" s="8"/>
      <c r="G8" s="8"/>
      <c r="H8" s="8"/>
      <c r="I8" s="8"/>
      <c r="J8" s="8"/>
    </row>
    <row r="9" spans="1:10" ht="18" customHeight="1" x14ac:dyDescent="0.45">
      <c r="B9" s="13" t="s">
        <v>94</v>
      </c>
    </row>
    <row r="10" spans="1:10" ht="18" customHeight="1" x14ac:dyDescent="0.45">
      <c r="B10" s="23" t="s">
        <v>95</v>
      </c>
      <c r="C10" s="23" t="s">
        <v>96</v>
      </c>
      <c r="D10" s="24" t="s">
        <v>97</v>
      </c>
      <c r="E10" s="23" t="s">
        <v>98</v>
      </c>
      <c r="F10" s="5"/>
      <c r="G10" s="5"/>
      <c r="H10" s="5"/>
      <c r="I10" s="5"/>
      <c r="J10" s="23" t="s">
        <v>99</v>
      </c>
    </row>
    <row r="11" spans="1:10" ht="23.25" x14ac:dyDescent="0.45">
      <c r="B11" s="25" t="s">
        <v>100</v>
      </c>
      <c r="C11" s="26" t="s">
        <v>101</v>
      </c>
      <c r="D11" s="27">
        <v>0.7</v>
      </c>
      <c r="E11" s="26" t="s">
        <v>102</v>
      </c>
      <c r="F11" s="28"/>
      <c r="G11" s="28"/>
      <c r="H11" s="28"/>
      <c r="I11" s="28"/>
      <c r="J11" s="29" t="s">
        <v>103</v>
      </c>
    </row>
    <row r="12" spans="1:10" ht="8" customHeight="1" x14ac:dyDescent="0.45"/>
    <row r="13" spans="1:10" ht="22.05" customHeight="1" x14ac:dyDescent="0.5">
      <c r="B13" s="7" t="s">
        <v>104</v>
      </c>
      <c r="C13" s="8"/>
      <c r="D13" s="8"/>
      <c r="E13" s="8"/>
      <c r="F13" s="8"/>
      <c r="G13" s="8"/>
      <c r="H13" s="8"/>
      <c r="I13" s="8"/>
      <c r="J13" s="8"/>
    </row>
    <row r="14" spans="1:10" ht="18" customHeight="1" x14ac:dyDescent="0.45">
      <c r="B14" s="13" t="s">
        <v>105</v>
      </c>
    </row>
    <row r="15" spans="1:10" ht="18" customHeight="1" x14ac:dyDescent="0.45">
      <c r="B15" s="23" t="s">
        <v>95</v>
      </c>
      <c r="C15" s="23" t="s">
        <v>96</v>
      </c>
      <c r="D15" s="24" t="s">
        <v>97</v>
      </c>
      <c r="E15" s="23" t="s">
        <v>98</v>
      </c>
      <c r="F15" s="24" t="s">
        <v>106</v>
      </c>
      <c r="G15" s="24" t="s">
        <v>107</v>
      </c>
      <c r="H15" s="24" t="s">
        <v>108</v>
      </c>
      <c r="I15" s="24" t="s">
        <v>109</v>
      </c>
      <c r="J15" s="23" t="s">
        <v>99</v>
      </c>
    </row>
    <row r="16" spans="1:10" x14ac:dyDescent="0.45">
      <c r="B16" s="25" t="s">
        <v>110</v>
      </c>
      <c r="C16" s="26" t="s">
        <v>101</v>
      </c>
      <c r="D16" s="27">
        <v>0.8</v>
      </c>
      <c r="E16" s="26" t="s">
        <v>102</v>
      </c>
      <c r="F16" s="28"/>
      <c r="G16" s="28"/>
      <c r="H16" s="28"/>
      <c r="I16" s="28"/>
      <c r="J16" s="29" t="s">
        <v>111</v>
      </c>
    </row>
    <row r="17" spans="2:10" x14ac:dyDescent="0.45">
      <c r="B17" s="25" t="s">
        <v>112</v>
      </c>
      <c r="C17" s="26" t="s">
        <v>101</v>
      </c>
      <c r="D17" s="27">
        <v>0.75</v>
      </c>
      <c r="E17" s="26" t="s">
        <v>102</v>
      </c>
      <c r="F17" s="28"/>
      <c r="G17" s="28"/>
      <c r="H17" s="28"/>
      <c r="I17" s="28"/>
      <c r="J17" s="29" t="s">
        <v>113</v>
      </c>
    </row>
    <row r="18" spans="2:10" x14ac:dyDescent="0.45">
      <c r="B18" s="25" t="s">
        <v>114</v>
      </c>
      <c r="C18" s="26" t="s">
        <v>115</v>
      </c>
      <c r="D18" s="30" cm="1">
        <f t="array" aca="1" ref="D18" ca="1">_xll.VoseInput("Upper target volume","MMbbl")+_xll.VoseLognormalAlt(F18,0.1,H18,0.9,0)</f>
        <v>9.9081224604364131</v>
      </c>
      <c r="E18" s="26" t="s">
        <v>116</v>
      </c>
      <c r="F18" s="31">
        <v>8</v>
      </c>
      <c r="G18" s="32" t="s">
        <v>117</v>
      </c>
      <c r="H18" s="31">
        <v>40</v>
      </c>
      <c r="I18" s="33" cm="1">
        <f t="array" ref="I18">IF(AND(F18&gt;0,F18&lt;H18),_xll.VoseMean(_xll.VoseLognormalAltObject(F18,0.1,H18,0.9,0)),"✗ range")</f>
        <v>21.786831736671903</v>
      </c>
      <c r="J18" s="29" t="s">
        <v>118</v>
      </c>
    </row>
    <row r="19" spans="2:10" ht="8" customHeight="1" x14ac:dyDescent="0.45"/>
    <row r="20" spans="2:10" ht="22.05" customHeight="1" x14ac:dyDescent="0.5">
      <c r="B20" s="7" t="s">
        <v>119</v>
      </c>
      <c r="C20" s="8"/>
      <c r="D20" s="8"/>
      <c r="E20" s="8"/>
      <c r="F20" s="8"/>
      <c r="G20" s="8"/>
      <c r="H20" s="8"/>
      <c r="I20" s="8"/>
      <c r="J20" s="8"/>
    </row>
    <row r="21" spans="2:10" ht="18" customHeight="1" x14ac:dyDescent="0.45">
      <c r="B21" s="13" t="s">
        <v>120</v>
      </c>
    </row>
    <row r="22" spans="2:10" ht="18" customHeight="1" x14ac:dyDescent="0.45">
      <c r="B22" s="23" t="s">
        <v>95</v>
      </c>
      <c r="C22" s="23" t="s">
        <v>96</v>
      </c>
      <c r="D22" s="24" t="s">
        <v>97</v>
      </c>
      <c r="E22" s="23" t="s">
        <v>98</v>
      </c>
      <c r="F22" s="24" t="s">
        <v>106</v>
      </c>
      <c r="G22" s="24" t="s">
        <v>107</v>
      </c>
      <c r="H22" s="24" t="s">
        <v>108</v>
      </c>
      <c r="I22" s="24" t="s">
        <v>109</v>
      </c>
      <c r="J22" s="23" t="s">
        <v>99</v>
      </c>
    </row>
    <row r="23" spans="2:10" x14ac:dyDescent="0.45">
      <c r="B23" s="25" t="s">
        <v>110</v>
      </c>
      <c r="C23" s="26" t="s">
        <v>101</v>
      </c>
      <c r="D23" s="27">
        <v>0.6</v>
      </c>
      <c r="E23" s="26" t="s">
        <v>102</v>
      </c>
      <c r="F23" s="28"/>
      <c r="G23" s="28"/>
      <c r="H23" s="28"/>
      <c r="I23" s="28"/>
      <c r="J23" s="29" t="s">
        <v>121</v>
      </c>
    </row>
    <row r="24" spans="2:10" x14ac:dyDescent="0.45">
      <c r="B24" s="25" t="s">
        <v>112</v>
      </c>
      <c r="C24" s="26" t="s">
        <v>101</v>
      </c>
      <c r="D24" s="27">
        <v>0.65</v>
      </c>
      <c r="E24" s="26" t="s">
        <v>102</v>
      </c>
      <c r="F24" s="28"/>
      <c r="G24" s="28"/>
      <c r="H24" s="28"/>
      <c r="I24" s="28"/>
      <c r="J24" s="29" t="s">
        <v>122</v>
      </c>
    </row>
    <row r="25" spans="2:10" x14ac:dyDescent="0.45">
      <c r="B25" s="25" t="s">
        <v>114</v>
      </c>
      <c r="C25" s="26" t="s">
        <v>115</v>
      </c>
      <c r="D25" s="30" cm="1">
        <f t="array" aca="1" ref="D25" ca="1">_xll.VoseInput("Lower target volume","MMbbl")+_xll.VoseLognormalAlt(F25,0.1,H25,0.9,0)</f>
        <v>95.009035039808438</v>
      </c>
      <c r="E25" s="26" t="s">
        <v>116</v>
      </c>
      <c r="F25" s="31">
        <v>12</v>
      </c>
      <c r="G25" s="32" t="s">
        <v>117</v>
      </c>
      <c r="H25" s="31">
        <v>60</v>
      </c>
      <c r="I25" s="33" cm="1">
        <f t="array" ref="I25">IF(AND(F25&gt;0,F25&lt;H25),_xll.VoseMean(_xll.VoseLognormalAltObject(F25,0.1,H25,0.9,0)),"✗ range")</f>
        <v>32.680247605007864</v>
      </c>
      <c r="J25" s="29" t="s">
        <v>123</v>
      </c>
    </row>
    <row r="26" spans="2:10" ht="8" customHeight="1" x14ac:dyDescent="0.45"/>
    <row r="27" spans="2:10" ht="22.05" customHeight="1" x14ac:dyDescent="0.5">
      <c r="B27" s="7" t="s">
        <v>124</v>
      </c>
      <c r="C27" s="8"/>
      <c r="D27" s="8"/>
      <c r="E27" s="8"/>
      <c r="F27" s="8"/>
      <c r="G27" s="8"/>
      <c r="H27" s="8"/>
      <c r="I27" s="8"/>
      <c r="J27" s="8"/>
    </row>
    <row r="28" spans="2:10" ht="18" customHeight="1" x14ac:dyDescent="0.45">
      <c r="B28" s="13" t="s">
        <v>125</v>
      </c>
    </row>
    <row r="29" spans="2:10" ht="18" customHeight="1" x14ac:dyDescent="0.45">
      <c r="B29" s="23" t="s">
        <v>95</v>
      </c>
      <c r="C29" s="23" t="s">
        <v>96</v>
      </c>
      <c r="D29" s="24" t="s">
        <v>97</v>
      </c>
      <c r="E29" s="23" t="s">
        <v>98</v>
      </c>
      <c r="F29" s="24" t="s">
        <v>106</v>
      </c>
      <c r="G29" s="24" t="s">
        <v>107</v>
      </c>
      <c r="H29" s="24" t="s">
        <v>108</v>
      </c>
      <c r="I29" s="24" t="s">
        <v>109</v>
      </c>
      <c r="J29" s="23" t="s">
        <v>99</v>
      </c>
    </row>
    <row r="30" spans="2:10" x14ac:dyDescent="0.45">
      <c r="B30" s="25" t="s">
        <v>126</v>
      </c>
      <c r="C30" s="26" t="s">
        <v>127</v>
      </c>
      <c r="D30" s="30" cm="1">
        <f t="array" aca="1" ref="D30" ca="1">_xll.VoseInput("Well cost","US$m")+_xll.VosePERT(F30,G30,H30)</f>
        <v>41.316490937047803</v>
      </c>
      <c r="E30" s="26" t="s">
        <v>128</v>
      </c>
      <c r="F30" s="31">
        <v>30</v>
      </c>
      <c r="G30" s="31">
        <v>36</v>
      </c>
      <c r="H30" s="31">
        <v>50</v>
      </c>
      <c r="I30" s="33" cm="1">
        <f t="array" ref="I30">IF(AND(F30&lt;=G30,G30&lt;=H30,F30&lt;H30),_xll.VoseMean(_xll.VosePERTObject(F30,G30,H30)),"✗ range")</f>
        <v>37.333333333333336</v>
      </c>
      <c r="J30" s="29" t="s">
        <v>129</v>
      </c>
    </row>
    <row r="31" spans="2:10" x14ac:dyDescent="0.45">
      <c r="B31" s="25" t="s">
        <v>130</v>
      </c>
      <c r="C31" s="26" t="s">
        <v>131</v>
      </c>
      <c r="D31" s="34" cm="1">
        <f t="array" aca="1" ref="D31" ca="1">_xll.VoseInput("Value per barrel","US$/bbl")+_xll.VosePERT(F31,G31,H31)</f>
        <v>5.4899673693077187</v>
      </c>
      <c r="E31" s="26" t="s">
        <v>128</v>
      </c>
      <c r="F31" s="35">
        <v>3</v>
      </c>
      <c r="G31" s="35">
        <v>5</v>
      </c>
      <c r="H31" s="35">
        <v>8</v>
      </c>
      <c r="I31" s="36" cm="1">
        <f t="array" ref="I31">IF(AND(F31&lt;=G31,G31&lt;=H31,F31&lt;H31),_xll.VoseMean(_xll.VosePERTObject(F31,G31,H31)),"✗ range")</f>
        <v>5.166666666666667</v>
      </c>
      <c r="J31" s="29" t="s">
        <v>132</v>
      </c>
    </row>
    <row r="32" spans="2:10" ht="8" customHeight="1" x14ac:dyDescent="0.45"/>
  </sheetData>
  <mergeCells count="1">
    <mergeCell ref="B6:J6"/>
  </mergeCells>
  <conditionalFormatting sqref="I18">
    <cfRule type="expression" dxfId="8" priority="1">
      <formula>LEFT($I18,1)="✗"</formula>
    </cfRule>
  </conditionalFormatting>
  <conditionalFormatting sqref="I25">
    <cfRule type="expression" dxfId="7" priority="2">
      <formula>LEFT($I25,1)="✗"</formula>
    </cfRule>
  </conditionalFormatting>
  <conditionalFormatting sqref="I30:I31">
    <cfRule type="expression" dxfId="6" priority="3">
      <formula>LEFT($I30,1)="✗"</formula>
    </cfRule>
  </conditionalFormatting>
  <dataValidations count="3">
    <dataValidation type="decimal" showErrorMessage="1" errorTitle="Probability" error="Enter a value between 0% and 100%." sqref="D11 D23:D24 D16:D17" xr:uid="{00000000-0002-0000-0100-000000000000}">
      <formula1>0</formula1>
      <formula2>1</formula2>
    </dataValidation>
    <dataValidation type="custom" showErrorMessage="1" errorTitle="Lognormal range" error="The low estimate must be above the minimum and below the high estimate." sqref="F18:H18 F25:H25" xr:uid="{00000000-0002-0000-0100-000003000000}">
      <formula1>AND($F18&gt;0,$F18&lt;$H18)</formula1>
    </dataValidation>
    <dataValidation type="custom" showErrorMessage="1" errorTitle="PERT range" error="Low must be below High, with Most likely between them." sqref="F30:H31" xr:uid="{00000000-0002-0000-0100-000007000000}">
      <formula1>AND($F30&lt;=$G30,$G30&lt;=$H30,$F30&lt;$H30)</formula1>
    </dataValidation>
  </dataValidations>
  <hyperlinks>
    <hyperlink ref="B4" location="'About'!A1" display="◂  About" xr:uid="{00000000-0004-0000-0100-000000000000}"/>
    <hyperlink ref="J4" location="'Outcomes'!A1" display="Next:  Outcom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G34"/>
  <sheetViews>
    <sheetView showGridLines="0" workbookViewId="0">
      <pane ySplit="5" topLeftCell="A6" activePane="bottomLeft" state="frozen"/>
      <selection pane="bottomLeft"/>
    </sheetView>
  </sheetViews>
  <sheetFormatPr defaultRowHeight="14.25" x14ac:dyDescent="0.45"/>
  <cols>
    <col min="1" max="1" width="2" customWidth="1"/>
    <col min="2" max="2" width="50" customWidth="1"/>
    <col min="3" max="5" width="13" customWidth="1"/>
    <col min="6" max="6" width="2" customWidth="1"/>
    <col min="7" max="7" width="82" customWidth="1"/>
  </cols>
  <sheetData>
    <row r="1" spans="1:7" ht="6" customHeight="1" x14ac:dyDescent="0.45"/>
    <row r="2" spans="1:7" ht="30" customHeight="1" x14ac:dyDescent="0.45">
      <c r="A2" s="1"/>
      <c r="B2" s="21" t="s">
        <v>0</v>
      </c>
      <c r="C2" s="1"/>
      <c r="D2" s="1"/>
      <c r="E2" s="1"/>
      <c r="F2" s="1"/>
      <c r="G2" s="3" t="s">
        <v>1</v>
      </c>
    </row>
    <row r="3" spans="1:7" ht="20" customHeight="1" x14ac:dyDescent="0.45">
      <c r="A3" s="1"/>
      <c r="B3" s="4" t="s">
        <v>133</v>
      </c>
      <c r="C3" s="1"/>
      <c r="D3" s="1"/>
      <c r="E3" s="1"/>
      <c r="F3" s="1"/>
      <c r="G3" s="1"/>
    </row>
    <row r="4" spans="1:7" ht="20" customHeight="1" x14ac:dyDescent="0.45">
      <c r="A4" s="5"/>
      <c r="B4" s="22" t="s">
        <v>134</v>
      </c>
      <c r="C4" s="5"/>
      <c r="D4" s="5"/>
      <c r="E4" s="5"/>
      <c r="F4" s="5"/>
      <c r="G4" s="6" t="s">
        <v>135</v>
      </c>
    </row>
    <row r="5" spans="1:7" ht="8" customHeight="1" x14ac:dyDescent="0.45"/>
    <row r="6" spans="1:7" ht="22.05" customHeight="1" x14ac:dyDescent="0.5">
      <c r="B6" s="7" t="s">
        <v>136</v>
      </c>
      <c r="C6" s="8"/>
      <c r="D6" s="8"/>
      <c r="E6" s="8"/>
      <c r="F6" s="8"/>
      <c r="G6" s="8"/>
    </row>
    <row r="7" spans="1:7" ht="18" customHeight="1" x14ac:dyDescent="0.45">
      <c r="B7" s="13" t="s">
        <v>137</v>
      </c>
    </row>
    <row r="8" spans="1:7" ht="18" customHeight="1" x14ac:dyDescent="0.45">
      <c r="B8" s="23" t="s">
        <v>138</v>
      </c>
      <c r="C8" s="23" t="s">
        <v>96</v>
      </c>
      <c r="D8" s="24" t="s">
        <v>139</v>
      </c>
      <c r="E8" s="24" t="s">
        <v>140</v>
      </c>
      <c r="F8" s="5"/>
      <c r="G8" s="23" t="s">
        <v>141</v>
      </c>
    </row>
    <row r="9" spans="1:7" x14ac:dyDescent="0.45">
      <c r="B9" s="25" t="s">
        <v>142</v>
      </c>
      <c r="C9" s="26" t="s">
        <v>101</v>
      </c>
      <c r="D9" s="37">
        <f>Chance_U_Res*Chance_U_Trap</f>
        <v>0.60000000000000009</v>
      </c>
      <c r="E9" s="37">
        <f>Chance_U_Res*Chance_U_Trap</f>
        <v>0.60000000000000009</v>
      </c>
      <c r="F9" s="28"/>
      <c r="G9" s="26" t="s">
        <v>143</v>
      </c>
    </row>
    <row r="10" spans="1:7" x14ac:dyDescent="0.45">
      <c r="B10" s="25" t="s">
        <v>144</v>
      </c>
      <c r="C10" s="26" t="s">
        <v>101</v>
      </c>
      <c r="D10" s="37">
        <f>Chance_L_Res*Chance_L_Trap</f>
        <v>0.39</v>
      </c>
      <c r="E10" s="37">
        <f>Chance_L_Res*Chance_L_Trap</f>
        <v>0.39</v>
      </c>
      <c r="F10" s="28"/>
      <c r="G10" s="26" t="s">
        <v>143</v>
      </c>
    </row>
    <row r="11" spans="1:7" x14ac:dyDescent="0.45">
      <c r="B11" s="25" t="s">
        <v>145</v>
      </c>
      <c r="C11" s="26" t="s">
        <v>101</v>
      </c>
      <c r="D11" s="37">
        <f>Chance_Charge*P_U_Own</f>
        <v>0.42000000000000004</v>
      </c>
      <c r="E11" s="37">
        <f>Chance_Charge*P_U_Own</f>
        <v>0.42000000000000004</v>
      </c>
      <c r="F11" s="28"/>
      <c r="G11" s="26" t="s">
        <v>146</v>
      </c>
    </row>
    <row r="12" spans="1:7" x14ac:dyDescent="0.45">
      <c r="B12" s="25" t="s">
        <v>147</v>
      </c>
      <c r="C12" s="26" t="s">
        <v>101</v>
      </c>
      <c r="D12" s="37">
        <f>Chance_Charge*P_L_Own</f>
        <v>0.27299999999999996</v>
      </c>
      <c r="E12" s="37">
        <f>Chance_Charge*P_L_Own</f>
        <v>0.27299999999999996</v>
      </c>
      <c r="F12" s="28"/>
      <c r="G12" s="26" t="s">
        <v>146</v>
      </c>
    </row>
    <row r="13" spans="1:7" x14ac:dyDescent="0.45">
      <c r="B13" s="25" t="s">
        <v>148</v>
      </c>
      <c r="C13" s="26" t="s">
        <v>101</v>
      </c>
      <c r="D13" s="37">
        <f>Chance_Charge*(1-(1-P_U_Own)*(1-P_L_Own))</f>
        <v>0.5292</v>
      </c>
      <c r="E13" s="37">
        <f>1-(1-P_U)*(1-P_L)</f>
        <v>0.57833999999999997</v>
      </c>
      <c r="F13" s="28"/>
      <c r="G13" s="26" t="s">
        <v>149</v>
      </c>
    </row>
    <row r="14" spans="1:7" x14ac:dyDescent="0.45">
      <c r="B14" s="25" t="s">
        <v>150</v>
      </c>
      <c r="C14" s="26" t="s">
        <v>101</v>
      </c>
      <c r="D14" s="37">
        <f>Chance_Charge*P_U_Own*P_L_Own</f>
        <v>0.16380000000000003</v>
      </c>
      <c r="E14" s="37">
        <f>P_U*P_L</f>
        <v>0.11466</v>
      </c>
      <c r="F14" s="28"/>
      <c r="G14" s="26" t="s">
        <v>151</v>
      </c>
    </row>
    <row r="15" spans="1:7" ht="8" customHeight="1" x14ac:dyDescent="0.45"/>
    <row r="16" spans="1:7" ht="22.05" customHeight="1" x14ac:dyDescent="0.5">
      <c r="B16" s="7" t="s">
        <v>152</v>
      </c>
      <c r="C16" s="8"/>
      <c r="D16" s="8"/>
      <c r="E16" s="8"/>
      <c r="F16" s="8"/>
      <c r="G16" s="8"/>
    </row>
    <row r="17" spans="2:7" ht="18" customHeight="1" x14ac:dyDescent="0.45">
      <c r="B17" s="13" t="s">
        <v>153</v>
      </c>
    </row>
    <row r="18" spans="2:7" ht="18" customHeight="1" x14ac:dyDescent="0.45">
      <c r="B18" s="23" t="s">
        <v>154</v>
      </c>
      <c r="C18" s="23" t="s">
        <v>96</v>
      </c>
      <c r="D18" s="24" t="s">
        <v>61</v>
      </c>
      <c r="E18" s="5"/>
      <c r="F18" s="5"/>
      <c r="G18" s="23" t="s">
        <v>141</v>
      </c>
    </row>
    <row r="19" spans="2:7" x14ac:dyDescent="0.45">
      <c r="B19" s="25" t="s">
        <v>155</v>
      </c>
      <c r="C19" s="26" t="s">
        <v>156</v>
      </c>
      <c r="D19" s="38" cm="1">
        <f t="array" aca="1" ref="D19" ca="1">_xll.VoseInput("Charge works","1 = yes")+_xll.VoseBernoulli(Chance_Charge)</f>
        <v>0</v>
      </c>
      <c r="E19" s="28"/>
      <c r="F19" s="28"/>
      <c r="G19" s="26" t="s">
        <v>157</v>
      </c>
    </row>
    <row r="20" spans="2:7" x14ac:dyDescent="0.45">
      <c r="B20" s="25" t="s">
        <v>158</v>
      </c>
      <c r="C20" s="26" t="s">
        <v>156</v>
      </c>
      <c r="D20" s="38" cm="1">
        <f t="array" aca="1" ref="D20" ca="1">_xll.VoseInput("Upper elements present","1 = yes")+_xll.VoseBernoulli(P_U_Own)</f>
        <v>1</v>
      </c>
      <c r="E20" s="28"/>
      <c r="F20" s="28"/>
      <c r="G20" s="26" t="s">
        <v>159</v>
      </c>
    </row>
    <row r="21" spans="2:7" x14ac:dyDescent="0.45">
      <c r="B21" s="25" t="s">
        <v>160</v>
      </c>
      <c r="C21" s="26" t="s">
        <v>156</v>
      </c>
      <c r="D21" s="38" cm="1">
        <f t="array" aca="1" ref="D21" ca="1">_xll.VoseInput("Lower elements present","1 = yes")+_xll.VoseBernoulli(P_L_Own)</f>
        <v>1</v>
      </c>
      <c r="E21" s="28"/>
      <c r="F21" s="28"/>
      <c r="G21" s="26" t="s">
        <v>161</v>
      </c>
    </row>
    <row r="22" spans="2:7" x14ac:dyDescent="0.45">
      <c r="B22" s="25" t="s">
        <v>162</v>
      </c>
      <c r="C22" s="26" t="s">
        <v>156</v>
      </c>
      <c r="D22" s="39">
        <f ca="1">Charge*U_Local</f>
        <v>0</v>
      </c>
      <c r="E22" s="28"/>
      <c r="F22" s="28"/>
      <c r="G22" s="26" t="s">
        <v>163</v>
      </c>
    </row>
    <row r="23" spans="2:7" x14ac:dyDescent="0.45">
      <c r="B23" s="25" t="s">
        <v>164</v>
      </c>
      <c r="C23" s="26" t="s">
        <v>156</v>
      </c>
      <c r="D23" s="39">
        <f ca="1">Charge*L_Local</f>
        <v>0</v>
      </c>
      <c r="E23" s="28"/>
      <c r="F23" s="28"/>
      <c r="G23" s="26" t="s">
        <v>163</v>
      </c>
    </row>
    <row r="24" spans="2:7" x14ac:dyDescent="0.45">
      <c r="B24" s="25" t="s">
        <v>165</v>
      </c>
      <c r="C24" s="26" t="s">
        <v>156</v>
      </c>
      <c r="D24" s="40" cm="1">
        <f t="array" aca="1" ref="D24" ca="1">_xll.VoseOutput("Discovery","1 = yes")+MAX(U_Success,L_Success)</f>
        <v>0</v>
      </c>
      <c r="E24" s="28"/>
      <c r="F24" s="28"/>
      <c r="G24" s="26" t="s">
        <v>166</v>
      </c>
    </row>
    <row r="25" spans="2:7" x14ac:dyDescent="0.45">
      <c r="B25" s="25" t="s">
        <v>167</v>
      </c>
      <c r="C25" s="26" t="s">
        <v>156</v>
      </c>
      <c r="D25" s="40" cm="1">
        <f t="array" aca="1" ref="D25" ca="1">_xll.VoseOutput("Both targets","1 = yes")+U_Success*L_Success</f>
        <v>0</v>
      </c>
      <c r="E25" s="28"/>
      <c r="F25" s="28"/>
      <c r="G25" s="26" t="s">
        <v>168</v>
      </c>
    </row>
    <row r="26" spans="2:7" x14ac:dyDescent="0.45">
      <c r="B26" s="25" t="s">
        <v>169</v>
      </c>
      <c r="C26" s="26" t="s">
        <v>170</v>
      </c>
      <c r="D26" s="40" cm="1">
        <f t="array" aca="1" ref="D26" ca="1">_xll.VoseOutput("Outcome","1 dry, 2 upper, 3 lower, 4 both")+1+U_Success+2*L_Success</f>
        <v>1</v>
      </c>
      <c r="E26" s="28"/>
      <c r="F26" s="28"/>
      <c r="G26" s="26" t="s">
        <v>171</v>
      </c>
    </row>
    <row r="27" spans="2:7" x14ac:dyDescent="0.45">
      <c r="B27" s="25" t="s">
        <v>172</v>
      </c>
      <c r="C27" s="26"/>
      <c r="D27" s="41" t="str">
        <f ca="1">CHOOSE(Outcome,"Dry hole","Upper target only","Lower target only","Both targets")</f>
        <v>Dry hole</v>
      </c>
      <c r="E27" s="28"/>
      <c r="F27" s="28"/>
      <c r="G27" s="26" t="s">
        <v>173</v>
      </c>
    </row>
    <row r="28" spans="2:7" ht="8" customHeight="1" x14ac:dyDescent="0.45"/>
    <row r="29" spans="2:7" ht="22.05" customHeight="1" x14ac:dyDescent="0.5">
      <c r="B29" s="7" t="s">
        <v>174</v>
      </c>
      <c r="C29" s="8"/>
      <c r="D29" s="8"/>
      <c r="E29" s="8"/>
      <c r="F29" s="8"/>
      <c r="G29" s="8"/>
    </row>
    <row r="30" spans="2:7" ht="18" customHeight="1" x14ac:dyDescent="0.45">
      <c r="B30" s="13" t="s">
        <v>175</v>
      </c>
    </row>
    <row r="31" spans="2:7" ht="18" customHeight="1" x14ac:dyDescent="0.45">
      <c r="B31" s="23" t="s">
        <v>154</v>
      </c>
      <c r="C31" s="23" t="s">
        <v>96</v>
      </c>
      <c r="D31" s="24" t="s">
        <v>61</v>
      </c>
      <c r="E31" s="5"/>
      <c r="F31" s="5"/>
      <c r="G31" s="23" t="s">
        <v>141</v>
      </c>
    </row>
    <row r="32" spans="2:7" x14ac:dyDescent="0.45">
      <c r="B32" s="25" t="s">
        <v>176</v>
      </c>
      <c r="C32" s="26" t="s">
        <v>115</v>
      </c>
      <c r="D32" s="42" cm="1">
        <f t="array" aca="1" ref="D32" ca="1">_xll.VoseOutput("Discovered volume","MMbbl")+U_Success*Vol_U+L_Success*Vol_L</f>
        <v>0</v>
      </c>
      <c r="E32" s="28"/>
      <c r="F32" s="28"/>
      <c r="G32" s="26" t="s">
        <v>177</v>
      </c>
    </row>
    <row r="33" spans="2:7" x14ac:dyDescent="0.45">
      <c r="B33" s="25" t="s">
        <v>178</v>
      </c>
      <c r="C33" s="26" t="s">
        <v>127</v>
      </c>
      <c r="D33" s="42" cm="1">
        <f t="array" aca="1" ref="D33" ca="1">_xll.VoseOutput("Value of drilling","US$m")+Volume*ValuePerBbl-Cost_Well</f>
        <v>-41.316490937047803</v>
      </c>
      <c r="E33" s="28"/>
      <c r="F33" s="28"/>
      <c r="G33" s="26" t="s">
        <v>179</v>
      </c>
    </row>
    <row r="34" spans="2:7" x14ac:dyDescent="0.45">
      <c r="B34" s="25" t="s">
        <v>180</v>
      </c>
      <c r="C34" s="26" t="s">
        <v>115</v>
      </c>
      <c r="D34" s="33">
        <f ca="1">Cost_Well/ValuePerBbl</f>
        <v>7.5258172148767768</v>
      </c>
      <c r="E34" s="28"/>
      <c r="F34" s="28"/>
      <c r="G34" s="26" t="s">
        <v>181</v>
      </c>
    </row>
  </sheetData>
  <conditionalFormatting sqref="D27">
    <cfRule type="expression" dxfId="5" priority="1">
      <formula>Outcome=1</formula>
    </cfRule>
    <cfRule type="expression" dxfId="4" priority="2">
      <formula>Outcome&gt;1</formula>
    </cfRule>
  </conditionalFormatting>
  <hyperlinks>
    <hyperlink ref="B4" location="'Inputs'!A1" display="◂  Inputs" xr:uid="{00000000-0004-0000-0200-000000000000}"/>
    <hyperlink ref="G4" location="'Results'!A1" display="Next:  Results  ▸" xr:uid="{00000000-0004-0000-0200-000001000000}"/>
  </hyperlinks>
  <printOptions horizontalCentered="1"/>
  <pageMargins left="0.4" right="0.4" top="0.5" bottom="0.6" header="0.25" footer="0.25"/>
  <pageSetup paperSize="9" scale="7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0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182</v>
      </c>
      <c r="C3" s="1"/>
      <c r="D3" s="1"/>
      <c r="E3" s="1"/>
      <c r="F3" s="1"/>
      <c r="G3" s="1"/>
      <c r="H3" s="1"/>
      <c r="I3" s="1"/>
      <c r="J3" s="1"/>
      <c r="K3" s="1"/>
      <c r="L3" s="1"/>
      <c r="M3" s="1"/>
      <c r="N3" s="1"/>
      <c r="O3" s="1"/>
      <c r="P3" s="1"/>
      <c r="Q3" s="1"/>
      <c r="R3" s="1"/>
    </row>
    <row r="4" spans="1:18" ht="20" customHeight="1" x14ac:dyDescent="0.45">
      <c r="A4" s="5"/>
      <c r="B4" s="22" t="s">
        <v>183</v>
      </c>
      <c r="C4" s="5"/>
      <c r="D4" s="5"/>
      <c r="E4" s="5"/>
      <c r="F4" s="5"/>
      <c r="G4" s="5"/>
      <c r="H4" s="5"/>
      <c r="I4" s="5"/>
      <c r="J4" s="5"/>
      <c r="K4" s="5"/>
      <c r="L4" s="5"/>
      <c r="M4" s="5"/>
      <c r="N4" s="5"/>
      <c r="O4" s="5"/>
      <c r="P4" s="5"/>
      <c r="Q4" s="5"/>
      <c r="R4" s="5"/>
    </row>
    <row r="5" spans="1:18" ht="8" customHeight="1" x14ac:dyDescent="0.45"/>
    <row r="6" spans="1:18" ht="26" customHeight="1" x14ac:dyDescent="0.45">
      <c r="B6" s="43" t="str" cm="1">
        <f t="array" aca="1" ref="B6" ca="1">IF(ISNUMBER(_xll.VoseSimMean(Value)),"✔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4"/>
      <c r="D6" s="44"/>
      <c r="E6" s="44"/>
      <c r="F6" s="44"/>
      <c r="G6" s="44"/>
    </row>
    <row r="7" spans="1:18" ht="8" customHeight="1" x14ac:dyDescent="0.45"/>
    <row r="8" spans="1:18" ht="22.05" customHeight="1" x14ac:dyDescent="0.5">
      <c r="B8" s="7" t="s">
        <v>184</v>
      </c>
      <c r="C8" s="8"/>
      <c r="D8" s="8"/>
      <c r="E8" s="8"/>
      <c r="F8" s="8"/>
      <c r="G8" s="8"/>
      <c r="I8" s="45" t="s">
        <v>185</v>
      </c>
      <c r="J8" s="8"/>
      <c r="K8" s="8"/>
      <c r="L8" s="8"/>
      <c r="M8" s="8"/>
      <c r="N8" s="8"/>
      <c r="O8" s="8"/>
      <c r="P8" s="8"/>
      <c r="Q8" s="8"/>
      <c r="R8" s="8"/>
    </row>
    <row r="9" spans="1:18" ht="18" customHeight="1" x14ac:dyDescent="0.45">
      <c r="B9" s="13" t="s">
        <v>186</v>
      </c>
    </row>
    <row r="10" spans="1:18" ht="18" customHeight="1" x14ac:dyDescent="0.45">
      <c r="B10" s="23" t="s">
        <v>138</v>
      </c>
      <c r="C10" s="23" t="s">
        <v>96</v>
      </c>
      <c r="D10" s="24" t="s">
        <v>187</v>
      </c>
      <c r="E10" s="24" t="s">
        <v>188</v>
      </c>
      <c r="F10" s="24" t="s">
        <v>189</v>
      </c>
      <c r="G10" s="5"/>
    </row>
    <row r="11" spans="1:18" x14ac:dyDescent="0.45">
      <c r="B11" s="25" t="s">
        <v>145</v>
      </c>
      <c r="C11" s="26" t="s">
        <v>101</v>
      </c>
      <c r="D11" s="37">
        <f>P_U</f>
        <v>0.42000000000000004</v>
      </c>
      <c r="E11" s="37">
        <f>P_U_Indep</f>
        <v>0.42000000000000004</v>
      </c>
      <c r="F11" s="46" cm="1">
        <f t="array" aca="1" ref="F11" ca="1">_xll.VoseSimMean(U_Success)</f>
        <v>0.40770000000000001</v>
      </c>
      <c r="G11" s="28"/>
    </row>
    <row r="12" spans="1:18" x14ac:dyDescent="0.45">
      <c r="B12" s="25" t="s">
        <v>147</v>
      </c>
      <c r="C12" s="26" t="s">
        <v>101</v>
      </c>
      <c r="D12" s="37">
        <f>P_L</f>
        <v>0.27299999999999996</v>
      </c>
      <c r="E12" s="37">
        <f>P_L_Indep</f>
        <v>0.27299999999999996</v>
      </c>
      <c r="F12" s="46" cm="1">
        <f t="array" aca="1" ref="F12" ca="1">_xll.VoseSimMean(L_Success)</f>
        <v>0.26900000000000002</v>
      </c>
      <c r="G12" s="28"/>
    </row>
    <row r="13" spans="1:18" x14ac:dyDescent="0.45">
      <c r="B13" s="47" t="s">
        <v>148</v>
      </c>
      <c r="C13" s="26" t="s">
        <v>101</v>
      </c>
      <c r="D13" s="37">
        <f>P_Any</f>
        <v>0.5292</v>
      </c>
      <c r="E13" s="37">
        <f>P_Any_Indep</f>
        <v>0.57833999999999997</v>
      </c>
      <c r="F13" s="46" cm="1">
        <f t="array" aca="1" ref="F13" ca="1">_xll.VoseSimMean(AnySuccess)</f>
        <v>0.52270000000000005</v>
      </c>
      <c r="G13" s="28"/>
    </row>
    <row r="14" spans="1:18" x14ac:dyDescent="0.45">
      <c r="B14" s="47" t="s">
        <v>150</v>
      </c>
      <c r="C14" s="26" t="s">
        <v>101</v>
      </c>
      <c r="D14" s="37">
        <f>P_Both</f>
        <v>0.16380000000000003</v>
      </c>
      <c r="E14" s="37">
        <f>P_Both_Indep</f>
        <v>0.11466</v>
      </c>
      <c r="F14" s="46" cm="1">
        <f t="array" aca="1" ref="F14" ca="1">_xll.VoseSimMean(BothSuccess)</f>
        <v>0.154</v>
      </c>
      <c r="G14" s="28"/>
    </row>
    <row r="15" spans="1:18" ht="8" customHeight="1" x14ac:dyDescent="0.45"/>
    <row r="16" spans="1:18" ht="22.05" customHeight="1" x14ac:dyDescent="0.5">
      <c r="B16" s="7" t="s">
        <v>190</v>
      </c>
      <c r="C16" s="8"/>
      <c r="D16" s="8"/>
      <c r="E16" s="8"/>
      <c r="F16" s="8"/>
      <c r="G16" s="8"/>
    </row>
    <row r="17" spans="2:18" ht="18" customHeight="1" x14ac:dyDescent="0.45">
      <c r="B17" s="13" t="s">
        <v>191</v>
      </c>
    </row>
    <row r="18" spans="2:18" ht="18" customHeight="1" x14ac:dyDescent="0.45">
      <c r="B18" s="23" t="s">
        <v>172</v>
      </c>
      <c r="C18" s="23"/>
      <c r="D18" s="24" t="s">
        <v>192</v>
      </c>
      <c r="E18" s="5"/>
      <c r="F18" s="5"/>
      <c r="G18" s="5"/>
    </row>
    <row r="19" spans="2:18" x14ac:dyDescent="0.45">
      <c r="B19" s="25" t="s">
        <v>193</v>
      </c>
      <c r="C19" s="28"/>
      <c r="D19" s="48">
        <f ca="1">IF(ISNUMBER(D101),D101,"–")</f>
        <v>0.47725227477252274</v>
      </c>
      <c r="E19" s="28"/>
      <c r="F19" s="28"/>
      <c r="G19" s="28"/>
    </row>
    <row r="20" spans="2:18" x14ac:dyDescent="0.45">
      <c r="B20" s="25" t="s">
        <v>194</v>
      </c>
      <c r="C20" s="28"/>
      <c r="D20" s="48">
        <f ca="1">IF(ISNUMBER(D102),D102-D101,"–")</f>
        <v>0.25367463253674638</v>
      </c>
      <c r="E20" s="28"/>
      <c r="F20" s="28"/>
      <c r="G20" s="28"/>
    </row>
    <row r="21" spans="2:18" x14ac:dyDescent="0.45">
      <c r="B21" s="25" t="s">
        <v>195</v>
      </c>
      <c r="C21" s="28"/>
      <c r="D21" s="48">
        <f ca="1">IF(ISNUMBER(D103),D103-D102,"–")</f>
        <v>0.11498850114988501</v>
      </c>
      <c r="E21" s="28"/>
      <c r="F21" s="28"/>
      <c r="G21" s="28"/>
    </row>
    <row r="22" spans="2:18" x14ac:dyDescent="0.45">
      <c r="B22" s="25" t="s">
        <v>196</v>
      </c>
      <c r="C22" s="28"/>
      <c r="D22" s="48">
        <f ca="1">IF(ISNUMBER(D103),1-D103,"–")</f>
        <v>0.15408459154084586</v>
      </c>
      <c r="E22" s="28"/>
      <c r="F22" s="28"/>
      <c r="G22" s="28"/>
    </row>
    <row r="23" spans="2:18" x14ac:dyDescent="0.45">
      <c r="B23" s="49" t="s">
        <v>197</v>
      </c>
      <c r="C23" s="50"/>
      <c r="D23" s="51">
        <f ca="1">IF(ISNUMBER(D19),SUM(D19:D22),"–")</f>
        <v>1</v>
      </c>
      <c r="E23" s="50"/>
      <c r="F23" s="50"/>
      <c r="G23" s="50"/>
    </row>
    <row r="24" spans="2:18" ht="8" customHeight="1" x14ac:dyDescent="0.45"/>
    <row r="25" spans="2:18" ht="22.05" customHeight="1" x14ac:dyDescent="0.5">
      <c r="B25" s="7" t="s">
        <v>198</v>
      </c>
      <c r="C25" s="8"/>
      <c r="D25" s="8"/>
      <c r="E25" s="8"/>
      <c r="F25" s="8"/>
      <c r="G25" s="8"/>
      <c r="I25" s="45" t="s">
        <v>199</v>
      </c>
      <c r="J25" s="8"/>
      <c r="K25" s="8"/>
      <c r="L25" s="8"/>
      <c r="M25" s="8"/>
      <c r="N25" s="8"/>
      <c r="O25" s="8"/>
      <c r="P25" s="8"/>
      <c r="Q25" s="8"/>
      <c r="R25" s="8"/>
    </row>
    <row r="26" spans="2:18" ht="18" customHeight="1" x14ac:dyDescent="0.45">
      <c r="B26" s="13" t="s">
        <v>200</v>
      </c>
    </row>
    <row r="27" spans="2:18" ht="18" customHeight="1" x14ac:dyDescent="0.45">
      <c r="B27" s="23" t="s">
        <v>201</v>
      </c>
      <c r="C27" s="23" t="s">
        <v>96</v>
      </c>
      <c r="D27" s="24" t="s">
        <v>61</v>
      </c>
      <c r="E27" s="5"/>
      <c r="F27" s="5"/>
      <c r="G27" s="5"/>
    </row>
    <row r="28" spans="2:18" ht="22.05" customHeight="1" x14ac:dyDescent="0.45">
      <c r="B28" s="47" t="s">
        <v>202</v>
      </c>
      <c r="C28" s="26" t="s">
        <v>127</v>
      </c>
      <c r="D28" s="52" cm="1">
        <f t="array" aca="1" ref="D28" ca="1">_xll.VoseSimMean(Value)</f>
        <v>53.786581051683122</v>
      </c>
      <c r="E28" s="28"/>
      <c r="F28" s="28"/>
      <c r="G28" s="28"/>
    </row>
    <row r="29" spans="2:18" x14ac:dyDescent="0.45">
      <c r="B29" s="25" t="s">
        <v>203</v>
      </c>
      <c r="C29" s="26" t="s">
        <v>127</v>
      </c>
      <c r="D29" s="53" cm="1">
        <f t="array" aca="1" ref="D29" ca="1">_xll.VoseSimPercentile(Value,0.9)</f>
        <v>225.65954692275361</v>
      </c>
      <c r="E29" s="28"/>
      <c r="F29" s="28"/>
      <c r="G29" s="28"/>
    </row>
    <row r="30" spans="2:18" x14ac:dyDescent="0.45">
      <c r="B30" s="25" t="s">
        <v>204</v>
      </c>
      <c r="C30" s="26" t="s">
        <v>115</v>
      </c>
      <c r="D30" s="53" cm="1">
        <f t="array" aca="1" ref="D30" ca="1">_xll.VoseSimMean(Volume)</f>
        <v>17.670769762232908</v>
      </c>
      <c r="E30" s="28"/>
      <c r="F30" s="28"/>
      <c r="G30" s="28"/>
    </row>
    <row r="31" spans="2:18" x14ac:dyDescent="0.45">
      <c r="B31" s="25" t="s">
        <v>205</v>
      </c>
      <c r="C31" s="26" t="s">
        <v>101</v>
      </c>
      <c r="D31" s="46" cm="1">
        <f t="array" aca="1" ref="D31" ca="1">_xll.VoseSimMean(AnySuccess)</f>
        <v>0.52270000000000005</v>
      </c>
      <c r="E31" s="28"/>
      <c r="F31" s="28"/>
      <c r="G31" s="28"/>
    </row>
    <row r="32" spans="2:18" x14ac:dyDescent="0.45">
      <c r="B32" s="25" t="s">
        <v>206</v>
      </c>
      <c r="C32" s="26" t="s">
        <v>115</v>
      </c>
      <c r="D32" s="53">
        <f ca="1">IFERROR(IF(AND(ISNUMBER(D30),ISNUMBER(D31)),D30/D31,"–"),"–")</f>
        <v>33.806714678080937</v>
      </c>
      <c r="E32" s="28"/>
      <c r="F32" s="28"/>
      <c r="G32" s="28"/>
    </row>
    <row r="33" spans="2:7" x14ac:dyDescent="0.45">
      <c r="B33" s="25" t="s">
        <v>207</v>
      </c>
      <c r="C33" s="26" t="s">
        <v>101</v>
      </c>
      <c r="D33" s="46">
        <f ca="1">IFERROR(IF(ISNUMBER(D31),1-D31,"–"),"–")</f>
        <v>0.47729999999999995</v>
      </c>
      <c r="E33" s="28"/>
      <c r="F33" s="28"/>
      <c r="G33" s="28"/>
    </row>
    <row r="34" spans="2:7" x14ac:dyDescent="0.45">
      <c r="B34" s="25" t="s">
        <v>208</v>
      </c>
      <c r="C34" s="26" t="s">
        <v>101</v>
      </c>
      <c r="D34" s="46" cm="1">
        <f t="array" aca="1" ref="D34" ca="1">_xll.VoseSimProbability(Value,0)</f>
        <v>0.50154984501549849</v>
      </c>
      <c r="E34" s="28"/>
      <c r="F34" s="28"/>
      <c r="G34" s="28"/>
    </row>
    <row r="35" spans="2:7" x14ac:dyDescent="0.45">
      <c r="B35" s="54" t="s">
        <v>209</v>
      </c>
      <c r="C35" s="26" t="s">
        <v>115</v>
      </c>
      <c r="D35" s="33">
        <f>Cost_Well_Mean/ValuePerBbl_Mean</f>
        <v>7.225806451612903</v>
      </c>
      <c r="E35" s="28"/>
      <c r="F35" s="28"/>
      <c r="G35" s="28"/>
    </row>
    <row r="36" spans="2:7" x14ac:dyDescent="0.45">
      <c r="B36" s="25" t="s">
        <v>210</v>
      </c>
      <c r="C36" s="28"/>
      <c r="D36" s="47" t="str">
        <f ca="1">IF(ISNUMBER(D28),IF(D28&gt;0,"Drill: positive expected value","Do not drill on these terms"),"–")</f>
        <v>Drill: positive expected value</v>
      </c>
      <c r="E36" s="28"/>
      <c r="F36" s="28"/>
      <c r="G36" s="28"/>
    </row>
    <row r="37" spans="2:7" ht="8" customHeight="1" x14ac:dyDescent="0.45"/>
    <row r="38" spans="2:7" ht="22.05" customHeight="1" x14ac:dyDescent="0.5">
      <c r="B38" s="7" t="s">
        <v>211</v>
      </c>
      <c r="C38" s="8"/>
      <c r="D38" s="8"/>
      <c r="E38" s="8"/>
      <c r="F38" s="8"/>
      <c r="G38" s="8"/>
    </row>
    <row r="39" spans="2:7" ht="32" customHeight="1" x14ac:dyDescent="0.45">
      <c r="B39" s="60" t="s">
        <v>212</v>
      </c>
      <c r="C39" s="61"/>
      <c r="D39" s="61"/>
      <c r="E39" s="61"/>
      <c r="F39" s="61"/>
      <c r="G39" s="61"/>
    </row>
    <row r="40" spans="2:7" ht="32" customHeight="1" x14ac:dyDescent="0.45">
      <c r="B40" s="60" t="s">
        <v>213</v>
      </c>
      <c r="C40" s="61"/>
      <c r="D40" s="61"/>
      <c r="E40" s="61"/>
      <c r="F40" s="61"/>
      <c r="G40" s="61"/>
    </row>
    <row r="41" spans="2:7" ht="32" customHeight="1" x14ac:dyDescent="0.45">
      <c r="B41" s="60" t="s">
        <v>214</v>
      </c>
      <c r="C41" s="61"/>
      <c r="D41" s="61"/>
      <c r="E41" s="61"/>
      <c r="F41" s="61"/>
      <c r="G41" s="61"/>
    </row>
    <row r="42" spans="2:7" ht="32" customHeight="1" x14ac:dyDescent="0.45">
      <c r="B42" s="60" t="str">
        <f>"•  "&amp;("The well loses money more often than it is dry: a discovery smaller than the break-even size — the well's cost ÷ the value per barrel, about "&amp;TEXT(Cost_Well_Mean/ValuePerBbl_Mean,"0")&amp;" MMbbl — does not pay for the well either.")</f>
        <v>•  The well loses money more often than it is dry: a discovery smaller than the break-even size — the well's cost ÷ the value per barrel, about 7 MMbbl — does not pay for the well either.</v>
      </c>
      <c r="C42" s="61"/>
      <c r="D42" s="61"/>
      <c r="E42" s="61"/>
      <c r="F42" s="61"/>
      <c r="G42" s="61"/>
    </row>
    <row r="43" spans="2:7" ht="19.05" customHeight="1" x14ac:dyDescent="0.45">
      <c r="B43" s="60" t="s">
        <v>215</v>
      </c>
      <c r="C43" s="61"/>
      <c r="D43" s="61"/>
      <c r="E43" s="61"/>
      <c r="F43" s="61"/>
      <c r="G43" s="61"/>
    </row>
    <row r="44" spans="2:7" ht="14" customHeight="1" x14ac:dyDescent="0.45"/>
    <row r="45" spans="2:7" ht="14" customHeight="1" x14ac:dyDescent="0.45"/>
    <row r="46" spans="2:7" ht="22.05" customHeight="1" x14ac:dyDescent="0.5">
      <c r="B46" s="7" t="s">
        <v>216</v>
      </c>
      <c r="C46" s="8"/>
      <c r="D46" s="8"/>
      <c r="E46" s="8"/>
      <c r="F46" s="8"/>
      <c r="G46" s="8"/>
    </row>
    <row r="47" spans="2:7" ht="18" customHeight="1" x14ac:dyDescent="0.45">
      <c r="B47" s="13" t="s">
        <v>217</v>
      </c>
    </row>
    <row r="48" spans="2:7" ht="28.05" hidden="1" customHeight="1" outlineLevel="1" x14ac:dyDescent="0.45">
      <c r="B48" s="24" t="s">
        <v>218</v>
      </c>
      <c r="C48" s="24" t="s">
        <v>219</v>
      </c>
      <c r="D48" s="24" t="s">
        <v>61</v>
      </c>
      <c r="E48" s="24" t="s">
        <v>220</v>
      </c>
      <c r="F48" s="5"/>
      <c r="G48" s="5"/>
    </row>
    <row r="49" spans="2:5" hidden="1" outlineLevel="1" x14ac:dyDescent="0.45">
      <c r="B49" s="55">
        <v>0.01</v>
      </c>
      <c r="C49" s="55">
        <f t="shared" ref="C49:C80" si="0">1-B49</f>
        <v>0.99</v>
      </c>
      <c r="D49" s="56" cm="1">
        <f t="array" aca="1" ref="D49" ca="1">IF(ISNUMBER(_xll.VoseSimPercentile(Value,$B49)),_xll.VoseSimPercentile(Value,$B49),NA())</f>
        <v>-44.989416930507588</v>
      </c>
      <c r="E49" s="56" cm="1">
        <f t="array" aca="1" ref="E49" ca="1">IF(ISNUMBER(_xll.VoseSimPercentile(Volume,$B49)),_xll.VoseSimPercentile(Volume,$B49),NA())</f>
        <v>0</v>
      </c>
    </row>
    <row r="50" spans="2:5" hidden="1" outlineLevel="1" x14ac:dyDescent="0.45">
      <c r="B50" s="55">
        <v>0.03</v>
      </c>
      <c r="C50" s="55">
        <f t="shared" si="0"/>
        <v>0.97</v>
      </c>
      <c r="D50" s="56" cm="1">
        <f t="array" aca="1" ref="D50" ca="1">IF(ISNUMBER(_xll.VoseSimPercentile(Value,$B50)),_xll.VoseSimPercentile(Value,$B50),NA())</f>
        <v>-43.407375880425761</v>
      </c>
      <c r="E50" s="56" cm="1">
        <f t="array" aca="1" ref="E50" ca="1">IF(ISNUMBER(_xll.VoseSimPercentile(Volume,$B50)),_xll.VoseSimPercentile(Volume,$B50),NA())</f>
        <v>0</v>
      </c>
    </row>
    <row r="51" spans="2:5" hidden="1" outlineLevel="1" x14ac:dyDescent="0.45">
      <c r="B51" s="55">
        <v>0.05</v>
      </c>
      <c r="C51" s="55">
        <f t="shared" si="0"/>
        <v>0.95</v>
      </c>
      <c r="D51" s="56" cm="1">
        <f t="array" aca="1" ref="D51" ca="1">IF(ISNUMBER(_xll.VoseSimPercentile(Value,$B51)),_xll.VoseSimPercentile(Value,$B51),NA())</f>
        <v>-42.219169449023425</v>
      </c>
      <c r="E51" s="56" cm="1">
        <f t="array" aca="1" ref="E51" ca="1">IF(ISNUMBER(_xll.VoseSimPercentile(Volume,$B51)),_xll.VoseSimPercentile(Volume,$B51),NA())</f>
        <v>0</v>
      </c>
    </row>
    <row r="52" spans="2:5" hidden="1" outlineLevel="1" x14ac:dyDescent="0.45">
      <c r="B52" s="55">
        <v>7.0000000000000007E-2</v>
      </c>
      <c r="C52" s="55">
        <f t="shared" si="0"/>
        <v>0.92999999999999994</v>
      </c>
      <c r="D52" s="56" cm="1">
        <f t="array" aca="1" ref="D52" ca="1">IF(ISNUMBER(_xll.VoseSimPercentile(Value,$B52)),_xll.VoseSimPercentile(Value,$B52),NA())</f>
        <v>-41.287083208835845</v>
      </c>
      <c r="E52" s="56" cm="1">
        <f t="array" aca="1" ref="E52" ca="1">IF(ISNUMBER(_xll.VoseSimPercentile(Volume,$B52)),_xll.VoseSimPercentile(Volume,$B52),NA())</f>
        <v>0</v>
      </c>
    </row>
    <row r="53" spans="2:5" hidden="1" outlineLevel="1" x14ac:dyDescent="0.45">
      <c r="B53" s="55">
        <v>0.09</v>
      </c>
      <c r="C53" s="55">
        <f t="shared" si="0"/>
        <v>0.91</v>
      </c>
      <c r="D53" s="56" cm="1">
        <f t="array" aca="1" ref="D53" ca="1">IF(ISNUMBER(_xll.VoseSimPercentile(Value,$B53)),_xll.VoseSimPercentile(Value,$B53),NA())</f>
        <v>-40.600133698895426</v>
      </c>
      <c r="E53" s="56" cm="1">
        <f t="array" aca="1" ref="E53" ca="1">IF(ISNUMBER(_xll.VoseSimPercentile(Volume,$B53)),_xll.VoseSimPercentile(Volume,$B53),NA())</f>
        <v>0</v>
      </c>
    </row>
    <row r="54" spans="2:5" hidden="1" outlineLevel="1" x14ac:dyDescent="0.45">
      <c r="B54" s="55">
        <v>0.11</v>
      </c>
      <c r="C54" s="55">
        <f t="shared" si="0"/>
        <v>0.89</v>
      </c>
      <c r="D54" s="56" cm="1">
        <f t="array" aca="1" ref="D54" ca="1">IF(ISNUMBER(_xll.VoseSimPercentile(Value,$B54)),_xll.VoseSimPercentile(Value,$B54),NA())</f>
        <v>-40.009921548198946</v>
      </c>
      <c r="E54" s="56" cm="1">
        <f t="array" aca="1" ref="E54" ca="1">IF(ISNUMBER(_xll.VoseSimPercentile(Volume,$B54)),_xll.VoseSimPercentile(Volume,$B54),NA())</f>
        <v>0</v>
      </c>
    </row>
    <row r="55" spans="2:5" hidden="1" outlineLevel="1" x14ac:dyDescent="0.45">
      <c r="B55" s="55">
        <v>0.13</v>
      </c>
      <c r="C55" s="55">
        <f t="shared" si="0"/>
        <v>0.87</v>
      </c>
      <c r="D55" s="56" cm="1">
        <f t="array" aca="1" ref="D55" ca="1">IF(ISNUMBER(_xll.VoseSimPercentile(Value,$B55)),_xll.VoseSimPercentile(Value,$B55),NA())</f>
        <v>-39.488691539684673</v>
      </c>
      <c r="E55" s="56" cm="1">
        <f t="array" aca="1" ref="E55" ca="1">IF(ISNUMBER(_xll.VoseSimPercentile(Volume,$B55)),_xll.VoseSimPercentile(Volume,$B55),NA())</f>
        <v>0</v>
      </c>
    </row>
    <row r="56" spans="2:5" hidden="1" outlineLevel="1" x14ac:dyDescent="0.45">
      <c r="B56" s="55">
        <v>0.15</v>
      </c>
      <c r="C56" s="55">
        <f t="shared" si="0"/>
        <v>0.85</v>
      </c>
      <c r="D56" s="56" cm="1">
        <f t="array" aca="1" ref="D56" ca="1">IF(ISNUMBER(_xll.VoseSimPercentile(Value,$B56)),_xll.VoseSimPercentile(Value,$B56),NA())</f>
        <v>-38.948664955125039</v>
      </c>
      <c r="E56" s="56" cm="1">
        <f t="array" aca="1" ref="E56" ca="1">IF(ISNUMBER(_xll.VoseSimPercentile(Volume,$B56)),_xll.VoseSimPercentile(Volume,$B56),NA())</f>
        <v>0</v>
      </c>
    </row>
    <row r="57" spans="2:5" hidden="1" outlineLevel="1" x14ac:dyDescent="0.45">
      <c r="B57" s="55">
        <v>0.17</v>
      </c>
      <c r="C57" s="55">
        <f t="shared" si="0"/>
        <v>0.83</v>
      </c>
      <c r="D57" s="56" cm="1">
        <f t="array" aca="1" ref="D57" ca="1">IF(ISNUMBER(_xll.VoseSimPercentile(Value,$B57)),_xll.VoseSimPercentile(Value,$B57),NA())</f>
        <v>-38.500038913544543</v>
      </c>
      <c r="E57" s="56" cm="1">
        <f t="array" aca="1" ref="E57" ca="1">IF(ISNUMBER(_xll.VoseSimPercentile(Volume,$B57)),_xll.VoseSimPercentile(Volume,$B57),NA())</f>
        <v>0</v>
      </c>
    </row>
    <row r="58" spans="2:5" hidden="1" outlineLevel="1" x14ac:dyDescent="0.45">
      <c r="B58" s="55">
        <v>0.19</v>
      </c>
      <c r="C58" s="55">
        <f t="shared" si="0"/>
        <v>0.81</v>
      </c>
      <c r="D58" s="56" cm="1">
        <f t="array" aca="1" ref="D58" ca="1">IF(ISNUMBER(_xll.VoseSimPercentile(Value,$B58)),_xll.VoseSimPercentile(Value,$B58),NA())</f>
        <v>-38.024971081685749</v>
      </c>
      <c r="E58" s="56" cm="1">
        <f t="array" aca="1" ref="E58" ca="1">IF(ISNUMBER(_xll.VoseSimPercentile(Volume,$B58)),_xll.VoseSimPercentile(Volume,$B58),NA())</f>
        <v>0</v>
      </c>
    </row>
    <row r="59" spans="2:5" hidden="1" outlineLevel="1" x14ac:dyDescent="0.45">
      <c r="B59" s="55">
        <v>0.21</v>
      </c>
      <c r="C59" s="55">
        <f t="shared" si="0"/>
        <v>0.79</v>
      </c>
      <c r="D59" s="56" cm="1">
        <f t="array" aca="1" ref="D59" ca="1">IF(ISNUMBER(_xll.VoseSimPercentile(Value,$B59)),_xll.VoseSimPercentile(Value,$B59),NA())</f>
        <v>-37.607479111043283</v>
      </c>
      <c r="E59" s="56" cm="1">
        <f t="array" aca="1" ref="E59" ca="1">IF(ISNUMBER(_xll.VoseSimPercentile(Volume,$B59)),_xll.VoseSimPercentile(Volume,$B59),NA())</f>
        <v>0</v>
      </c>
    </row>
    <row r="60" spans="2:5" hidden="1" outlineLevel="1" x14ac:dyDescent="0.45">
      <c r="B60" s="55">
        <v>0.23</v>
      </c>
      <c r="C60" s="55">
        <f t="shared" si="0"/>
        <v>0.77</v>
      </c>
      <c r="D60" s="56" cm="1">
        <f t="array" aca="1" ref="D60" ca="1">IF(ISNUMBER(_xll.VoseSimPercentile(Value,$B60)),_xll.VoseSimPercentile(Value,$B60),NA())</f>
        <v>-37.149346828743361</v>
      </c>
      <c r="E60" s="56" cm="1">
        <f t="array" aca="1" ref="E60" ca="1">IF(ISNUMBER(_xll.VoseSimPercentile(Volume,$B60)),_xll.VoseSimPercentile(Volume,$B60),NA())</f>
        <v>0</v>
      </c>
    </row>
    <row r="61" spans="2:5" hidden="1" outlineLevel="1" x14ac:dyDescent="0.45">
      <c r="B61" s="55">
        <v>0.25</v>
      </c>
      <c r="C61" s="55">
        <f t="shared" si="0"/>
        <v>0.75</v>
      </c>
      <c r="D61" s="56" cm="1">
        <f t="array" aca="1" ref="D61" ca="1">IF(ISNUMBER(_xll.VoseSimPercentile(Value,$B61)),_xll.VoseSimPercentile(Value,$B61),NA())</f>
        <v>-36.735451263649423</v>
      </c>
      <c r="E61" s="56" cm="1">
        <f t="array" aca="1" ref="E61" ca="1">IF(ISNUMBER(_xll.VoseSimPercentile(Volume,$B61)),_xll.VoseSimPercentile(Volume,$B61),NA())</f>
        <v>0</v>
      </c>
    </row>
    <row r="62" spans="2:5" hidden="1" outlineLevel="1" x14ac:dyDescent="0.45">
      <c r="B62" s="55">
        <v>0.27</v>
      </c>
      <c r="C62" s="55">
        <f t="shared" si="0"/>
        <v>0.73</v>
      </c>
      <c r="D62" s="56" cm="1">
        <f t="array" aca="1" ref="D62" ca="1">IF(ISNUMBER(_xll.VoseSimPercentile(Value,$B62)),_xll.VoseSimPercentile(Value,$B62),NA())</f>
        <v>-36.328299573888813</v>
      </c>
      <c r="E62" s="56" cm="1">
        <f t="array" aca="1" ref="E62" ca="1">IF(ISNUMBER(_xll.VoseSimPercentile(Volume,$B62)),_xll.VoseSimPercentile(Volume,$B62),NA())</f>
        <v>0</v>
      </c>
    </row>
    <row r="63" spans="2:5" hidden="1" outlineLevel="1" x14ac:dyDescent="0.45">
      <c r="B63" s="55">
        <v>0.28999999999999998</v>
      </c>
      <c r="C63" s="55">
        <f t="shared" si="0"/>
        <v>0.71</v>
      </c>
      <c r="D63" s="56" cm="1">
        <f t="array" aca="1" ref="D63" ca="1">IF(ISNUMBER(_xll.VoseSimPercentile(Value,$B63)),_xll.VoseSimPercentile(Value,$B63),NA())</f>
        <v>-35.937929236820644</v>
      </c>
      <c r="E63" s="56" cm="1">
        <f t="array" aca="1" ref="E63" ca="1">IF(ISNUMBER(_xll.VoseSimPercentile(Volume,$B63)),_xll.VoseSimPercentile(Volume,$B63),NA())</f>
        <v>0</v>
      </c>
    </row>
    <row r="64" spans="2:5" hidden="1" outlineLevel="1" x14ac:dyDescent="0.45">
      <c r="B64" s="55">
        <v>0.31</v>
      </c>
      <c r="C64" s="55">
        <f t="shared" si="0"/>
        <v>0.69</v>
      </c>
      <c r="D64" s="56" cm="1">
        <f t="array" aca="1" ref="D64" ca="1">IF(ISNUMBER(_xll.VoseSimPercentile(Value,$B64)),_xll.VoseSimPercentile(Value,$B64),NA())</f>
        <v>-35.525698588933665</v>
      </c>
      <c r="E64" s="56" cm="1">
        <f t="array" aca="1" ref="E64" ca="1">IF(ISNUMBER(_xll.VoseSimPercentile(Volume,$B64)),_xll.VoseSimPercentile(Volume,$B64),NA())</f>
        <v>0</v>
      </c>
    </row>
    <row r="65" spans="2:5" hidden="1" outlineLevel="1" x14ac:dyDescent="0.45">
      <c r="B65" s="55">
        <v>0.33</v>
      </c>
      <c r="C65" s="55">
        <f t="shared" si="0"/>
        <v>0.66999999999999993</v>
      </c>
      <c r="D65" s="56" cm="1">
        <f t="array" aca="1" ref="D65" ca="1">IF(ISNUMBER(_xll.VoseSimPercentile(Value,$B65)),_xll.VoseSimPercentile(Value,$B65),NA())</f>
        <v>-35.07221039060974</v>
      </c>
      <c r="E65" s="56" cm="1">
        <f t="array" aca="1" ref="E65" ca="1">IF(ISNUMBER(_xll.VoseSimPercentile(Volume,$B65)),_xll.VoseSimPercentile(Volume,$B65),NA())</f>
        <v>0</v>
      </c>
    </row>
    <row r="66" spans="2:5" hidden="1" outlineLevel="1" x14ac:dyDescent="0.45">
      <c r="B66" s="55">
        <v>0.35</v>
      </c>
      <c r="C66" s="55">
        <f t="shared" si="0"/>
        <v>0.65</v>
      </c>
      <c r="D66" s="56" cm="1">
        <f t="array" aca="1" ref="D66" ca="1">IF(ISNUMBER(_xll.VoseSimPercentile(Value,$B66)),_xll.VoseSimPercentile(Value,$B66),NA())</f>
        <v>-34.626327282947138</v>
      </c>
      <c r="E66" s="56" cm="1">
        <f t="array" aca="1" ref="E66" ca="1">IF(ISNUMBER(_xll.VoseSimPercentile(Volume,$B66)),_xll.VoseSimPercentile(Volume,$B66),NA())</f>
        <v>0</v>
      </c>
    </row>
    <row r="67" spans="2:5" hidden="1" outlineLevel="1" x14ac:dyDescent="0.45">
      <c r="B67" s="55">
        <v>0.37</v>
      </c>
      <c r="C67" s="55">
        <f t="shared" si="0"/>
        <v>0.63</v>
      </c>
      <c r="D67" s="56" cm="1">
        <f t="array" aca="1" ref="D67" ca="1">IF(ISNUMBER(_xll.VoseSimPercentile(Value,$B67)),_xll.VoseSimPercentile(Value,$B67),NA())</f>
        <v>-34.197661042439869</v>
      </c>
      <c r="E67" s="56" cm="1">
        <f t="array" aca="1" ref="E67" ca="1">IF(ISNUMBER(_xll.VoseSimPercentile(Volume,$B67)),_xll.VoseSimPercentile(Volume,$B67),NA())</f>
        <v>0</v>
      </c>
    </row>
    <row r="68" spans="2:5" hidden="1" outlineLevel="1" x14ac:dyDescent="0.45">
      <c r="B68" s="55">
        <v>0.39</v>
      </c>
      <c r="C68" s="55">
        <f t="shared" si="0"/>
        <v>0.61</v>
      </c>
      <c r="D68" s="56" cm="1">
        <f t="array" aca="1" ref="D68" ca="1">IF(ISNUMBER(_xll.VoseSimPercentile(Value,$B68)),_xll.VoseSimPercentile(Value,$B68),NA())</f>
        <v>-33.68769084588854</v>
      </c>
      <c r="E68" s="56" cm="1">
        <f t="array" aca="1" ref="E68" ca="1">IF(ISNUMBER(_xll.VoseSimPercentile(Volume,$B68)),_xll.VoseSimPercentile(Volume,$B68),NA())</f>
        <v>0</v>
      </c>
    </row>
    <row r="69" spans="2:5" hidden="1" outlineLevel="1" x14ac:dyDescent="0.45">
      <c r="B69" s="55">
        <v>0.41</v>
      </c>
      <c r="C69" s="55">
        <f t="shared" si="0"/>
        <v>0.59000000000000008</v>
      </c>
      <c r="D69" s="56" cm="1">
        <f t="array" aca="1" ref="D69" ca="1">IF(ISNUMBER(_xll.VoseSimPercentile(Value,$B69)),_xll.VoseSimPercentile(Value,$B69),NA())</f>
        <v>-33.1678520926557</v>
      </c>
      <c r="E69" s="56" cm="1">
        <f t="array" aca="1" ref="E69" ca="1">IF(ISNUMBER(_xll.VoseSimPercentile(Volume,$B69)),_xll.VoseSimPercentile(Volume,$B69),NA())</f>
        <v>0</v>
      </c>
    </row>
    <row r="70" spans="2:5" hidden="1" outlineLevel="1" x14ac:dyDescent="0.45">
      <c r="B70" s="55">
        <v>0.43</v>
      </c>
      <c r="C70" s="55">
        <f t="shared" si="0"/>
        <v>0.57000000000000006</v>
      </c>
      <c r="D70" s="56" cm="1">
        <f t="array" aca="1" ref="D70" ca="1">IF(ISNUMBER(_xll.VoseSimPercentile(Value,$B70)),_xll.VoseSimPercentile(Value,$B70),NA())</f>
        <v>-32.615878652062456</v>
      </c>
      <c r="E70" s="56" cm="1">
        <f t="array" aca="1" ref="E70" ca="1">IF(ISNUMBER(_xll.VoseSimPercentile(Volume,$B70)),_xll.VoseSimPercentile(Volume,$B70),NA())</f>
        <v>0</v>
      </c>
    </row>
    <row r="71" spans="2:5" hidden="1" outlineLevel="1" x14ac:dyDescent="0.45">
      <c r="B71" s="55">
        <v>0.45</v>
      </c>
      <c r="C71" s="55">
        <f t="shared" si="0"/>
        <v>0.55000000000000004</v>
      </c>
      <c r="D71" s="56" cm="1">
        <f t="array" aca="1" ref="D71" ca="1">IF(ISNUMBER(_xll.VoseSimPercentile(Value,$B71)),_xll.VoseSimPercentile(Value,$B71),NA())</f>
        <v>-32.019682925748675</v>
      </c>
      <c r="E71" s="56" cm="1">
        <f t="array" aca="1" ref="E71" ca="1">IF(ISNUMBER(_xll.VoseSimPercentile(Volume,$B71)),_xll.VoseSimPercentile(Volume,$B71),NA())</f>
        <v>0</v>
      </c>
    </row>
    <row r="72" spans="2:5" hidden="1" outlineLevel="1" x14ac:dyDescent="0.45">
      <c r="B72" s="55">
        <v>0.47</v>
      </c>
      <c r="C72" s="55">
        <f t="shared" si="0"/>
        <v>0.53</v>
      </c>
      <c r="D72" s="56" cm="1">
        <f t="array" aca="1" ref="D72" ca="1">IF(ISNUMBER(_xll.VoseSimPercentile(Value,$B72)),_xll.VoseSimPercentile(Value,$B72),NA())</f>
        <v>-31.061240197673531</v>
      </c>
      <c r="E72" s="56" cm="1">
        <f t="array" aca="1" ref="E72" ca="1">IF(ISNUMBER(_xll.VoseSimPercentile(Volume,$B72)),_xll.VoseSimPercentile(Volume,$B72),NA())</f>
        <v>0</v>
      </c>
    </row>
    <row r="73" spans="2:5" hidden="1" outlineLevel="1" x14ac:dyDescent="0.45">
      <c r="B73" s="55">
        <v>0.49</v>
      </c>
      <c r="C73" s="55">
        <f t="shared" si="0"/>
        <v>0.51</v>
      </c>
      <c r="D73" s="56" cm="1">
        <f t="array" aca="1" ref="D73" ca="1">IF(ISNUMBER(_xll.VoseSimPercentile(Value,$B73)),_xll.VoseSimPercentile(Value,$B73),NA())</f>
        <v>-7.2332042718274749</v>
      </c>
      <c r="E73" s="56" cm="1">
        <f t="array" aca="1" ref="E73" ca="1">IF(ISNUMBER(_xll.VoseSimPercentile(Volume,$B73)),_xll.VoseSimPercentile(Volume,$B73),NA())</f>
        <v>6.492146737880649</v>
      </c>
    </row>
    <row r="74" spans="2:5" hidden="1" outlineLevel="1" x14ac:dyDescent="0.45">
      <c r="B74" s="55">
        <v>0.51</v>
      </c>
      <c r="C74" s="55">
        <f t="shared" si="0"/>
        <v>0.49</v>
      </c>
      <c r="D74" s="56" cm="1">
        <f t="array" aca="1" ref="D74" ca="1">IF(ISNUMBER(_xll.VoseSimPercentile(Value,$B74)),_xll.VoseSimPercentile(Value,$B74),NA())</f>
        <v>3.8329689327934915</v>
      </c>
      <c r="E74" s="56" cm="1">
        <f t="array" aca="1" ref="E74" ca="1">IF(ISNUMBER(_xll.VoseSimPercentile(Volume,$B74)),_xll.VoseSimPercentile(Volume,$B74),NA())</f>
        <v>8.4276352970374742</v>
      </c>
    </row>
    <row r="75" spans="2:5" hidden="1" outlineLevel="1" x14ac:dyDescent="0.45">
      <c r="B75" s="55">
        <v>0.53</v>
      </c>
      <c r="C75" s="55">
        <f t="shared" si="0"/>
        <v>0.47</v>
      </c>
      <c r="D75" s="56" cm="1">
        <f t="array" aca="1" ref="D75" ca="1">IF(ISNUMBER(_xll.VoseSimPercentile(Value,$B75)),_xll.VoseSimPercentile(Value,$B75),NA())</f>
        <v>12.502032385284082</v>
      </c>
      <c r="E75" s="56" cm="1">
        <f t="array" aca="1" ref="E75" ca="1">IF(ISNUMBER(_xll.VoseSimPercentile(Volume,$B75)),_xll.VoseSimPercentile(Volume,$B75),NA())</f>
        <v>10.179162027367473</v>
      </c>
    </row>
    <row r="76" spans="2:5" hidden="1" outlineLevel="1" x14ac:dyDescent="0.45">
      <c r="B76" s="55">
        <v>0.55000000000000004</v>
      </c>
      <c r="C76" s="55">
        <f t="shared" si="0"/>
        <v>0.44999999999999996</v>
      </c>
      <c r="D76" s="56" cm="1">
        <f t="array" aca="1" ref="D76" ca="1">IF(ISNUMBER(_xll.VoseSimPercentile(Value,$B76)),_xll.VoseSimPercentile(Value,$B76),NA())</f>
        <v>21.041393187469467</v>
      </c>
      <c r="E76" s="56" cm="1">
        <f t="array" aca="1" ref="E76" ca="1">IF(ISNUMBER(_xll.VoseSimPercentile(Volume,$B76)),_xll.VoseSimPercentile(Volume,$B76),NA())</f>
        <v>11.664245015146607</v>
      </c>
    </row>
    <row r="77" spans="2:5" hidden="1" outlineLevel="1" x14ac:dyDescent="0.45">
      <c r="B77" s="55">
        <v>0.56999999999999995</v>
      </c>
      <c r="C77" s="55">
        <f t="shared" si="0"/>
        <v>0.43000000000000005</v>
      </c>
      <c r="D77" s="56" cm="1">
        <f t="array" aca="1" ref="D77" ca="1">IF(ISNUMBER(_xll.VoseSimPercentile(Value,$B77)),_xll.VoseSimPercentile(Value,$B77),NA())</f>
        <v>28.519639838563428</v>
      </c>
      <c r="E77" s="56" cm="1">
        <f t="array" aca="1" ref="E77" ca="1">IF(ISNUMBER(_xll.VoseSimPercentile(Volume,$B77)),_xll.VoseSimPercentile(Volume,$B77),NA())</f>
        <v>13.040688212832768</v>
      </c>
    </row>
    <row r="78" spans="2:5" hidden="1" outlineLevel="1" x14ac:dyDescent="0.45">
      <c r="B78" s="55">
        <v>0.59</v>
      </c>
      <c r="C78" s="55">
        <f t="shared" si="0"/>
        <v>0.41000000000000003</v>
      </c>
      <c r="D78" s="56" cm="1">
        <f t="array" aca="1" ref="D78" ca="1">IF(ISNUMBER(_xll.VoseSimPercentile(Value,$B78)),_xll.VoseSimPercentile(Value,$B78),NA())</f>
        <v>36.073011835164628</v>
      </c>
      <c r="E78" s="56" cm="1">
        <f t="array" aca="1" ref="E78" ca="1">IF(ISNUMBER(_xll.VoseSimPercentile(Volume,$B78)),_xll.VoseSimPercentile(Volume,$B78),NA())</f>
        <v>14.503659482628368</v>
      </c>
    </row>
    <row r="79" spans="2:5" hidden="1" outlineLevel="1" x14ac:dyDescent="0.45">
      <c r="B79" s="55">
        <v>0.61</v>
      </c>
      <c r="C79" s="55">
        <f t="shared" si="0"/>
        <v>0.39</v>
      </c>
      <c r="D79" s="56" cm="1">
        <f t="array" aca="1" ref="D79" ca="1">IF(ISNUMBER(_xll.VoseSimPercentile(Value,$B79)),_xll.VoseSimPercentile(Value,$B79),NA())</f>
        <v>43.0985813516821</v>
      </c>
      <c r="E79" s="56" cm="1">
        <f t="array" aca="1" ref="E79" ca="1">IF(ISNUMBER(_xll.VoseSimPercentile(Volume,$B79)),_xll.VoseSimPercentile(Volume,$B79),NA())</f>
        <v>16.065610101500187</v>
      </c>
    </row>
    <row r="80" spans="2:5" hidden="1" outlineLevel="1" x14ac:dyDescent="0.45">
      <c r="B80" s="55">
        <v>0.63</v>
      </c>
      <c r="C80" s="55">
        <f t="shared" si="0"/>
        <v>0.37</v>
      </c>
      <c r="D80" s="56" cm="1">
        <f t="array" aca="1" ref="D80" ca="1">IF(ISNUMBER(_xll.VoseSimPercentile(Value,$B80)),_xll.VoseSimPercentile(Value,$B80),NA())</f>
        <v>50.09481060495564</v>
      </c>
      <c r="E80" s="56" cm="1">
        <f t="array" aca="1" ref="E80" ca="1">IF(ISNUMBER(_xll.VoseSimPercentile(Volume,$B80)),_xll.VoseSimPercentile(Volume,$B80),NA())</f>
        <v>17.459092122680676</v>
      </c>
    </row>
    <row r="81" spans="2:5" hidden="1" outlineLevel="1" x14ac:dyDescent="0.45">
      <c r="B81" s="55">
        <v>0.65</v>
      </c>
      <c r="C81" s="55">
        <f t="shared" ref="C81:C112" si="1">1-B81</f>
        <v>0.35</v>
      </c>
      <c r="D81" s="56" cm="1">
        <f t="array" aca="1" ref="D81" ca="1">IF(ISNUMBER(_xll.VoseSimPercentile(Value,$B81)),_xll.VoseSimPercentile(Value,$B81),NA())</f>
        <v>58.102049424891781</v>
      </c>
      <c r="E81" s="56" cm="1">
        <f t="array" aca="1" ref="E81" ca="1">IF(ISNUMBER(_xll.VoseSimPercentile(Volume,$B81)),_xll.VoseSimPercentile(Volume,$B81),NA())</f>
        <v>18.909902837018869</v>
      </c>
    </row>
    <row r="82" spans="2:5" hidden="1" outlineLevel="1" x14ac:dyDescent="0.45">
      <c r="B82" s="55">
        <v>0.67</v>
      </c>
      <c r="C82" s="55">
        <f t="shared" si="1"/>
        <v>0.32999999999999996</v>
      </c>
      <c r="D82" s="56" cm="1">
        <f t="array" aca="1" ref="D82" ca="1">IF(ISNUMBER(_xll.VoseSimPercentile(Value,$B82)),_xll.VoseSimPercentile(Value,$B82),NA())</f>
        <v>66.786330158481491</v>
      </c>
      <c r="E82" s="56" cm="1">
        <f t="array" aca="1" ref="E82" ca="1">IF(ISNUMBER(_xll.VoseSimPercentile(Volume,$B82)),_xll.VoseSimPercentile(Volume,$B82),NA())</f>
        <v>20.283614814122991</v>
      </c>
    </row>
    <row r="83" spans="2:5" hidden="1" outlineLevel="1" x14ac:dyDescent="0.45">
      <c r="B83" s="55">
        <v>0.69</v>
      </c>
      <c r="C83" s="55">
        <f t="shared" si="1"/>
        <v>0.31000000000000005</v>
      </c>
      <c r="D83" s="56" cm="1">
        <f t="array" aca="1" ref="D83" ca="1">IF(ISNUMBER(_xll.VoseSimPercentile(Value,$B83)),_xll.VoseSimPercentile(Value,$B83),NA())</f>
        <v>75.321186700872317</v>
      </c>
      <c r="E83" s="56" cm="1">
        <f t="array" aca="1" ref="E83" ca="1">IF(ISNUMBER(_xll.VoseSimPercentile(Volume,$B83)),_xll.VoseSimPercentile(Volume,$B83),NA())</f>
        <v>22.068421775261548</v>
      </c>
    </row>
    <row r="84" spans="2:5" hidden="1" outlineLevel="1" x14ac:dyDescent="0.45">
      <c r="B84" s="55">
        <v>0.71</v>
      </c>
      <c r="C84" s="55">
        <f t="shared" si="1"/>
        <v>0.29000000000000004</v>
      </c>
      <c r="D84" s="56" cm="1">
        <f t="array" aca="1" ref="D84" ca="1">IF(ISNUMBER(_xll.VoseSimPercentile(Value,$B84)),_xll.VoseSimPercentile(Value,$B84),NA())</f>
        <v>84.290866483936654</v>
      </c>
      <c r="E84" s="56" cm="1">
        <f t="array" aca="1" ref="E84" ca="1">IF(ISNUMBER(_xll.VoseSimPercentile(Volume,$B84)),_xll.VoseSimPercentile(Volume,$B84),NA())</f>
        <v>24.216570768187161</v>
      </c>
    </row>
    <row r="85" spans="2:5" hidden="1" outlineLevel="1" x14ac:dyDescent="0.45">
      <c r="B85" s="55">
        <v>0.73</v>
      </c>
      <c r="C85" s="55">
        <f t="shared" si="1"/>
        <v>0.27</v>
      </c>
      <c r="D85" s="56" cm="1">
        <f t="array" aca="1" ref="D85" ca="1">IF(ISNUMBER(_xll.VoseSimPercentile(Value,$B85)),_xll.VoseSimPercentile(Value,$B85),NA())</f>
        <v>93.921815943925523</v>
      </c>
      <c r="E85" s="56" cm="1">
        <f t="array" aca="1" ref="E85" ca="1">IF(ISNUMBER(_xll.VoseSimPercentile(Volume,$B85)),_xll.VoseSimPercentile(Volume,$B85),NA())</f>
        <v>26.12987306812261</v>
      </c>
    </row>
    <row r="86" spans="2:5" hidden="1" outlineLevel="1" x14ac:dyDescent="0.45">
      <c r="B86" s="55">
        <v>0.75</v>
      </c>
      <c r="C86" s="55">
        <f t="shared" si="1"/>
        <v>0.25</v>
      </c>
      <c r="D86" s="56" cm="1">
        <f t="array" aca="1" ref="D86" ca="1">IF(ISNUMBER(_xll.VoseSimPercentile(Value,$B86)),_xll.VoseSimPercentile(Value,$B86),NA())</f>
        <v>104.69253364187711</v>
      </c>
      <c r="E86" s="56" cm="1">
        <f t="array" aca="1" ref="E86" ca="1">IF(ISNUMBER(_xll.VoseSimPercentile(Volume,$B86)),_xll.VoseSimPercentile(Volume,$B86),NA())</f>
        <v>28.167789268624137</v>
      </c>
    </row>
    <row r="87" spans="2:5" hidden="1" outlineLevel="1" x14ac:dyDescent="0.45">
      <c r="B87" s="55">
        <v>0.77</v>
      </c>
      <c r="C87" s="55">
        <f t="shared" si="1"/>
        <v>0.22999999999999998</v>
      </c>
      <c r="D87" s="56" cm="1">
        <f t="array" aca="1" ref="D87" ca="1">IF(ISNUMBER(_xll.VoseSimPercentile(Value,$B87)),_xll.VoseSimPercentile(Value,$B87),NA())</f>
        <v>116.66807559937588</v>
      </c>
      <c r="E87" s="56" cm="1">
        <f t="array" aca="1" ref="E87" ca="1">IF(ISNUMBER(_xll.VoseSimPercentile(Volume,$B87)),_xll.VoseSimPercentile(Volume,$B87),NA())</f>
        <v>30.252131944863201</v>
      </c>
    </row>
    <row r="88" spans="2:5" hidden="1" outlineLevel="1" x14ac:dyDescent="0.45">
      <c r="B88" s="55">
        <v>0.79</v>
      </c>
      <c r="C88" s="55">
        <f t="shared" si="1"/>
        <v>0.20999999999999996</v>
      </c>
      <c r="D88" s="56" cm="1">
        <f t="array" aca="1" ref="D88" ca="1">IF(ISNUMBER(_xll.VoseSimPercentile(Value,$B88)),_xll.VoseSimPercentile(Value,$B88),NA())</f>
        <v>129.99754084169234</v>
      </c>
      <c r="E88" s="56" cm="1">
        <f t="array" aca="1" ref="E88" ca="1">IF(ISNUMBER(_xll.VoseSimPercentile(Volume,$B88)),_xll.VoseSimPercentile(Volume,$B88),NA())</f>
        <v>32.875937354454408</v>
      </c>
    </row>
    <row r="89" spans="2:5" hidden="1" outlineLevel="1" x14ac:dyDescent="0.45">
      <c r="B89" s="55">
        <v>0.81</v>
      </c>
      <c r="C89" s="55">
        <f t="shared" si="1"/>
        <v>0.18999999999999995</v>
      </c>
      <c r="D89" s="56" cm="1">
        <f t="array" aca="1" ref="D89" ca="1">IF(ISNUMBER(_xll.VoseSimPercentile(Value,$B89)),_xll.VoseSimPercentile(Value,$B89),NA())</f>
        <v>144.4563819660581</v>
      </c>
      <c r="E89" s="56" cm="1">
        <f t="array" aca="1" ref="E89" ca="1">IF(ISNUMBER(_xll.VoseSimPercentile(Volume,$B89)),_xll.VoseSimPercentile(Volume,$B89),NA())</f>
        <v>35.50800815461448</v>
      </c>
    </row>
    <row r="90" spans="2:5" hidden="1" outlineLevel="1" x14ac:dyDescent="0.45">
      <c r="B90" s="55">
        <v>0.83</v>
      </c>
      <c r="C90" s="55">
        <f t="shared" si="1"/>
        <v>0.17000000000000004</v>
      </c>
      <c r="D90" s="56" cm="1">
        <f t="array" aca="1" ref="D90" ca="1">IF(ISNUMBER(_xll.VoseSimPercentile(Value,$B90)),_xll.VoseSimPercentile(Value,$B90),NA())</f>
        <v>159.71145326214634</v>
      </c>
      <c r="E90" s="56" cm="1">
        <f t="array" aca="1" ref="E90" ca="1">IF(ISNUMBER(_xll.VoseSimPercentile(Volume,$B90)),_xll.VoseSimPercentile(Volume,$B90),NA())</f>
        <v>38.298125292761135</v>
      </c>
    </row>
    <row r="91" spans="2:5" hidden="1" outlineLevel="1" x14ac:dyDescent="0.45">
      <c r="B91" s="55">
        <v>0.85</v>
      </c>
      <c r="C91" s="55">
        <f t="shared" si="1"/>
        <v>0.15000000000000002</v>
      </c>
      <c r="D91" s="56" cm="1">
        <f t="array" aca="1" ref="D91" ca="1">IF(ISNUMBER(_xll.VoseSimPercentile(Value,$B91)),_xll.VoseSimPercentile(Value,$B91),NA())</f>
        <v>175.62816990721035</v>
      </c>
      <c r="E91" s="56" cm="1">
        <f t="array" aca="1" ref="E91" ca="1">IF(ISNUMBER(_xll.VoseSimPercentile(Volume,$B91)),_xll.VoseSimPercentile(Volume,$B91),NA())</f>
        <v>41.766797079766555</v>
      </c>
    </row>
    <row r="92" spans="2:5" hidden="1" outlineLevel="1" x14ac:dyDescent="0.45">
      <c r="B92" s="55">
        <v>0.87</v>
      </c>
      <c r="C92" s="55">
        <f t="shared" si="1"/>
        <v>0.13</v>
      </c>
      <c r="D92" s="56" cm="1">
        <f t="array" aca="1" ref="D92" ca="1">IF(ISNUMBER(_xll.VoseSimPercentile(Value,$B92)),_xll.VoseSimPercentile(Value,$B92),NA())</f>
        <v>194.00233192920467</v>
      </c>
      <c r="E92" s="56" cm="1">
        <f t="array" aca="1" ref="E92" ca="1">IF(ISNUMBER(_xll.VoseSimPercentile(Volume,$B92)),_xll.VoseSimPercentile(Volume,$B92),NA())</f>
        <v>45.194015240487069</v>
      </c>
    </row>
    <row r="93" spans="2:5" hidden="1" outlineLevel="1" x14ac:dyDescent="0.45">
      <c r="B93" s="55">
        <v>0.89</v>
      </c>
      <c r="C93" s="55">
        <f t="shared" si="1"/>
        <v>0.10999999999999999</v>
      </c>
      <c r="D93" s="56" cm="1">
        <f t="array" aca="1" ref="D93" ca="1">IF(ISNUMBER(_xll.VoseSimPercentile(Value,$B93)),_xll.VoseSimPercentile(Value,$B93),NA())</f>
        <v>213.53966007898845</v>
      </c>
      <c r="E93" s="56" cm="1">
        <f t="array" aca="1" ref="E93" ca="1">IF(ISNUMBER(_xll.VoseSimPercentile(Volume,$B93)),_xll.VoseSimPercentile(Volume,$B93),NA())</f>
        <v>49.106537835939996</v>
      </c>
    </row>
    <row r="94" spans="2:5" hidden="1" outlineLevel="1" x14ac:dyDescent="0.45">
      <c r="B94" s="55">
        <v>0.91</v>
      </c>
      <c r="C94" s="55">
        <f t="shared" si="1"/>
        <v>8.9999999999999969E-2</v>
      </c>
      <c r="D94" s="56" cm="1">
        <f t="array" aca="1" ref="D94" ca="1">IF(ISNUMBER(_xll.VoseSimPercentile(Value,$B94)),_xll.VoseSimPercentile(Value,$B94),NA())</f>
        <v>238.53224642125218</v>
      </c>
      <c r="E94" s="56" cm="1">
        <f t="array" aca="1" ref="E94" ca="1">IF(ISNUMBER(_xll.VoseSimPercentile(Volume,$B94)),_xll.VoseSimPercentile(Volume,$B94),NA())</f>
        <v>53.336672427138744</v>
      </c>
    </row>
    <row r="95" spans="2:5" hidden="1" outlineLevel="1" x14ac:dyDescent="0.45">
      <c r="B95" s="55">
        <v>0.93</v>
      </c>
      <c r="C95" s="55">
        <f t="shared" si="1"/>
        <v>6.9999999999999951E-2</v>
      </c>
      <c r="D95" s="56" cm="1">
        <f t="array" aca="1" ref="D95" ca="1">IF(ISNUMBER(_xll.VoseSimPercentile(Value,$B95)),_xll.VoseSimPercentile(Value,$B95),NA())</f>
        <v>273.06822635425772</v>
      </c>
      <c r="E95" s="56" cm="1">
        <f t="array" aca="1" ref="E95" ca="1">IF(ISNUMBER(_xll.VoseSimPercentile(Volume,$B95)),_xll.VoseSimPercentile(Volume,$B95),NA())</f>
        <v>58.866195127152821</v>
      </c>
    </row>
    <row r="96" spans="2:5" hidden="1" outlineLevel="1" x14ac:dyDescent="0.45">
      <c r="B96" s="55">
        <v>0.95</v>
      </c>
      <c r="C96" s="55">
        <f t="shared" si="1"/>
        <v>5.0000000000000044E-2</v>
      </c>
      <c r="D96" s="56" cm="1">
        <f t="array" aca="1" ref="D96" ca="1">IF(ISNUMBER(_xll.VoseSimPercentile(Value,$B96)),_xll.VoseSimPercentile(Value,$B96),NA())</f>
        <v>314.6701243506451</v>
      </c>
      <c r="E96" s="56" cm="1">
        <f t="array" aca="1" ref="E96" ca="1">IF(ISNUMBER(_xll.VoseSimPercentile(Volume,$B96)),_xll.VoseSimPercentile(Volume,$B96),NA())</f>
        <v>66.5974731019665</v>
      </c>
    </row>
    <row r="97" spans="2:7" hidden="1" outlineLevel="1" x14ac:dyDescent="0.45">
      <c r="B97" s="55">
        <v>0.97</v>
      </c>
      <c r="C97" s="55">
        <f t="shared" si="1"/>
        <v>3.0000000000000027E-2</v>
      </c>
      <c r="D97" s="56" cm="1">
        <f t="array" aca="1" ref="D97" ca="1">IF(ISNUMBER(_xll.VoseSimPercentile(Value,$B97)),_xll.VoseSimPercentile(Value,$B97),NA())</f>
        <v>379.50729513663396</v>
      </c>
      <c r="E97" s="56" cm="1">
        <f t="array" aca="1" ref="E97" ca="1">IF(ISNUMBER(_xll.VoseSimPercentile(Volume,$B97)),_xll.VoseSimPercentile(Volume,$B97),NA())</f>
        <v>79.281513388067907</v>
      </c>
    </row>
    <row r="98" spans="2:7" hidden="1" outlineLevel="1" x14ac:dyDescent="0.45">
      <c r="B98" s="55">
        <v>0.99</v>
      </c>
      <c r="C98" s="55">
        <f t="shared" si="1"/>
        <v>1.0000000000000009E-2</v>
      </c>
      <c r="D98" s="56" cm="1">
        <f t="array" aca="1" ref="D98" ca="1">IF(ISNUMBER(_xll.VoseSimPercentile(Value,$B98)),_xll.VoseSimPercentile(Value,$B98),NA())</f>
        <v>521.68917483032067</v>
      </c>
      <c r="E98" s="56" cm="1">
        <f t="array" aca="1" ref="E98" ca="1">IF(ISNUMBER(_xll.VoseSimPercentile(Volume,$B98)),_xll.VoseSimPercentile(Volume,$B98),NA())</f>
        <v>106.03529234486774</v>
      </c>
    </row>
    <row r="99" spans="2:7" hidden="1" outlineLevel="1" x14ac:dyDescent="0.45"/>
    <row r="100" spans="2:7" ht="18" hidden="1" customHeight="1" outlineLevel="1" x14ac:dyDescent="0.45">
      <c r="B100" s="23" t="s">
        <v>221</v>
      </c>
      <c r="C100" s="24" t="s">
        <v>222</v>
      </c>
      <c r="D100" s="24" t="s">
        <v>223</v>
      </c>
      <c r="E100" s="5"/>
      <c r="F100" s="5"/>
      <c r="G100" s="5"/>
    </row>
    <row r="101" spans="2:7" hidden="1" outlineLevel="1" x14ac:dyDescent="0.45">
      <c r="B101" s="57" t="s">
        <v>193</v>
      </c>
      <c r="C101" s="58">
        <v>1.5</v>
      </c>
      <c r="D101" s="59" cm="1">
        <f t="array" aca="1" ref="D101" ca="1">_xll.VoseSimProbability(Outcome,C101)</f>
        <v>0.47725227477252274</v>
      </c>
    </row>
    <row r="102" spans="2:7" hidden="1" outlineLevel="1" x14ac:dyDescent="0.45">
      <c r="B102" s="57" t="s">
        <v>194</v>
      </c>
      <c r="C102" s="58">
        <v>2.5</v>
      </c>
      <c r="D102" s="59" cm="1">
        <f t="array" aca="1" ref="D102" ca="1">_xll.VoseSimProbability(Outcome,C102)</f>
        <v>0.73092690730926912</v>
      </c>
    </row>
    <row r="103" spans="2:7" hidden="1" outlineLevel="1" x14ac:dyDescent="0.45">
      <c r="B103" s="57" t="s">
        <v>195</v>
      </c>
      <c r="C103" s="58">
        <v>3.5</v>
      </c>
      <c r="D103" s="59" cm="1">
        <f t="array" aca="1" ref="D103" ca="1">_xll.VoseSimProbability(Outcome,C103)</f>
        <v>0.84591540845915414</v>
      </c>
    </row>
  </sheetData>
  <mergeCells count="5">
    <mergeCell ref="B42:G42"/>
    <mergeCell ref="B41:G41"/>
    <mergeCell ref="B43:G43"/>
    <mergeCell ref="B40:G40"/>
    <mergeCell ref="B39:G39"/>
  </mergeCells>
  <conditionalFormatting sqref="B6:G6">
    <cfRule type="expression" dxfId="3" priority="1">
      <formula>LEFT($B$6,1)&lt;&gt;"✔"</formula>
    </cfRule>
  </conditionalFormatting>
  <conditionalFormatting sqref="D36">
    <cfRule type="expression" dxfId="2" priority="2">
      <formula>AND(ISNUMBER($D$28),$D$28&gt;0)</formula>
    </cfRule>
    <cfRule type="expression" dxfId="1" priority="3">
      <formula>AND(ISNUMBER($D$28),NOT($D$28&gt;0))</formula>
    </cfRule>
  </conditionalFormatting>
  <conditionalFormatting sqref="D49:E98">
    <cfRule type="expression" dxfId="0" priority="4">
      <formula>ISNA(D49)</formula>
    </cfRule>
  </conditionalFormatting>
  <hyperlinks>
    <hyperlink ref="B4" location="'Outcomes'!A1" display="◂  Outcom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0FF37-9EA8-4996-9406-E5A6DF0FDDB2}">
  <dimension ref="A1:B1"/>
  <sheetViews>
    <sheetView workbookViewId="0"/>
  </sheetViews>
  <sheetFormatPr defaultRowHeight="14.25" x14ac:dyDescent="0.45"/>
  <sheetData>
    <row r="1" spans="1:2" x14ac:dyDescent="0.45">
      <c r="A1" s="64" t="s">
        <v>224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E25B9-2E88-4AA5-8B17-B489B7E7D059}">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416B-CCCA-42D4-B80C-6B7BFF782642}">
  <dimension ref="B3:B122"/>
  <sheetViews>
    <sheetView workbookViewId="0"/>
  </sheetViews>
  <sheetFormatPr defaultRowHeight="14.25" x14ac:dyDescent="0.45"/>
  <sheetData>
    <row r="3" spans="2:2" x14ac:dyDescent="0.45">
      <c r="B3">
        <v>1173</v>
      </c>
    </row>
    <row r="4" spans="2:2" x14ac:dyDescent="0.45">
      <c r="B4">
        <v>619</v>
      </c>
    </row>
    <row r="5" spans="2:2" x14ac:dyDescent="0.45">
      <c r="B5">
        <v>151</v>
      </c>
    </row>
    <row r="6" spans="2:2" x14ac:dyDescent="0.45">
      <c r="B6">
        <v>45</v>
      </c>
    </row>
    <row r="7" spans="2:2" x14ac:dyDescent="0.45">
      <c r="B7">
        <v>6</v>
      </c>
    </row>
    <row r="8" spans="2:2" x14ac:dyDescent="0.45">
      <c r="B8">
        <v>3</v>
      </c>
    </row>
    <row r="9" spans="2:2" x14ac:dyDescent="0.45">
      <c r="B9">
        <v>1</v>
      </c>
    </row>
    <row r="10" spans="2:2" x14ac:dyDescent="0.45">
      <c r="B10">
        <v>0</v>
      </c>
    </row>
    <row r="11" spans="2:2" x14ac:dyDescent="0.45">
      <c r="B11">
        <v>0</v>
      </c>
    </row>
    <row r="12" spans="2:2" x14ac:dyDescent="0.45">
      <c r="B12">
        <v>2</v>
      </c>
    </row>
    <row r="13" spans="2:2" x14ac:dyDescent="0.45">
      <c r="B13">
        <v>885</v>
      </c>
    </row>
    <row r="14" spans="2:2" x14ac:dyDescent="0.45">
      <c r="B14">
        <v>733</v>
      </c>
    </row>
    <row r="15" spans="2:2" x14ac:dyDescent="0.45">
      <c r="B15">
        <v>249</v>
      </c>
    </row>
    <row r="16" spans="2:2" x14ac:dyDescent="0.45">
      <c r="B16">
        <v>85</v>
      </c>
    </row>
    <row r="17" spans="2:2" x14ac:dyDescent="0.45">
      <c r="B17">
        <v>28</v>
      </c>
    </row>
    <row r="18" spans="2:2" x14ac:dyDescent="0.45">
      <c r="B18">
        <v>11</v>
      </c>
    </row>
    <row r="19" spans="2:2" x14ac:dyDescent="0.45">
      <c r="B19">
        <v>2</v>
      </c>
    </row>
    <row r="20" spans="2:2" x14ac:dyDescent="0.45">
      <c r="B20">
        <v>4</v>
      </c>
    </row>
    <row r="21" spans="2:2" x14ac:dyDescent="0.45">
      <c r="B21">
        <v>2</v>
      </c>
    </row>
    <row r="22" spans="2:2" x14ac:dyDescent="0.45">
      <c r="B22">
        <v>1</v>
      </c>
    </row>
    <row r="23" spans="2:2" x14ac:dyDescent="0.45">
      <c r="B23">
        <v>115</v>
      </c>
    </row>
    <row r="24" spans="2:2" x14ac:dyDescent="0.45">
      <c r="B24">
        <v>281</v>
      </c>
    </row>
    <row r="25" spans="2:2" x14ac:dyDescent="0.45">
      <c r="B25">
        <v>377</v>
      </c>
    </row>
    <row r="26" spans="2:2" x14ac:dyDescent="0.45">
      <c r="B26">
        <v>367</v>
      </c>
    </row>
    <row r="27" spans="2:2" x14ac:dyDescent="0.45">
      <c r="B27">
        <v>351</v>
      </c>
    </row>
    <row r="28" spans="2:2" x14ac:dyDescent="0.45">
      <c r="B28">
        <v>255</v>
      </c>
    </row>
    <row r="29" spans="2:2" x14ac:dyDescent="0.45">
      <c r="B29">
        <v>133</v>
      </c>
    </row>
    <row r="30" spans="2:2" x14ac:dyDescent="0.45">
      <c r="B30">
        <v>89</v>
      </c>
    </row>
    <row r="31" spans="2:2" x14ac:dyDescent="0.45">
      <c r="B31">
        <v>29</v>
      </c>
    </row>
    <row r="32" spans="2:2" x14ac:dyDescent="0.45">
      <c r="B32">
        <v>3</v>
      </c>
    </row>
    <row r="33" spans="2:2" x14ac:dyDescent="0.45">
      <c r="B33">
        <v>39</v>
      </c>
    </row>
    <row r="34" spans="2:2" x14ac:dyDescent="0.45">
      <c r="B34">
        <v>182</v>
      </c>
    </row>
    <row r="35" spans="2:2" x14ac:dyDescent="0.45">
      <c r="B35">
        <v>306</v>
      </c>
    </row>
    <row r="36" spans="2:2" x14ac:dyDescent="0.45">
      <c r="B36">
        <v>343</v>
      </c>
    </row>
    <row r="37" spans="2:2" x14ac:dyDescent="0.45">
      <c r="B37">
        <v>362</v>
      </c>
    </row>
    <row r="38" spans="2:2" x14ac:dyDescent="0.45">
      <c r="B38">
        <v>295</v>
      </c>
    </row>
    <row r="39" spans="2:2" x14ac:dyDescent="0.45">
      <c r="B39">
        <v>247</v>
      </c>
    </row>
    <row r="40" spans="2:2" x14ac:dyDescent="0.45">
      <c r="B40">
        <v>135</v>
      </c>
    </row>
    <row r="41" spans="2:2" x14ac:dyDescent="0.45">
      <c r="B41">
        <v>74</v>
      </c>
    </row>
    <row r="42" spans="2:2" x14ac:dyDescent="0.45">
      <c r="B42">
        <v>17</v>
      </c>
    </row>
    <row r="43" spans="2:2" x14ac:dyDescent="0.45">
      <c r="B43">
        <v>590</v>
      </c>
    </row>
    <row r="44" spans="2:2" x14ac:dyDescent="0.45">
      <c r="B44">
        <v>0</v>
      </c>
    </row>
    <row r="45" spans="2:2" x14ac:dyDescent="0.45">
      <c r="B45">
        <v>0</v>
      </c>
    </row>
    <row r="46" spans="2:2" x14ac:dyDescent="0.45">
      <c r="B46">
        <v>0</v>
      </c>
    </row>
    <row r="47" spans="2:2" x14ac:dyDescent="0.45">
      <c r="B47">
        <v>0</v>
      </c>
    </row>
    <row r="48" spans="2:2" x14ac:dyDescent="0.45">
      <c r="B48">
        <v>0</v>
      </c>
    </row>
    <row r="49" spans="2:2" x14ac:dyDescent="0.45">
      <c r="B49">
        <v>0</v>
      </c>
    </row>
    <row r="50" spans="2:2" x14ac:dyDescent="0.45">
      <c r="B50">
        <v>0</v>
      </c>
    </row>
    <row r="51" spans="2:2" x14ac:dyDescent="0.45">
      <c r="B51">
        <v>0</v>
      </c>
    </row>
    <row r="52" spans="2:2" x14ac:dyDescent="0.45">
      <c r="B52">
        <v>1410</v>
      </c>
    </row>
    <row r="53" spans="2:2" x14ac:dyDescent="0.45">
      <c r="B53">
        <v>836</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1164</v>
      </c>
    </row>
    <row r="63" spans="2:2" x14ac:dyDescent="0.45">
      <c r="B63">
        <v>1196</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804</v>
      </c>
    </row>
    <row r="73" spans="2:2" x14ac:dyDescent="0.45">
      <c r="B73">
        <v>956</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1044</v>
      </c>
    </row>
    <row r="83" spans="2:2" x14ac:dyDescent="0.45">
      <c r="B83">
        <v>1684</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316</v>
      </c>
    </row>
    <row r="93" spans="2:2" x14ac:dyDescent="0.45">
      <c r="B93">
        <v>956</v>
      </c>
    </row>
    <row r="94" spans="2:2" x14ac:dyDescent="0.45">
      <c r="B94">
        <v>0</v>
      </c>
    </row>
    <row r="95" spans="2:2" x14ac:dyDescent="0.45">
      <c r="B95">
        <v>0</v>
      </c>
    </row>
    <row r="96" spans="2:2" x14ac:dyDescent="0.45">
      <c r="B96">
        <v>489</v>
      </c>
    </row>
    <row r="97" spans="2:2" x14ac:dyDescent="0.45">
      <c r="B97">
        <v>0</v>
      </c>
    </row>
    <row r="98" spans="2:2" x14ac:dyDescent="0.45">
      <c r="B98">
        <v>0</v>
      </c>
    </row>
    <row r="99" spans="2:2" x14ac:dyDescent="0.45">
      <c r="B99">
        <v>239</v>
      </c>
    </row>
    <row r="100" spans="2:2" x14ac:dyDescent="0.45">
      <c r="B100">
        <v>0</v>
      </c>
    </row>
    <row r="101" spans="2:2" x14ac:dyDescent="0.45">
      <c r="B101">
        <v>0</v>
      </c>
    </row>
    <row r="102" spans="2:2" x14ac:dyDescent="0.45">
      <c r="B102">
        <v>316</v>
      </c>
    </row>
    <row r="103" spans="2:2" x14ac:dyDescent="0.45">
      <c r="B103">
        <v>1294</v>
      </c>
    </row>
    <row r="104" spans="2:2" x14ac:dyDescent="0.45">
      <c r="B104">
        <v>357</v>
      </c>
    </row>
    <row r="105" spans="2:2" x14ac:dyDescent="0.45">
      <c r="B105">
        <v>187</v>
      </c>
    </row>
    <row r="106" spans="2:2" x14ac:dyDescent="0.45">
      <c r="B106">
        <v>96</v>
      </c>
    </row>
    <row r="107" spans="2:2" x14ac:dyDescent="0.45">
      <c r="B107">
        <v>37</v>
      </c>
    </row>
    <row r="108" spans="2:2" x14ac:dyDescent="0.45">
      <c r="B108">
        <v>15</v>
      </c>
    </row>
    <row r="109" spans="2:2" x14ac:dyDescent="0.45">
      <c r="B109">
        <v>5</v>
      </c>
    </row>
    <row r="110" spans="2:2" x14ac:dyDescent="0.45">
      <c r="B110">
        <v>1</v>
      </c>
    </row>
    <row r="111" spans="2:2" x14ac:dyDescent="0.45">
      <c r="B111">
        <v>4</v>
      </c>
    </row>
    <row r="112" spans="2:2" x14ac:dyDescent="0.45">
      <c r="B112">
        <v>4</v>
      </c>
    </row>
    <row r="113" spans="2:2" x14ac:dyDescent="0.45">
      <c r="B113">
        <v>1381</v>
      </c>
    </row>
    <row r="114" spans="2:2" x14ac:dyDescent="0.45">
      <c r="B114">
        <v>373</v>
      </c>
    </row>
    <row r="115" spans="2:2" x14ac:dyDescent="0.45">
      <c r="B115">
        <v>151</v>
      </c>
    </row>
    <row r="116" spans="2:2" x14ac:dyDescent="0.45">
      <c r="B116">
        <v>61</v>
      </c>
    </row>
    <row r="117" spans="2:2" x14ac:dyDescent="0.45">
      <c r="B117">
        <v>20</v>
      </c>
    </row>
    <row r="118" spans="2:2" x14ac:dyDescent="0.45">
      <c r="B118">
        <v>6</v>
      </c>
    </row>
    <row r="119" spans="2:2" x14ac:dyDescent="0.45">
      <c r="B119">
        <v>4</v>
      </c>
    </row>
    <row r="120" spans="2:2" x14ac:dyDescent="0.45">
      <c r="B120">
        <v>2</v>
      </c>
    </row>
    <row r="121" spans="2:2" x14ac:dyDescent="0.45">
      <c r="B121">
        <v>1</v>
      </c>
    </row>
    <row r="122" spans="2:2" x14ac:dyDescent="0.45">
      <c r="B12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E1C51090-8C73-4DC4-879C-A17AC6F336E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51</vt:i4>
      </vt:variant>
    </vt:vector>
  </HeadingPairs>
  <TitlesOfParts>
    <vt:vector size="58" baseType="lpstr">
      <vt:lpstr>About</vt:lpstr>
      <vt:lpstr>Inputs</vt:lpstr>
      <vt:lpstr>Outcomes</vt:lpstr>
      <vt:lpstr>Results</vt:lpstr>
      <vt:lpstr>ModelRiskDSN</vt:lpstr>
      <vt:lpstr>ModelRiskSYS1</vt:lpstr>
      <vt:lpstr>ModelRiskCharts</vt:lpstr>
      <vt:lpstr>AnySuccess</vt:lpstr>
      <vt:lpstr>BothSuccess</vt:lpstr>
      <vt:lpstr>BreakEven</vt:lpstr>
      <vt:lpstr>Chance_Charge</vt:lpstr>
      <vt:lpstr>Chance_L_Res</vt:lpstr>
      <vt:lpstr>Chance_L_Trap</vt:lpstr>
      <vt:lpstr>Chance_U_Res</vt:lpstr>
      <vt:lpstr>Chance_U_Trap</vt:lpstr>
      <vt:lpstr>Charge</vt:lpstr>
      <vt:lpstr>Cost_Well</vt:lpstr>
      <vt:lpstr>Cost_Well_Hi</vt:lpstr>
      <vt:lpstr>Cost_Well_Lo</vt:lpstr>
      <vt:lpstr>Cost_Well_Mean</vt:lpstr>
      <vt:lpstr>Cost_Well_ML</vt:lpstr>
      <vt:lpstr>InputMeans</vt:lpstr>
      <vt:lpstr>L_Local</vt:lpstr>
      <vt:lpstr>L_Success</vt:lpstr>
      <vt:lpstr>Outcome</vt:lpstr>
      <vt:lpstr>P_Any</vt:lpstr>
      <vt:lpstr>P_Any_Indep</vt:lpstr>
      <vt:lpstr>P_Both</vt:lpstr>
      <vt:lpstr>P_Both_Indep</vt:lpstr>
      <vt:lpstr>P_L</vt:lpstr>
      <vt:lpstr>P_L_Indep</vt:lpstr>
      <vt:lpstr>P_L_Own</vt:lpstr>
      <vt:lpstr>P_L_Own_Indep</vt:lpstr>
      <vt:lpstr>P_U</vt:lpstr>
      <vt:lpstr>P_U_Indep</vt:lpstr>
      <vt:lpstr>P_U_Own</vt:lpstr>
      <vt:lpstr>P_U_Own_Indep</vt:lpstr>
      <vt:lpstr>Results!Print_Area</vt:lpstr>
      <vt:lpstr>Inputs!Print_Titles</vt:lpstr>
      <vt:lpstr>Outcomes!Print_Titles</vt:lpstr>
      <vt:lpstr>Results!Print_Titles</vt:lpstr>
      <vt:lpstr>U_Local</vt:lpstr>
      <vt:lpstr>U_Success</vt:lpstr>
      <vt:lpstr>Value</vt:lpstr>
      <vt:lpstr>ValuePerBbl</vt:lpstr>
      <vt:lpstr>ValuePerBbl_Hi</vt:lpstr>
      <vt:lpstr>ValuePerBbl_Lo</vt:lpstr>
      <vt:lpstr>ValuePerBbl_Mean</vt:lpstr>
      <vt:lpstr>ValuePerBbl_ML</vt:lpstr>
      <vt:lpstr>Vol_L</vt:lpstr>
      <vt:lpstr>Vol_L_Hi</vt:lpstr>
      <vt:lpstr>Vol_L_Lo</vt:lpstr>
      <vt:lpstr>Vol_L_Mean</vt:lpstr>
      <vt:lpstr>Vol_U</vt:lpstr>
      <vt:lpstr>Vol_U_Hi</vt:lpstr>
      <vt:lpstr>Vol_U_Lo</vt:lpstr>
      <vt:lpstr>Vol_U_Mean</vt:lpstr>
      <vt:lpstr>Volume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OG-02 Chance of Success with Shared Risk</dc:title>
  <dc:subject>ModelRisk industry example library — Oil and gas</dc:subject>
  <dc:creator>Vose Software</dc:creator>
  <cp:keywords>ModelRisk; Monte Carlo; Oil and gas</cp:keywords>
  <dc:description>Two stacked targets sharing one source rock: why treating shared risks as independent overstates the chance of at least one discovery.</dc:description>
  <cp:lastModifiedBy>Timour Koupeev</cp:lastModifiedBy>
  <cp:lastPrinted>2026-10-05T16:35:57Z</cp:lastPrinted>
  <dcterms:created xsi:type="dcterms:W3CDTF">2026-10-05T16:32:06Z</dcterms:created>
  <dcterms:modified xsi:type="dcterms:W3CDTF">2026-10-05T16:35:58Z</dcterms:modified>
</cp:coreProperties>
</file>