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Oil and gas\"/>
    </mc:Choice>
  </mc:AlternateContent>
  <xr:revisionPtr revIDLastSave="0" documentId="8_{A21FA753-FCEC-438B-843B-F910D38920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Volumes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Area">Inputs!$D$11</definedName>
    <definedName name="Area_Hi">Inputs!$H$11</definedName>
    <definedName name="Area_Lo">Inputs!$F$11</definedName>
    <definedName name="Area_Mean">Inputs!$I$11</definedName>
    <definedName name="CGR">Inputs!$D$26</definedName>
    <definedName name="CGR_Hi">Inputs!$H$26</definedName>
    <definedName name="CGR_Lo">Inputs!$F$26</definedName>
    <definedName name="CGR_Mean">Inputs!$I$26</definedName>
    <definedName name="CGR_ML">Inputs!$G$26</definedName>
    <definedName name="Condensate">Volumes!$D$19</definedName>
    <definedName name="Det_High">Volumes!$F$42</definedName>
    <definedName name="Det_Low">Volumes!$D$42</definedName>
    <definedName name="Det_Mid">Volumes!$E$42</definedName>
    <definedName name="GasExp">Inputs!$D$20</definedName>
    <definedName name="GasExp_Hi">Inputs!$H$20</definedName>
    <definedName name="GasExp_Lo">Inputs!$F$20</definedName>
    <definedName name="GasExp_Mean">Inputs!$I$20</definedName>
    <definedName name="GasExp_ML">Inputs!$G$20</definedName>
    <definedName name="GasRF">Inputs!$D$25</definedName>
    <definedName name="GasRF_Hi">Inputs!$H$25</definedName>
    <definedName name="GasRF_Lo">Inputs!$F$25</definedName>
    <definedName name="GasRF_Mean">Inputs!$I$25</definedName>
    <definedName name="GasRF_ML">Inputs!$G$25</definedName>
    <definedName name="GIIP">Volumes!$D$13</definedName>
    <definedName name="GrossThick">Inputs!$D$12</definedName>
    <definedName name="GrossThick_Hi">Inputs!$H$12</definedName>
    <definedName name="GrossThick_Lo">Inputs!$F$12</definedName>
    <definedName name="GrossThick_Mean">Inputs!$I$12</definedName>
    <definedName name="GrossThick_ML">Inputs!$G$12</definedName>
    <definedName name="GRV">Volumes!$D$9</definedName>
    <definedName name="HCPV">Volumes!$D$12</definedName>
    <definedName name="InputMeans">Inputs!$I$11:$I$26</definedName>
    <definedName name="NRV">Volumes!$D$10</definedName>
    <definedName name="NTG">Inputs!$D$13</definedName>
    <definedName name="NTG_Hi">Inputs!$H$13</definedName>
    <definedName name="NTG_Lo">Inputs!$F$13</definedName>
    <definedName name="NTG_Mean">Inputs!$I$13</definedName>
    <definedName name="NTG_ML">Inputs!$G$13</definedName>
    <definedName name="PoreVol">Volumes!$D$11</definedName>
    <definedName name="Porosity">Inputs!$D$18</definedName>
    <definedName name="Porosity_Hi">Inputs!$H$18</definedName>
    <definedName name="Porosity_Lo">Inputs!$F$18</definedName>
    <definedName name="Porosity_Mean">Inputs!$I$18</definedName>
    <definedName name="Porosity_ML">Inputs!$G$18</definedName>
    <definedName name="_xlnm.Print_Area" localSheetId="3">Results!$A$1:$R$42</definedName>
    <definedName name="_xlnm.Print_Titles" localSheetId="1">Inputs!$1:$4</definedName>
    <definedName name="_xlnm.Print_Titles" localSheetId="3">Results!$1:$4</definedName>
    <definedName name="_xlnm.Print_Titles" localSheetId="2">Volumes!$1:$4</definedName>
    <definedName name="RecGas">Volumes!$D$18</definedName>
    <definedName name="ScfPerBoe">Inputs!$D$32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qFtPerAcre">Inputs!$D$31</definedName>
    <definedName name="TotalRes">Volumes!$D$20</definedName>
    <definedName name="WaterSat">Inputs!$D$19</definedName>
    <definedName name="WaterSat_Hi">Inputs!$H$19</definedName>
    <definedName name="WaterSat_Lo">Inputs!$F$19</definedName>
    <definedName name="WaterSat_Mean">Inputs!$I$19</definedName>
    <definedName name="WaterSat_ML">Inputs!$G$19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4" l="1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F29" i="3" a="1"/>
  <c r="E29" i="3" a="1"/>
  <c r="D27" i="3" a="1"/>
  <c r="F27" i="3" a="1"/>
  <c r="F32" i="3" a="1"/>
  <c r="F30" i="3" a="1"/>
  <c r="D30" i="3" a="1"/>
  <c r="E26" i="3" a="1"/>
  <c r="E27" i="3" a="1"/>
  <c r="F33" i="3" a="1"/>
  <c r="D33" i="3" a="1"/>
  <c r="F31" i="3" a="1"/>
  <c r="D32" i="3" a="1"/>
  <c r="F26" i="3" a="1"/>
  <c r="D31" i="3" a="1"/>
  <c r="D29" i="3" a="1"/>
  <c r="E28" i="3" a="1"/>
  <c r="E31" i="3" a="1"/>
  <c r="D28" i="3" a="1"/>
  <c r="F28" i="3" a="1"/>
  <c r="E30" i="3" a="1"/>
  <c r="E33" i="3" a="1"/>
  <c r="E32" i="3" a="1"/>
  <c r="D26" i="3" a="1"/>
  <c r="D19" i="2" a="1"/>
  <c r="I20" i="2" a="1"/>
  <c r="D18" i="2" a="1"/>
  <c r="D13" i="2" a="1"/>
  <c r="I11" i="2" a="1"/>
  <c r="I19" i="2" a="1"/>
  <c r="I18" i="2" a="1"/>
  <c r="D26" i="2" a="1"/>
  <c r="D11" i="2" a="1"/>
  <c r="I13" i="2" a="1"/>
  <c r="D25" i="2" a="1"/>
  <c r="I26" i="2" a="1"/>
  <c r="D20" i="2" a="1"/>
  <c r="I12" i="2" a="1"/>
  <c r="I25" i="2" a="1"/>
  <c r="D12" i="2" a="1"/>
  <c r="D26" i="3" l="1"/>
  <c r="E32" i="3"/>
  <c r="E33" i="3"/>
  <c r="E30" i="3"/>
  <c r="F28" i="3"/>
  <c r="D28" i="3"/>
  <c r="E31" i="3"/>
  <c r="E28" i="3"/>
  <c r="D29" i="3"/>
  <c r="D31" i="3"/>
  <c r="F26" i="3"/>
  <c r="D32" i="3"/>
  <c r="F31" i="3"/>
  <c r="D33" i="3"/>
  <c r="F33" i="3"/>
  <c r="E27" i="3"/>
  <c r="E26" i="3"/>
  <c r="E35" i="3" s="1"/>
  <c r="E36" i="3" s="1"/>
  <c r="D30" i="3"/>
  <c r="F30" i="3"/>
  <c r="F32" i="3"/>
  <c r="F27" i="3"/>
  <c r="D27" i="3"/>
  <c r="E29" i="3"/>
  <c r="F29" i="3"/>
  <c r="D12" i="2"/>
  <c r="I25" i="2"/>
  <c r="I12" i="2"/>
  <c r="D20" i="2"/>
  <c r="I26" i="2"/>
  <c r="D25" i="2"/>
  <c r="I13" i="2"/>
  <c r="D11" i="2"/>
  <c r="D26" i="2"/>
  <c r="I18" i="2"/>
  <c r="I19" i="2"/>
  <c r="I11" i="2"/>
  <c r="D13" i="2"/>
  <c r="D18" i="2"/>
  <c r="I20" i="2"/>
  <c r="D19" i="2"/>
  <c r="F35" i="3" l="1"/>
  <c r="F36" i="3" s="1"/>
  <c r="F37" i="3" s="1"/>
  <c r="F38" i="3"/>
  <c r="F39" i="3" s="1"/>
  <c r="F40" i="3" s="1"/>
  <c r="E37" i="3"/>
  <c r="E38" i="3" s="1"/>
  <c r="E39" i="3" s="1"/>
  <c r="E40" i="3" s="1"/>
  <c r="D35" i="3"/>
  <c r="D36" i="3" s="1"/>
  <c r="D37" i="3" s="1"/>
  <c r="D38" i="3" s="1"/>
  <c r="D39" i="3" s="1"/>
  <c r="D40" i="3" s="1"/>
  <c r="D9" i="3"/>
  <c r="D10" i="3" s="1"/>
  <c r="D11" i="3" s="1"/>
  <c r="D12" i="3" s="1"/>
  <c r="D13" i="3" s="1" a="1"/>
  <c r="D13" i="3" s="1"/>
  <c r="F11" i="4" a="1"/>
  <c r="G11" i="4" a="1"/>
  <c r="D11" i="4" a="1"/>
  <c r="E11" i="4" a="1"/>
  <c r="E11" i="4" l="1"/>
  <c r="D11" i="4"/>
  <c r="G11" i="4"/>
  <c r="F11" i="4"/>
  <c r="D18" i="3" a="1"/>
  <c r="D18" i="3" s="1"/>
  <c r="D19" i="3" s="1" a="1"/>
  <c r="D19" i="3" s="1"/>
  <c r="F41" i="3"/>
  <c r="F42" i="3" s="1"/>
  <c r="D21" i="4" s="1"/>
  <c r="E41" i="3"/>
  <c r="E42" i="3"/>
  <c r="D20" i="4" s="1"/>
  <c r="D41" i="3"/>
  <c r="D42" i="3" s="1"/>
  <c r="D19" i="4" s="1"/>
  <c r="D12" i="4" a="1"/>
  <c r="G12" i="4" a="1"/>
  <c r="F12" i="4" a="1"/>
  <c r="E12" i="4" a="1"/>
  <c r="E13" i="4" a="1"/>
  <c r="D13" i="4" a="1"/>
  <c r="G13" i="4" a="1"/>
  <c r="F13" i="4" a="1"/>
  <c r="F13" i="4" l="1"/>
  <c r="G13" i="4"/>
  <c r="D13" i="4"/>
  <c r="E13" i="4"/>
  <c r="E12" i="4"/>
  <c r="F12" i="4"/>
  <c r="G12" i="4"/>
  <c r="D12" i="4"/>
  <c r="D20" i="3" a="1"/>
  <c r="D20" i="3" s="1"/>
  <c r="D111" i="4" a="1"/>
  <c r="D48" i="4" a="1"/>
  <c r="F19" i="4" a="1"/>
  <c r="D59" i="4" a="1"/>
  <c r="G14" i="4" a="1"/>
  <c r="E20" i="4" a="1"/>
  <c r="D55" i="4" a="1"/>
  <c r="B6" i="4" a="1"/>
  <c r="F21" i="4" a="1"/>
  <c r="D70" i="4" a="1"/>
  <c r="D97" i="4" a="1"/>
  <c r="D112" i="4" a="1"/>
  <c r="D89" i="4" a="1"/>
  <c r="D57" i="4" a="1"/>
  <c r="D92" i="4" a="1"/>
  <c r="D60" i="4" a="1"/>
  <c r="D71" i="4" a="1"/>
  <c r="D94" i="4" a="1"/>
  <c r="D58" i="4" a="1"/>
  <c r="D85" i="4" a="1"/>
  <c r="D53" i="4" a="1"/>
  <c r="D88" i="4" a="1"/>
  <c r="D56" i="4" a="1"/>
  <c r="E14" i="4" a="1"/>
  <c r="D67" i="4" a="1"/>
  <c r="D90" i="4" a="1"/>
  <c r="D54" i="4" a="1"/>
  <c r="D84" i="4" a="1"/>
  <c r="D63" i="4" a="1"/>
  <c r="D86" i="4" a="1"/>
  <c r="D50" i="4" a="1"/>
  <c r="D52" i="4" a="1"/>
  <c r="D95" i="4" a="1"/>
  <c r="D82" i="4" a="1"/>
  <c r="E21" i="4" a="1"/>
  <c r="D49" i="4" a="1"/>
  <c r="F20" i="4" a="1"/>
  <c r="D91" i="4" a="1"/>
  <c r="E19" i="4" a="1"/>
  <c r="D81" i="4" a="1"/>
  <c r="D77" i="4" a="1"/>
  <c r="D80" i="4" a="1"/>
  <c r="D73" i="4" a="1"/>
  <c r="D76" i="4" a="1"/>
  <c r="D74" i="4" a="1"/>
  <c r="D113" i="4" a="1"/>
  <c r="D69" i="4" a="1"/>
  <c r="D72" i="4" a="1"/>
  <c r="F14" i="4" a="1"/>
  <c r="D87" i="4" a="1"/>
  <c r="D14" i="4" a="1"/>
  <c r="B27" i="4" a="1"/>
  <c r="D65" i="4" a="1"/>
  <c r="D68" i="4" a="1"/>
  <c r="D83" i="4" a="1"/>
  <c r="D79" i="4" a="1"/>
  <c r="D78" i="4" a="1"/>
  <c r="D66" i="4" a="1"/>
  <c r="D93" i="4" a="1"/>
  <c r="D61" i="4" a="1"/>
  <c r="D96" i="4" a="1"/>
  <c r="D64" i="4" a="1"/>
  <c r="D51" i="4" a="1"/>
  <c r="D75" i="4" a="1"/>
  <c r="D99" i="4" a="1"/>
  <c r="D62" i="4" a="1"/>
  <c r="D62" i="4" l="1"/>
  <c r="D99" i="4"/>
  <c r="D75" i="4"/>
  <c r="D51" i="4"/>
  <c r="D64" i="4"/>
  <c r="D96" i="4"/>
  <c r="D61" i="4"/>
  <c r="D93" i="4"/>
  <c r="D66" i="4"/>
  <c r="D78" i="4"/>
  <c r="D79" i="4"/>
  <c r="D83" i="4"/>
  <c r="D68" i="4"/>
  <c r="D65" i="4"/>
  <c r="C28" i="4"/>
  <c r="D27" i="4"/>
  <c r="D34" i="4"/>
  <c r="B34" i="4"/>
  <c r="B108" i="4" s="1"/>
  <c r="E33" i="4"/>
  <c r="C33" i="4"/>
  <c r="B29" i="4"/>
  <c r="B103" i="4" s="1"/>
  <c r="E34" i="4"/>
  <c r="D30" i="4"/>
  <c r="B32" i="4"/>
  <c r="B106" i="4" s="1"/>
  <c r="E29" i="4"/>
  <c r="C29" i="4"/>
  <c r="G103" i="4" s="1"/>
  <c r="E32" i="4"/>
  <c r="D28" i="4"/>
  <c r="E27" i="4"/>
  <c r="C27" i="4"/>
  <c r="E30" i="4"/>
  <c r="C34" i="4"/>
  <c r="B30" i="4"/>
  <c r="B104" i="4" s="1"/>
  <c r="D33" i="4"/>
  <c r="F107" i="4" s="1"/>
  <c r="B33" i="4"/>
  <c r="B107" i="4" s="1"/>
  <c r="E28" i="4"/>
  <c r="C32" i="4"/>
  <c r="D31" i="4"/>
  <c r="B27" i="4"/>
  <c r="B101" i="4" s="1"/>
  <c r="C30" i="4"/>
  <c r="B28" i="4"/>
  <c r="B102" i="4" s="1"/>
  <c r="D29" i="4"/>
  <c r="F103" i="4" s="1"/>
  <c r="B31" i="4"/>
  <c r="B105" i="4" s="1"/>
  <c r="D32" i="4"/>
  <c r="E31" i="4"/>
  <c r="C31" i="4"/>
  <c r="D14" i="4"/>
  <c r="D87" i="4"/>
  <c r="F14" i="4"/>
  <c r="D72" i="4"/>
  <c r="D69" i="4"/>
  <c r="D113" i="4"/>
  <c r="D74" i="4"/>
  <c r="D76" i="4"/>
  <c r="D73" i="4"/>
  <c r="D80" i="4"/>
  <c r="D77" i="4"/>
  <c r="D81" i="4"/>
  <c r="E19" i="4"/>
  <c r="D91" i="4"/>
  <c r="F20" i="4"/>
  <c r="D49" i="4"/>
  <c r="E21" i="4"/>
  <c r="D82" i="4"/>
  <c r="D95" i="4"/>
  <c r="D52" i="4"/>
  <c r="D50" i="4"/>
  <c r="D86" i="4"/>
  <c r="D63" i="4"/>
  <c r="D84" i="4"/>
  <c r="D54" i="4"/>
  <c r="D90" i="4"/>
  <c r="D67" i="4"/>
  <c r="E14" i="4"/>
  <c r="D56" i="4"/>
  <c r="D88" i="4"/>
  <c r="D53" i="4"/>
  <c r="D85" i="4"/>
  <c r="D58" i="4"/>
  <c r="D94" i="4"/>
  <c r="D71" i="4"/>
  <c r="D60" i="4"/>
  <c r="D92" i="4"/>
  <c r="D57" i="4"/>
  <c r="D89" i="4"/>
  <c r="D112" i="4"/>
  <c r="D97" i="4"/>
  <c r="D70" i="4"/>
  <c r="F21" i="4"/>
  <c r="B6" i="4"/>
  <c r="D55" i="4"/>
  <c r="E20" i="4"/>
  <c r="G14" i="4"/>
  <c r="D59" i="4"/>
  <c r="F19" i="4"/>
  <c r="D48" i="4"/>
  <c r="D111" i="4"/>
  <c r="G106" i="4" l="1"/>
  <c r="F106" i="4"/>
  <c r="F102" i="4"/>
  <c r="G105" i="4"/>
  <c r="F105" i="4"/>
  <c r="G101" i="4"/>
  <c r="G107" i="4"/>
  <c r="F108" i="4"/>
  <c r="G104" i="4"/>
  <c r="G108" i="4"/>
  <c r="F101" i="4"/>
  <c r="F104" i="4"/>
  <c r="G10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<sst xmlns="http://schemas.openxmlformats.org/spreadsheetml/2006/main" count="335" uniqueCount="236">
  <si>
    <t>Volumetric Resource Estimate</t>
  </si>
  <si>
    <t>ModelRisk example  ·  Oil and gas  ·  OG-01</t>
  </si>
  <si>
    <t>How much gas and condensate could the Falcon discovery hold?  P90, P50 and P10 resources from a volumetric calculation.</t>
  </si>
  <si>
    <t>Next:  Inputs  ▸</t>
  </si>
  <si>
    <t>Model card</t>
  </si>
  <si>
    <t>Industry</t>
  </si>
  <si>
    <t>Oil and gas</t>
  </si>
  <si>
    <t>Difficulty</t>
  </si>
  <si>
    <t>★☆☆☆☆   One calculation sheet: a chain of multiplications with expert ranges on every input.</t>
  </si>
  <si>
    <t>Business question</t>
  </si>
  <si>
    <t>What is the range of recoverable gas and condensate in the Falcon discovery, and why is the 'all-low-inputs' case so much lower than the P90?</t>
  </si>
  <si>
    <t>Who it is for</t>
  </si>
  <si>
    <t>Geoscientists, reservoir engineers and anyone preparing resource estimates for reporting or for a development decision.</t>
  </si>
  <si>
    <t>Main outputs</t>
  </si>
  <si>
    <t>Gas initially in place · recoverable gas · condensate · total resources in barrels of oil equivalent, as P90 / P50 / P10 · comparison with deterministic low, mid and high cases · inputs ranked by influence.</t>
  </si>
  <si>
    <t>ModelRisk techniques</t>
  </si>
  <si>
    <t>Lognormal from P90 and P10 estimates · PERT expert ranges · fixed percentiles of a distribution through the U argument · expectation curve · conditional-mean tornado.</t>
  </si>
  <si>
    <t>File</t>
  </si>
  <si>
    <t>OG-01 Volumetric resource estimate  ·  Version 1.0  ·  October 2026  ·  built with ModelRisk 10</t>
  </si>
  <si>
    <t>The business question</t>
  </si>
  <si>
    <t>Two appraisal wells have confirmed a gas-condensate accumulation in the Falcon structure. Before a development concept can be chosen, the team needs a range for the recoverable resources rather than a single number. Each input to the volumetric equation — area, thickness, net-to-gross, porosity, water saturation, gas expansion factor, recovery factor and condensate yield — is uncertain. A common shortcut is to build a 'low case' by multiplying every input's low value together. This model shows why that shortcut is misleading: the chance of every input being low at the same time is tiny, so the 'all-low' case sits far below the true P90.</t>
  </si>
  <si>
    <t>How the model works</t>
  </si>
  <si>
    <t>Three sheets after this one, read from left to right. Each one feeds the next.</t>
  </si>
  <si>
    <t>1  Inputs</t>
  </si>
  <si>
    <t>Area is entered as a Lognormal from P90 and P10 estimates; the other inputs are PERT ranges (minimum, most likely, maximum).</t>
  </si>
  <si>
    <t>2  Volumes</t>
  </si>
  <si>
    <t>The volumetric equation in steps: gross rock volume, net rock volume, pore volume, hydrocarbon pore volume, gas initially in place (GIIP), then recoverable gas, condensate and total barrels of oil equivalent. A second table builds deterministic low, mid and high cases by setting every input to the same percentile.</t>
  </si>
  <si>
    <t>3  Results</t>
  </si>
  <si>
    <t>Simulation gives the true P90 / P50 / P10 of the resources. They are compared with the deterministic cases, and the inputs are ranked by how strongly they drive the total.</t>
  </si>
  <si>
    <t>How to use it</t>
  </si>
  <si>
    <t>Step 1</t>
  </si>
  <si>
    <t>Change the yellow cells on the Inputs sheet to describe your own accumulation.</t>
  </si>
  <si>
    <t>Step 2</t>
  </si>
  <si>
    <t>Press F9 a few times and watch the Volumes sheet: each recalculation is one possible accumulation.</t>
  </si>
  <si>
    <t>Step 3</t>
  </si>
  <si>
    <t>Run a simulation from the ModelRisk ribbon (10,000 samples with a fixed seed are set).</t>
  </si>
  <si>
    <t>Step 4</t>
  </si>
  <si>
    <t>Read the Results sheet, which fills in automatically, and open the Results Viewer for more charts.</t>
  </si>
  <si>
    <t>Workbook map</t>
  </si>
  <si>
    <t>Inputs</t>
  </si>
  <si>
    <t>Ranges for every input to the volumetric equation, with their basis.</t>
  </si>
  <si>
    <t>Volumes</t>
  </si>
  <si>
    <t>The volumetric calculation for this iteration and the deterministic low, mid and high cases.</t>
  </si>
  <si>
    <t>Results</t>
  </si>
  <si>
    <t>Resource range, expectation curve, deterministic cases against the simulation, and the ranking of inputs.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</si>
  <si>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</si>
  <si>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</si>
  <si>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</si>
  <si>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</si>
  <si>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</si>
  <si>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</si>
  <si>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</si>
  <si>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</si>
  <si>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</si>
  <si>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</si>
  <si>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</si>
  <si>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</si>
  <si>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Bcf = billion standard cubic feet; MMbbl = million barrels; MMboe = million barrels of oil equivalent (6,000 scf of gas = 1 boe).</t>
  </si>
  <si>
    <t>Percentiles</t>
  </si>
  <si>
    <t>Petroleum convention: P90 is the low estimate (90% chance of being exceeded), P10 the high estimate.</t>
  </si>
  <si>
    <t>Gas expansion</t>
  </si>
  <si>
    <t>Standard cubic feet of gas per cubic foot of reservoir pore space (the inverse of the gas formation volume factor).</t>
  </si>
  <si>
    <t>Key assumptions and limitations</t>
  </si>
  <si>
    <t>Independence</t>
  </si>
  <si>
    <t>The inputs are treated as independent. In practice porosity and water saturation are often correlated; OG-05 shows how to add that with a copula.</t>
  </si>
  <si>
    <t>Single zone</t>
  </si>
  <si>
    <t>One reservoir zone with average properties; no compartments or gas-water contact uncertainty.</t>
  </si>
  <si>
    <t>Recovery</t>
  </si>
  <si>
    <t>The recovery factor and condensate yield do not depend on the size of the accumulation.</t>
  </si>
  <si>
    <t>Data</t>
  </si>
  <si>
    <t>All figures are illustrative. Falcon is not a real discovery.</t>
  </si>
  <si>
    <t>ModelRisk functions used</t>
  </si>
  <si>
    <t>VoseLognormalAlt</t>
  </si>
  <si>
    <t>Productive area, entered as P90 and P10 estimates.</t>
  </si>
  <si>
    <t>VosePERT</t>
  </si>
  <si>
    <t>Expert ranges (minimum, most likely, maximum) for the other inputs.</t>
  </si>
  <si>
    <t>VosePERT(…, U), VoseLognormalAlt(…, U)</t>
  </si>
  <si>
    <t>With U fixed at 0.1, 0.5 or 0.9 the same distributions return a chosen percentile — used to build the deterministic cases.</t>
  </si>
  <si>
    <t>VoseInput, VoseOutput</t>
  </si>
  <si>
    <t>Name the inputs and outputs for sensitivity analysis and the Results Viewer.</t>
  </si>
  <si>
    <t>VoseSimPercentile, VoseSimProbability</t>
  </si>
  <si>
    <t>Simulation statistics on the Results sheet.</t>
  </si>
  <si>
    <t>VoseSimSensitivityMean</t>
  </si>
  <si>
    <t>The tornado chart: every VoseInput ranked by how far the mean resources move across its range.</t>
  </si>
  <si>
    <t>Further reading</t>
  </si>
  <si>
    <t>Resources</t>
  </si>
  <si>
    <t>SPE / WPC / AAPG / SPEE / SEG / SPWLA / EAGE (2018). Petroleum Resources Management System (PRMS), probabilistic methods.</t>
  </si>
  <si>
    <t>Risk analysis</t>
  </si>
  <si>
    <t>Vose, D. (2008). Risk Analysis: A Quantitative Guide, 3rd edition. Wiley — on why percentiles do not multiply.</t>
  </si>
  <si>
    <t>Next model</t>
  </si>
  <si>
    <t>OG-02 adds the chance of success; OG-05 builds a full exploration economics model on the same volumetric logic.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</si>
  <si>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</si>
  <si>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</si>
  <si>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</si>
  <si>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Volumes  ▸</t>
  </si>
  <si>
    <t>How to read this sheet:  yellow cells are inputs.  Orange cells hold ModelRisk distributions and show the current random sample (press F9 to draw again).  Low / Most likely / High are the minimum, most likely and maximum for PERT; the P90 (low) and P10 (high) estimates for Lognormal — P90 means a 90% chance of being exceeded.  Mean is the distribution's average (VoseMean); it shows ✗ if a range is out of order.</t>
  </si>
  <si>
    <t>1   Reservoir geometry</t>
  </si>
  <si>
    <t>Size of the accumulation: the productive area and the thickness of reservoir rock within it.</t>
  </si>
  <si>
    <t>Assumption</t>
  </si>
  <si>
    <t>Unit</t>
  </si>
  <si>
    <t>Value in model</t>
  </si>
  <si>
    <t>Uncertainty</t>
  </si>
  <si>
    <t>Low</t>
  </si>
  <si>
    <t>Most likely</t>
  </si>
  <si>
    <t>High</t>
  </si>
  <si>
    <t>Mean</t>
  </si>
  <si>
    <t>Basis / source (illustrative)</t>
  </si>
  <si>
    <t>Productive area</t>
  </si>
  <si>
    <t>acres</t>
  </si>
  <si>
    <t>Lognormal  · P90, P10</t>
  </si>
  <si>
    <t>–</t>
  </si>
  <si>
    <t>Mapped closure within the gas-water contact; P90 and P10 from the low and high depth-conversion cases.</t>
  </si>
  <si>
    <t>Gross reservoir thickness</t>
  </si>
  <si>
    <t>ft</t>
  </si>
  <si>
    <t>PERT</t>
  </si>
  <si>
    <t>Seen in the two appraisal wells; thins towards the flanks.</t>
  </si>
  <si>
    <t>Net-to-gross ratio</t>
  </si>
  <si>
    <t>fraction</t>
  </si>
  <si>
    <t>Share of the gross interval that is reservoir-quality sand.</t>
  </si>
  <si>
    <t>2   Rock and fluid properties</t>
  </si>
  <si>
    <t>How much of the net rock is pore space filled with gas, and how much the gas expands at the surface.</t>
  </si>
  <si>
    <t>Porosity</t>
  </si>
  <si>
    <t>Core and log porosity from the appraisal wells.</t>
  </si>
  <si>
    <t>Water saturation</t>
  </si>
  <si>
    <t>Log-derived saturation; uncertain away from the wells.</t>
  </si>
  <si>
    <t>Gas expansion factor</t>
  </si>
  <si>
    <t>scf / rcf</t>
  </si>
  <si>
    <t>Standard cubic feet per reservoir cubic foot, from the fluid sample (pressure and temperature).</t>
  </si>
  <si>
    <t>3   Recovery</t>
  </si>
  <si>
    <t>Share of the gas that can be produced, and the condensate that comes with it.</t>
  </si>
  <si>
    <t>Gas recovery factor</t>
  </si>
  <si>
    <t>Depletion drive in analogue gas fields.</t>
  </si>
  <si>
    <t>Condensate-gas ratio</t>
  </si>
  <si>
    <t>bbl / MMscf</t>
  </si>
  <si>
    <t>Barrels of condensate per million scf of produced gas (well test).</t>
  </si>
  <si>
    <t>4   Constants</t>
  </si>
  <si>
    <t>Unit conversions. Do not change.</t>
  </si>
  <si>
    <t>Square feet per acre</t>
  </si>
  <si>
    <t>ft² / acre</t>
  </si>
  <si>
    <t>Fixed</t>
  </si>
  <si>
    <t>Unit conversion.</t>
  </si>
  <si>
    <t>Gas per barrel of oil equivalent</t>
  </si>
  <si>
    <t>scf / boe</t>
  </si>
  <si>
    <t>Energy-equivalence convention used for reporting.</t>
  </si>
  <si>
    <t>VOLUMES   ·   The volumetric equation for this iteration, step by step, and the deterministic low, mid and high cases.</t>
  </si>
  <si>
    <t>◂  Inputs</t>
  </si>
  <si>
    <t>Next:  Results  ▸</t>
  </si>
  <si>
    <t>1   Volume in place</t>
  </si>
  <si>
    <t>From the size of the rock body to the gas it contains.</t>
  </si>
  <si>
    <t>Quantity</t>
  </si>
  <si>
    <t>Value</t>
  </si>
  <si>
    <t>How it is calculated</t>
  </si>
  <si>
    <t>Gross rock volume</t>
  </si>
  <si>
    <t>acre-ft</t>
  </si>
  <si>
    <t>Area × gross thickness</t>
  </si>
  <si>
    <t>Net rock volume</t>
  </si>
  <si>
    <t>Gross rock volume × net-to-gross</t>
  </si>
  <si>
    <t>Pore volume</t>
  </si>
  <si>
    <t>Net rock volume × porosity</t>
  </si>
  <si>
    <t>Hydrocarbon pore volume</t>
  </si>
  <si>
    <t>million rcf</t>
  </si>
  <si>
    <t>Pore volume × (1 − water saturation), converted from acre-feet to reservoir cubic feet</t>
  </si>
  <si>
    <t>Gas initially in place (GIIP)</t>
  </si>
  <si>
    <t>Bcf</t>
  </si>
  <si>
    <t>Hydrocarbon pore volume × gas expansion factor (million scf ÷ 1,000 = Bcf)</t>
  </si>
  <si>
    <t>2   Recoverable resources</t>
  </si>
  <si>
    <t>The share that can be produced, and the condensate it brings.</t>
  </si>
  <si>
    <t>Recoverable gas</t>
  </si>
  <si>
    <t>GIIP × gas recovery factor</t>
  </si>
  <si>
    <t>Recoverable condensate</t>
  </si>
  <si>
    <t>MMbbl</t>
  </si>
  <si>
    <t>Recoverable gas (in MMscf) × condensate-gas ratio, in million barrels</t>
  </si>
  <si>
    <t>Total recoverable resources</t>
  </si>
  <si>
    <t>MMboe</t>
  </si>
  <si>
    <t>Gas converted at 6,000 scf per barrel of oil equivalent, plus condensate</t>
  </si>
  <si>
    <t>3   Deterministic cases</t>
  </si>
  <si>
    <t>Every input set to the same percentile at once. This is how a 'low case' is often built by hand.</t>
  </si>
  <si>
    <t>Input or result</t>
  </si>
  <si>
    <t>Low case</t>
  </si>
  <si>
    <t>Mid case</t>
  </si>
  <si>
    <t>High case</t>
  </si>
  <si>
    <t>Value used</t>
  </si>
  <si>
    <t>Percentile used</t>
  </si>
  <si>
    <t>Each input's percentile in the case; water saturation takes 1 − it (more water means less gas)</t>
  </si>
  <si>
    <t>VosePercentile(the input's distribution, the case's percentile)</t>
  </si>
  <si>
    <t>× net-to-gross</t>
  </si>
  <si>
    <t>× porosity</t>
  </si>
  <si>
    <t>× (1 − water saturation), in reservoir cubic feet</t>
  </si>
  <si>
    <t>Gas initially in place</t>
  </si>
  <si>
    <t>× gas expansion factor</t>
  </si>
  <si>
    <t>× gas recovery factor</t>
  </si>
  <si>
    <t>Recoverable gas × condensate-gas ratio</t>
  </si>
  <si>
    <t>Total recoverable resources, every input at this case</t>
  </si>
  <si>
    <t>The same volumetric chain as section 1, applied to the case values</t>
  </si>
  <si>
    <t>RESULTS   ·   Filled in automatically from the last simulation. Run a simulation after changing any input.</t>
  </si>
  <si>
    <t>◂  Volumes</t>
  </si>
  <si>
    <t>1   Resource range</t>
  </si>
  <si>
    <t>Total recoverable resources — expectation curve</t>
  </si>
  <si>
    <t>P90 = low estimate (90% chance of being exceeded), P10 = high estimate.</t>
  </si>
  <si>
    <t>Measure</t>
  </si>
  <si>
    <t>P90 (low)</t>
  </si>
  <si>
    <t>P50</t>
  </si>
  <si>
    <t>P10 (high)</t>
  </si>
  <si>
    <t>2   Deterministic cases against the simulation</t>
  </si>
  <si>
    <t>The 'all-low' and 'all-high' cases are far more extreme than the P90 and P10: all inputs are rarely low (or high) together.</t>
  </si>
  <si>
    <t>Case</t>
  </si>
  <si>
    <t>Deterministic</t>
  </si>
  <si>
    <t>Simulated</t>
  </si>
  <si>
    <t>Chance below</t>
  </si>
  <si>
    <t>Low case  vs  P90</t>
  </si>
  <si>
    <t>Mid case  vs  P50</t>
  </si>
  <si>
    <t>High case  vs  P10</t>
  </si>
  <si>
    <t>Read 'Chance below' as: how often the real resources would fall below that deterministic number.</t>
  </si>
  <si>
    <t>3   What drives the resource range</t>
  </si>
  <si>
    <t>What drives the resource range  (MMboe)</t>
  </si>
  <si>
    <t>Lowest and highest mean total resources over ten equal groups of each input (VoseSimSensitivityMean), drawn from the overall mean.</t>
  </si>
  <si>
    <t>Input (ranked by influence)</t>
  </si>
  <si>
    <t>Lowest mean</t>
  </si>
  <si>
    <t>Highest mean</t>
  </si>
  <si>
    <t>Rank</t>
  </si>
  <si>
    <t>4   How to read these results</t>
  </si>
  <si>
    <t>•  The P90, P50 and P10 are the volumes with a 90%, 50% and 10% chance of being exceeded. They come from the simulation, so they account for how all the inputs vary together.</t>
  </si>
  <si>
    <t>•  The deterministic low case multiplies every input's 10th percentile (or 90th for water saturation). The chance of a result that low is usually well under 1%, so it is not a P90. The same is true of the high case at the other end.</t>
  </si>
  <si>
    <t>•  The mid case is not the mean either: multiplying medians gives roughly the median of a product, while the mean is higher because the distribution is skewed to the right.</t>
  </si>
  <si>
    <t>•  The inputs at the top of the ranking are where better data — another appraisal well, a better seismic depth conversion — would narrow the range most.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</si>
  <si>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</si>
  <si>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</si>
  <si>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</si>
  <si>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</si>
  <si>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TotalRes</t>
  </si>
  <si>
    <t>Overall mean of TotalRes</t>
  </si>
  <si>
    <t>Ranked input (chart)</t>
  </si>
  <si>
    <t>Highest − mean</t>
  </si>
  <si>
    <t>Lowest − mean</t>
  </si>
  <si>
    <t>Marker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</si>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</sst>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&quot;–&quot;_)"/>
    <numFmt numFmtId="165" formatCode="0.0%"/>
    <numFmt numFmtId="166" formatCode="#,##0.0_);\(#,##0.0\);&quot;–&quot;_)"/>
    <numFmt numFmtId="167" formatCode="#,##0.00_);\(#,##0.00\);&quot;–&quot;_)"/>
    <numFmt numFmtId="168" formatCode="#,##0.0_);\(#,##0.0\);&quot;–&quot;_);&quot;–&quot;"/>
    <numFmt numFmtId="169" formatCode="#,##0.00_);\(#,##0.00\);&quot;–&quot;_);&quot;–&quot;"/>
    <numFmt numFmtId="170" formatCode="0.0%;\-0.0%;0.0%;&quot;–&quot;"/>
    <numFmt numFmtId="171" formatCode="0;\-0;0;&quot;–&quot;"/>
  </numFmts>
  <fonts count="22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9"/>
      <color rgb="FF8AA0BA"/>
      <name val="Calibri"/>
    </font>
    <font>
      <sz val="10"/>
      <color rgb="FF3F5876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2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3F5876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6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2" fillId="3" borderId="7" xfId="2" applyNumberFormat="1" applyBorder="1">
      <alignment horizontal="right" vertical="center"/>
    </xf>
    <xf numFmtId="164" fontId="1" fillId="2" borderId="7" xfId="1" applyNumberFormat="1" applyBorder="1">
      <alignment horizontal="right" vertical="center"/>
    </xf>
    <xf numFmtId="0" fontId="19" fillId="0" borderId="6" xfId="0" applyFont="1" applyBorder="1" applyAlignment="1">
      <alignment horizontal="center" vertical="center"/>
    </xf>
    <xf numFmtId="164" fontId="3" fillId="0" borderId="8" xfId="3" applyNumberFormat="1" applyBorder="1">
      <alignment horizontal="right" vertical="center"/>
    </xf>
    <xf numFmtId="0" fontId="18" fillId="0" borderId="6" xfId="0" applyFont="1" applyBorder="1" applyAlignment="1">
      <alignment horizontal="left" vertical="center" wrapText="1" indent="1"/>
    </xf>
    <xf numFmtId="9" fontId="2" fillId="3" borderId="7" xfId="2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0" fontId="0" fillId="0" borderId="6" xfId="0" applyBorder="1"/>
    <xf numFmtId="166" fontId="3" fillId="0" borderId="8" xfId="3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67" fontId="4" fillId="4" borderId="9" xfId="4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9" fontId="12" fillId="0" borderId="8" xfId="3" applyNumberFormat="1" applyFon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12" fillId="0" borderId="10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indent="1"/>
    </xf>
    <xf numFmtId="166" fontId="12" fillId="0" borderId="10" xfId="3" applyNumberFormat="1" applyFont="1" applyBorder="1">
      <alignment horizontal="right" vertical="center"/>
    </xf>
    <xf numFmtId="0" fontId="0" fillId="0" borderId="10" xfId="0" applyBorder="1"/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21" fillId="0" borderId="5" xfId="0" applyFont="1" applyBorder="1"/>
    <xf numFmtId="168" fontId="1" fillId="5" borderId="7" xfId="5" applyNumberFormat="1" applyBorder="1">
      <alignment horizontal="right" vertical="center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17" fillId="7" borderId="4" xfId="0" applyFont="1" applyFill="1" applyBorder="1" applyAlignment="1">
      <alignment horizontal="center" vertical="center" wrapText="1"/>
    </xf>
    <xf numFmtId="171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68" fontId="1" fillId="5" borderId="1" xfId="5" applyNumberFormat="1">
      <alignment horizontal="right" vertical="center"/>
    </xf>
    <xf numFmtId="0" fontId="20" fillId="0" borderId="0" xfId="0" applyFont="1" applyAlignment="1">
      <alignment horizontal="left" vertical="center" indent="1"/>
    </xf>
    <xf numFmtId="166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7">
    <dxf>
      <font>
        <color rgb="FF8AA0BA"/>
      </font>
    </dxf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Chance of at least this volume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Results!$D$48:$D$97</c:f>
              <c:numCache>
                <c:formatCode>#,##0.00</c:formatCode>
                <c:ptCount val="50"/>
                <c:pt idx="0">
                  <c:v>14.384427266029967</c:v>
                </c:pt>
                <c:pt idx="1">
                  <c:v>17.648508219090804</c:v>
                </c:pt>
                <c:pt idx="2">
                  <c:v>19.493645352823446</c:v>
                </c:pt>
                <c:pt idx="3">
                  <c:v>20.815962879203571</c:v>
                </c:pt>
                <c:pt idx="4">
                  <c:v>22.054818431233681</c:v>
                </c:pt>
                <c:pt idx="5">
                  <c:v>23.207554397932693</c:v>
                </c:pt>
                <c:pt idx="6">
                  <c:v>24.22689979529364</c:v>
                </c:pt>
                <c:pt idx="7">
                  <c:v>25.133521436827593</c:v>
                </c:pt>
                <c:pt idx="8">
                  <c:v>25.976657619582621</c:v>
                </c:pt>
                <c:pt idx="9">
                  <c:v>26.822513980664084</c:v>
                </c:pt>
                <c:pt idx="10">
                  <c:v>27.680214139838565</c:v>
                </c:pt>
                <c:pt idx="11">
                  <c:v>28.455635372171464</c:v>
                </c:pt>
                <c:pt idx="12">
                  <c:v>29.237584818938192</c:v>
                </c:pt>
                <c:pt idx="13">
                  <c:v>29.953815669746838</c:v>
                </c:pt>
                <c:pt idx="14">
                  <c:v>30.637416062181401</c:v>
                </c:pt>
                <c:pt idx="15">
                  <c:v>31.384727879467611</c:v>
                </c:pt>
                <c:pt idx="16">
                  <c:v>32.099643972214039</c:v>
                </c:pt>
                <c:pt idx="17">
                  <c:v>32.818858047511931</c:v>
                </c:pt>
                <c:pt idx="18">
                  <c:v>33.552660212892178</c:v>
                </c:pt>
                <c:pt idx="19">
                  <c:v>34.350892036016887</c:v>
                </c:pt>
                <c:pt idx="20">
                  <c:v>35.145794351404859</c:v>
                </c:pt>
                <c:pt idx="21">
                  <c:v>35.940795001129203</c:v>
                </c:pt>
                <c:pt idx="22">
                  <c:v>36.669989338838107</c:v>
                </c:pt>
                <c:pt idx="23">
                  <c:v>37.492077661148599</c:v>
                </c:pt>
                <c:pt idx="24">
                  <c:v>38.199265410701003</c:v>
                </c:pt>
                <c:pt idx="25">
                  <c:v>39.005895882356938</c:v>
                </c:pt>
                <c:pt idx="26">
                  <c:v>39.907808162859737</c:v>
                </c:pt>
                <c:pt idx="27">
                  <c:v>40.818245318588595</c:v>
                </c:pt>
                <c:pt idx="28">
                  <c:v>41.657630150444191</c:v>
                </c:pt>
                <c:pt idx="29">
                  <c:v>42.697243567655761</c:v>
                </c:pt>
                <c:pt idx="30">
                  <c:v>43.635716564369588</c:v>
                </c:pt>
                <c:pt idx="31">
                  <c:v>44.57487370391933</c:v>
                </c:pt>
                <c:pt idx="32">
                  <c:v>45.550519820178593</c:v>
                </c:pt>
                <c:pt idx="33">
                  <c:v>46.557119461716944</c:v>
                </c:pt>
                <c:pt idx="34">
                  <c:v>47.598484578959578</c:v>
                </c:pt>
                <c:pt idx="35">
                  <c:v>48.649407990982517</c:v>
                </c:pt>
                <c:pt idx="36">
                  <c:v>49.849980623784212</c:v>
                </c:pt>
                <c:pt idx="37">
                  <c:v>51.146716326558661</c:v>
                </c:pt>
                <c:pt idx="38">
                  <c:v>52.520623994821044</c:v>
                </c:pt>
                <c:pt idx="39">
                  <c:v>54.134323526432162</c:v>
                </c:pt>
                <c:pt idx="40">
                  <c:v>55.835038954461119</c:v>
                </c:pt>
                <c:pt idx="41">
                  <c:v>57.490641433163994</c:v>
                </c:pt>
                <c:pt idx="42">
                  <c:v>59.506970321421839</c:v>
                </c:pt>
                <c:pt idx="43">
                  <c:v>61.853181609325766</c:v>
                </c:pt>
                <c:pt idx="44">
                  <c:v>65.131973723437085</c:v>
                </c:pt>
                <c:pt idx="45">
                  <c:v>68.042865660871982</c:v>
                </c:pt>
                <c:pt idx="46">
                  <c:v>72.277010970031668</c:v>
                </c:pt>
                <c:pt idx="47">
                  <c:v>77.368930618720213</c:v>
                </c:pt>
                <c:pt idx="48">
                  <c:v>85.824048771865364</c:v>
                </c:pt>
                <c:pt idx="49">
                  <c:v>102.21086949481793</c:v>
                </c:pt>
              </c:numCache>
            </c:numRef>
          </c:xVal>
          <c:yVal>
            <c:numRef>
              <c:f>Results!$C$48:$C$97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1A9-4948-97AD-98A1A0D75929}"/>
            </c:ext>
          </c:extLst>
        </c:ser>
        <c:ser>
          <c:idx val="1"/>
          <c:order val="1"/>
          <c:tx>
            <c:v>P90 / P50 / P10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Results!$D$111:$D$113</c:f>
              <c:numCache>
                <c:formatCode>#,##0.00</c:formatCode>
                <c:ptCount val="3"/>
                <c:pt idx="0">
                  <c:v>22.690364362529142</c:v>
                </c:pt>
                <c:pt idx="1">
                  <c:v>38.616556636093563</c:v>
                </c:pt>
                <c:pt idx="2">
                  <c:v>66.450759616030638</c:v>
                </c:pt>
              </c:numCache>
            </c:numRef>
          </c:xVal>
          <c:yVal>
            <c:numRef>
              <c:f>Results!$C$111:$C$113</c:f>
              <c:numCache>
                <c:formatCode>0%</c:formatCode>
                <c:ptCount val="3"/>
                <c:pt idx="0">
                  <c:v>0.9</c:v>
                </c:pt>
                <c:pt idx="1">
                  <c:v>0.5</c:v>
                </c:pt>
                <c:pt idx="2">
                  <c:v>0.1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1A9-4948-97AD-98A1A0D75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Recoverable resources (MMboe)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 of at least this value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Highest group mean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0"/>
          <c:cat>
            <c:strRef>
              <c:f>Results!$B$101:$B$108</c:f>
              <c:strCache>
                <c:ptCount val="8"/>
                <c:pt idx="0">
                  <c:v>Productive area</c:v>
                </c:pt>
                <c:pt idx="1">
                  <c:v>Gross thickness</c:v>
                </c:pt>
                <c:pt idx="2">
                  <c:v>Net-to-gross</c:v>
                </c:pt>
                <c:pt idx="3">
                  <c:v>Porosity</c:v>
                </c:pt>
                <c:pt idx="4">
                  <c:v>Gas recovery factor</c:v>
                </c:pt>
                <c:pt idx="5">
                  <c:v>Gas expansion factor</c:v>
                </c:pt>
                <c:pt idx="6">
                  <c:v>Water saturation</c:v>
                </c:pt>
                <c:pt idx="7">
                  <c:v>Condensate-gas ratio</c:v>
                </c:pt>
              </c:strCache>
            </c:strRef>
          </c:cat>
          <c:val>
            <c:numRef>
              <c:f>Results!$F$101:$F$108</c:f>
              <c:numCache>
                <c:formatCode>#,##0.0_);\(#,##0.0\);"–"_)</c:formatCode>
                <c:ptCount val="8"/>
                <c:pt idx="0">
                  <c:v>33.067857312866522</c:v>
                </c:pt>
                <c:pt idx="1">
                  <c:v>10.945843032050668</c:v>
                </c:pt>
                <c:pt idx="2">
                  <c:v>6.6389636628111788</c:v>
                </c:pt>
                <c:pt idx="3">
                  <c:v>6.7227934262547748</c:v>
                </c:pt>
                <c:pt idx="4">
                  <c:v>4.7103069844532754</c:v>
                </c:pt>
                <c:pt idx="5">
                  <c:v>3.2657395567282421</c:v>
                </c:pt>
                <c:pt idx="6">
                  <c:v>3.306683752876431</c:v>
                </c:pt>
                <c:pt idx="7">
                  <c:v>2.1393400733631083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92-4C46-84CE-D2317016492C}"/>
            </c:ext>
          </c:extLst>
        </c:ser>
        <c:ser>
          <c:idx val="1"/>
          <c:order val="1"/>
          <c:tx>
            <c:v>Lowest group mean</c:v>
          </c:tx>
          <c:spPr>
            <a:solidFill>
              <a:srgbClr val="B91C1C"/>
            </a:solidFill>
            <a:ln>
              <a:noFill/>
              <a:prstDash val="solid"/>
            </a:ln>
          </c:spPr>
          <c:invertIfNegative val="0"/>
          <c:cat>
            <c:strRef>
              <c:f>Results!$B$101:$B$108</c:f>
              <c:strCache>
                <c:ptCount val="8"/>
                <c:pt idx="0">
                  <c:v>Productive area</c:v>
                </c:pt>
                <c:pt idx="1">
                  <c:v>Gross thickness</c:v>
                </c:pt>
                <c:pt idx="2">
                  <c:v>Net-to-gross</c:v>
                </c:pt>
                <c:pt idx="3">
                  <c:v>Porosity</c:v>
                </c:pt>
                <c:pt idx="4">
                  <c:v>Gas recovery factor</c:v>
                </c:pt>
                <c:pt idx="5">
                  <c:v>Gas expansion factor</c:v>
                </c:pt>
                <c:pt idx="6">
                  <c:v>Water saturation</c:v>
                </c:pt>
                <c:pt idx="7">
                  <c:v>Condensate-gas ratio</c:v>
                </c:pt>
              </c:strCache>
            </c:strRef>
          </c:cat>
          <c:val>
            <c:numRef>
              <c:f>Results!$G$101:$G$108</c:f>
              <c:numCache>
                <c:formatCode>#,##0.0_);\(#,##0.0\);"–"_)</c:formatCode>
                <c:ptCount val="8"/>
                <c:pt idx="0">
                  <c:v>-20.91545066752575</c:v>
                </c:pt>
                <c:pt idx="1">
                  <c:v>-10.021745830931387</c:v>
                </c:pt>
                <c:pt idx="2">
                  <c:v>-7.6380375873340185</c:v>
                </c:pt>
                <c:pt idx="3">
                  <c:v>-7.1935050815651138</c:v>
                </c:pt>
                <c:pt idx="4">
                  <c:v>-4.0304082071566469</c:v>
                </c:pt>
                <c:pt idx="5">
                  <c:v>-4.2636132627292298</c:v>
                </c:pt>
                <c:pt idx="6">
                  <c:v>-3.3258715962368512</c:v>
                </c:pt>
                <c:pt idx="7">
                  <c:v>-1.384234998241439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92-4C46-84CE-D23170164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24</xdr:row>
      <xdr:rowOff>0</xdr:rowOff>
    </xdr:from>
    <xdr:ext cx="6263999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4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66" t="s">
        <v>20</v>
      </c>
      <c r="C16" s="6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41</v>
      </c>
      <c r="C51" s="10" t="s">
        <v>57</v>
      </c>
    </row>
    <row r="52" spans="2:3" x14ac:dyDescent="0.45">
      <c r="B52" s="9" t="s">
        <v>58</v>
      </c>
      <c r="C52" s="10" t="s">
        <v>59</v>
      </c>
    </row>
    <row r="53" spans="2:3" x14ac:dyDescent="0.45">
      <c r="B53" s="9" t="s">
        <v>60</v>
      </c>
      <c r="C53" s="10" t="s">
        <v>61</v>
      </c>
    </row>
    <row r="54" spans="2:3" ht="12" customHeight="1" x14ac:dyDescent="0.45"/>
    <row r="55" spans="2:3" ht="22.05" customHeight="1" x14ac:dyDescent="0.5">
      <c r="B55" s="7" t="s">
        <v>62</v>
      </c>
      <c r="C55" s="8"/>
    </row>
    <row r="56" spans="2:3" x14ac:dyDescent="0.45">
      <c r="B56" s="9" t="s">
        <v>63</v>
      </c>
      <c r="C56" s="10" t="s">
        <v>64</v>
      </c>
    </row>
    <row r="57" spans="2:3" x14ac:dyDescent="0.45">
      <c r="B57" s="9" t="s">
        <v>65</v>
      </c>
      <c r="C57" s="10" t="s">
        <v>66</v>
      </c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ht="12" customHeight="1" x14ac:dyDescent="0.45"/>
    <row r="61" spans="2:3" ht="22.05" customHeight="1" x14ac:dyDescent="0.5">
      <c r="B61" s="7" t="s">
        <v>71</v>
      </c>
      <c r="C61" s="8"/>
    </row>
    <row r="62" spans="2:3" x14ac:dyDescent="0.45">
      <c r="B62" s="20" t="s">
        <v>72</v>
      </c>
      <c r="C62" s="10" t="s">
        <v>73</v>
      </c>
    </row>
    <row r="63" spans="2:3" x14ac:dyDescent="0.45">
      <c r="B63" s="20" t="s">
        <v>74</v>
      </c>
      <c r="C63" s="10" t="s">
        <v>75</v>
      </c>
    </row>
    <row r="64" spans="2:3" ht="26.25" x14ac:dyDescent="0.45">
      <c r="B64" s="20" t="s">
        <v>76</v>
      </c>
      <c r="C64" s="10" t="s">
        <v>77</v>
      </c>
    </row>
    <row r="65" spans="2:3" x14ac:dyDescent="0.45">
      <c r="B65" s="20" t="s">
        <v>78</v>
      </c>
      <c r="C65" s="10" t="s">
        <v>79</v>
      </c>
    </row>
    <row r="66" spans="2:3" ht="26.25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ht="12" customHeight="1" x14ac:dyDescent="0.45"/>
    <row r="69" spans="2:3" ht="22.05" customHeight="1" x14ac:dyDescent="0.5">
      <c r="B69" s="7" t="s">
        <v>84</v>
      </c>
      <c r="C69" s="8"/>
    </row>
    <row r="70" spans="2:3" x14ac:dyDescent="0.45">
      <c r="B70" s="9" t="s">
        <v>85</v>
      </c>
      <c r="C70" s="10" t="s">
        <v>86</v>
      </c>
    </row>
    <row r="71" spans="2:3" x14ac:dyDescent="0.45">
      <c r="B71" s="9" t="s">
        <v>87</v>
      </c>
      <c r="C71" s="10" t="s">
        <v>88</v>
      </c>
    </row>
    <row r="72" spans="2:3" x14ac:dyDescent="0.45">
      <c r="B72" s="9" t="s">
        <v>89</v>
      </c>
      <c r="C72" s="10" t="s">
        <v>90</v>
      </c>
    </row>
    <row r="73" spans="2:3" ht="16.05" customHeight="1" x14ac:dyDescent="0.45"/>
    <row r="74" spans="2:3" x14ac:dyDescent="0.45">
      <c r="B74" s="64" t="s">
        <v>91</v>
      </c>
      <c r="C74" s="65"/>
    </row>
  </sheetData>
  <mergeCells count="2">
    <mergeCell ref="B74:C74"/>
    <mergeCell ref="B16:C16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Volumes'!A1" display="Volumes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92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93</v>
      </c>
      <c r="C4" s="5"/>
      <c r="D4" s="5"/>
      <c r="E4" s="5"/>
      <c r="F4" s="5"/>
      <c r="G4" s="5"/>
      <c r="H4" s="5"/>
      <c r="I4" s="5"/>
      <c r="J4" s="6" t="s">
        <v>94</v>
      </c>
    </row>
    <row r="5" spans="1:10" ht="8" customHeight="1" x14ac:dyDescent="0.45"/>
    <row r="6" spans="1:10" ht="30" customHeight="1" x14ac:dyDescent="0.45">
      <c r="B6" s="67" t="s">
        <v>95</v>
      </c>
      <c r="C6" s="65"/>
      <c r="D6" s="65"/>
      <c r="E6" s="65"/>
      <c r="F6" s="65"/>
      <c r="G6" s="65"/>
      <c r="H6" s="65"/>
      <c r="I6" s="65"/>
      <c r="J6" s="65"/>
    </row>
    <row r="7" spans="1:10" ht="6" customHeight="1" x14ac:dyDescent="0.45"/>
    <row r="8" spans="1:10" ht="22.05" customHeight="1" x14ac:dyDescent="0.5">
      <c r="B8" s="7" t="s">
        <v>96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97</v>
      </c>
    </row>
    <row r="10" spans="1:10" ht="18" customHeight="1" x14ac:dyDescent="0.45">
      <c r="B10" s="23" t="s">
        <v>98</v>
      </c>
      <c r="C10" s="23" t="s">
        <v>99</v>
      </c>
      <c r="D10" s="24" t="s">
        <v>100</v>
      </c>
      <c r="E10" s="23" t="s">
        <v>101</v>
      </c>
      <c r="F10" s="24" t="s">
        <v>102</v>
      </c>
      <c r="G10" s="24" t="s">
        <v>103</v>
      </c>
      <c r="H10" s="24" t="s">
        <v>104</v>
      </c>
      <c r="I10" s="24" t="s">
        <v>105</v>
      </c>
      <c r="J10" s="23" t="s">
        <v>106</v>
      </c>
    </row>
    <row r="11" spans="1:10" ht="23.25" x14ac:dyDescent="0.45">
      <c r="B11" s="25" t="s">
        <v>107</v>
      </c>
      <c r="C11" s="26" t="s">
        <v>108</v>
      </c>
      <c r="D11" s="27" cm="1">
        <f t="array" aca="1" ref="D11" ca="1">_xll.VoseInput("Productive area","acres")+_xll.VoseLognormalAlt(F11,0.1,H11,0.9,0)</f>
        <v>4840.5371297480542</v>
      </c>
      <c r="E11" s="26" t="s">
        <v>109</v>
      </c>
      <c r="F11" s="28">
        <v>2000</v>
      </c>
      <c r="G11" s="29" t="s">
        <v>110</v>
      </c>
      <c r="H11" s="28">
        <v>5000</v>
      </c>
      <c r="I11" s="30" cm="1">
        <f t="array" ref="I11">IF(AND(F11&gt;0,F11&lt;H11),_xll.VoseMean(_xll.VoseLognormalAltObject(F11,0.1,H11,0.9,0)),"✗ range")</f>
        <v>3370.9448364844193</v>
      </c>
      <c r="J11" s="31" t="s">
        <v>111</v>
      </c>
    </row>
    <row r="12" spans="1:10" x14ac:dyDescent="0.45">
      <c r="B12" s="25" t="s">
        <v>112</v>
      </c>
      <c r="C12" s="26" t="s">
        <v>113</v>
      </c>
      <c r="D12" s="27" cm="1">
        <f t="array" aca="1" ref="D12" ca="1">_xll.VoseInput("Gross thickness","ft")+_xll.VosePERT(F12,G12,H12)</f>
        <v>157.49678360251724</v>
      </c>
      <c r="E12" s="26" t="s">
        <v>114</v>
      </c>
      <c r="F12" s="28">
        <v>80</v>
      </c>
      <c r="G12" s="28">
        <v>120</v>
      </c>
      <c r="H12" s="28">
        <v>170</v>
      </c>
      <c r="I12" s="30" cm="1">
        <f t="array" ref="I12">IF(AND(F12&lt;=G12,G12&lt;=H12,F12&lt;H12),_xll.VoseMean(_xll.VosePERTObject(F12,G12,H12)),"✗ range")</f>
        <v>121.66666666666667</v>
      </c>
      <c r="J12" s="31" t="s">
        <v>115</v>
      </c>
    </row>
    <row r="13" spans="1:10" x14ac:dyDescent="0.45">
      <c r="B13" s="25" t="s">
        <v>116</v>
      </c>
      <c r="C13" s="26" t="s">
        <v>117</v>
      </c>
      <c r="D13" s="32" cm="1">
        <f t="array" aca="1" ref="D13" ca="1">_xll.VoseInput("Net-to-gross","fraction")+_xll.VosePERT(F13,G13,H13)</f>
        <v>0.54205585227184239</v>
      </c>
      <c r="E13" s="26" t="s">
        <v>114</v>
      </c>
      <c r="F13" s="33">
        <v>0.45</v>
      </c>
      <c r="G13" s="33">
        <v>0.6</v>
      </c>
      <c r="H13" s="33">
        <v>0.75</v>
      </c>
      <c r="I13" s="34" cm="1">
        <f t="array" ref="I13">IF(AND(F13&lt;=G13,G13&lt;=H13,F13&lt;H13,F13&gt;=0,H13&lt;=1),_xll.VoseMean(_xll.VosePERTObject(F13,G13,H13)),"✗ range")</f>
        <v>0.6</v>
      </c>
      <c r="J13" s="31" t="s">
        <v>118</v>
      </c>
    </row>
    <row r="14" spans="1:10" ht="8" customHeight="1" x14ac:dyDescent="0.45"/>
    <row r="15" spans="1:10" ht="22.05" customHeight="1" x14ac:dyDescent="0.5">
      <c r="B15" s="7" t="s">
        <v>119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120</v>
      </c>
    </row>
    <row r="17" spans="2:10" ht="18" customHeight="1" x14ac:dyDescent="0.45">
      <c r="B17" s="23" t="s">
        <v>98</v>
      </c>
      <c r="C17" s="23" t="s">
        <v>99</v>
      </c>
      <c r="D17" s="24" t="s">
        <v>100</v>
      </c>
      <c r="E17" s="23" t="s">
        <v>101</v>
      </c>
      <c r="F17" s="24" t="s">
        <v>102</v>
      </c>
      <c r="G17" s="24" t="s">
        <v>103</v>
      </c>
      <c r="H17" s="24" t="s">
        <v>104</v>
      </c>
      <c r="I17" s="24" t="s">
        <v>105</v>
      </c>
      <c r="J17" s="23" t="s">
        <v>106</v>
      </c>
    </row>
    <row r="18" spans="2:10" x14ac:dyDescent="0.45">
      <c r="B18" s="25" t="s">
        <v>121</v>
      </c>
      <c r="C18" s="26" t="s">
        <v>117</v>
      </c>
      <c r="D18" s="35" cm="1">
        <f t="array" aca="1" ref="D18" ca="1">_xll.VoseInput("Porosity","fraction")+_xll.VosePERT(F18,G18,H18)</f>
        <v>0.19300591059684524</v>
      </c>
      <c r="E18" s="26" t="s">
        <v>114</v>
      </c>
      <c r="F18" s="36">
        <v>0.14000000000000001</v>
      </c>
      <c r="G18" s="36">
        <v>0.19</v>
      </c>
      <c r="H18" s="36">
        <v>0.24</v>
      </c>
      <c r="I18" s="37" cm="1">
        <f t="array" ref="I18">IF(AND(F18&lt;=G18,G18&lt;=H18,F18&lt;H18,F18&gt;=0,H18&lt;=1),_xll.VoseMean(_xll.VosePERTObject(F18,G18,H18)),"✗ range")</f>
        <v>0.19000000000000003</v>
      </c>
      <c r="J18" s="31" t="s">
        <v>122</v>
      </c>
    </row>
    <row r="19" spans="2:10" x14ac:dyDescent="0.45">
      <c r="B19" s="25" t="s">
        <v>123</v>
      </c>
      <c r="C19" s="26" t="s">
        <v>117</v>
      </c>
      <c r="D19" s="35" cm="1">
        <f t="array" aca="1" ref="D19" ca="1">_xll.VoseInput("Water saturation","fraction")+_xll.VosePERT(F19,G19,H19)</f>
        <v>0.2488928429903666</v>
      </c>
      <c r="E19" s="26" t="s">
        <v>114</v>
      </c>
      <c r="F19" s="36">
        <v>0.2</v>
      </c>
      <c r="G19" s="36">
        <v>0.28000000000000003</v>
      </c>
      <c r="H19" s="36">
        <v>0.4</v>
      </c>
      <c r="I19" s="37" cm="1">
        <f t="array" ref="I19">IF(AND(F19&lt;=G19,G19&lt;=H19,F19&lt;H19,F19&gt;=0,H19&lt;=1),_xll.VoseMean(_xll.VosePERTObject(F19,G19,H19)),"✗ range")</f>
        <v>0.28666666666666668</v>
      </c>
      <c r="J19" s="31" t="s">
        <v>124</v>
      </c>
    </row>
    <row r="20" spans="2:10" ht="23.25" x14ac:dyDescent="0.45">
      <c r="B20" s="25" t="s">
        <v>125</v>
      </c>
      <c r="C20" s="26" t="s">
        <v>126</v>
      </c>
      <c r="D20" s="27" cm="1">
        <f t="array" aca="1" ref="D20" ca="1">_xll.VoseInput("Gas expansion factor","scf / rcf")+_xll.VosePERT(F20,G20,H20)</f>
        <v>221.19345296099311</v>
      </c>
      <c r="E20" s="26" t="s">
        <v>114</v>
      </c>
      <c r="F20" s="28">
        <v>180</v>
      </c>
      <c r="G20" s="28">
        <v>210</v>
      </c>
      <c r="H20" s="28">
        <v>240</v>
      </c>
      <c r="I20" s="30" cm="1">
        <f t="array" ref="I20">IF(AND(F20&lt;=G20,G20&lt;=H20,F20&lt;H20),_xll.VoseMean(_xll.VosePERTObject(F20,G20,H20)),"✗ range")</f>
        <v>210</v>
      </c>
      <c r="J20" s="31" t="s">
        <v>127</v>
      </c>
    </row>
    <row r="21" spans="2:10" ht="8" customHeight="1" x14ac:dyDescent="0.45"/>
    <row r="22" spans="2:10" ht="22.05" customHeight="1" x14ac:dyDescent="0.5">
      <c r="B22" s="7" t="s">
        <v>128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13" t="s">
        <v>129</v>
      </c>
    </row>
    <row r="24" spans="2:10" ht="18" customHeight="1" x14ac:dyDescent="0.45">
      <c r="B24" s="23" t="s">
        <v>98</v>
      </c>
      <c r="C24" s="23" t="s">
        <v>99</v>
      </c>
      <c r="D24" s="24" t="s">
        <v>100</v>
      </c>
      <c r="E24" s="23" t="s">
        <v>101</v>
      </c>
      <c r="F24" s="24" t="s">
        <v>102</v>
      </c>
      <c r="G24" s="24" t="s">
        <v>103</v>
      </c>
      <c r="H24" s="24" t="s">
        <v>104</v>
      </c>
      <c r="I24" s="24" t="s">
        <v>105</v>
      </c>
      <c r="J24" s="23" t="s">
        <v>106</v>
      </c>
    </row>
    <row r="25" spans="2:10" x14ac:dyDescent="0.45">
      <c r="B25" s="25" t="s">
        <v>130</v>
      </c>
      <c r="C25" s="26" t="s">
        <v>117</v>
      </c>
      <c r="D25" s="32" cm="1">
        <f t="array" aca="1" ref="D25" ca="1">_xll.VoseInput("Gas recovery factor","fraction")+_xll.VosePERT(F25,G25,H25)</f>
        <v>0.638832336302398</v>
      </c>
      <c r="E25" s="26" t="s">
        <v>114</v>
      </c>
      <c r="F25" s="33">
        <v>0.6</v>
      </c>
      <c r="G25" s="33">
        <v>0.72</v>
      </c>
      <c r="H25" s="33">
        <v>0.82</v>
      </c>
      <c r="I25" s="34" cm="1">
        <f t="array" ref="I25">IF(AND(F25&lt;=G25,G25&lt;=H25,F25&lt;H25,F25&gt;=0,H25&lt;=1),_xll.VoseMean(_xll.VosePERTObject(F25,G25,H25)),"✗ range")</f>
        <v>0.71666666666666667</v>
      </c>
      <c r="J25" s="31" t="s">
        <v>131</v>
      </c>
    </row>
    <row r="26" spans="2:10" x14ac:dyDescent="0.45">
      <c r="B26" s="25" t="s">
        <v>132</v>
      </c>
      <c r="C26" s="26" t="s">
        <v>133</v>
      </c>
      <c r="D26" s="27" cm="1">
        <f t="array" aca="1" ref="D26" ca="1">_xll.VoseInput("Condensate-gas ratio","bbl / MMscf")+_xll.VosePERT(F26,G26,H26)</f>
        <v>23.144938401497882</v>
      </c>
      <c r="E26" s="26" t="s">
        <v>114</v>
      </c>
      <c r="F26" s="28">
        <v>15</v>
      </c>
      <c r="G26" s="28">
        <v>25</v>
      </c>
      <c r="H26" s="28">
        <v>40</v>
      </c>
      <c r="I26" s="30" cm="1">
        <f t="array" ref="I26">IF(AND(F26&lt;=G26,G26&lt;=H26,F26&lt;H26),_xll.VoseMean(_xll.VosePERTObject(F26,G26,H26)),"✗ range")</f>
        <v>25.833333333333332</v>
      </c>
      <c r="J26" s="31" t="s">
        <v>134</v>
      </c>
    </row>
    <row r="27" spans="2:10" ht="8" customHeight="1" x14ac:dyDescent="0.45"/>
    <row r="28" spans="2:10" ht="22.05" customHeight="1" x14ac:dyDescent="0.5">
      <c r="B28" s="7" t="s">
        <v>135</v>
      </c>
      <c r="C28" s="8"/>
      <c r="D28" s="8"/>
      <c r="E28" s="8"/>
      <c r="F28" s="8"/>
      <c r="G28" s="8"/>
      <c r="H28" s="8"/>
      <c r="I28" s="8"/>
      <c r="J28" s="8"/>
    </row>
    <row r="29" spans="2:10" ht="18" customHeight="1" x14ac:dyDescent="0.45">
      <c r="B29" s="13" t="s">
        <v>136</v>
      </c>
    </row>
    <row r="30" spans="2:10" ht="18" customHeight="1" x14ac:dyDescent="0.45">
      <c r="B30" s="23" t="s">
        <v>98</v>
      </c>
      <c r="C30" s="23" t="s">
        <v>99</v>
      </c>
      <c r="D30" s="24" t="s">
        <v>100</v>
      </c>
      <c r="E30" s="23" t="s">
        <v>101</v>
      </c>
      <c r="F30" s="5"/>
      <c r="G30" s="5"/>
      <c r="H30" s="5"/>
      <c r="I30" s="5"/>
      <c r="J30" s="23" t="s">
        <v>106</v>
      </c>
    </row>
    <row r="31" spans="2:10" x14ac:dyDescent="0.45">
      <c r="B31" s="25" t="s">
        <v>137</v>
      </c>
      <c r="C31" s="26" t="s">
        <v>138</v>
      </c>
      <c r="D31" s="28">
        <v>43560</v>
      </c>
      <c r="E31" s="26" t="s">
        <v>139</v>
      </c>
      <c r="F31" s="38"/>
      <c r="G31" s="38"/>
      <c r="H31" s="38"/>
      <c r="I31" s="38"/>
      <c r="J31" s="31" t="s">
        <v>140</v>
      </c>
    </row>
    <row r="32" spans="2:10" x14ac:dyDescent="0.45">
      <c r="B32" s="25" t="s">
        <v>141</v>
      </c>
      <c r="C32" s="26" t="s">
        <v>142</v>
      </c>
      <c r="D32" s="28">
        <v>6000</v>
      </c>
      <c r="E32" s="26" t="s">
        <v>139</v>
      </c>
      <c r="F32" s="38"/>
      <c r="G32" s="38"/>
      <c r="H32" s="38"/>
      <c r="I32" s="38"/>
      <c r="J32" s="31" t="s">
        <v>143</v>
      </c>
    </row>
    <row r="33" ht="8" customHeight="1" x14ac:dyDescent="0.45"/>
  </sheetData>
  <mergeCells count="1">
    <mergeCell ref="B6:J6"/>
  </mergeCells>
  <conditionalFormatting sqref="I11:I13">
    <cfRule type="expression" dxfId="6" priority="1">
      <formula>LEFT($I11,1)="✗"</formula>
    </cfRule>
  </conditionalFormatting>
  <conditionalFormatting sqref="I18:I20">
    <cfRule type="expression" dxfId="5" priority="4">
      <formula>LEFT($I18,1)="✗"</formula>
    </cfRule>
  </conditionalFormatting>
  <conditionalFormatting sqref="I25:I26">
    <cfRule type="expression" dxfId="4" priority="7">
      <formula>LEFT($I25,1)="✗"</formula>
    </cfRule>
  </conditionalFormatting>
  <dataValidations count="3">
    <dataValidation type="custom" showErrorMessage="1" errorTitle="Lognormal range" error="The low estimate must be above the minimum and below the high estimate." sqref="F11:H11" xr:uid="{00000000-0002-0000-0100-000000000000}">
      <formula1>AND($F11&gt;0,$F11&lt;$H11)</formula1>
    </dataValidation>
    <dataValidation type="custom" showErrorMessage="1" errorTitle="PERT range" error="Low must be below High, with Most likely between them." sqref="F12:H12 F26:H26 F20:H20" xr:uid="{00000000-0002-0000-0100-000001000000}">
      <formula1>AND($F12&lt;=$G12,$G12&lt;=$H12,$F12&lt;$H12)</formula1>
    </dataValidation>
    <dataValidation type="custom" showErrorMessage="1" errorTitle="PERT range" error="Low must be below High, with Most likely between them, all between 0% and 100%." sqref="F13:H13 F25:H25 F18:H19" xr:uid="{00000000-0002-0000-0100-000002000000}">
      <formula1>AND($F13&lt;=$G13,$G13&lt;=$H13,$F13&lt;$H13,$F13&gt;=0,$H13&lt;=1)</formula1>
    </dataValidation>
  </dataValidations>
  <hyperlinks>
    <hyperlink ref="B4" location="'About'!A1" display="◂  About" xr:uid="{00000000-0004-0000-0100-000000000000}"/>
    <hyperlink ref="J4" location="'Volumes'!A1" display="Next:  Volumes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H42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6" customWidth="1"/>
    <col min="3" max="3" width="13" customWidth="1"/>
    <col min="4" max="6" width="12" customWidth="1"/>
    <col min="7" max="7" width="2" customWidth="1"/>
    <col min="8" max="8" width="78" customWidth="1"/>
  </cols>
  <sheetData>
    <row r="1" spans="1:8" ht="6" customHeight="1" x14ac:dyDescent="0.45"/>
    <row r="2" spans="1:8" ht="30" customHeight="1" x14ac:dyDescent="0.45">
      <c r="A2" s="1"/>
      <c r="B2" s="21" t="s">
        <v>0</v>
      </c>
      <c r="C2" s="1"/>
      <c r="D2" s="1"/>
      <c r="E2" s="1"/>
      <c r="F2" s="1"/>
      <c r="G2" s="1"/>
      <c r="H2" s="3" t="s">
        <v>1</v>
      </c>
    </row>
    <row r="3" spans="1:8" ht="20" customHeight="1" x14ac:dyDescent="0.45">
      <c r="A3" s="1"/>
      <c r="B3" s="4" t="s">
        <v>144</v>
      </c>
      <c r="C3" s="1"/>
      <c r="D3" s="1"/>
      <c r="E3" s="1"/>
      <c r="F3" s="1"/>
      <c r="G3" s="1"/>
      <c r="H3" s="1"/>
    </row>
    <row r="4" spans="1:8" ht="20" customHeight="1" x14ac:dyDescent="0.45">
      <c r="A4" s="5"/>
      <c r="B4" s="22" t="s">
        <v>145</v>
      </c>
      <c r="C4" s="5"/>
      <c r="D4" s="5"/>
      <c r="E4" s="5"/>
      <c r="F4" s="5"/>
      <c r="G4" s="5"/>
      <c r="H4" s="6" t="s">
        <v>146</v>
      </c>
    </row>
    <row r="5" spans="1:8" ht="8" customHeight="1" x14ac:dyDescent="0.45"/>
    <row r="6" spans="1:8" ht="22.05" customHeight="1" x14ac:dyDescent="0.5">
      <c r="B6" s="7" t="s">
        <v>147</v>
      </c>
      <c r="C6" s="8"/>
      <c r="D6" s="8"/>
      <c r="E6" s="8"/>
      <c r="F6" s="8"/>
      <c r="G6" s="8"/>
      <c r="H6" s="8"/>
    </row>
    <row r="7" spans="1:8" ht="18" customHeight="1" x14ac:dyDescent="0.45">
      <c r="B7" s="13" t="s">
        <v>148</v>
      </c>
    </row>
    <row r="8" spans="1:8" ht="18" customHeight="1" x14ac:dyDescent="0.45">
      <c r="B8" s="23" t="s">
        <v>149</v>
      </c>
      <c r="C8" s="23" t="s">
        <v>99</v>
      </c>
      <c r="D8" s="24" t="s">
        <v>150</v>
      </c>
      <c r="E8" s="5"/>
      <c r="F8" s="5"/>
      <c r="G8" s="5"/>
      <c r="H8" s="23" t="s">
        <v>151</v>
      </c>
    </row>
    <row r="9" spans="1:8" x14ac:dyDescent="0.45">
      <c r="B9" s="25" t="s">
        <v>152</v>
      </c>
      <c r="C9" s="26" t="s">
        <v>153</v>
      </c>
      <c r="D9" s="30">
        <f ca="1">Area*GrossThick</f>
        <v>762369.02884387923</v>
      </c>
      <c r="E9" s="38"/>
      <c r="F9" s="38"/>
      <c r="G9" s="38"/>
      <c r="H9" s="26" t="s">
        <v>154</v>
      </c>
    </row>
    <row r="10" spans="1:8" x14ac:dyDescent="0.45">
      <c r="B10" s="25" t="s">
        <v>155</v>
      </c>
      <c r="C10" s="26" t="s">
        <v>153</v>
      </c>
      <c r="D10" s="30">
        <f ca="1">GRV*NTG</f>
        <v>413246.59367562574</v>
      </c>
      <c r="E10" s="38"/>
      <c r="F10" s="38"/>
      <c r="G10" s="38"/>
      <c r="H10" s="26" t="s">
        <v>156</v>
      </c>
    </row>
    <row r="11" spans="1:8" x14ac:dyDescent="0.45">
      <c r="B11" s="25" t="s">
        <v>157</v>
      </c>
      <c r="C11" s="26" t="s">
        <v>153</v>
      </c>
      <c r="D11" s="30">
        <f ca="1">NRV*Porosity</f>
        <v>79759.035113408652</v>
      </c>
      <c r="E11" s="38"/>
      <c r="F11" s="38"/>
      <c r="G11" s="38"/>
      <c r="H11" s="26" t="s">
        <v>158</v>
      </c>
    </row>
    <row r="12" spans="1:8" x14ac:dyDescent="0.45">
      <c r="B12" s="25" t="s">
        <v>159</v>
      </c>
      <c r="C12" s="26" t="s">
        <v>160</v>
      </c>
      <c r="D12" s="39">
        <f ca="1">PoreVol*(1-WaterSat)*SqFtPerAcre/10^6</f>
        <v>2609.5742767056713</v>
      </c>
      <c r="E12" s="38"/>
      <c r="F12" s="38"/>
      <c r="G12" s="38"/>
      <c r="H12" s="26" t="s">
        <v>161</v>
      </c>
    </row>
    <row r="13" spans="1:8" x14ac:dyDescent="0.45">
      <c r="B13" s="25" t="s">
        <v>162</v>
      </c>
      <c r="C13" s="26" t="s">
        <v>163</v>
      </c>
      <c r="D13" s="40" cm="1">
        <f t="array" aca="1" ref="D13" ca="1">_xll.VoseOutput("Gas initially in place","Bcf")+HCPV*GasExp/1000</f>
        <v>577.22074502271357</v>
      </c>
      <c r="E13" s="38"/>
      <c r="F13" s="38"/>
      <c r="G13" s="38"/>
      <c r="H13" s="26" t="s">
        <v>164</v>
      </c>
    </row>
    <row r="14" spans="1:8" ht="8" customHeight="1" x14ac:dyDescent="0.45"/>
    <row r="15" spans="1:8" ht="22.05" customHeight="1" x14ac:dyDescent="0.5">
      <c r="B15" s="7" t="s">
        <v>165</v>
      </c>
      <c r="C15" s="8"/>
      <c r="D15" s="8"/>
      <c r="E15" s="8"/>
      <c r="F15" s="8"/>
      <c r="G15" s="8"/>
      <c r="H15" s="8"/>
    </row>
    <row r="16" spans="1:8" ht="18" customHeight="1" x14ac:dyDescent="0.45">
      <c r="B16" s="13" t="s">
        <v>166</v>
      </c>
    </row>
    <row r="17" spans="2:8" ht="18" customHeight="1" x14ac:dyDescent="0.45">
      <c r="B17" s="23" t="s">
        <v>149</v>
      </c>
      <c r="C17" s="23" t="s">
        <v>99</v>
      </c>
      <c r="D17" s="24" t="s">
        <v>150</v>
      </c>
      <c r="E17" s="5"/>
      <c r="F17" s="5"/>
      <c r="G17" s="5"/>
      <c r="H17" s="23" t="s">
        <v>151</v>
      </c>
    </row>
    <row r="18" spans="2:8" x14ac:dyDescent="0.45">
      <c r="B18" s="25" t="s">
        <v>167</v>
      </c>
      <c r="C18" s="26" t="s">
        <v>163</v>
      </c>
      <c r="D18" s="40" cm="1">
        <f t="array" aca="1" ref="D18" ca="1">_xll.VoseOutput("Recoverable gas","Bcf")+GIIP*GasRF</f>
        <v>368.74727710507091</v>
      </c>
      <c r="E18" s="38"/>
      <c r="F18" s="38"/>
      <c r="G18" s="38"/>
      <c r="H18" s="26" t="s">
        <v>168</v>
      </c>
    </row>
    <row r="19" spans="2:8" x14ac:dyDescent="0.45">
      <c r="B19" s="25" t="s">
        <v>169</v>
      </c>
      <c r="C19" s="26" t="s">
        <v>170</v>
      </c>
      <c r="D19" s="41" cm="1">
        <f t="array" aca="1" ref="D19" ca="1">_xll.VoseOutput("Recoverable condensate","MMbbl")+RecGas*1000*CGR/10^6</f>
        <v>8.5346330143169347</v>
      </c>
      <c r="E19" s="38"/>
      <c r="F19" s="38"/>
      <c r="G19" s="38"/>
      <c r="H19" s="26" t="s">
        <v>171</v>
      </c>
    </row>
    <row r="20" spans="2:8" x14ac:dyDescent="0.45">
      <c r="B20" s="25" t="s">
        <v>172</v>
      </c>
      <c r="C20" s="26" t="s">
        <v>173</v>
      </c>
      <c r="D20" s="40" cm="1">
        <f t="array" aca="1" ref="D20" ca="1">_xll.VoseOutput("Total recoverable resources","MMboe")+RecGas*10^9/ScfPerBoe/10^6+Condensate</f>
        <v>69.992512531828751</v>
      </c>
      <c r="E20" s="38"/>
      <c r="F20" s="38"/>
      <c r="G20" s="38"/>
      <c r="H20" s="26" t="s">
        <v>174</v>
      </c>
    </row>
    <row r="21" spans="2:8" ht="8" customHeight="1" x14ac:dyDescent="0.45"/>
    <row r="22" spans="2:8" ht="22.05" customHeight="1" x14ac:dyDescent="0.5">
      <c r="B22" s="7" t="s">
        <v>175</v>
      </c>
      <c r="C22" s="8"/>
      <c r="D22" s="8"/>
      <c r="E22" s="8"/>
      <c r="F22" s="8"/>
      <c r="G22" s="8"/>
      <c r="H22" s="8"/>
    </row>
    <row r="23" spans="2:8" ht="18" customHeight="1" x14ac:dyDescent="0.45">
      <c r="B23" s="13" t="s">
        <v>176</v>
      </c>
    </row>
    <row r="24" spans="2:8" ht="18" customHeight="1" x14ac:dyDescent="0.45">
      <c r="B24" s="23" t="s">
        <v>177</v>
      </c>
      <c r="C24" s="23" t="s">
        <v>99</v>
      </c>
      <c r="D24" s="24" t="s">
        <v>178</v>
      </c>
      <c r="E24" s="24" t="s">
        <v>179</v>
      </c>
      <c r="F24" s="24" t="s">
        <v>180</v>
      </c>
      <c r="G24" s="5"/>
      <c r="H24" s="23" t="s">
        <v>181</v>
      </c>
    </row>
    <row r="25" spans="2:8" x14ac:dyDescent="0.45">
      <c r="B25" s="42" t="s">
        <v>182</v>
      </c>
      <c r="C25" s="38"/>
      <c r="D25" s="43">
        <v>0.1</v>
      </c>
      <c r="E25" s="43">
        <v>0.5</v>
      </c>
      <c r="F25" s="43">
        <v>0.9</v>
      </c>
      <c r="G25" s="38"/>
      <c r="H25" s="26" t="s">
        <v>183</v>
      </c>
    </row>
    <row r="26" spans="2:8" x14ac:dyDescent="0.45">
      <c r="B26" s="25" t="s">
        <v>107</v>
      </c>
      <c r="C26" s="26" t="s">
        <v>108</v>
      </c>
      <c r="D26" s="30" cm="1">
        <f t="array" ref="D26">_xll.VosePercentile(_xll.VoseLognormalAltObject(Area_Lo,0.1,Area_Hi,0.9,0),D$25)</f>
        <v>1999.9999999999998</v>
      </c>
      <c r="E26" s="30" cm="1">
        <f t="array" ref="E26">_xll.VosePercentile(_xll.VoseLognormalAltObject(Area_Lo,0.1,Area_Hi,0.9,0),E$25)</f>
        <v>3162.2776601683804</v>
      </c>
      <c r="F26" s="30" cm="1">
        <f t="array" ref="F26">_xll.VosePercentile(_xll.VoseLognormalAltObject(Area_Lo,0.1,Area_Hi,0.9,0),F$25)</f>
        <v>5000.0000000000036</v>
      </c>
      <c r="G26" s="38"/>
      <c r="H26" s="26" t="s">
        <v>184</v>
      </c>
    </row>
    <row r="27" spans="2:8" x14ac:dyDescent="0.45">
      <c r="B27" s="25" t="s">
        <v>112</v>
      </c>
      <c r="C27" s="26" t="s">
        <v>113</v>
      </c>
      <c r="D27" s="30" cm="1">
        <f t="array" ref="D27">_xll.VosePercentile(_xll.VosePERTObject(GrossThick_Lo,GrossThick_ML,GrossThick_Hi),D$25)</f>
        <v>99.235684209538988</v>
      </c>
      <c r="E27" s="30" cm="1">
        <f t="array" ref="E27">_xll.VosePercentile(_xll.VosePERTObject(GrossThick_Lo,GrossThick_ML,GrossThick_Hi),E$25)</f>
        <v>121.27323165104102</v>
      </c>
      <c r="F27" s="30" cm="1">
        <f t="array" ref="F27">_xll.VosePercentile(_xll.VosePERTObject(GrossThick_Lo,GrossThick_ML,GrossThick_Hi),F$25)</f>
        <v>144.69008086114582</v>
      </c>
      <c r="G27" s="38"/>
      <c r="H27" s="38"/>
    </row>
    <row r="28" spans="2:8" x14ac:dyDescent="0.45">
      <c r="B28" s="25" t="s">
        <v>116</v>
      </c>
      <c r="C28" s="26" t="s">
        <v>117</v>
      </c>
      <c r="D28" s="34" cm="1">
        <f t="array" ref="D28">_xll.VosePercentile(_xll.VosePERTObject(NTG_Lo,NTG_ML,NTG_Hi),D$25)</f>
        <v>0.52399093598654001</v>
      </c>
      <c r="E28" s="34" cm="1">
        <f t="array" ref="E28">_xll.VosePercentile(_xll.VosePERTObject(NTG_Lo,NTG_ML,NTG_Hi),E$25)</f>
        <v>0.6</v>
      </c>
      <c r="F28" s="34" cm="1">
        <f t="array" ref="F28">_xll.VosePercentile(_xll.VosePERTObject(NTG_Lo,NTG_ML,NTG_Hi),F$25)</f>
        <v>0.67600906401345995</v>
      </c>
      <c r="G28" s="38"/>
      <c r="H28" s="38"/>
    </row>
    <row r="29" spans="2:8" x14ac:dyDescent="0.45">
      <c r="B29" s="25" t="s">
        <v>121</v>
      </c>
      <c r="C29" s="26" t="s">
        <v>117</v>
      </c>
      <c r="D29" s="37" cm="1">
        <f t="array" ref="D29">_xll.VosePercentile(_xll.VosePERTObject(Porosity_Lo,Porosity_ML,Porosity_Hi),D$25)</f>
        <v>0.16466364532884667</v>
      </c>
      <c r="E29" s="37" cm="1">
        <f t="array" ref="E29">_xll.VosePercentile(_xll.VosePERTObject(Porosity_Lo,Porosity_ML,Porosity_Hi),E$25)</f>
        <v>0.19</v>
      </c>
      <c r="F29" s="37" cm="1">
        <f t="array" ref="F29">_xll.VosePercentile(_xll.VosePERTObject(Porosity_Lo,Porosity_ML,Porosity_Hi),F$25)</f>
        <v>0.21533635467115336</v>
      </c>
      <c r="G29" s="38"/>
      <c r="H29" s="38"/>
    </row>
    <row r="30" spans="2:8" x14ac:dyDescent="0.45">
      <c r="B30" s="25" t="s">
        <v>123</v>
      </c>
      <c r="C30" s="26" t="s">
        <v>117</v>
      </c>
      <c r="D30" s="37" cm="1">
        <f t="array" ref="D30">_xll.VosePercentile(_xll.VosePERTObject(WaterSat_Lo,WaterSat_ML,WaterSat_Hi),1-D$25)</f>
        <v>0.33797790783042692</v>
      </c>
      <c r="E30" s="37" cm="1">
        <f t="array" ref="E30">_xll.VosePercentile(_xll.VosePERTObject(WaterSat_Lo,WaterSat_ML,WaterSat_Hi),1-E$25)</f>
        <v>0.28509416040045998</v>
      </c>
      <c r="F30" s="37" cm="1">
        <f t="array" ref="F30">_xll.VosePercentile(_xll.VosePERTObject(WaterSat_Lo,WaterSat_ML,WaterSat_Hi),1-F$25)</f>
        <v>0.23772383198272687</v>
      </c>
      <c r="G30" s="38"/>
      <c r="H30" s="38"/>
    </row>
    <row r="31" spans="2:8" x14ac:dyDescent="0.45">
      <c r="B31" s="25" t="s">
        <v>125</v>
      </c>
      <c r="C31" s="26" t="s">
        <v>126</v>
      </c>
      <c r="D31" s="30" cm="1">
        <f t="array" ref="D31">_xll.VosePercentile(_xll.VosePERTObject(GasExp_Lo,GasExp_ML,GasExp_Hi),D$25)</f>
        <v>194.79818719730798</v>
      </c>
      <c r="E31" s="30" cm="1">
        <f t="array" ref="E31">_xll.VosePercentile(_xll.VosePERTObject(GasExp_Lo,GasExp_ML,GasExp_Hi),E$25)</f>
        <v>210</v>
      </c>
      <c r="F31" s="30" cm="1">
        <f t="array" ref="F31">_xll.VosePercentile(_xll.VosePERTObject(GasExp_Lo,GasExp_ML,GasExp_Hi),F$25)</f>
        <v>225.20181280269202</v>
      </c>
      <c r="G31" s="38"/>
      <c r="H31" s="38"/>
    </row>
    <row r="32" spans="2:8" x14ac:dyDescent="0.45">
      <c r="B32" s="25" t="s">
        <v>130</v>
      </c>
      <c r="C32" s="26" t="s">
        <v>117</v>
      </c>
      <c r="D32" s="34" cm="1">
        <f t="array" ref="D32">_xll.VosePercentile(_xll.VosePERTObject(GasRF_Lo,GasRF_ML,GasRF_Hi),D$25)</f>
        <v>0.66045772254890167</v>
      </c>
      <c r="E32" s="34" cm="1">
        <f t="array" ref="E32">_xll.VosePercentile(_xll.VosePERTObject(GasRF_Lo,GasRF_ML,GasRF_Hi),E$25)</f>
        <v>0.71745362627004927</v>
      </c>
      <c r="F32" s="34" cm="1">
        <f t="array" ref="F32">_xll.VosePercentile(_xll.VosePERTObject(GasRF_Lo,GasRF_ML,GasRF_Hi),F$25)</f>
        <v>0.77169065175866081</v>
      </c>
      <c r="G32" s="38"/>
      <c r="H32" s="38"/>
    </row>
    <row r="33" spans="2:8" x14ac:dyDescent="0.45">
      <c r="B33" s="25" t="s">
        <v>132</v>
      </c>
      <c r="C33" s="26" t="s">
        <v>133</v>
      </c>
      <c r="D33" s="30" cm="1">
        <f t="array" ref="D33">_xll.VosePercentile(_xll.VosePERTObject(CGR_Lo,CGR_ML,CGR_Hi),D$25)</f>
        <v>19.715478997840858</v>
      </c>
      <c r="E33" s="30" cm="1">
        <f t="array" ref="E33">_xll.VosePercentile(_xll.VosePERTObject(CGR_Lo,CGR_ML,CGR_Hi),E$25)</f>
        <v>25.636770050057493</v>
      </c>
      <c r="F33" s="30" cm="1">
        <f t="array" ref="F33">_xll.VosePercentile(_xll.VosePERTObject(CGR_Lo,CGR_ML,CGR_Hi),F$25)</f>
        <v>32.247238478803354</v>
      </c>
      <c r="G33" s="38"/>
      <c r="H33" s="38"/>
    </row>
    <row r="34" spans="2:8" ht="6" customHeight="1" x14ac:dyDescent="0.45"/>
    <row r="35" spans="2:8" x14ac:dyDescent="0.45">
      <c r="B35" s="25" t="s">
        <v>152</v>
      </c>
      <c r="C35" s="26" t="s">
        <v>153</v>
      </c>
      <c r="D35" s="30">
        <f>D26*D27</f>
        <v>198471.36841907795</v>
      </c>
      <c r="E35" s="30">
        <f>E26*E27</f>
        <v>383499.63122651196</v>
      </c>
      <c r="F35" s="30">
        <f>F26*F27</f>
        <v>723450.40430572955</v>
      </c>
      <c r="G35" s="38"/>
      <c r="H35" s="26" t="s">
        <v>154</v>
      </c>
    </row>
    <row r="36" spans="2:8" x14ac:dyDescent="0.45">
      <c r="B36" s="25" t="s">
        <v>155</v>
      </c>
      <c r="C36" s="26" t="s">
        <v>153</v>
      </c>
      <c r="D36" s="30">
        <f t="shared" ref="D36:F37" si="0">D35*D28</f>
        <v>103997.19810444207</v>
      </c>
      <c r="E36" s="30">
        <f t="shared" si="0"/>
        <v>230099.77873590717</v>
      </c>
      <c r="F36" s="30">
        <f t="shared" si="0"/>
        <v>489059.03067487542</v>
      </c>
      <c r="G36" s="38"/>
      <c r="H36" s="26" t="s">
        <v>185</v>
      </c>
    </row>
    <row r="37" spans="2:8" x14ac:dyDescent="0.45">
      <c r="B37" s="25" t="s">
        <v>157</v>
      </c>
      <c r="C37" s="26" t="s">
        <v>153</v>
      </c>
      <c r="D37" s="30">
        <f t="shared" si="0"/>
        <v>17124.557743863654</v>
      </c>
      <c r="E37" s="30">
        <f t="shared" si="0"/>
        <v>43718.957959822365</v>
      </c>
      <c r="F37" s="30">
        <f t="shared" si="0"/>
        <v>105312.18888453544</v>
      </c>
      <c r="G37" s="38"/>
      <c r="H37" s="26" t="s">
        <v>186</v>
      </c>
    </row>
    <row r="38" spans="2:8" x14ac:dyDescent="0.45">
      <c r="B38" s="25" t="s">
        <v>159</v>
      </c>
      <c r="C38" s="26" t="s">
        <v>160</v>
      </c>
      <c r="D38" s="39">
        <f>D37*(1-D30)*SqFtPerAcre/10^6</f>
        <v>493.83255634330499</v>
      </c>
      <c r="E38" s="39">
        <f>E37*(1-E30)*SqFtPerAcre/10^6</f>
        <v>1361.4651143815463</v>
      </c>
      <c r="F38" s="39">
        <f>F37*(1-F30)*SqFtPerAcre/10^6</f>
        <v>3496.8648911033551</v>
      </c>
      <c r="G38" s="38"/>
      <c r="H38" s="26" t="s">
        <v>187</v>
      </c>
    </row>
    <row r="39" spans="2:8" x14ac:dyDescent="0.45">
      <c r="B39" s="25" t="s">
        <v>188</v>
      </c>
      <c r="C39" s="26" t="s">
        <v>163</v>
      </c>
      <c r="D39" s="39">
        <f>D38*D31/1000</f>
        <v>96.197686754688277</v>
      </c>
      <c r="E39" s="39">
        <f>E38*E31/1000</f>
        <v>285.90767402012472</v>
      </c>
      <c r="F39" s="39">
        <f>F38*F31/1000</f>
        <v>787.50031260256378</v>
      </c>
      <c r="G39" s="38"/>
      <c r="H39" s="26" t="s">
        <v>189</v>
      </c>
    </row>
    <row r="40" spans="2:8" x14ac:dyDescent="0.45">
      <c r="B40" s="25" t="s">
        <v>167</v>
      </c>
      <c r="C40" s="26" t="s">
        <v>163</v>
      </c>
      <c r="D40" s="39">
        <f>D39*D32</f>
        <v>63.534505108474065</v>
      </c>
      <c r="E40" s="39">
        <f>E39*E32</f>
        <v>205.12549750417364</v>
      </c>
      <c r="F40" s="39">
        <f>F39*F32</f>
        <v>607.7066294924216</v>
      </c>
      <c r="G40" s="38"/>
      <c r="H40" s="26" t="s">
        <v>190</v>
      </c>
    </row>
    <row r="41" spans="2:8" x14ac:dyDescent="0.45">
      <c r="B41" s="25" t="s">
        <v>169</v>
      </c>
      <c r="C41" s="26" t="s">
        <v>170</v>
      </c>
      <c r="D41" s="44">
        <f>D40*1000*D33/10^6</f>
        <v>1.2526132011043332</v>
      </c>
      <c r="E41" s="44">
        <f>E40*1000*E33/10^6</f>
        <v>5.2587552109181415</v>
      </c>
      <c r="F41" s="44">
        <f>F40*1000*F33/10^6</f>
        <v>19.59686060639191</v>
      </c>
      <c r="G41" s="38"/>
      <c r="H41" s="26" t="s">
        <v>191</v>
      </c>
    </row>
    <row r="42" spans="2:8" x14ac:dyDescent="0.45">
      <c r="B42" s="45" t="s">
        <v>192</v>
      </c>
      <c r="C42" s="46" t="s">
        <v>173</v>
      </c>
      <c r="D42" s="47">
        <f>D40*10^9/ScfPerBoe/10^6+D41</f>
        <v>11.841697385850011</v>
      </c>
      <c r="E42" s="47">
        <f>E40*10^9/ScfPerBoe/10^6+E41</f>
        <v>39.446338128280409</v>
      </c>
      <c r="F42" s="47">
        <f>F40*10^9/ScfPerBoe/10^6+F41</f>
        <v>120.88129885512885</v>
      </c>
      <c r="G42" s="48"/>
      <c r="H42" s="46" t="s">
        <v>193</v>
      </c>
    </row>
  </sheetData>
  <hyperlinks>
    <hyperlink ref="B4" location="'Inputs'!A1" display="◂  Inputs" xr:uid="{00000000-0004-0000-0200-000000000000}"/>
    <hyperlink ref="H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78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11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194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49" t="str" cm="1">
        <f t="array" aca="1" ref="B6" ca="1">IF(ISNUMBER(_xll.VoseSimMean(TotalRes)),"✔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0"/>
      <c r="D6" s="50"/>
      <c r="E6" s="50"/>
      <c r="F6" s="50"/>
      <c r="G6" s="50"/>
    </row>
    <row r="7" spans="1:18" ht="8" customHeight="1" x14ac:dyDescent="0.45"/>
    <row r="8" spans="1:18" ht="22.05" customHeight="1" x14ac:dyDescent="0.5">
      <c r="B8" s="7" t="s">
        <v>196</v>
      </c>
      <c r="C8" s="8"/>
      <c r="D8" s="8"/>
      <c r="E8" s="8"/>
      <c r="F8" s="8"/>
      <c r="G8" s="8"/>
      <c r="I8" s="51" t="s">
        <v>197</v>
      </c>
      <c r="J8" s="8"/>
      <c r="K8" s="8"/>
      <c r="L8" s="8"/>
      <c r="M8" s="8"/>
      <c r="N8" s="8"/>
      <c r="O8" s="8"/>
      <c r="P8" s="8"/>
      <c r="Q8" s="8"/>
      <c r="R8" s="8"/>
    </row>
    <row r="9" spans="1:18" ht="18" customHeight="1" x14ac:dyDescent="0.45">
      <c r="B9" s="13" t="s">
        <v>198</v>
      </c>
    </row>
    <row r="10" spans="1:18" ht="18" customHeight="1" x14ac:dyDescent="0.45">
      <c r="B10" s="23" t="s">
        <v>199</v>
      </c>
      <c r="C10" s="23" t="s">
        <v>99</v>
      </c>
      <c r="D10" s="24" t="s">
        <v>200</v>
      </c>
      <c r="E10" s="24" t="s">
        <v>201</v>
      </c>
      <c r="F10" s="24" t="s">
        <v>202</v>
      </c>
      <c r="G10" s="24" t="s">
        <v>105</v>
      </c>
    </row>
    <row r="11" spans="1:18" x14ac:dyDescent="0.45">
      <c r="B11" s="25" t="s">
        <v>188</v>
      </c>
      <c r="C11" s="26" t="s">
        <v>163</v>
      </c>
      <c r="D11" s="52" cm="1">
        <f t="array" aca="1" ref="D11" ca="1">_xll.VoseSimPercentile(GIIP,0.1)</f>
        <v>165.45307044461936</v>
      </c>
      <c r="E11" s="52" cm="1">
        <f t="array" aca="1" ref="E11" ca="1">_xll.VoseSimPercentile(GIIP,0.5)</f>
        <v>280.18268033889171</v>
      </c>
      <c r="F11" s="52" cm="1">
        <f t="array" aca="1" ref="F11" ca="1">_xll.VoseSimPercentile(GIIP,0.9)</f>
        <v>478.3043513549112</v>
      </c>
      <c r="G11" s="52" cm="1">
        <f t="array" aca="1" ref="G11" ca="1">_xll.VoseSimMean(GIIP)</f>
        <v>306.14091242931693</v>
      </c>
    </row>
    <row r="12" spans="1:18" x14ac:dyDescent="0.45">
      <c r="B12" s="25" t="s">
        <v>167</v>
      </c>
      <c r="C12" s="26" t="s">
        <v>163</v>
      </c>
      <c r="D12" s="52" cm="1">
        <f t="array" aca="1" ref="D12" ca="1">_xll.VoseSimPercentile(RecGas,0.1)</f>
        <v>117.87676448356017</v>
      </c>
      <c r="E12" s="52" cm="1">
        <f t="array" aca="1" ref="E12" ca="1">_xll.VoseSimPercentile(RecGas,0.5)</f>
        <v>200.9501911373606</v>
      </c>
      <c r="F12" s="52" cm="1">
        <f t="array" aca="1" ref="F12" ca="1">_xll.VoseSimPercentile(RecGas,0.9)</f>
        <v>344.81712575390486</v>
      </c>
      <c r="G12" s="52" cm="1">
        <f t="array" aca="1" ref="G12" ca="1">_xll.VoseSimMean(RecGas)</f>
        <v>219.49076381085223</v>
      </c>
    </row>
    <row r="13" spans="1:18" x14ac:dyDescent="0.45">
      <c r="B13" s="25" t="s">
        <v>169</v>
      </c>
      <c r="C13" s="26" t="s">
        <v>170</v>
      </c>
      <c r="D13" s="53" cm="1">
        <f t="array" aca="1" ref="D13" ca="1">_xll.VoseSimPercentile(Condensate,0.1)</f>
        <v>2.8369186262399428</v>
      </c>
      <c r="E13" s="53" cm="1">
        <f t="array" aca="1" ref="E13" ca="1">_xll.VoseSimPercentile(Condensate,0.5)</f>
        <v>5.1019779159294298</v>
      </c>
      <c r="F13" s="53" cm="1">
        <f t="array" aca="1" ref="F13" ca="1">_xll.VoseSimPercentile(Condensate,0.9)</f>
        <v>9.1302495482240946</v>
      </c>
      <c r="G13" s="53" cm="1">
        <f t="array" aca="1" ref="G13" ca="1">_xll.VoseSimMean(Condensate)</f>
        <v>5.666703265302397</v>
      </c>
    </row>
    <row r="14" spans="1:18" x14ac:dyDescent="0.45">
      <c r="B14" s="25" t="s">
        <v>172</v>
      </c>
      <c r="C14" s="26" t="s">
        <v>173</v>
      </c>
      <c r="D14" s="52" cm="1">
        <f t="array" aca="1" ref="D14" ca="1">_xll.VoseSimPercentile(TotalRes,0.1)</f>
        <v>22.690364362529142</v>
      </c>
      <c r="E14" s="52" cm="1">
        <f t="array" aca="1" ref="E14" ca="1">_xll.VoseSimPercentile(TotalRes,0.5)</f>
        <v>38.616556636093563</v>
      </c>
      <c r="F14" s="52" cm="1">
        <f t="array" aca="1" ref="F14" ca="1">_xll.VoseSimPercentile(TotalRes,0.9)</f>
        <v>66.450759616030638</v>
      </c>
      <c r="G14" s="52" cm="1">
        <f t="array" aca="1" ref="G14" ca="1">_xll.VoseSimMean(TotalRes)</f>
        <v>42.24849723377784</v>
      </c>
    </row>
    <row r="15" spans="1:18" ht="8" customHeight="1" x14ac:dyDescent="0.45"/>
    <row r="16" spans="1:18" ht="22.05" customHeight="1" x14ac:dyDescent="0.5">
      <c r="B16" s="7" t="s">
        <v>203</v>
      </c>
      <c r="C16" s="8"/>
      <c r="D16" s="8"/>
      <c r="E16" s="8"/>
      <c r="F16" s="8"/>
      <c r="G16" s="8"/>
    </row>
    <row r="17" spans="2:18" ht="18" customHeight="1" x14ac:dyDescent="0.45">
      <c r="B17" s="13" t="s">
        <v>204</v>
      </c>
    </row>
    <row r="18" spans="2:18" ht="18" customHeight="1" x14ac:dyDescent="0.45">
      <c r="B18" s="23" t="s">
        <v>205</v>
      </c>
      <c r="C18" s="23" t="s">
        <v>99</v>
      </c>
      <c r="D18" s="24" t="s">
        <v>206</v>
      </c>
      <c r="E18" s="24" t="s">
        <v>207</v>
      </c>
      <c r="F18" s="24" t="s">
        <v>208</v>
      </c>
      <c r="G18" s="5"/>
    </row>
    <row r="19" spans="2:18" x14ac:dyDescent="0.45">
      <c r="B19" s="25" t="s">
        <v>209</v>
      </c>
      <c r="C19" s="26" t="s">
        <v>173</v>
      </c>
      <c r="D19" s="39">
        <f>Det_Low</f>
        <v>11.841697385850011</v>
      </c>
      <c r="E19" s="52" cm="1">
        <f t="array" aca="1" ref="E19" ca="1">_xll.VoseSimPercentile(TotalRes,0.1)</f>
        <v>22.690364362529142</v>
      </c>
      <c r="F19" s="54" cm="1">
        <f t="array" aca="1" ref="F19" ca="1">_xll.VoseSimProbability(TotalRes,Det_Low)</f>
        <v>2.1997800219978004E-3</v>
      </c>
      <c r="G19" s="38"/>
    </row>
    <row r="20" spans="2:18" x14ac:dyDescent="0.45">
      <c r="B20" s="25" t="s">
        <v>210</v>
      </c>
      <c r="C20" s="26" t="s">
        <v>173</v>
      </c>
      <c r="D20" s="39">
        <f>Det_Mid</f>
        <v>39.446338128280409</v>
      </c>
      <c r="E20" s="52" cm="1">
        <f t="array" aca="1" ref="E20" ca="1">_xll.VoseSimPercentile(TotalRes,0.5)</f>
        <v>38.616556636093563</v>
      </c>
      <c r="F20" s="54" cm="1">
        <f t="array" aca="1" ref="F20" ca="1">_xll.VoseSimProbability(TotalRes,Det_Mid)</f>
        <v>0.5196480351964804</v>
      </c>
      <c r="G20" s="38"/>
    </row>
    <row r="21" spans="2:18" x14ac:dyDescent="0.45">
      <c r="B21" s="25" t="s">
        <v>211</v>
      </c>
      <c r="C21" s="26" t="s">
        <v>173</v>
      </c>
      <c r="D21" s="39">
        <f>Det_High</f>
        <v>120.88129885512885</v>
      </c>
      <c r="E21" s="52" cm="1">
        <f t="array" aca="1" ref="E21" ca="1">_xll.VoseSimPercentile(TotalRes,0.9)</f>
        <v>66.450759616030638</v>
      </c>
      <c r="F21" s="54" cm="1">
        <f t="array" aca="1" ref="F21" ca="1">_xll.VoseSimProbability(TotalRes,Det_High)</f>
        <v>0.99670032996700331</v>
      </c>
      <c r="G21" s="38"/>
    </row>
    <row r="22" spans="2:18" x14ac:dyDescent="0.45">
      <c r="B22" s="55" t="s">
        <v>212</v>
      </c>
    </row>
    <row r="23" spans="2:18" ht="8" customHeight="1" x14ac:dyDescent="0.45"/>
    <row r="24" spans="2:18" ht="22.05" customHeight="1" x14ac:dyDescent="0.5">
      <c r="B24" s="7" t="s">
        <v>213</v>
      </c>
      <c r="C24" s="8"/>
      <c r="D24" s="8"/>
      <c r="E24" s="8"/>
      <c r="F24" s="8"/>
      <c r="G24" s="8"/>
      <c r="I24" s="51" t="s">
        <v>214</v>
      </c>
      <c r="J24" s="8"/>
      <c r="K24" s="8"/>
      <c r="L24" s="8"/>
      <c r="M24" s="8"/>
      <c r="N24" s="8"/>
      <c r="O24" s="8"/>
      <c r="P24" s="8"/>
      <c r="Q24" s="8"/>
      <c r="R24" s="8"/>
    </row>
    <row r="25" spans="2:18" ht="18" customHeight="1" x14ac:dyDescent="0.45">
      <c r="B25" s="13" t="s">
        <v>215</v>
      </c>
    </row>
    <row r="26" spans="2:18" ht="18" customHeight="1" x14ac:dyDescent="0.45">
      <c r="B26" s="23" t="s">
        <v>216</v>
      </c>
      <c r="C26" s="24" t="s">
        <v>217</v>
      </c>
      <c r="D26" s="24" t="s">
        <v>218</v>
      </c>
      <c r="E26" s="56" t="s">
        <v>219</v>
      </c>
      <c r="F26" s="5"/>
      <c r="G26" s="5"/>
    </row>
    <row r="27" spans="2:18" x14ac:dyDescent="0.45">
      <c r="B27" s="25" t="str">
        <f t="array" aca="1" ref="B27:E34" ca="1">_xll.VoseSimSensitivityMean(TotalRes,10,1,FALSE)</f>
        <v>Productive area</v>
      </c>
      <c r="C27" s="52">
        <f ca="1"/>
        <v>21.33304656625209</v>
      </c>
      <c r="D27" s="52">
        <f ca="1"/>
        <v>75.316354546644362</v>
      </c>
      <c r="E27" s="57">
        <f ca="1"/>
        <v>1</v>
      </c>
      <c r="F27" s="38"/>
      <c r="G27" s="38"/>
    </row>
    <row r="28" spans="2:18" x14ac:dyDescent="0.45">
      <c r="B28" s="25" t="str">
        <f ca="1"/>
        <v>Gross thickness</v>
      </c>
      <c r="C28" s="52">
        <f ca="1"/>
        <v>32.226751402846453</v>
      </c>
      <c r="D28" s="52">
        <f ca="1"/>
        <v>53.194340265828508</v>
      </c>
      <c r="E28" s="57">
        <f ca="1"/>
        <v>2</v>
      </c>
      <c r="F28" s="38"/>
      <c r="G28" s="38"/>
    </row>
    <row r="29" spans="2:18" x14ac:dyDescent="0.45">
      <c r="B29" s="25" t="str">
        <f ca="1"/>
        <v>Net-to-gross</v>
      </c>
      <c r="C29" s="52">
        <f ca="1"/>
        <v>34.610459646443822</v>
      </c>
      <c r="D29" s="52">
        <f ca="1"/>
        <v>48.887460896589019</v>
      </c>
      <c r="E29" s="57">
        <f ca="1"/>
        <v>3</v>
      </c>
      <c r="F29" s="38"/>
      <c r="G29" s="38"/>
    </row>
    <row r="30" spans="2:18" x14ac:dyDescent="0.45">
      <c r="B30" s="25" t="str">
        <f ca="1"/>
        <v>Porosity</v>
      </c>
      <c r="C30" s="52">
        <f ca="1"/>
        <v>35.054992152212726</v>
      </c>
      <c r="D30" s="52">
        <f ca="1"/>
        <v>48.971290660032615</v>
      </c>
      <c r="E30" s="57">
        <f ca="1"/>
        <v>4</v>
      </c>
      <c r="F30" s="38"/>
      <c r="G30" s="38"/>
    </row>
    <row r="31" spans="2:18" x14ac:dyDescent="0.45">
      <c r="B31" s="25" t="str">
        <f ca="1"/>
        <v>Gas recovery factor</v>
      </c>
      <c r="C31" s="52">
        <f ca="1"/>
        <v>38.218089026621193</v>
      </c>
      <c r="D31" s="52">
        <f ca="1"/>
        <v>46.958804218231116</v>
      </c>
      <c r="E31" s="57">
        <f ca="1"/>
        <v>5</v>
      </c>
      <c r="F31" s="38"/>
      <c r="G31" s="38"/>
    </row>
    <row r="32" spans="2:18" x14ac:dyDescent="0.45">
      <c r="B32" s="25" t="str">
        <f ca="1"/>
        <v>Gas expansion factor</v>
      </c>
      <c r="C32" s="52">
        <f ca="1"/>
        <v>37.98488397104861</v>
      </c>
      <c r="D32" s="52">
        <f ca="1"/>
        <v>45.514236790506082</v>
      </c>
      <c r="E32" s="57">
        <f ca="1"/>
        <v>6</v>
      </c>
      <c r="F32" s="38"/>
      <c r="G32" s="38"/>
    </row>
    <row r="33" spans="2:7" x14ac:dyDescent="0.45">
      <c r="B33" s="25" t="str">
        <f ca="1"/>
        <v>Water saturation</v>
      </c>
      <c r="C33" s="52">
        <f ca="1"/>
        <v>38.922625637540989</v>
      </c>
      <c r="D33" s="52">
        <f ca="1"/>
        <v>45.555180986654271</v>
      </c>
      <c r="E33" s="57">
        <f ca="1"/>
        <v>7</v>
      </c>
      <c r="F33" s="38"/>
      <c r="G33" s="38"/>
    </row>
    <row r="34" spans="2:7" x14ac:dyDescent="0.45">
      <c r="B34" s="25" t="str">
        <f ca="1"/>
        <v>Condensate-gas ratio</v>
      </c>
      <c r="C34" s="52">
        <f ca="1"/>
        <v>40.864262235536401</v>
      </c>
      <c r="D34" s="52">
        <f ca="1"/>
        <v>44.387837307140948</v>
      </c>
      <c r="E34" s="57">
        <f ca="1"/>
        <v>8</v>
      </c>
      <c r="F34" s="38"/>
      <c r="G34" s="38"/>
    </row>
    <row r="38" spans="2:7" ht="22.05" customHeight="1" x14ac:dyDescent="0.5">
      <c r="B38" s="7" t="s">
        <v>220</v>
      </c>
      <c r="C38" s="8"/>
      <c r="D38" s="8"/>
      <c r="E38" s="8"/>
      <c r="F38" s="8"/>
      <c r="G38" s="8"/>
    </row>
    <row r="39" spans="2:7" ht="32" customHeight="1" x14ac:dyDescent="0.45">
      <c r="B39" s="66" t="s">
        <v>221</v>
      </c>
      <c r="C39" s="65"/>
      <c r="D39" s="65"/>
      <c r="E39" s="65"/>
      <c r="F39" s="65"/>
      <c r="G39" s="65"/>
    </row>
    <row r="40" spans="2:7" ht="32" customHeight="1" x14ac:dyDescent="0.45">
      <c r="B40" s="66" t="s">
        <v>222</v>
      </c>
      <c r="C40" s="65"/>
      <c r="D40" s="65"/>
      <c r="E40" s="65"/>
      <c r="F40" s="65"/>
      <c r="G40" s="65"/>
    </row>
    <row r="41" spans="2:7" ht="32" customHeight="1" x14ac:dyDescent="0.45">
      <c r="B41" s="66" t="s">
        <v>223</v>
      </c>
      <c r="C41" s="65"/>
      <c r="D41" s="65"/>
      <c r="E41" s="65"/>
      <c r="F41" s="65"/>
      <c r="G41" s="65"/>
    </row>
    <row r="42" spans="2:7" ht="32" customHeight="1" x14ac:dyDescent="0.45">
      <c r="B42" s="66" t="s">
        <v>224</v>
      </c>
      <c r="C42" s="65"/>
      <c r="D42" s="65"/>
      <c r="E42" s="65"/>
      <c r="F42" s="65"/>
      <c r="G42" s="65"/>
    </row>
    <row r="43" spans="2:7" ht="14" customHeight="1" x14ac:dyDescent="0.45"/>
    <row r="44" spans="2:7" ht="14" customHeight="1" x14ac:dyDescent="0.45"/>
    <row r="45" spans="2:7" ht="22.05" customHeight="1" x14ac:dyDescent="0.5">
      <c r="B45" s="7" t="s">
        <v>225</v>
      </c>
      <c r="C45" s="8"/>
      <c r="D45" s="8"/>
      <c r="E45" s="8"/>
      <c r="F45" s="8"/>
      <c r="G45" s="8"/>
    </row>
    <row r="46" spans="2:7" ht="18" customHeight="1" x14ac:dyDescent="0.45">
      <c r="B46" s="13" t="s">
        <v>226</v>
      </c>
    </row>
    <row r="47" spans="2:7" ht="28.05" hidden="1" customHeight="1" outlineLevel="1" x14ac:dyDescent="0.45">
      <c r="B47" s="24" t="s">
        <v>227</v>
      </c>
      <c r="C47" s="24" t="s">
        <v>228</v>
      </c>
      <c r="D47" s="24" t="s">
        <v>229</v>
      </c>
      <c r="E47" s="5"/>
      <c r="F47" s="5"/>
      <c r="G47" s="5"/>
    </row>
    <row r="48" spans="2:7" hidden="1" outlineLevel="1" x14ac:dyDescent="0.45">
      <c r="B48" s="58">
        <v>0.01</v>
      </c>
      <c r="C48" s="58">
        <f t="shared" ref="C48:C79" si="0">1-B48</f>
        <v>0.99</v>
      </c>
      <c r="D48" s="59" cm="1">
        <f t="array" aca="1" ref="D48" ca="1">IF(ISNUMBER(_xll.VoseSimPercentile(TotalRes,$B48)),_xll.VoseSimPercentile(TotalRes,$B48),NA())</f>
        <v>14.384427266029967</v>
      </c>
    </row>
    <row r="49" spans="2:4" hidden="1" outlineLevel="1" x14ac:dyDescent="0.45">
      <c r="B49" s="58">
        <v>0.03</v>
      </c>
      <c r="C49" s="58">
        <f t="shared" si="0"/>
        <v>0.97</v>
      </c>
      <c r="D49" s="59" cm="1">
        <f t="array" aca="1" ref="D49" ca="1">IF(ISNUMBER(_xll.VoseSimPercentile(TotalRes,$B49)),_xll.VoseSimPercentile(TotalRes,$B49),NA())</f>
        <v>17.648508219090804</v>
      </c>
    </row>
    <row r="50" spans="2:4" hidden="1" outlineLevel="1" x14ac:dyDescent="0.45">
      <c r="B50" s="58">
        <v>0.05</v>
      </c>
      <c r="C50" s="58">
        <f t="shared" si="0"/>
        <v>0.95</v>
      </c>
      <c r="D50" s="59" cm="1">
        <f t="array" aca="1" ref="D50" ca="1">IF(ISNUMBER(_xll.VoseSimPercentile(TotalRes,$B50)),_xll.VoseSimPercentile(TotalRes,$B50),NA())</f>
        <v>19.493645352823446</v>
      </c>
    </row>
    <row r="51" spans="2:4" hidden="1" outlineLevel="1" x14ac:dyDescent="0.45">
      <c r="B51" s="58">
        <v>7.0000000000000007E-2</v>
      </c>
      <c r="C51" s="58">
        <f t="shared" si="0"/>
        <v>0.92999999999999994</v>
      </c>
      <c r="D51" s="59" cm="1">
        <f t="array" aca="1" ref="D51" ca="1">IF(ISNUMBER(_xll.VoseSimPercentile(TotalRes,$B51)),_xll.VoseSimPercentile(TotalRes,$B51),NA())</f>
        <v>20.815962879203571</v>
      </c>
    </row>
    <row r="52" spans="2:4" hidden="1" outlineLevel="1" x14ac:dyDescent="0.45">
      <c r="B52" s="58">
        <v>0.09</v>
      </c>
      <c r="C52" s="58">
        <f t="shared" si="0"/>
        <v>0.91</v>
      </c>
      <c r="D52" s="59" cm="1">
        <f t="array" aca="1" ref="D52" ca="1">IF(ISNUMBER(_xll.VoseSimPercentile(TotalRes,$B52)),_xll.VoseSimPercentile(TotalRes,$B52),NA())</f>
        <v>22.054818431233681</v>
      </c>
    </row>
    <row r="53" spans="2:4" hidden="1" outlineLevel="1" x14ac:dyDescent="0.45">
      <c r="B53" s="58">
        <v>0.11</v>
      </c>
      <c r="C53" s="58">
        <f t="shared" si="0"/>
        <v>0.89</v>
      </c>
      <c r="D53" s="59" cm="1">
        <f t="array" aca="1" ref="D53" ca="1">IF(ISNUMBER(_xll.VoseSimPercentile(TotalRes,$B53)),_xll.VoseSimPercentile(TotalRes,$B53),NA())</f>
        <v>23.207554397932693</v>
      </c>
    </row>
    <row r="54" spans="2:4" hidden="1" outlineLevel="1" x14ac:dyDescent="0.45">
      <c r="B54" s="58">
        <v>0.13</v>
      </c>
      <c r="C54" s="58">
        <f t="shared" si="0"/>
        <v>0.87</v>
      </c>
      <c r="D54" s="59" cm="1">
        <f t="array" aca="1" ref="D54" ca="1">IF(ISNUMBER(_xll.VoseSimPercentile(TotalRes,$B54)),_xll.VoseSimPercentile(TotalRes,$B54),NA())</f>
        <v>24.22689979529364</v>
      </c>
    </row>
    <row r="55" spans="2:4" hidden="1" outlineLevel="1" x14ac:dyDescent="0.45">
      <c r="B55" s="58">
        <v>0.15</v>
      </c>
      <c r="C55" s="58">
        <f t="shared" si="0"/>
        <v>0.85</v>
      </c>
      <c r="D55" s="59" cm="1">
        <f t="array" aca="1" ref="D55" ca="1">IF(ISNUMBER(_xll.VoseSimPercentile(TotalRes,$B55)),_xll.VoseSimPercentile(TotalRes,$B55),NA())</f>
        <v>25.133521436827593</v>
      </c>
    </row>
    <row r="56" spans="2:4" hidden="1" outlineLevel="1" x14ac:dyDescent="0.45">
      <c r="B56" s="58">
        <v>0.17</v>
      </c>
      <c r="C56" s="58">
        <f t="shared" si="0"/>
        <v>0.83</v>
      </c>
      <c r="D56" s="59" cm="1">
        <f t="array" aca="1" ref="D56" ca="1">IF(ISNUMBER(_xll.VoseSimPercentile(TotalRes,$B56)),_xll.VoseSimPercentile(TotalRes,$B56),NA())</f>
        <v>25.976657619582621</v>
      </c>
    </row>
    <row r="57" spans="2:4" hidden="1" outlineLevel="1" x14ac:dyDescent="0.45">
      <c r="B57" s="58">
        <v>0.19</v>
      </c>
      <c r="C57" s="58">
        <f t="shared" si="0"/>
        <v>0.81</v>
      </c>
      <c r="D57" s="59" cm="1">
        <f t="array" aca="1" ref="D57" ca="1">IF(ISNUMBER(_xll.VoseSimPercentile(TotalRes,$B57)),_xll.VoseSimPercentile(TotalRes,$B57),NA())</f>
        <v>26.822513980664084</v>
      </c>
    </row>
    <row r="58" spans="2:4" hidden="1" outlineLevel="1" x14ac:dyDescent="0.45">
      <c r="B58" s="58">
        <v>0.21</v>
      </c>
      <c r="C58" s="58">
        <f t="shared" si="0"/>
        <v>0.79</v>
      </c>
      <c r="D58" s="59" cm="1">
        <f t="array" aca="1" ref="D58" ca="1">IF(ISNUMBER(_xll.VoseSimPercentile(TotalRes,$B58)),_xll.VoseSimPercentile(TotalRes,$B58),NA())</f>
        <v>27.680214139838565</v>
      </c>
    </row>
    <row r="59" spans="2:4" hidden="1" outlineLevel="1" x14ac:dyDescent="0.45">
      <c r="B59" s="58">
        <v>0.23</v>
      </c>
      <c r="C59" s="58">
        <f t="shared" si="0"/>
        <v>0.77</v>
      </c>
      <c r="D59" s="59" cm="1">
        <f t="array" aca="1" ref="D59" ca="1">IF(ISNUMBER(_xll.VoseSimPercentile(TotalRes,$B59)),_xll.VoseSimPercentile(TotalRes,$B59),NA())</f>
        <v>28.455635372171464</v>
      </c>
    </row>
    <row r="60" spans="2:4" hidden="1" outlineLevel="1" x14ac:dyDescent="0.45">
      <c r="B60" s="58">
        <v>0.25</v>
      </c>
      <c r="C60" s="58">
        <f t="shared" si="0"/>
        <v>0.75</v>
      </c>
      <c r="D60" s="59" cm="1">
        <f t="array" aca="1" ref="D60" ca="1">IF(ISNUMBER(_xll.VoseSimPercentile(TotalRes,$B60)),_xll.VoseSimPercentile(TotalRes,$B60),NA())</f>
        <v>29.237584818938192</v>
      </c>
    </row>
    <row r="61" spans="2:4" hidden="1" outlineLevel="1" x14ac:dyDescent="0.45">
      <c r="B61" s="58">
        <v>0.27</v>
      </c>
      <c r="C61" s="58">
        <f t="shared" si="0"/>
        <v>0.73</v>
      </c>
      <c r="D61" s="59" cm="1">
        <f t="array" aca="1" ref="D61" ca="1">IF(ISNUMBER(_xll.VoseSimPercentile(TotalRes,$B61)),_xll.VoseSimPercentile(TotalRes,$B61),NA())</f>
        <v>29.953815669746838</v>
      </c>
    </row>
    <row r="62" spans="2:4" hidden="1" outlineLevel="1" x14ac:dyDescent="0.45">
      <c r="B62" s="58">
        <v>0.28999999999999998</v>
      </c>
      <c r="C62" s="58">
        <f t="shared" si="0"/>
        <v>0.71</v>
      </c>
      <c r="D62" s="59" cm="1">
        <f t="array" aca="1" ref="D62" ca="1">IF(ISNUMBER(_xll.VoseSimPercentile(TotalRes,$B62)),_xll.VoseSimPercentile(TotalRes,$B62),NA())</f>
        <v>30.637416062181401</v>
      </c>
    </row>
    <row r="63" spans="2:4" hidden="1" outlineLevel="1" x14ac:dyDescent="0.45">
      <c r="B63" s="58">
        <v>0.31</v>
      </c>
      <c r="C63" s="58">
        <f t="shared" si="0"/>
        <v>0.69</v>
      </c>
      <c r="D63" s="59" cm="1">
        <f t="array" aca="1" ref="D63" ca="1">IF(ISNUMBER(_xll.VoseSimPercentile(TotalRes,$B63)),_xll.VoseSimPercentile(TotalRes,$B63),NA())</f>
        <v>31.384727879467611</v>
      </c>
    </row>
    <row r="64" spans="2:4" hidden="1" outlineLevel="1" x14ac:dyDescent="0.45">
      <c r="B64" s="58">
        <v>0.33</v>
      </c>
      <c r="C64" s="58">
        <f t="shared" si="0"/>
        <v>0.66999999999999993</v>
      </c>
      <c r="D64" s="59" cm="1">
        <f t="array" aca="1" ref="D64" ca="1">IF(ISNUMBER(_xll.VoseSimPercentile(TotalRes,$B64)),_xll.VoseSimPercentile(TotalRes,$B64),NA())</f>
        <v>32.099643972214039</v>
      </c>
    </row>
    <row r="65" spans="2:4" hidden="1" outlineLevel="1" x14ac:dyDescent="0.45">
      <c r="B65" s="58">
        <v>0.35</v>
      </c>
      <c r="C65" s="58">
        <f t="shared" si="0"/>
        <v>0.65</v>
      </c>
      <c r="D65" s="59" cm="1">
        <f t="array" aca="1" ref="D65" ca="1">IF(ISNUMBER(_xll.VoseSimPercentile(TotalRes,$B65)),_xll.VoseSimPercentile(TotalRes,$B65),NA())</f>
        <v>32.818858047511931</v>
      </c>
    </row>
    <row r="66" spans="2:4" hidden="1" outlineLevel="1" x14ac:dyDescent="0.45">
      <c r="B66" s="58">
        <v>0.37</v>
      </c>
      <c r="C66" s="58">
        <f t="shared" si="0"/>
        <v>0.63</v>
      </c>
      <c r="D66" s="59" cm="1">
        <f t="array" aca="1" ref="D66" ca="1">IF(ISNUMBER(_xll.VoseSimPercentile(TotalRes,$B66)),_xll.VoseSimPercentile(TotalRes,$B66),NA())</f>
        <v>33.552660212892178</v>
      </c>
    </row>
    <row r="67" spans="2:4" hidden="1" outlineLevel="1" x14ac:dyDescent="0.45">
      <c r="B67" s="58">
        <v>0.39</v>
      </c>
      <c r="C67" s="58">
        <f t="shared" si="0"/>
        <v>0.61</v>
      </c>
      <c r="D67" s="59" cm="1">
        <f t="array" aca="1" ref="D67" ca="1">IF(ISNUMBER(_xll.VoseSimPercentile(TotalRes,$B67)),_xll.VoseSimPercentile(TotalRes,$B67),NA())</f>
        <v>34.350892036016887</v>
      </c>
    </row>
    <row r="68" spans="2:4" hidden="1" outlineLevel="1" x14ac:dyDescent="0.45">
      <c r="B68" s="58">
        <v>0.41</v>
      </c>
      <c r="C68" s="58">
        <f t="shared" si="0"/>
        <v>0.59000000000000008</v>
      </c>
      <c r="D68" s="59" cm="1">
        <f t="array" aca="1" ref="D68" ca="1">IF(ISNUMBER(_xll.VoseSimPercentile(TotalRes,$B68)),_xll.VoseSimPercentile(TotalRes,$B68),NA())</f>
        <v>35.145794351404859</v>
      </c>
    </row>
    <row r="69" spans="2:4" hidden="1" outlineLevel="1" x14ac:dyDescent="0.45">
      <c r="B69" s="58">
        <v>0.43</v>
      </c>
      <c r="C69" s="58">
        <f t="shared" si="0"/>
        <v>0.57000000000000006</v>
      </c>
      <c r="D69" s="59" cm="1">
        <f t="array" aca="1" ref="D69" ca="1">IF(ISNUMBER(_xll.VoseSimPercentile(TotalRes,$B69)),_xll.VoseSimPercentile(TotalRes,$B69),NA())</f>
        <v>35.940795001129203</v>
      </c>
    </row>
    <row r="70" spans="2:4" hidden="1" outlineLevel="1" x14ac:dyDescent="0.45">
      <c r="B70" s="58">
        <v>0.45</v>
      </c>
      <c r="C70" s="58">
        <f t="shared" si="0"/>
        <v>0.55000000000000004</v>
      </c>
      <c r="D70" s="59" cm="1">
        <f t="array" aca="1" ref="D70" ca="1">IF(ISNUMBER(_xll.VoseSimPercentile(TotalRes,$B70)),_xll.VoseSimPercentile(TotalRes,$B70),NA())</f>
        <v>36.669989338838107</v>
      </c>
    </row>
    <row r="71" spans="2:4" hidden="1" outlineLevel="1" x14ac:dyDescent="0.45">
      <c r="B71" s="58">
        <v>0.47</v>
      </c>
      <c r="C71" s="58">
        <f t="shared" si="0"/>
        <v>0.53</v>
      </c>
      <c r="D71" s="59" cm="1">
        <f t="array" aca="1" ref="D71" ca="1">IF(ISNUMBER(_xll.VoseSimPercentile(TotalRes,$B71)),_xll.VoseSimPercentile(TotalRes,$B71),NA())</f>
        <v>37.492077661148599</v>
      </c>
    </row>
    <row r="72" spans="2:4" hidden="1" outlineLevel="1" x14ac:dyDescent="0.45">
      <c r="B72" s="58">
        <v>0.49</v>
      </c>
      <c r="C72" s="58">
        <f t="shared" si="0"/>
        <v>0.51</v>
      </c>
      <c r="D72" s="59" cm="1">
        <f t="array" aca="1" ref="D72" ca="1">IF(ISNUMBER(_xll.VoseSimPercentile(TotalRes,$B72)),_xll.VoseSimPercentile(TotalRes,$B72),NA())</f>
        <v>38.199265410701003</v>
      </c>
    </row>
    <row r="73" spans="2:4" hidden="1" outlineLevel="1" x14ac:dyDescent="0.45">
      <c r="B73" s="58">
        <v>0.51</v>
      </c>
      <c r="C73" s="58">
        <f t="shared" si="0"/>
        <v>0.49</v>
      </c>
      <c r="D73" s="59" cm="1">
        <f t="array" aca="1" ref="D73" ca="1">IF(ISNUMBER(_xll.VoseSimPercentile(TotalRes,$B73)),_xll.VoseSimPercentile(TotalRes,$B73),NA())</f>
        <v>39.005895882356938</v>
      </c>
    </row>
    <row r="74" spans="2:4" hidden="1" outlineLevel="1" x14ac:dyDescent="0.45">
      <c r="B74" s="58">
        <v>0.53</v>
      </c>
      <c r="C74" s="58">
        <f t="shared" si="0"/>
        <v>0.47</v>
      </c>
      <c r="D74" s="59" cm="1">
        <f t="array" aca="1" ref="D74" ca="1">IF(ISNUMBER(_xll.VoseSimPercentile(TotalRes,$B74)),_xll.VoseSimPercentile(TotalRes,$B74),NA())</f>
        <v>39.907808162859737</v>
      </c>
    </row>
    <row r="75" spans="2:4" hidden="1" outlineLevel="1" x14ac:dyDescent="0.45">
      <c r="B75" s="58">
        <v>0.55000000000000004</v>
      </c>
      <c r="C75" s="58">
        <f t="shared" si="0"/>
        <v>0.44999999999999996</v>
      </c>
      <c r="D75" s="59" cm="1">
        <f t="array" aca="1" ref="D75" ca="1">IF(ISNUMBER(_xll.VoseSimPercentile(TotalRes,$B75)),_xll.VoseSimPercentile(TotalRes,$B75),NA())</f>
        <v>40.818245318588595</v>
      </c>
    </row>
    <row r="76" spans="2:4" hidden="1" outlineLevel="1" x14ac:dyDescent="0.45">
      <c r="B76" s="58">
        <v>0.56999999999999995</v>
      </c>
      <c r="C76" s="58">
        <f t="shared" si="0"/>
        <v>0.43000000000000005</v>
      </c>
      <c r="D76" s="59" cm="1">
        <f t="array" aca="1" ref="D76" ca="1">IF(ISNUMBER(_xll.VoseSimPercentile(TotalRes,$B76)),_xll.VoseSimPercentile(TotalRes,$B76),NA())</f>
        <v>41.657630150444191</v>
      </c>
    </row>
    <row r="77" spans="2:4" hidden="1" outlineLevel="1" x14ac:dyDescent="0.45">
      <c r="B77" s="58">
        <v>0.59</v>
      </c>
      <c r="C77" s="58">
        <f t="shared" si="0"/>
        <v>0.41000000000000003</v>
      </c>
      <c r="D77" s="59" cm="1">
        <f t="array" aca="1" ref="D77" ca="1">IF(ISNUMBER(_xll.VoseSimPercentile(TotalRes,$B77)),_xll.VoseSimPercentile(TotalRes,$B77),NA())</f>
        <v>42.697243567655761</v>
      </c>
    </row>
    <row r="78" spans="2:4" hidden="1" outlineLevel="1" x14ac:dyDescent="0.45">
      <c r="B78" s="58">
        <v>0.61</v>
      </c>
      <c r="C78" s="58">
        <f t="shared" si="0"/>
        <v>0.39</v>
      </c>
      <c r="D78" s="59" cm="1">
        <f t="array" aca="1" ref="D78" ca="1">IF(ISNUMBER(_xll.VoseSimPercentile(TotalRes,$B78)),_xll.VoseSimPercentile(TotalRes,$B78),NA())</f>
        <v>43.635716564369588</v>
      </c>
    </row>
    <row r="79" spans="2:4" hidden="1" outlineLevel="1" x14ac:dyDescent="0.45">
      <c r="B79" s="58">
        <v>0.63</v>
      </c>
      <c r="C79" s="58">
        <f t="shared" si="0"/>
        <v>0.37</v>
      </c>
      <c r="D79" s="59" cm="1">
        <f t="array" aca="1" ref="D79" ca="1">IF(ISNUMBER(_xll.VoseSimPercentile(TotalRes,$B79)),_xll.VoseSimPercentile(TotalRes,$B79),NA())</f>
        <v>44.57487370391933</v>
      </c>
    </row>
    <row r="80" spans="2:4" hidden="1" outlineLevel="1" x14ac:dyDescent="0.45">
      <c r="B80" s="58">
        <v>0.65</v>
      </c>
      <c r="C80" s="58">
        <f t="shared" ref="C80:C111" si="1">1-B80</f>
        <v>0.35</v>
      </c>
      <c r="D80" s="59" cm="1">
        <f t="array" aca="1" ref="D80" ca="1">IF(ISNUMBER(_xll.VoseSimPercentile(TotalRes,$B80)),_xll.VoseSimPercentile(TotalRes,$B80),NA())</f>
        <v>45.550519820178593</v>
      </c>
    </row>
    <row r="81" spans="2:4" hidden="1" outlineLevel="1" x14ac:dyDescent="0.45">
      <c r="B81" s="58">
        <v>0.67</v>
      </c>
      <c r="C81" s="58">
        <f t="shared" si="1"/>
        <v>0.32999999999999996</v>
      </c>
      <c r="D81" s="59" cm="1">
        <f t="array" aca="1" ref="D81" ca="1">IF(ISNUMBER(_xll.VoseSimPercentile(TotalRes,$B81)),_xll.VoseSimPercentile(TotalRes,$B81),NA())</f>
        <v>46.557119461716944</v>
      </c>
    </row>
    <row r="82" spans="2:4" hidden="1" outlineLevel="1" x14ac:dyDescent="0.45">
      <c r="B82" s="58">
        <v>0.69</v>
      </c>
      <c r="C82" s="58">
        <f t="shared" si="1"/>
        <v>0.31000000000000005</v>
      </c>
      <c r="D82" s="59" cm="1">
        <f t="array" aca="1" ref="D82" ca="1">IF(ISNUMBER(_xll.VoseSimPercentile(TotalRes,$B82)),_xll.VoseSimPercentile(TotalRes,$B82),NA())</f>
        <v>47.598484578959578</v>
      </c>
    </row>
    <row r="83" spans="2:4" hidden="1" outlineLevel="1" x14ac:dyDescent="0.45">
      <c r="B83" s="58">
        <v>0.71</v>
      </c>
      <c r="C83" s="58">
        <f t="shared" si="1"/>
        <v>0.29000000000000004</v>
      </c>
      <c r="D83" s="59" cm="1">
        <f t="array" aca="1" ref="D83" ca="1">IF(ISNUMBER(_xll.VoseSimPercentile(TotalRes,$B83)),_xll.VoseSimPercentile(TotalRes,$B83),NA())</f>
        <v>48.649407990982517</v>
      </c>
    </row>
    <row r="84" spans="2:4" hidden="1" outlineLevel="1" x14ac:dyDescent="0.45">
      <c r="B84" s="58">
        <v>0.73</v>
      </c>
      <c r="C84" s="58">
        <f t="shared" si="1"/>
        <v>0.27</v>
      </c>
      <c r="D84" s="59" cm="1">
        <f t="array" aca="1" ref="D84" ca="1">IF(ISNUMBER(_xll.VoseSimPercentile(TotalRes,$B84)),_xll.VoseSimPercentile(TotalRes,$B84),NA())</f>
        <v>49.849980623784212</v>
      </c>
    </row>
    <row r="85" spans="2:4" hidden="1" outlineLevel="1" x14ac:dyDescent="0.45">
      <c r="B85" s="58">
        <v>0.75</v>
      </c>
      <c r="C85" s="58">
        <f t="shared" si="1"/>
        <v>0.25</v>
      </c>
      <c r="D85" s="59" cm="1">
        <f t="array" aca="1" ref="D85" ca="1">IF(ISNUMBER(_xll.VoseSimPercentile(TotalRes,$B85)),_xll.VoseSimPercentile(TotalRes,$B85),NA())</f>
        <v>51.146716326558661</v>
      </c>
    </row>
    <row r="86" spans="2:4" hidden="1" outlineLevel="1" x14ac:dyDescent="0.45">
      <c r="B86" s="58">
        <v>0.77</v>
      </c>
      <c r="C86" s="58">
        <f t="shared" si="1"/>
        <v>0.22999999999999998</v>
      </c>
      <c r="D86" s="59" cm="1">
        <f t="array" aca="1" ref="D86" ca="1">IF(ISNUMBER(_xll.VoseSimPercentile(TotalRes,$B86)),_xll.VoseSimPercentile(TotalRes,$B86),NA())</f>
        <v>52.520623994821044</v>
      </c>
    </row>
    <row r="87" spans="2:4" hidden="1" outlineLevel="1" x14ac:dyDescent="0.45">
      <c r="B87" s="58">
        <v>0.79</v>
      </c>
      <c r="C87" s="58">
        <f t="shared" si="1"/>
        <v>0.20999999999999996</v>
      </c>
      <c r="D87" s="59" cm="1">
        <f t="array" aca="1" ref="D87" ca="1">IF(ISNUMBER(_xll.VoseSimPercentile(TotalRes,$B87)),_xll.VoseSimPercentile(TotalRes,$B87),NA())</f>
        <v>54.134323526432162</v>
      </c>
    </row>
    <row r="88" spans="2:4" hidden="1" outlineLevel="1" x14ac:dyDescent="0.45">
      <c r="B88" s="58">
        <v>0.81</v>
      </c>
      <c r="C88" s="58">
        <f t="shared" si="1"/>
        <v>0.18999999999999995</v>
      </c>
      <c r="D88" s="59" cm="1">
        <f t="array" aca="1" ref="D88" ca="1">IF(ISNUMBER(_xll.VoseSimPercentile(TotalRes,$B88)),_xll.VoseSimPercentile(TotalRes,$B88),NA())</f>
        <v>55.835038954461119</v>
      </c>
    </row>
    <row r="89" spans="2:4" hidden="1" outlineLevel="1" x14ac:dyDescent="0.45">
      <c r="B89" s="58">
        <v>0.83</v>
      </c>
      <c r="C89" s="58">
        <f t="shared" si="1"/>
        <v>0.17000000000000004</v>
      </c>
      <c r="D89" s="59" cm="1">
        <f t="array" aca="1" ref="D89" ca="1">IF(ISNUMBER(_xll.VoseSimPercentile(TotalRes,$B89)),_xll.VoseSimPercentile(TotalRes,$B89),NA())</f>
        <v>57.490641433163994</v>
      </c>
    </row>
    <row r="90" spans="2:4" hidden="1" outlineLevel="1" x14ac:dyDescent="0.45">
      <c r="B90" s="58">
        <v>0.85</v>
      </c>
      <c r="C90" s="58">
        <f t="shared" si="1"/>
        <v>0.15000000000000002</v>
      </c>
      <c r="D90" s="59" cm="1">
        <f t="array" aca="1" ref="D90" ca="1">IF(ISNUMBER(_xll.VoseSimPercentile(TotalRes,$B90)),_xll.VoseSimPercentile(TotalRes,$B90),NA())</f>
        <v>59.506970321421839</v>
      </c>
    </row>
    <row r="91" spans="2:4" hidden="1" outlineLevel="1" x14ac:dyDescent="0.45">
      <c r="B91" s="58">
        <v>0.87</v>
      </c>
      <c r="C91" s="58">
        <f t="shared" si="1"/>
        <v>0.13</v>
      </c>
      <c r="D91" s="59" cm="1">
        <f t="array" aca="1" ref="D91" ca="1">IF(ISNUMBER(_xll.VoseSimPercentile(TotalRes,$B91)),_xll.VoseSimPercentile(TotalRes,$B91),NA())</f>
        <v>61.853181609325766</v>
      </c>
    </row>
    <row r="92" spans="2:4" hidden="1" outlineLevel="1" x14ac:dyDescent="0.45">
      <c r="B92" s="58">
        <v>0.89</v>
      </c>
      <c r="C92" s="58">
        <f t="shared" si="1"/>
        <v>0.10999999999999999</v>
      </c>
      <c r="D92" s="59" cm="1">
        <f t="array" aca="1" ref="D92" ca="1">IF(ISNUMBER(_xll.VoseSimPercentile(TotalRes,$B92)),_xll.VoseSimPercentile(TotalRes,$B92),NA())</f>
        <v>65.131973723437085</v>
      </c>
    </row>
    <row r="93" spans="2:4" hidden="1" outlineLevel="1" x14ac:dyDescent="0.45">
      <c r="B93" s="58">
        <v>0.91</v>
      </c>
      <c r="C93" s="58">
        <f t="shared" si="1"/>
        <v>8.9999999999999969E-2</v>
      </c>
      <c r="D93" s="59" cm="1">
        <f t="array" aca="1" ref="D93" ca="1">IF(ISNUMBER(_xll.VoseSimPercentile(TotalRes,$B93)),_xll.VoseSimPercentile(TotalRes,$B93),NA())</f>
        <v>68.042865660871982</v>
      </c>
    </row>
    <row r="94" spans="2:4" hidden="1" outlineLevel="1" x14ac:dyDescent="0.45">
      <c r="B94" s="58">
        <v>0.93</v>
      </c>
      <c r="C94" s="58">
        <f t="shared" si="1"/>
        <v>6.9999999999999951E-2</v>
      </c>
      <c r="D94" s="59" cm="1">
        <f t="array" aca="1" ref="D94" ca="1">IF(ISNUMBER(_xll.VoseSimPercentile(TotalRes,$B94)),_xll.VoseSimPercentile(TotalRes,$B94),NA())</f>
        <v>72.277010970031668</v>
      </c>
    </row>
    <row r="95" spans="2:4" hidden="1" outlineLevel="1" x14ac:dyDescent="0.45">
      <c r="B95" s="58">
        <v>0.95</v>
      </c>
      <c r="C95" s="58">
        <f t="shared" si="1"/>
        <v>5.0000000000000044E-2</v>
      </c>
      <c r="D95" s="59" cm="1">
        <f t="array" aca="1" ref="D95" ca="1">IF(ISNUMBER(_xll.VoseSimPercentile(TotalRes,$B95)),_xll.VoseSimPercentile(TotalRes,$B95),NA())</f>
        <v>77.368930618720213</v>
      </c>
    </row>
    <row r="96" spans="2:4" hidden="1" outlineLevel="1" x14ac:dyDescent="0.45">
      <c r="B96" s="58">
        <v>0.97</v>
      </c>
      <c r="C96" s="58">
        <f t="shared" si="1"/>
        <v>3.0000000000000027E-2</v>
      </c>
      <c r="D96" s="59" cm="1">
        <f t="array" aca="1" ref="D96" ca="1">IF(ISNUMBER(_xll.VoseSimPercentile(TotalRes,$B96)),_xll.VoseSimPercentile(TotalRes,$B96),NA())</f>
        <v>85.824048771865364</v>
      </c>
    </row>
    <row r="97" spans="2:7" hidden="1" outlineLevel="1" x14ac:dyDescent="0.45">
      <c r="B97" s="58">
        <v>0.99</v>
      </c>
      <c r="C97" s="58">
        <f t="shared" si="1"/>
        <v>1.0000000000000009E-2</v>
      </c>
      <c r="D97" s="59" cm="1">
        <f t="array" aca="1" ref="D97" ca="1">IF(ISNUMBER(_xll.VoseSimPercentile(TotalRes,$B97)),_xll.VoseSimPercentile(TotalRes,$B97),NA())</f>
        <v>102.21086949481793</v>
      </c>
    </row>
    <row r="98" spans="2:7" hidden="1" outlineLevel="1" x14ac:dyDescent="0.45"/>
    <row r="99" spans="2:7" hidden="1" outlineLevel="1" x14ac:dyDescent="0.45">
      <c r="B99" s="60" t="s">
        <v>230</v>
      </c>
      <c r="D99" s="61" cm="1">
        <f t="array" aca="1" ref="D99" ca="1">_xll.VoseSimMean(TotalRes)</f>
        <v>42.24849723377784</v>
      </c>
    </row>
    <row r="100" spans="2:7" ht="18" hidden="1" customHeight="1" outlineLevel="1" x14ac:dyDescent="0.45">
      <c r="B100" s="23" t="s">
        <v>231</v>
      </c>
      <c r="C100" s="5"/>
      <c r="D100" s="5"/>
      <c r="E100" s="5"/>
      <c r="F100" s="24" t="s">
        <v>232</v>
      </c>
      <c r="G100" s="24" t="s">
        <v>233</v>
      </c>
    </row>
    <row r="101" spans="2:7" hidden="1" outlineLevel="1" x14ac:dyDescent="0.45">
      <c r="B101" s="62" t="str">
        <f t="shared" ref="B101:B108" ca="1" si="2">B27</f>
        <v>Productive area</v>
      </c>
      <c r="F101" s="63">
        <f t="shared" ref="F101:F108" ca="1" si="3">IFERROR(D27-$D$99,NA())</f>
        <v>33.067857312866522</v>
      </c>
      <c r="G101" s="63">
        <f t="shared" ref="G101:G108" ca="1" si="4">IFERROR(C27-$D$99,NA())</f>
        <v>-20.91545066752575</v>
      </c>
    </row>
    <row r="102" spans="2:7" hidden="1" outlineLevel="1" x14ac:dyDescent="0.45">
      <c r="B102" s="62" t="str">
        <f t="shared" ca="1" si="2"/>
        <v>Gross thickness</v>
      </c>
      <c r="F102" s="63">
        <f t="shared" ca="1" si="3"/>
        <v>10.945843032050668</v>
      </c>
      <c r="G102" s="63">
        <f t="shared" ca="1" si="4"/>
        <v>-10.021745830931387</v>
      </c>
    </row>
    <row r="103" spans="2:7" hidden="1" outlineLevel="1" x14ac:dyDescent="0.45">
      <c r="B103" s="62" t="str">
        <f t="shared" ca="1" si="2"/>
        <v>Net-to-gross</v>
      </c>
      <c r="F103" s="63">
        <f t="shared" ca="1" si="3"/>
        <v>6.6389636628111788</v>
      </c>
      <c r="G103" s="63">
        <f t="shared" ca="1" si="4"/>
        <v>-7.6380375873340185</v>
      </c>
    </row>
    <row r="104" spans="2:7" hidden="1" outlineLevel="1" x14ac:dyDescent="0.45">
      <c r="B104" s="62" t="str">
        <f t="shared" ca="1" si="2"/>
        <v>Porosity</v>
      </c>
      <c r="F104" s="63">
        <f t="shared" ca="1" si="3"/>
        <v>6.7227934262547748</v>
      </c>
      <c r="G104" s="63">
        <f t="shared" ca="1" si="4"/>
        <v>-7.1935050815651138</v>
      </c>
    </row>
    <row r="105" spans="2:7" hidden="1" outlineLevel="1" x14ac:dyDescent="0.45">
      <c r="B105" s="62" t="str">
        <f t="shared" ca="1" si="2"/>
        <v>Gas recovery factor</v>
      </c>
      <c r="F105" s="63">
        <f t="shared" ca="1" si="3"/>
        <v>4.7103069844532754</v>
      </c>
      <c r="G105" s="63">
        <f t="shared" ca="1" si="4"/>
        <v>-4.0304082071566469</v>
      </c>
    </row>
    <row r="106" spans="2:7" hidden="1" outlineLevel="1" x14ac:dyDescent="0.45">
      <c r="B106" s="62" t="str">
        <f t="shared" ca="1" si="2"/>
        <v>Gas expansion factor</v>
      </c>
      <c r="F106" s="63">
        <f t="shared" ca="1" si="3"/>
        <v>3.2657395567282421</v>
      </c>
      <c r="G106" s="63">
        <f t="shared" ca="1" si="4"/>
        <v>-4.2636132627292298</v>
      </c>
    </row>
    <row r="107" spans="2:7" hidden="1" outlineLevel="1" x14ac:dyDescent="0.45">
      <c r="B107" s="62" t="str">
        <f t="shared" ca="1" si="2"/>
        <v>Water saturation</v>
      </c>
      <c r="F107" s="63">
        <f t="shared" ca="1" si="3"/>
        <v>3.306683752876431</v>
      </c>
      <c r="G107" s="63">
        <f t="shared" ca="1" si="4"/>
        <v>-3.3258715962368512</v>
      </c>
    </row>
    <row r="108" spans="2:7" hidden="1" outlineLevel="1" x14ac:dyDescent="0.45">
      <c r="B108" s="62" t="str">
        <f t="shared" ca="1" si="2"/>
        <v>Condensate-gas ratio</v>
      </c>
      <c r="F108" s="63">
        <f t="shared" ca="1" si="3"/>
        <v>2.1393400733631083</v>
      </c>
      <c r="G108" s="63">
        <f t="shared" ca="1" si="4"/>
        <v>-1.384234998241439</v>
      </c>
    </row>
    <row r="109" spans="2:7" hidden="1" outlineLevel="1" x14ac:dyDescent="0.45"/>
    <row r="110" spans="2:7" ht="18" hidden="1" customHeight="1" outlineLevel="1" x14ac:dyDescent="0.45">
      <c r="B110" s="23" t="s">
        <v>234</v>
      </c>
      <c r="C110" s="24" t="s">
        <v>228</v>
      </c>
      <c r="D110" s="24" t="s">
        <v>150</v>
      </c>
      <c r="E110" s="5"/>
      <c r="F110" s="5"/>
      <c r="G110" s="5"/>
    </row>
    <row r="111" spans="2:7" hidden="1" outlineLevel="1" x14ac:dyDescent="0.45">
      <c r="B111" s="60" t="s">
        <v>200</v>
      </c>
      <c r="C111" s="58">
        <v>0.9</v>
      </c>
      <c r="D111" s="59" cm="1">
        <f t="array" aca="1" ref="D111" ca="1">IF(ISNUMBER(_xll.VoseSimPercentile(TotalRes,0.1)),_xll.VoseSimPercentile(TotalRes,0.1),NA())</f>
        <v>22.690364362529142</v>
      </c>
    </row>
    <row r="112" spans="2:7" hidden="1" outlineLevel="1" x14ac:dyDescent="0.45">
      <c r="B112" s="60" t="s">
        <v>201</v>
      </c>
      <c r="C112" s="58">
        <v>0.5</v>
      </c>
      <c r="D112" s="59" cm="1">
        <f t="array" aca="1" ref="D112" ca="1">IF(ISNUMBER(_xll.VoseSimPercentile(TotalRes,0.5)),_xll.VoseSimPercentile(TotalRes,0.5),NA())</f>
        <v>38.616556636093563</v>
      </c>
    </row>
    <row r="113" spans="2:4" hidden="1" outlineLevel="1" x14ac:dyDescent="0.45">
      <c r="B113" s="60" t="s">
        <v>202</v>
      </c>
      <c r="C113" s="58">
        <v>0.1</v>
      </c>
      <c r="D113" s="59" cm="1">
        <f t="array" aca="1" ref="D113" ca="1">IF(ISNUMBER(_xll.VoseSimPercentile(TotalRes,0.9)),_xll.VoseSimPercentile(TotalRes,0.9),NA())</f>
        <v>66.450759616030638</v>
      </c>
    </row>
  </sheetData>
  <mergeCells count="4">
    <mergeCell ref="B42:G42"/>
    <mergeCell ref="B40:G40"/>
    <mergeCell ref="B39:G39"/>
    <mergeCell ref="B41:G41"/>
  </mergeCells>
  <conditionalFormatting sqref="B6:G6">
    <cfRule type="expression" dxfId="3" priority="1">
      <formula>LEFT($B$6,1)&lt;&gt;"✔"</formula>
    </cfRule>
  </conditionalFormatting>
  <conditionalFormatting sqref="D48:D97">
    <cfRule type="expression" dxfId="2" priority="2">
      <formula>ISNA(D48)</formula>
    </cfRule>
  </conditionalFormatting>
  <conditionalFormatting sqref="D111:D113">
    <cfRule type="expression" dxfId="1" priority="4">
      <formula>ISNA(D111)</formula>
    </cfRule>
  </conditionalFormatting>
  <conditionalFormatting sqref="F101:G108">
    <cfRule type="expression" dxfId="0" priority="3">
      <formula>ISNA(F101)</formula>
    </cfRule>
  </conditionalFormatting>
  <hyperlinks>
    <hyperlink ref="B4" location="'Volumes'!A1" display="◂  Volumes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86C0-58C1-4E6E-866E-E6836CF7585D}">
  <dimension ref="A1:B1"/>
  <sheetViews>
    <sheetView workbookViewId="0"/>
  </sheetViews>
  <sheetFormatPr defaultRowHeight="14.25" x14ac:dyDescent="0.45"/>
  <sheetData>
    <row r="1" spans="1:2" x14ac:dyDescent="0.45">
      <c r="A1" s="68" t="s">
        <v>235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1490-161D-41EC-B158-0FF9213640BE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FF2C-F00A-4252-9250-0582CD9E4622}">
  <dimension ref="B3:B122"/>
  <sheetViews>
    <sheetView workbookViewId="0"/>
  </sheetViews>
  <sheetFormatPr defaultRowHeight="14.25" x14ac:dyDescent="0.45"/>
  <sheetData>
    <row r="3" spans="2:2" x14ac:dyDescent="0.45">
      <c r="B3">
        <v>176</v>
      </c>
    </row>
    <row r="4" spans="2:2" x14ac:dyDescent="0.45">
      <c r="B4">
        <v>764</v>
      </c>
    </row>
    <row r="5" spans="2:2" x14ac:dyDescent="0.45">
      <c r="B5">
        <v>630</v>
      </c>
    </row>
    <row r="6" spans="2:2" x14ac:dyDescent="0.45">
      <c r="B6">
        <v>296</v>
      </c>
    </row>
    <row r="7" spans="2:2" x14ac:dyDescent="0.45">
      <c r="B7">
        <v>97</v>
      </c>
    </row>
    <row r="8" spans="2:2" x14ac:dyDescent="0.45">
      <c r="B8">
        <v>27</v>
      </c>
    </row>
    <row r="9" spans="2:2" x14ac:dyDescent="0.45">
      <c r="B9">
        <v>6</v>
      </c>
    </row>
    <row r="10" spans="2:2" x14ac:dyDescent="0.45">
      <c r="B10">
        <v>2</v>
      </c>
    </row>
    <row r="11" spans="2:2" x14ac:dyDescent="0.45">
      <c r="B11">
        <v>0</v>
      </c>
    </row>
    <row r="12" spans="2:2" x14ac:dyDescent="0.45">
      <c r="B12">
        <v>2</v>
      </c>
    </row>
    <row r="13" spans="2:2" x14ac:dyDescent="0.45">
      <c r="B13">
        <v>35</v>
      </c>
    </row>
    <row r="14" spans="2:2" x14ac:dyDescent="0.45">
      <c r="B14">
        <v>162</v>
      </c>
    </row>
    <row r="15" spans="2:2" x14ac:dyDescent="0.45">
      <c r="B15">
        <v>245</v>
      </c>
    </row>
    <row r="16" spans="2:2" x14ac:dyDescent="0.45">
      <c r="B16">
        <v>342</v>
      </c>
    </row>
    <row r="17" spans="2:2" x14ac:dyDescent="0.45">
      <c r="B17">
        <v>335</v>
      </c>
    </row>
    <row r="18" spans="2:2" x14ac:dyDescent="0.45">
      <c r="B18">
        <v>340</v>
      </c>
    </row>
    <row r="19" spans="2:2" x14ac:dyDescent="0.45">
      <c r="B19">
        <v>275</v>
      </c>
    </row>
    <row r="20" spans="2:2" x14ac:dyDescent="0.45">
      <c r="B20">
        <v>159</v>
      </c>
    </row>
    <row r="21" spans="2:2" x14ac:dyDescent="0.45">
      <c r="B21">
        <v>86</v>
      </c>
    </row>
    <row r="22" spans="2:2" x14ac:dyDescent="0.45">
      <c r="B22">
        <v>21</v>
      </c>
    </row>
    <row r="23" spans="2:2" x14ac:dyDescent="0.45">
      <c r="B23">
        <v>34</v>
      </c>
    </row>
    <row r="24" spans="2:2" x14ac:dyDescent="0.45">
      <c r="B24">
        <v>128</v>
      </c>
    </row>
    <row r="25" spans="2:2" x14ac:dyDescent="0.45">
      <c r="B25">
        <v>213</v>
      </c>
    </row>
    <row r="26" spans="2:2" x14ac:dyDescent="0.45">
      <c r="B26">
        <v>309</v>
      </c>
    </row>
    <row r="27" spans="2:2" x14ac:dyDescent="0.45">
      <c r="B27">
        <v>360</v>
      </c>
    </row>
    <row r="28" spans="2:2" x14ac:dyDescent="0.45">
      <c r="B28">
        <v>337</v>
      </c>
    </row>
    <row r="29" spans="2:2" x14ac:dyDescent="0.45">
      <c r="B29">
        <v>326</v>
      </c>
    </row>
    <row r="30" spans="2:2" x14ac:dyDescent="0.45">
      <c r="B30">
        <v>170</v>
      </c>
    </row>
    <row r="31" spans="2:2" x14ac:dyDescent="0.45">
      <c r="B31">
        <v>103</v>
      </c>
    </row>
    <row r="32" spans="2:2" x14ac:dyDescent="0.45">
      <c r="B32">
        <v>20</v>
      </c>
    </row>
    <row r="33" spans="2:2" x14ac:dyDescent="0.45">
      <c r="B33">
        <v>19</v>
      </c>
    </row>
    <row r="34" spans="2:2" x14ac:dyDescent="0.45">
      <c r="B34">
        <v>96</v>
      </c>
    </row>
    <row r="35" spans="2:2" x14ac:dyDescent="0.45">
      <c r="B35">
        <v>225</v>
      </c>
    </row>
    <row r="36" spans="2:2" x14ac:dyDescent="0.45">
      <c r="B36">
        <v>305</v>
      </c>
    </row>
    <row r="37" spans="2:2" x14ac:dyDescent="0.45">
      <c r="B37">
        <v>348</v>
      </c>
    </row>
    <row r="38" spans="2:2" x14ac:dyDescent="0.45">
      <c r="B38">
        <v>349</v>
      </c>
    </row>
    <row r="39" spans="2:2" x14ac:dyDescent="0.45">
      <c r="B39">
        <v>295</v>
      </c>
    </row>
    <row r="40" spans="2:2" x14ac:dyDescent="0.45">
      <c r="B40">
        <v>213</v>
      </c>
    </row>
    <row r="41" spans="2:2" x14ac:dyDescent="0.45">
      <c r="B41">
        <v>119</v>
      </c>
    </row>
    <row r="42" spans="2:2" x14ac:dyDescent="0.45">
      <c r="B42">
        <v>31</v>
      </c>
    </row>
    <row r="43" spans="2:2" x14ac:dyDescent="0.45">
      <c r="B43">
        <v>48</v>
      </c>
    </row>
    <row r="44" spans="2:2" x14ac:dyDescent="0.45">
      <c r="B44">
        <v>171</v>
      </c>
    </row>
    <row r="45" spans="2:2" x14ac:dyDescent="0.45">
      <c r="B45">
        <v>261</v>
      </c>
    </row>
    <row r="46" spans="2:2" x14ac:dyDescent="0.45">
      <c r="B46">
        <v>346</v>
      </c>
    </row>
    <row r="47" spans="2:2" x14ac:dyDescent="0.45">
      <c r="B47">
        <v>353</v>
      </c>
    </row>
    <row r="48" spans="2:2" x14ac:dyDescent="0.45">
      <c r="B48">
        <v>353</v>
      </c>
    </row>
    <row r="49" spans="2:2" x14ac:dyDescent="0.45">
      <c r="B49">
        <v>219</v>
      </c>
    </row>
    <row r="50" spans="2:2" x14ac:dyDescent="0.45">
      <c r="B50">
        <v>147</v>
      </c>
    </row>
    <row r="51" spans="2:2" x14ac:dyDescent="0.45">
      <c r="B51">
        <v>80</v>
      </c>
    </row>
    <row r="52" spans="2:2" x14ac:dyDescent="0.45">
      <c r="B52">
        <v>22</v>
      </c>
    </row>
    <row r="53" spans="2:2" x14ac:dyDescent="0.45">
      <c r="B53">
        <v>30</v>
      </c>
    </row>
    <row r="54" spans="2:2" x14ac:dyDescent="0.45">
      <c r="B54">
        <v>104</v>
      </c>
    </row>
    <row r="55" spans="2:2" x14ac:dyDescent="0.45">
      <c r="B55">
        <v>223</v>
      </c>
    </row>
    <row r="56" spans="2:2" x14ac:dyDescent="0.45">
      <c r="B56">
        <v>296</v>
      </c>
    </row>
    <row r="57" spans="2:2" x14ac:dyDescent="0.45">
      <c r="B57">
        <v>331</v>
      </c>
    </row>
    <row r="58" spans="2:2" x14ac:dyDescent="0.45">
      <c r="B58">
        <v>363</v>
      </c>
    </row>
    <row r="59" spans="2:2" x14ac:dyDescent="0.45">
      <c r="B59">
        <v>268</v>
      </c>
    </row>
    <row r="60" spans="2:2" x14ac:dyDescent="0.45">
      <c r="B60">
        <v>231</v>
      </c>
    </row>
    <row r="61" spans="2:2" x14ac:dyDescent="0.45">
      <c r="B61">
        <v>119</v>
      </c>
    </row>
    <row r="62" spans="2:2" x14ac:dyDescent="0.45">
      <c r="B62">
        <v>35</v>
      </c>
    </row>
    <row r="63" spans="2:2" x14ac:dyDescent="0.45">
      <c r="B63">
        <v>13</v>
      </c>
    </row>
    <row r="64" spans="2:2" x14ac:dyDescent="0.45">
      <c r="B64">
        <v>76</v>
      </c>
    </row>
    <row r="65" spans="2:2" x14ac:dyDescent="0.45">
      <c r="B65">
        <v>167</v>
      </c>
    </row>
    <row r="66" spans="2:2" x14ac:dyDescent="0.45">
      <c r="B66">
        <v>262</v>
      </c>
    </row>
    <row r="67" spans="2:2" x14ac:dyDescent="0.45">
      <c r="B67">
        <v>314</v>
      </c>
    </row>
    <row r="68" spans="2:2" x14ac:dyDescent="0.45">
      <c r="B68">
        <v>360</v>
      </c>
    </row>
    <row r="69" spans="2:2" x14ac:dyDescent="0.45">
      <c r="B69">
        <v>327</v>
      </c>
    </row>
    <row r="70" spans="2:2" x14ac:dyDescent="0.45">
      <c r="B70">
        <v>237</v>
      </c>
    </row>
    <row r="71" spans="2:2" x14ac:dyDescent="0.45">
      <c r="B71">
        <v>165</v>
      </c>
    </row>
    <row r="72" spans="2:2" x14ac:dyDescent="0.45">
      <c r="B72">
        <v>79</v>
      </c>
    </row>
    <row r="73" spans="2:2" x14ac:dyDescent="0.45">
      <c r="B73">
        <v>61</v>
      </c>
    </row>
    <row r="74" spans="2:2" x14ac:dyDescent="0.45">
      <c r="B74">
        <v>163</v>
      </c>
    </row>
    <row r="75" spans="2:2" x14ac:dyDescent="0.45">
      <c r="B75">
        <v>314</v>
      </c>
    </row>
    <row r="76" spans="2:2" x14ac:dyDescent="0.45">
      <c r="B76">
        <v>349</v>
      </c>
    </row>
    <row r="77" spans="2:2" x14ac:dyDescent="0.45">
      <c r="B77">
        <v>343</v>
      </c>
    </row>
    <row r="78" spans="2:2" x14ac:dyDescent="0.45">
      <c r="B78">
        <v>294</v>
      </c>
    </row>
    <row r="79" spans="2:2" x14ac:dyDescent="0.45">
      <c r="B79">
        <v>244</v>
      </c>
    </row>
    <row r="80" spans="2:2" x14ac:dyDescent="0.45">
      <c r="B80">
        <v>143</v>
      </c>
    </row>
    <row r="81" spans="2:2" x14ac:dyDescent="0.45">
      <c r="B81">
        <v>69</v>
      </c>
    </row>
    <row r="82" spans="2:2" x14ac:dyDescent="0.45">
      <c r="B82">
        <v>20</v>
      </c>
    </row>
    <row r="83" spans="2:2" x14ac:dyDescent="0.45">
      <c r="B83">
        <v>256</v>
      </c>
    </row>
    <row r="84" spans="2:2" x14ac:dyDescent="0.45">
      <c r="B84">
        <v>742</v>
      </c>
    </row>
    <row r="85" spans="2:2" x14ac:dyDescent="0.45">
      <c r="B85">
        <v>567</v>
      </c>
    </row>
    <row r="86" spans="2:2" x14ac:dyDescent="0.45">
      <c r="B86">
        <v>274</v>
      </c>
    </row>
    <row r="87" spans="2:2" x14ac:dyDescent="0.45">
      <c r="B87">
        <v>102</v>
      </c>
    </row>
    <row r="88" spans="2:2" x14ac:dyDescent="0.45">
      <c r="B88">
        <v>35</v>
      </c>
    </row>
    <row r="89" spans="2:2" x14ac:dyDescent="0.45">
      <c r="B89">
        <v>12</v>
      </c>
    </row>
    <row r="90" spans="2:2" x14ac:dyDescent="0.45">
      <c r="B90">
        <v>7</v>
      </c>
    </row>
    <row r="91" spans="2:2" x14ac:dyDescent="0.45">
      <c r="B91">
        <v>3</v>
      </c>
    </row>
    <row r="92" spans="2:2" x14ac:dyDescent="0.45">
      <c r="B92">
        <v>2</v>
      </c>
    </row>
    <row r="93" spans="2:2" x14ac:dyDescent="0.45">
      <c r="B93">
        <v>234</v>
      </c>
    </row>
    <row r="94" spans="2:2" x14ac:dyDescent="0.45">
      <c r="B94">
        <v>696</v>
      </c>
    </row>
    <row r="95" spans="2:2" x14ac:dyDescent="0.45">
      <c r="B95">
        <v>572</v>
      </c>
    </row>
    <row r="96" spans="2:2" x14ac:dyDescent="0.45">
      <c r="B96">
        <v>287</v>
      </c>
    </row>
    <row r="97" spans="2:2" x14ac:dyDescent="0.45">
      <c r="B97">
        <v>123</v>
      </c>
    </row>
    <row r="98" spans="2:2" x14ac:dyDescent="0.45">
      <c r="B98">
        <v>58</v>
      </c>
    </row>
    <row r="99" spans="2:2" x14ac:dyDescent="0.45">
      <c r="B99">
        <v>15</v>
      </c>
    </row>
    <row r="100" spans="2:2" x14ac:dyDescent="0.45">
      <c r="B100">
        <v>8</v>
      </c>
    </row>
    <row r="101" spans="2:2" x14ac:dyDescent="0.45">
      <c r="B101">
        <v>4</v>
      </c>
    </row>
    <row r="102" spans="2:2" x14ac:dyDescent="0.45">
      <c r="B102">
        <v>3</v>
      </c>
    </row>
    <row r="103" spans="2:2" x14ac:dyDescent="0.45">
      <c r="B103">
        <v>287</v>
      </c>
    </row>
    <row r="104" spans="2:2" x14ac:dyDescent="0.45">
      <c r="B104">
        <v>837</v>
      </c>
    </row>
    <row r="105" spans="2:2" x14ac:dyDescent="0.45">
      <c r="B105">
        <v>507</v>
      </c>
    </row>
    <row r="106" spans="2:2" x14ac:dyDescent="0.45">
      <c r="B106">
        <v>224</v>
      </c>
    </row>
    <row r="107" spans="2:2" x14ac:dyDescent="0.45">
      <c r="B107">
        <v>88</v>
      </c>
    </row>
    <row r="108" spans="2:2" x14ac:dyDescent="0.45">
      <c r="B108">
        <v>40</v>
      </c>
    </row>
    <row r="109" spans="2:2" x14ac:dyDescent="0.45">
      <c r="B109">
        <v>7</v>
      </c>
    </row>
    <row r="110" spans="2:2" x14ac:dyDescent="0.45">
      <c r="B110">
        <v>5</v>
      </c>
    </row>
    <row r="111" spans="2:2" x14ac:dyDescent="0.45">
      <c r="B111">
        <v>3</v>
      </c>
    </row>
    <row r="112" spans="2:2" x14ac:dyDescent="0.45">
      <c r="B112">
        <v>2</v>
      </c>
    </row>
    <row r="113" spans="2:2" x14ac:dyDescent="0.45">
      <c r="B113">
        <v>234</v>
      </c>
    </row>
    <row r="114" spans="2:2" x14ac:dyDescent="0.45">
      <c r="B114">
        <v>718</v>
      </c>
    </row>
    <row r="115" spans="2:2" x14ac:dyDescent="0.45">
      <c r="B115">
        <v>569</v>
      </c>
    </row>
    <row r="116" spans="2:2" x14ac:dyDescent="0.45">
      <c r="B116">
        <v>288</v>
      </c>
    </row>
    <row r="117" spans="2:2" x14ac:dyDescent="0.45">
      <c r="B117">
        <v>114</v>
      </c>
    </row>
    <row r="118" spans="2:2" x14ac:dyDescent="0.45">
      <c r="B118">
        <v>50</v>
      </c>
    </row>
    <row r="119" spans="2:2" x14ac:dyDescent="0.45">
      <c r="B119">
        <v>13</v>
      </c>
    </row>
    <row r="120" spans="2:2" x14ac:dyDescent="0.45">
      <c r="B120">
        <v>6</v>
      </c>
    </row>
    <row r="121" spans="2:2" x14ac:dyDescent="0.45">
      <c r="B121">
        <v>5</v>
      </c>
    </row>
    <row r="122" spans="2:2" x14ac:dyDescent="0.45">
      <c r="B122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7A1C5BC2-4A13-4E4B-ABD2-F1C47BA3F1B0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57</vt:i4>
      </vt:variant>
    </vt:vector>
  </HeadingPairs>
  <TitlesOfParts>
    <vt:vector size="64" baseType="lpstr">
      <vt:lpstr>About</vt:lpstr>
      <vt:lpstr>Inputs</vt:lpstr>
      <vt:lpstr>Volumes</vt:lpstr>
      <vt:lpstr>Results</vt:lpstr>
      <vt:lpstr>ModelRiskDSN</vt:lpstr>
      <vt:lpstr>ModelRiskSYS1</vt:lpstr>
      <vt:lpstr>ModelRiskCharts</vt:lpstr>
      <vt:lpstr>Area</vt:lpstr>
      <vt:lpstr>Area_Hi</vt:lpstr>
      <vt:lpstr>Area_Lo</vt:lpstr>
      <vt:lpstr>Area_Mean</vt:lpstr>
      <vt:lpstr>CGR</vt:lpstr>
      <vt:lpstr>CGR_Hi</vt:lpstr>
      <vt:lpstr>CGR_Lo</vt:lpstr>
      <vt:lpstr>CGR_Mean</vt:lpstr>
      <vt:lpstr>CGR_ML</vt:lpstr>
      <vt:lpstr>Condensate</vt:lpstr>
      <vt:lpstr>Det_High</vt:lpstr>
      <vt:lpstr>Det_Low</vt:lpstr>
      <vt:lpstr>Det_Mid</vt:lpstr>
      <vt:lpstr>GasExp</vt:lpstr>
      <vt:lpstr>GasExp_Hi</vt:lpstr>
      <vt:lpstr>GasExp_Lo</vt:lpstr>
      <vt:lpstr>GasExp_Mean</vt:lpstr>
      <vt:lpstr>GasExp_ML</vt:lpstr>
      <vt:lpstr>GasRF</vt:lpstr>
      <vt:lpstr>GasRF_Hi</vt:lpstr>
      <vt:lpstr>GasRF_Lo</vt:lpstr>
      <vt:lpstr>GasRF_Mean</vt:lpstr>
      <vt:lpstr>GasRF_ML</vt:lpstr>
      <vt:lpstr>GIIP</vt:lpstr>
      <vt:lpstr>GrossThick</vt:lpstr>
      <vt:lpstr>GrossThick_Hi</vt:lpstr>
      <vt:lpstr>GrossThick_Lo</vt:lpstr>
      <vt:lpstr>GrossThick_Mean</vt:lpstr>
      <vt:lpstr>GrossThick_ML</vt:lpstr>
      <vt:lpstr>GRV</vt:lpstr>
      <vt:lpstr>HCPV</vt:lpstr>
      <vt:lpstr>InputMeans</vt:lpstr>
      <vt:lpstr>NRV</vt:lpstr>
      <vt:lpstr>NTG</vt:lpstr>
      <vt:lpstr>NTG_Hi</vt:lpstr>
      <vt:lpstr>NTG_Lo</vt:lpstr>
      <vt:lpstr>NTG_Mean</vt:lpstr>
      <vt:lpstr>NTG_ML</vt:lpstr>
      <vt:lpstr>PoreVol</vt:lpstr>
      <vt:lpstr>Porosity</vt:lpstr>
      <vt:lpstr>Porosity_Hi</vt:lpstr>
      <vt:lpstr>Porosity_Lo</vt:lpstr>
      <vt:lpstr>Porosity_Mean</vt:lpstr>
      <vt:lpstr>Porosity_ML</vt:lpstr>
      <vt:lpstr>Results!Print_Area</vt:lpstr>
      <vt:lpstr>Inputs!Print_Titles</vt:lpstr>
      <vt:lpstr>Results!Print_Titles</vt:lpstr>
      <vt:lpstr>Volumes!Print_Titles</vt:lpstr>
      <vt:lpstr>RecGas</vt:lpstr>
      <vt:lpstr>ScfPerBoe</vt:lpstr>
      <vt:lpstr>SqFtPerAcre</vt:lpstr>
      <vt:lpstr>TotalRes</vt:lpstr>
      <vt:lpstr>WaterSat</vt:lpstr>
      <vt:lpstr>WaterSat_Hi</vt:lpstr>
      <vt:lpstr>WaterSat_Lo</vt:lpstr>
      <vt:lpstr>WaterSat_Mean</vt:lpstr>
      <vt:lpstr>WaterSat_ML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OG-01 Volumetric Resource Estimate</dc:title>
  <dc:subject>ModelRisk industry example library — Oil and gas</dc:subject>
  <dc:creator>Vose Software</dc:creator>
  <cp:keywords>ModelRisk; Monte Carlo; Oil and gas</cp:keywords>
  <dc:description>Volumetric gas and condensate resources as P90/P50/P10, and why multiplying low-case inputs understates the low case.</dc:description>
  <cp:lastModifiedBy>Timour Koupeev</cp:lastModifiedBy>
  <cp:lastPrinted>2026-10-05T16:22:35Z</cp:lastPrinted>
  <dcterms:created xsi:type="dcterms:W3CDTF">2026-10-05T16:18:23Z</dcterms:created>
  <dcterms:modified xsi:type="dcterms:W3CDTF">2026-10-05T16:22:37Z</dcterms:modified>
</cp:coreProperties>
</file>