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64FA529A-B07B-421D-954F-D8BD35B1C9FF}" xr6:coauthVersionLast="47" xr6:coauthVersionMax="47" xr10:uidLastSave="{00000000-0000-0000-0000-000000000000}"/>
  <bookViews>
    <workbookView xWindow="-98" yWindow="-98" windowWidth="21795" windowHeight="12975" firstSheet="2" activeTab="2" xr2:uid="{01251222-9D18-48F5-9824-953A24C06FD3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_MC_Calc!$A$1:$BX$1</definedName>
    <definedName name="AbandonClaimValue">MC_Tree_1!$C$11</definedName>
    <definedName name="AdditionalSamplingCost">MC_Tree_1!$C$14</definedName>
    <definedName name="DevelopHighCost">MC_Tree_1!$C$9</definedName>
    <definedName name="FullExplorationProgramCost">MC_Tree_1!$C$6</definedName>
    <definedName name="FullPhase2DrillingCost">MC_Tree_1!$C$12</definedName>
    <definedName name="MC_BD_D_inconclusive_C_additional" localSheetId="3">MC_Tree_1!$E$72</definedName>
    <definedName name="MC_BD_D_inconclusive_T_sell_data_inconc" localSheetId="3">MC_Tree_1!$E$80</definedName>
    <definedName name="MC_BD_D_phase2_C_drilling" localSheetId="3">MC_Tree_1!$E$58</definedName>
    <definedName name="MC_BD_D_phase2_T_sell_data_promising" localSheetId="3">MC_Tree_1!$E$66</definedName>
    <definedName name="MC_BD_D_root_C_survey_full" localSheetId="3">MC_Tree_1!$C$28</definedName>
    <definedName name="MC_BD_D_root_C_survey_phase1" localSheetId="3">MC_Tree_1!$C$68</definedName>
    <definedName name="MC_BD_D_root_T_sell_rights" localSheetId="3">MC_Tree_1!$C$84</definedName>
    <definedName name="MC_BD_D_small_deposit_C_commodity_small" localSheetId="3">MC_Tree_1!$E$40</definedName>
    <definedName name="MC_BD_D_small_deposit_T_abandon" localSheetId="3">MC_Tree_1!$E$50</definedName>
    <definedName name="MC_BD_D_small_deposit_T_sell_small" localSheetId="3">MC_Tree_1!$E$48</definedName>
    <definedName name="MC_BP_C_additional_T_additional_inconc" localSheetId="3">MC_Tree_1!$F$74</definedName>
    <definedName name="MC_BP_C_additional_T_additional_neg" localSheetId="3">MC_Tree_1!$F$76</definedName>
    <definedName name="MC_BP_C_additional_T_additional_promising" localSheetId="3">MC_Tree_1!$F$70</definedName>
    <definedName name="MC_BP_C_commodity_major_T_major_boom" localSheetId="3">MC_Tree_1!$E$20</definedName>
    <definedName name="MC_BP_C_commodity_major_T_major_normal" localSheetId="3">MC_Tree_1!$E$24</definedName>
    <definedName name="MC_BP_C_commodity_major_T_major_slump" localSheetId="3">MC_Tree_1!$E$26</definedName>
    <definedName name="MC_BP_C_commodity_mod_T_mod_boom" localSheetId="3">MC_Tree_1!$E$30</definedName>
    <definedName name="MC_BP_C_commodity_mod_T_mod_normal" localSheetId="3">MC_Tree_1!$E$34</definedName>
    <definedName name="MC_BP_C_commodity_mod_T_mod_slump" localSheetId="3">MC_Tree_1!$E$36</definedName>
    <definedName name="MC_BP_C_commodity_small_T_small_boom" localSheetId="3">MC_Tree_1!$F$38</definedName>
    <definedName name="MC_BP_C_commodity_small_T_small_normal" localSheetId="3">MC_Tree_1!$F$42</definedName>
    <definedName name="MC_BP_C_commodity_small_T_small_slump" localSheetId="3">MC_Tree_1!$F$44</definedName>
    <definedName name="MC_BP_C_drilling_T_drill_large" localSheetId="3">MC_Tree_1!$F$56</definedName>
    <definedName name="MC_BP_C_drilling_T_drill_moderate" localSheetId="3">MC_Tree_1!$F$60</definedName>
    <definedName name="MC_BP_C_drilling_T_drill_subeconomic" localSheetId="3">MC_Tree_1!$F$62</definedName>
    <definedName name="MC_BP_C_survey_full_C_commodity_major" localSheetId="3">MC_Tree_1!$D$22</definedName>
    <definedName name="MC_BP_C_survey_full_C_commodity_mod" localSheetId="3">MC_Tree_1!$D$32</definedName>
    <definedName name="MC_BP_C_survey_full_D_small_deposit" localSheetId="3">MC_Tree_1!$D$46</definedName>
    <definedName name="MC_BP_C_survey_full_T_no_deposit" localSheetId="3">MC_Tree_1!$D$52</definedName>
    <definedName name="MC_BP_C_survey_phase1_D_inconclusive" localSheetId="3">MC_Tree_1!$D$78</definedName>
    <definedName name="MC_BP_C_survey_phase1_D_phase2" localSheetId="3">MC_Tree_1!$D$64</definedName>
    <definedName name="MC_BP_C_survey_phase1_T_phase1_negative" localSheetId="3">MC_Tree_1!$D$82</definedName>
    <definedName name="MC_BV_C_additional_T_additional_inconc" localSheetId="3">MC_Tree_1!$F$75</definedName>
    <definedName name="MC_BV_C_additional_T_additional_neg" localSheetId="3">MC_Tree_1!$F$77</definedName>
    <definedName name="MC_BV_C_additional_T_additional_promising" localSheetId="3">MC_Tree_1!$F$71</definedName>
    <definedName name="MC_BV_C_commodity_major_T_major_boom" localSheetId="3">MC_Tree_1!$E$21</definedName>
    <definedName name="MC_BV_C_commodity_major_T_major_normal" localSheetId="3">MC_Tree_1!$E$25</definedName>
    <definedName name="MC_BV_C_commodity_major_T_major_slump" localSheetId="3">MC_Tree_1!$E$27</definedName>
    <definedName name="MC_BV_C_commodity_mod_T_mod_boom" localSheetId="3">MC_Tree_1!$E$31</definedName>
    <definedName name="MC_BV_C_commodity_mod_T_mod_normal" localSheetId="3">MC_Tree_1!$E$35</definedName>
    <definedName name="MC_BV_C_commodity_mod_T_mod_slump" localSheetId="3">MC_Tree_1!$E$37</definedName>
    <definedName name="MC_BV_C_commodity_small_T_small_boom" localSheetId="3">MC_Tree_1!$F$39</definedName>
    <definedName name="MC_BV_C_commodity_small_T_small_normal" localSheetId="3">MC_Tree_1!$F$43</definedName>
    <definedName name="MC_BV_C_commodity_small_T_small_slump" localSheetId="3">MC_Tree_1!$F$45</definedName>
    <definedName name="MC_BV_C_drilling_T_drill_large" localSheetId="3">MC_Tree_1!$F$57</definedName>
    <definedName name="MC_BV_C_drilling_T_drill_moderate" localSheetId="3">MC_Tree_1!$F$61</definedName>
    <definedName name="MC_BV_C_drilling_T_drill_subeconomic" localSheetId="3">MC_Tree_1!$F$63</definedName>
    <definedName name="MC_BV_C_survey_full_C_commodity_major" localSheetId="3">MC_Tree_1!$D$23</definedName>
    <definedName name="MC_BV_C_survey_full_C_commodity_mod" localSheetId="3">MC_Tree_1!$D$33</definedName>
    <definedName name="MC_BV_C_survey_full_D_small_deposit" localSheetId="3">MC_Tree_1!$D$47</definedName>
    <definedName name="MC_BV_C_survey_full_T_no_deposit" localSheetId="3">MC_Tree_1!$D$53</definedName>
    <definedName name="MC_BV_C_survey_phase1_D_inconclusive" localSheetId="3">MC_Tree_1!$D$79</definedName>
    <definedName name="MC_BV_C_survey_phase1_D_phase2" localSheetId="3">MC_Tree_1!$D$65</definedName>
    <definedName name="MC_BV_C_survey_phase1_T_phase1_negative" localSheetId="3">MC_Tree_1!$D$83</definedName>
    <definedName name="MC_BV_D_inconclusive_C_additional" localSheetId="3">MC_Tree_1!$E$73</definedName>
    <definedName name="MC_BV_D_inconclusive_T_sell_data_inconc" localSheetId="3">MC_Tree_1!$E$81</definedName>
    <definedName name="MC_BV_D_phase2_C_drilling" localSheetId="3">MC_Tree_1!$E$59</definedName>
    <definedName name="MC_BV_D_phase2_T_sell_data_promising" localSheetId="3">MC_Tree_1!$E$67</definedName>
    <definedName name="MC_BV_D_root_C_survey_full" localSheetId="3">MC_Tree_1!$C$29</definedName>
    <definedName name="MC_BV_D_root_C_survey_phase1" localSheetId="3">MC_Tree_1!$C$69</definedName>
    <definedName name="MC_BV_D_root_T_sell_rights" localSheetId="3">MC_Tree_1!$C$85</definedName>
    <definedName name="MC_BV_D_small_deposit_C_commodity_small" localSheetId="3">MC_Tree_1!$E$41</definedName>
    <definedName name="MC_BV_D_small_deposit_T_abandon" localSheetId="3">MC_Tree_1!$E$51</definedName>
    <definedName name="MC_BV_D_small_deposit_T_sell_small" localSheetId="3">MC_Tree_1!$E$49</definedName>
    <definedName name="MC_N_C_additional" localSheetId="3">MC_Tree_1!$F$72</definedName>
    <definedName name="MC_N_C_commodity_major" localSheetId="3">MC_Tree_1!$E$22</definedName>
    <definedName name="MC_N_C_commodity_mod" localSheetId="3">MC_Tree_1!$E$32</definedName>
    <definedName name="MC_N_C_commodity_small" localSheetId="3">MC_Tree_1!$F$40</definedName>
    <definedName name="MC_N_C_drilling" localSheetId="3">MC_Tree_1!$F$58</definedName>
    <definedName name="MC_N_C_survey_full" localSheetId="3">MC_Tree_1!$D$28</definedName>
    <definedName name="MC_N_C_survey_phase1" localSheetId="3">MC_Tree_1!$D$68</definedName>
    <definedName name="MC_N_D_inconclusive" localSheetId="3">MC_Tree_1!$E$78</definedName>
    <definedName name="MC_N_D_phase2" localSheetId="3">MC_Tree_1!$E$64</definedName>
    <definedName name="MC_N_D_root" localSheetId="3">MC_Tree_1!$C$54</definedName>
    <definedName name="MC_N_D_small_deposit" localSheetId="3">MC_Tree_1!$E$46</definedName>
    <definedName name="MC_NP_T_abandon" localSheetId="3">MC_Tree_1!$F$50</definedName>
    <definedName name="MC_NP_T_additional_inconc" localSheetId="3">MC_Tree_1!$G$74</definedName>
    <definedName name="MC_NP_T_additional_neg" localSheetId="3">MC_Tree_1!$G$76</definedName>
    <definedName name="MC_NP_T_additional_promising" localSheetId="3">MC_Tree_1!$G$70</definedName>
    <definedName name="MC_NP_T_drill_large" localSheetId="3">MC_Tree_1!$G$56</definedName>
    <definedName name="MC_NP_T_drill_moderate" localSheetId="3">MC_Tree_1!$G$60</definedName>
    <definedName name="MC_NP_T_drill_subeconomic" localSheetId="3">MC_Tree_1!$G$62</definedName>
    <definedName name="MC_NP_T_major_boom" localSheetId="3">MC_Tree_1!$F$20</definedName>
    <definedName name="MC_NP_T_major_normal" localSheetId="3">MC_Tree_1!$F$24</definedName>
    <definedName name="MC_NP_T_major_slump" localSheetId="3">MC_Tree_1!$F$26</definedName>
    <definedName name="MC_NP_T_mod_boom" localSheetId="3">MC_Tree_1!$F$30</definedName>
    <definedName name="MC_NP_T_mod_normal" localSheetId="3">MC_Tree_1!$F$34</definedName>
    <definedName name="MC_NP_T_mod_slump" localSheetId="3">MC_Tree_1!$F$36</definedName>
    <definedName name="MC_NP_T_no_deposit" localSheetId="3">MC_Tree_1!$E$52</definedName>
    <definedName name="MC_NP_T_phase1_negative" localSheetId="3">MC_Tree_1!$E$82</definedName>
    <definedName name="MC_NP_T_sell_data_inconc" localSheetId="3">MC_Tree_1!$F$80</definedName>
    <definedName name="MC_NP_T_sell_data_promising" localSheetId="3">MC_Tree_1!$F$66</definedName>
    <definedName name="MC_NP_T_sell_rights" localSheetId="3">MC_Tree_1!$D$84</definedName>
    <definedName name="MC_NP_T_sell_small" localSheetId="3">MC_Tree_1!$F$48</definedName>
    <definedName name="MC_NP_T_small_boom" localSheetId="3">MC_Tree_1!$G$38</definedName>
    <definedName name="MC_NP_T_small_normal" localSheetId="3">MC_Tree_1!$G$42</definedName>
    <definedName name="MC_NP_T_small_slump" localSheetId="3">MC_Tree_1!$G$44</definedName>
    <definedName name="MC_V_C_additional" localSheetId="3">MC_Tree_1!$F$73</definedName>
    <definedName name="MC_V_C_commodity_major" localSheetId="3">MC_Tree_1!$E$23</definedName>
    <definedName name="MC_V_C_commodity_mod" localSheetId="3">MC_Tree_1!$E$33</definedName>
    <definedName name="MC_V_C_commodity_small" localSheetId="3">MC_Tree_1!$F$41</definedName>
    <definedName name="MC_V_C_drilling" localSheetId="3">MC_Tree_1!$F$59</definedName>
    <definedName name="MC_V_C_survey_full" localSheetId="3">MC_Tree_1!$D$29</definedName>
    <definedName name="MC_V_C_survey_phase1" localSheetId="3">MC_Tree_1!$D$69</definedName>
    <definedName name="MC_V_D_inconclusive" localSheetId="3">MC_Tree_1!$E$79</definedName>
    <definedName name="MC_V_D_phase2" localSheetId="3">MC_Tree_1!$E$65</definedName>
    <definedName name="MC_V_D_root" localSheetId="3">MC_Tree_1!$C$55</definedName>
    <definedName name="MC_V_D_small_deposit" localSheetId="3">MC_Tree_1!$E$47</definedName>
    <definedName name="MC_V_T_abandon" localSheetId="3">MC_Tree_1!$F$51</definedName>
    <definedName name="MC_V_T_additional_inconc" localSheetId="3">MC_Tree_1!$G$75</definedName>
    <definedName name="MC_V_T_additional_neg" localSheetId="3">MC_Tree_1!$G$77</definedName>
    <definedName name="MC_V_T_additional_promising" localSheetId="3">MC_Tree_1!$G$71</definedName>
    <definedName name="MC_V_T_drill_large" localSheetId="3">MC_Tree_1!$G$57</definedName>
    <definedName name="MC_V_T_drill_moderate" localSheetId="3">MC_Tree_1!$G$61</definedName>
    <definedName name="MC_V_T_drill_subeconomic" localSheetId="3">MC_Tree_1!$G$63</definedName>
    <definedName name="MC_V_T_major_boom" localSheetId="3">MC_Tree_1!$F$21</definedName>
    <definedName name="MC_V_T_major_normal" localSheetId="3">MC_Tree_1!$F$25</definedName>
    <definedName name="MC_V_T_major_slump" localSheetId="3">MC_Tree_1!$F$27</definedName>
    <definedName name="MC_V_T_mod_boom" localSheetId="3">MC_Tree_1!$F$31</definedName>
    <definedName name="MC_V_T_mod_normal" localSheetId="3">MC_Tree_1!$F$35</definedName>
    <definedName name="MC_V_T_mod_slump" localSheetId="3">MC_Tree_1!$F$37</definedName>
    <definedName name="MC_V_T_no_deposit" localSheetId="3">MC_Tree_1!$E$53</definedName>
    <definedName name="MC_V_T_phase1_negative" localSheetId="3">MC_Tree_1!$E$83</definedName>
    <definedName name="MC_V_T_sell_data_inconc" localSheetId="3">MC_Tree_1!$F$81</definedName>
    <definedName name="MC_V_T_sell_data_promising" localSheetId="3">MC_Tree_1!$F$67</definedName>
    <definedName name="MC_V_T_sell_rights" localSheetId="3">MC_Tree_1!$D$85</definedName>
    <definedName name="MC_V_T_sell_small" localSheetId="3">MC_Tree_1!$F$49</definedName>
    <definedName name="MC_V_T_small_boom" localSheetId="3">MC_Tree_1!$G$39</definedName>
    <definedName name="MC_V_T_small_normal" localSheetId="3">MC_Tree_1!$G$43</definedName>
    <definedName name="MC_V_T_small_slump" localSheetId="3">MC_Tree_1!$G$45</definedName>
    <definedName name="PhasedExplorationCost">MC_Tree_1!$C$7</definedName>
    <definedName name="SellDataAsisValue">MC_Tree_1!$C$15</definedName>
    <definedName name="SellDataRightsValue">MC_Tree_1!$C$13</definedName>
    <definedName name="SellExplorationRightsValue">MC_Tree_1!$C$8</definedName>
    <definedName name="SellMiningRightsValue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3" l="1"/>
  <c r="E51" i="3"/>
  <c r="E41" i="3"/>
  <c r="C85" i="3"/>
  <c r="C69" i="3"/>
  <c r="C29" i="3"/>
  <c r="E67" i="3"/>
  <c r="E59" i="3"/>
  <c r="AU1" i="4" s="1"/>
  <c r="E81" i="3"/>
  <c r="E73" i="3"/>
  <c r="BB1" i="4"/>
  <c r="BA1" i="4"/>
  <c r="AZ1" i="4"/>
  <c r="AY1" i="4"/>
  <c r="AX1" i="4"/>
  <c r="AW1" i="4"/>
  <c r="AV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79" i="3"/>
  <c r="D69" i="3"/>
  <c r="F59" i="3"/>
  <c r="F49" i="3"/>
  <c r="G39" i="3"/>
  <c r="F30" i="3"/>
  <c r="F20" i="3"/>
  <c r="E72" i="3"/>
  <c r="C28" i="3"/>
  <c r="G77" i="3"/>
  <c r="F67" i="3"/>
  <c r="G57" i="3"/>
  <c r="F48" i="3"/>
  <c r="G38" i="3"/>
  <c r="D29" i="3"/>
  <c r="E66" i="3"/>
  <c r="D85" i="3"/>
  <c r="G76" i="3"/>
  <c r="F66" i="3"/>
  <c r="G56" i="3"/>
  <c r="E47" i="3"/>
  <c r="F37" i="3"/>
  <c r="F27" i="3"/>
  <c r="E58" i="3"/>
  <c r="F26" i="3"/>
  <c r="E50" i="3"/>
  <c r="E48" i="3"/>
  <c r="E40" i="3"/>
  <c r="C84" i="3"/>
  <c r="G60" i="3"/>
  <c r="D84" i="3"/>
  <c r="G75" i="3"/>
  <c r="E65" i="3"/>
  <c r="C55" i="3"/>
  <c r="G45" i="3"/>
  <c r="F36" i="3"/>
  <c r="F80" i="3"/>
  <c r="F50" i="3"/>
  <c r="F41" i="3"/>
  <c r="F21" i="3"/>
  <c r="E80" i="3"/>
  <c r="E83" i="3"/>
  <c r="G74" i="3"/>
  <c r="G63" i="3"/>
  <c r="E53" i="3"/>
  <c r="G44" i="3"/>
  <c r="F35" i="3"/>
  <c r="F25" i="3"/>
  <c r="E82" i="3"/>
  <c r="F73" i="3"/>
  <c r="G62" i="3"/>
  <c r="E52" i="3"/>
  <c r="G43" i="3"/>
  <c r="F34" i="3"/>
  <c r="F24" i="3"/>
  <c r="G70" i="3"/>
  <c r="F81" i="3"/>
  <c r="G71" i="3"/>
  <c r="G61" i="3"/>
  <c r="F51" i="3"/>
  <c r="G42" i="3"/>
  <c r="E33" i="3"/>
  <c r="E23" i="3"/>
  <c r="F31" i="3"/>
  <c r="C68" i="3"/>
</calcChain>
</file>

<file path=xl/sharedStrings.xml><?xml version="1.0" encoding="utf-8"?>
<sst xmlns="http://schemas.openxmlformats.org/spreadsheetml/2006/main" count="93" uniqueCount="77">
  <si>
    <t>{"_v":2,"trees":{"MC_Tree_1":"{\r\n  \"RootId\": \"D_root\",\r\n  \"Nodes\": {\r\n    \"D_root\": {\r\n      \"type\": \"decision\",\r\n      \"id\": \"D_root\",\r\n      \"name\": \"Exploration Investment\",\r\n      \"options\": [\r\n        {\r\n          \"name\": \"Full Exploration Program\",\r\n          \"childId\": \"C_survey_full\",\r\n          \"value\": -5000000\r\n        },\r\n        {\r\n          \"name\": \"Phased Exploration\",\r\n          \"childId\": \"C_survey_phase1\",\r\n          \"value\": -1500000\r\n        },\r\n        {\r\n          \"name\": \"Sell Exploration Rights\",\r\n          \"childId\": \"T_sell_rights\",\r\n          \"value\": 2000000\r\n        }\r\n      ]\r\n    },\r\n    \"C_survey_full\": {\r\n      \"type\": \"chance\",\r\n      \"id\": \"C_survey_full\",\r\n      \"name\": \"Geological Survey Results\",\r\n      \"branches\": [\r\n        {\r\n          \"name\": \"Major Deposit Found\",\r\n          \"probability\": 0.15,\r\n          \"childId\": \"C_commodity_major\"\r\n        },\r\n        {\r\n          \"name\": \"Moderate Deposit\",\r\n          \"probability\": 0.3,\r\n          \"childId\": \"C_commodity_mod\"\r\n        },\r\n        {\r\n          \"name\": \"Small Deposit\",\r\n          \"probability\": 0.25,\r\n          \"childId\": \"D_small_deposit\"\r\n        },\r\n        {\r\n          \"name\": \"No Viable Deposit\",\r\n          \"probability\": 0.3,\r\n          \"childId\": \"T_no_deposit\"\r\n        }\r\n      ]\r\n    },\r\n    \"C_commodity_major\": {\r\n      \"type\": \"chance\",\r\n      \"id\": \"C_commodity_major\",\r\n      \"name\": \"Commodity Price (Major)\",\r\n      \"branches\": [\r\n        {\r\n          \"name\": \"Price Boom\",\r\n          \"probability\": 0.25,\r\n          \"childId\": \"T_major_boom\",\r\n          \"value\": 120000000\r\n        },\r\n        {\r\n          \"name\": \"Normal Price\",\r\n          \"probability\": 0.5,\r\n          \"childId\": \"T_major_normal\",\r\n          \"value\": 65000000\r\n        },\r\n        {\r\n          \"name\": \"Price Slump\",\r\n          \"probability\": 0.25,\r\n          \"childId\": \"T_major_slump\",\r\n          \"value\": 25000000\r\n        }\r\n      ]\r\n    },\r\n    \"T_major_boom\": {\r\n      \"type\": \"terminal\",\r\n      \"id\": \"T_major_boom\",\r\n      \"name\": \"Major+Boom\",\r\n      \"value\": 0\r\n    },\r\n    \"T_major_normal\": {\r\n      \"type\": \"terminal\",\r\n      \"id\": \"T_major_normal\",\r\n      \"name\": \"Major+Normal Price\",\r\n      \"value\": 0\r\n    },\r\n    \"T_major_slump\": {\r\n      \"type\": \"terminal\",\r\n      \"id\": \"T_major_slump\",\r\n      \"name\": \"Major+Slump\",\r\n      \"value\": 0\r\n    },\r\n    \"C_commodity_mod\": {\r\n      \"type\": \"chance\",\r\n      \"id\": \"C_commodity_mod\",\r\n      \"name\": \"Commodity Price (Moderate)\",\r\n      \"branches\": [\r\n        {\r\n          \"name\": \"Price Boom\",\r\n          \"probability\": 0.25,\r\n          \"childId\": \"T_mod_boom\",\r\n          \"value\": 45000000\r\n        },\r\n        {\r\n          \"name\": \"Normal Price\",\r\n          \"probability\": 0.5,\r\n          \"childId\": \"T_mod_normal\",\r\n          \"value\": 22000000\r\n        },\r\n        {\r\n          \"name\": \"Price Slump\",\r\n          \"probability\": 0.25,\r\n          \"childId\": \"T_mod_slump\",\r\n          \"value\": 8000000\r\n        }\r\n      ]\r\n    },\r\n    \"T_mod_boom\": {\r\n      \"type\": \"terminal\",\r\n      \"id\": \"T_mod_boom\",\r\n      \"name\": \"Moderate+Boom\",\r\n      \"value\": 0\r\n    },\r\n    \"T_mod_normal\": {\r\n      \"type\": \"terminal\",\r\n      \"id\": \"T_mod_normal\",\r\n      \"name\": \"Moderate+Normal\",\r\n      \"value\": 0\r\n    },\r\n    \"T_mod_slump\": {\r\n      \"type\": \"terminal\",\r\n      \"id\": \"T_mod_slump\",\r\n      \"name\": \"Moderate+Slump\",\r\n      \"value\": 0\r\n    },\r\n    \"D_small_deposit\": {\r\n      \"type\": \"decision\",\r\n      \"id\": \"D_small_deposit\",\r\n      \"name\": \"Small Deposit Options\",\r\n      \"options\": [\r\n        {\r\n          \"name\": \"Develop (High Cost)\",\r\n          \"childId\": \"C_commodity_small\",\r\n          \"value\": -12000000\r\n        },\r\n        {\r\n          \"name\": \"Sell Mining Rights\",\r\n          \"childId\": \"T_sell_small\",\r\n          \"value\": 4000000\r\n        },\r\n        {\r\n          \"name\": \"Abandon Claim\",\r\n          \"childId\": \"T_abandon\",\r\n          \"value\": 500000\r\n        }\r\n      ]\r\n    },\r\n    \"C_commodity_small\": {\r\n      \"type\": \"chance\",\r\n      \"id\": \"C_commodity_small\",\r\n      \"name\": \"Commodity Price (Small Mine)\",\r\n      \"branches\": [\r\n        {\r\n          \"name\": \"Price Boom\",\r\n          \"probability\": 0.25,\r\n          \"childId\": \"T_small_boom\",\r\n          \"value\": 25000000\r\n        },\r\n        {\r\n          \"name\": \"Normal Price\",\r\n          \"probability\": 0.5,\r\n          \"childId\": \"T_small_normal\",\r\n          \"value\": 12000000\r\n        },\r\n        {\r\n          \"name\": \"Price Slump\",\r\n          \"probability\": 0.25,\r\n          \"childId\": \"T_small_slump\",\r\n          \"value\": 3000000\r\n        }\r\n      ]\r\n    },\r\n    \"T_small_boom\": {\r\n      \"type\": \"terminal\",\r\n      \"id\": \"T_small_boom\",\r\n      \"name\": \"Small Mine+Boom\",\r\n      \"value\": 0\r\n    },\r\n    \"T_small_normal\": {\r\n      \"type\": \"terminal\",\r\n      \"id\": \"T_small_normal\",\r\n      \"name\": \"Small Mine+Normal\",\r\n      \"value\": 0\r\n    },\r\n    \"T_small_slump\": {\r\n      \"type\": \"terminal\",\r\n      \"id\": \"T_small_slump\",\r\n      \"name\": \"Small Mine+Slump\",\r\n      \"value\": 0\r\n    },\r\n    \"T_sell_small\": {\r\n      \"type\": \"terminal\",\r\n      \"id\": \"T_sell_small\",\r\n      \"name\": \"Sell Mining Rights\",\r\n      \"value\": 0\r\n    },\r\n    \"T_abandon\": {\r\n      \"type\": \"terminal\",\r\n      \"id\": \"T_abandon\",\r\n      \"name\": \"Abandon Claim\",\r\n      \"value\": 0\r\n    },\r\n    \"T_no_deposit\": {\r\n      \"type\": \"terminal\",\r\n      \"id\": \"T_no_deposit\",\r\n      \"name\": \"No Viable Deposit\",\r\n      \"value\": 0\r\n    },\r\n    \"C_survey_phase1\": {\r\n      \"type\": \"chance\",\r\n      \"id\": \"C_survey_phase1\",\r\n      \"name\": \"Phase 1 Survey Results\",\r\n      \"branches\": [\r\n        {\r\n          \"name\": \"Promising Indicators\",\r\n          \"probability\": 0.4,\r\n          \"childId\": \"D_phase2\"\r\n        },\r\n        {\r\n          \"name\": \"Inconclusive\",\r\n          \"probability\": 0.35,\r\n          \"childId\": \"D_inconclusive\"\r\n        },\r\n        {\r\n          \"name\": \"Negative Results\",\r\n          \"probability\": 0.25,\r\n          \"childId\": \"T_phase1_negative\",\r\n          \"value\": 200000\r\n        }\r\n      ]\r\n    },\r\n    \"D_phase2\": {\r\n      \"type\": \"decision\",\r\n      \"id\": \"D_phase2\",\r\n      \"name\": \"Continue Exploration?\",\r\n      \"options\": [\r\n        {\r\n          \"name\": \"Full Phase 2 Drilling\",\r\n          \"childId\": \"C_drilling\",\r\n          \"value\": -4000000\r\n        },\r\n        {\r\n          \"name\": \"Sell Data \u0026 Rights\",\r\n          \"childId\": \"T_sell_data_promising\",\r\n          \"value\": 5000000\r\n        }\r\n      ]\r\n    },\r\n    \"C_drilling\": {\r\n      \"type\": \"chance\",\r\n      \"id\": \"C_drilling\",\r\n      \"name\": \"Drilling Results\",\r\n      \"branches\": [\r\n        {\r\n          \"name\": \"Confirmed Large Deposit\",\r\n          \"probability\": 0.35,\r\n          \"childId\": \"T_drill_large\",\r\n          \"value\": 80000000\r\n        },\r\n        {\r\n          \"name\": \"Moderate Deposit\",\r\n          \"probability\": 0.4,\r\n          \"childId\": \"T_drill_moderate\",\r\n          \"value\": 30000000\r\n        },\r\n        {\r\n          \"name\": \"Sub-Economic\",\r\n          \"probability\": 0.25,\r\n          \"childId\": \"T_drill_subeconomic\",\r\n          \"value\": 2000000\r\n        }\r\n      ]\r\n    },\r\n    \"T_drill_large\": {\r\n      \"type\": \"terminal\",\r\n      \"id\": \"T_drill_large\",\r\n      \"name\": \"Drilling: Large Deposit\",\r\n      \"value\": 0\r\n    },\r\n    \"T_drill_moderate\": {\r\n      \"type\": \"terminal\",\r\n      \"id\": \"T_drill_moderate\",\r\n      \"name\": \"Drilling: Moderate\",\r\n      \"value\": 0\r\n    },\r\n    \"T_drill_subeconomic\": {\r\n      \"type\": \"terminal\",\r\n      \"id\": \"T_drill_subeconomic\",\r\n      \"name\": \"Drilling: Sub-Economic\",\r\n      \"value\": 0\r\n    },\r\n    \"T_sell_data_promising\": {\r\n      \"type\": \"terminal\",\r\n      \"id\": \"T_sell_data_promising\",\r\n      \"name\": \"Sell Promising Data\",\r\n      \"value\": 0\r\n    },\r\n    \"D_inconclusive\": {\r\n      \"type\": \"decision\",\r\n      \"id\": \"D_inconclusive\",\r\n      \"name\": \"Inconclusive Results\",\r\n      \"options\": [\r\n        {\r\n          \"name\": \"Additional Sampling\",\r\n          \"childId\": \"C_additional\",\r\n          \"value\": -800000\r\n        },\r\n        {\r\n          \"name\": \"Sell Data As-Is\",\r\n          \"childId\": \"T_sell_data_inconc\",\r\n          \"value\": 1500000\r\n        }\r\n      ]\r\n    },\r\n    \"C_additional\": {\r\n      \"type\": \"chance\",\r\n      \"id\": \"C_additional\",\r\n      \"name\": \"Additional Sampling\",\r\n      \"branches\": [\r\n        {\r\n          \"name\": \"Now Promising\",\r\n          \"probability\": 0.45,\r\n          \"childId\": \"T_additional_promising\",\r\n          \"value\": 15000000\r\n        },\r\n        {\r\n          \"name\": \"Still Inconclusive\",\r\n          \"probability\": 0.35,\r\n          \"childId\": \"T_additional_inconc\",\r\n          \"value\": 3000000\r\n        },\r\n        {\r\n          \"name\": \"Negative\",\r\n          \"probability\": 0.2,\r\n          \"childId\": \"T_additional_neg\",\r\n          \"value\": 500000\r\n        }\r\n      ]\r\n    },\r\n    \"T_additional_promising\": {\r\n      \"type\": \"terminal\",\r\n      \"id\": \"T_additional_promising\",\r\n      \"name\": \"Additional: Promising\",\r\n      \"value\": 0\r\n    },\r\n    \"T_additional_inconc\": {\r\n      \"type\": \"terminal\",\r\n      \"id\": \"T_additional_inconc\",\r\n      \"name\": \"Additional: Inconclusive\",\r\n      \"value\": 0\r\n    },\r\n    \"T_additional_neg\": {\r\n      \"type\": \"terminal\",\r\n      \"id\": \"T_additional_neg\",\r\n      \"name\": \"Additional: Negative\",\r\n      \"value\": 0\r\n    },\r\n    \"T_sell_data_inconc\": {\r\n      \"type\": \"terminal\",\r\n      \"id\": \"T_sell_data_inconc\",\r\n      \"name\": \"Sell Inconclusive Data\",\r\n      \"value\": 0\r\n    },\r\n    \"T_phase1_negative\": {\r\n      \"type\": \"terminal\",\r\n      \"id\": \"T_phase1_negative\",\r\n      \"name\": \"Phase 1: Negative\",\r\n      \"value\": 0\r\n    },\r\n    \"T_sell_rights\": {\r\n      \"type\": \"terminal\",\r\n      \"id\": \"T_sell_rights\",\r\n      \"name\": \"Sell Exploration Rights\",\r\n      \"value\": 0\r\n    }\r\n  },\r\n  \"Settings\": {\r\n    \"ModelName\": \"Mining Exploration\",\r\n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\"MC_BV_D_root_C_survey_full\": \"=-FullExplorationProgramCost\",\r\n      \"MC_BV_D_root_C_survey_phase1\": \"=-PhasedExplorationCost\",\r\n      \"MC_BV_D_root_T_sell_rights\": \"=SellExplorationRightsValue\",\r\n      \"MC_BV_D_small_deposit_C_commodity_small\": \"=-DevelopHighCost\",\r\n      \"MC_BV_D_small_deposit_T_sell_small\": \"=SellMiningRightsValue\",\r\n      \"MC_BV_D_small_deposit_T_abandon\": \"=AbandonClaimValue\",\r\n      \"MC_BV_D_phase2_C_drilling\": \"=-FullPhase2DrillingCost\",\r\n      \"MC_BV_D_phase2_T_sell_data_promising\": \"=SellDataRightsValue\",\r\n      \"MC_BV_D_inconclusive_C_additional\": \"=-AdditionalSamplingCost\",\r\n      \"MC_BV_D_inconclusive_T_sell_data_inconc\": \"=SellDataAsisValue\"\r\n  }\r\n}"}}</t>
  </si>
  <si>
    <t>Commodity Price (Major)</t>
  </si>
  <si>
    <t>Geological Survey Results</t>
  </si>
  <si>
    <t>Commodity Price (Moderate)</t>
  </si>
  <si>
    <t>Commodity Price (Small Mine)</t>
  </si>
  <si>
    <t>Small Deposit Options</t>
  </si>
  <si>
    <t>Exploration Investment</t>
  </si>
  <si>
    <t>Drilling Results</t>
  </si>
  <si>
    <t>Continue Exploration?</t>
  </si>
  <si>
    <t>Phase 1 Survey Results</t>
  </si>
  <si>
    <t>Additional Sampling</t>
  </si>
  <si>
    <t>Inconclusive Results</t>
  </si>
  <si>
    <t>Mining Exploration — Control Panel</t>
  </si>
  <si>
    <t>Adjust parameters below to update the decision tree instantly</t>
  </si>
  <si>
    <t>Parameter</t>
  </si>
  <si>
    <t>Value</t>
  </si>
  <si>
    <t>Units</t>
  </si>
  <si>
    <t>Notes</t>
  </si>
  <si>
    <t>Full Exploration Program</t>
  </si>
  <si>
    <t>$</t>
  </si>
  <si>
    <t>Investment for Geological Survey Results path</t>
  </si>
  <si>
    <t>Phased Exploration</t>
  </si>
  <si>
    <t>Investment for Phase 1 Survey Results path</t>
  </si>
  <si>
    <t>Sell Exploration Rights</t>
  </si>
  <si>
    <t>Develop (High Cost)</t>
  </si>
  <si>
    <t>Investment for Commodity Price (Small Mine) path</t>
  </si>
  <si>
    <t>Sell Mining Rights</t>
  </si>
  <si>
    <t>Abandon Claim</t>
  </si>
  <si>
    <t>Full Phase 2 Drilling</t>
  </si>
  <si>
    <t>Investment for Drilling Results path</t>
  </si>
  <si>
    <t>Sell Data &amp; Rights</t>
  </si>
  <si>
    <t>Sell Promising Data</t>
  </si>
  <si>
    <t>Investment for Additional Sampling path</t>
  </si>
  <si>
    <t>Sell Data As-Is</t>
  </si>
  <si>
    <t>Sell Inconclusive Data</t>
  </si>
  <si>
    <t>Mining Exploration Decision</t>
  </si>
  <si>
    <t>ModelChoice Example Model</t>
  </si>
  <si>
    <t>Background</t>
  </si>
  <si>
    <t>A junior mining company holds exploration rights to a promising copper-gold</t>
  </si>
  <si>
    <t>prospect in a remote region. The company must decide how to explore the site:</t>
  </si>
  <si>
    <t>commit to a full exploration program, take a phased approach, or sell the</t>
  </si>
  <si>
    <t>exploration rights to a major mining company.</t>
  </si>
  <si>
    <t>Option 1: Full Exploration Program ($5M)</t>
  </si>
  <si>
    <t>Comprehensive geological survey, geophysics, and drilling in one campaign.</t>
  </si>
  <si>
    <t>Faster but higher upfront risk. Results range from major deposit to nothing.</t>
  </si>
  <si>
    <t>For small deposits, decide: develop (expensive), sell rights, or abandon.</t>
  </si>
  <si>
    <t>Option 2: Phased Exploration ($1.5M Phase 1)</t>
  </si>
  <si>
    <t>Start with surface sampling and geophysics. If promising, invest $4M in Phase 2</t>
  </si>
  <si>
    <t>drilling. If inconclusive, choose: additional sampling ($800K) or sell data.</t>
  </si>
  <si>
    <t>Classic real options approach: pay for information before committing.</t>
  </si>
  <si>
    <t>Option 3: Sell Exploration Rights ($2M)</t>
  </si>
  <si>
    <t>Guaranteed $2M from a major mining company. No risk, no upside.</t>
  </si>
  <si>
    <t>Decision Objective</t>
  </si>
  <si>
    <t>Maximize expected value. This model illustrates the classic exploration</t>
  </si>
  <si>
    <t>vs. exploitation tradeoff, with commodity price risk adding another dimension.</t>
  </si>
  <si>
    <t>Key Assumptions</t>
  </si>
  <si>
    <t>Full Exploration Cost</t>
  </si>
  <si>
    <t>Complete survey + drilling campaign</t>
  </si>
  <si>
    <t>Phase 1 Cost</t>
  </si>
  <si>
    <t>Surface sampling, geophysics</t>
  </si>
  <si>
    <t>Phase 2 Drilling Cost</t>
  </si>
  <si>
    <t>Diamond core drilling program</t>
  </si>
  <si>
    <t>Small Mine Development</t>
  </si>
  <si>
    <t>Processing plant, infrastructure</t>
  </si>
  <si>
    <t>Major Deposit Probability</t>
  </si>
  <si>
    <t>Full program; higher with phased info</t>
  </si>
  <si>
    <t>Major Deposit Value (Boom)</t>
  </si>
  <si>
    <t>NPV at peak commodity prices</t>
  </si>
  <si>
    <t>Exploration Rights Value</t>
  </si>
  <si>
    <t>Guaranteed sale to major company</t>
  </si>
  <si>
    <t>Commodity Price Cycle</t>
  </si>
  <si>
    <t>25/50/25%</t>
  </si>
  <si>
    <t>Boom/Normal/Slump probabilities</t>
  </si>
  <si>
    <t>Suggested Analyses</t>
  </si>
  <si>
    <t>▶ Strategy Table - Compare full vs phased exploration with risk-return frontier</t>
  </si>
  <si>
    <t>▶ Sensitivity Analysis - How does commodity price affect phased vs full exploration?</t>
  </si>
  <si>
    <t>▶ Risk Profile - Is the guaranteed $2M sale better than the exploration gamble?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</si>
</sst>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54</xdr:row>
      <xdr:rowOff>0</xdr:rowOff>
    </xdr:from>
    <xdr:to>
      <xdr:col>2</xdr:col>
      <xdr:colOff>9525</xdr:colOff>
      <xdr:row>54</xdr:row>
      <xdr:rowOff>0</xdr:rowOff>
    </xdr:to>
    <xdr:cxnSp macro="">
      <xdr:nvCxnSpPr>
        <xdr:cNvPr id="116" name="MC_Entry">
          <a:extLst>
            <a:ext uri="{FF2B5EF4-FFF2-40B4-BE49-F238E27FC236}">
              <a16:creationId xmlns:a16="http://schemas.microsoft.com/office/drawing/2014/main" id="{93A45C51-F5B5-ABA5-AFDC-981A3D986F0B}"/>
            </a:ext>
          </a:extLst>
        </xdr:cNvPr>
        <xdr:cNvCxnSpPr/>
      </xdr:nvCxnSpPr>
      <xdr:spPr>
        <a:xfrm>
          <a:off x="665163" y="10229850"/>
          <a:ext cx="146367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53</xdr:row>
      <xdr:rowOff>99251</xdr:rowOff>
    </xdr:from>
    <xdr:ext cx="920958" cy="182550"/>
    <xdr:sp macro="_xll.MC_OnTreeNameClick" textlink="">
      <xdr:nvSpPr>
        <xdr:cNvPr id="117" name="MC_TreeName">
          <a:extLst>
            <a:ext uri="{FF2B5EF4-FFF2-40B4-BE49-F238E27FC236}">
              <a16:creationId xmlns:a16="http://schemas.microsoft.com/office/drawing/2014/main" id="{89F20062-F82D-8DDA-5CC1-BDCEC11123C7}"/>
            </a:ext>
          </a:extLst>
        </xdr:cNvPr>
        <xdr:cNvSpPr txBox="1"/>
      </xdr:nvSpPr>
      <xdr:spPr>
        <a:xfrm>
          <a:off x="665163" y="10138601"/>
          <a:ext cx="9209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Mining Exploration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27</xdr:row>
      <xdr:rowOff>184150</xdr:rowOff>
    </xdr:from>
    <xdr:to>
      <xdr:col>3</xdr:col>
      <xdr:colOff>47626</xdr:colOff>
      <xdr:row>54</xdr:row>
      <xdr:rowOff>214</xdr:rowOff>
    </xdr:to>
    <xdr:sp macro="" textlink="">
      <xdr:nvSpPr>
        <xdr:cNvPr id="118" name="MC_BR_D_root_C_survey_full">
          <a:extLst>
            <a:ext uri="{FF2B5EF4-FFF2-40B4-BE49-F238E27FC236}">
              <a16:creationId xmlns:a16="http://schemas.microsoft.com/office/drawing/2014/main" id="{382159D3-D7E9-F210-2369-3458D914AAD0}"/>
            </a:ext>
          </a:extLst>
        </xdr:cNvPr>
        <xdr:cNvSpPr/>
      </xdr:nvSpPr>
      <xdr:spPr>
        <a:xfrm>
          <a:off x="2203517" y="5270500"/>
          <a:ext cx="2363722" cy="4959564"/>
        </a:xfrm>
        <a:custGeom>
          <a:avLst/>
          <a:gdLst/>
          <a:ahLst/>
          <a:cxnLst/>
          <a:rect l="0" t="0" r="0" b="0"/>
          <a:pathLst>
            <a:path w="2363722" h="4959564">
              <a:moveTo>
                <a:pt x="0" y="4959137"/>
              </a:moveTo>
              <a:lnTo>
                <a:pt x="166624" y="6136"/>
              </a:lnTo>
              <a:lnTo>
                <a:pt x="172971" y="0"/>
              </a:lnTo>
              <a:lnTo>
                <a:pt x="2363721" y="0"/>
              </a:lnTo>
              <a:lnTo>
                <a:pt x="2363721" y="12700"/>
              </a:lnTo>
              <a:lnTo>
                <a:pt x="172971" y="12700"/>
              </a:lnTo>
              <a:lnTo>
                <a:pt x="179317" y="6564"/>
              </a:lnTo>
              <a:lnTo>
                <a:pt x="12693" y="495956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184427" cy="182550"/>
    <xdr:sp macro="_xll.MC_OnBranchLabelClick" textlink="">
      <xdr:nvSpPr>
        <xdr:cNvPr id="119" name="MC_BN_D_root_C_survey_full">
          <a:extLst>
            <a:ext uri="{FF2B5EF4-FFF2-40B4-BE49-F238E27FC236}">
              <a16:creationId xmlns:a16="http://schemas.microsoft.com/office/drawing/2014/main" id="{FA3356DB-177A-4D11-0D75-8F4CBA4F7B2A}"/>
            </a:ext>
          </a:extLst>
        </xdr:cNvPr>
        <xdr:cNvSpPr txBox="1"/>
      </xdr:nvSpPr>
      <xdr:spPr>
        <a:xfrm>
          <a:off x="2405698" y="5185601"/>
          <a:ext cx="11844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Exploration Program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74706</xdr:colOff>
      <xdr:row>53</xdr:row>
      <xdr:rowOff>189510</xdr:rowOff>
    </xdr:from>
    <xdr:to>
      <xdr:col>3</xdr:col>
      <xdr:colOff>47626</xdr:colOff>
      <xdr:row>68</xdr:row>
      <xdr:rowOff>15876</xdr:rowOff>
    </xdr:to>
    <xdr:sp macro="" textlink="">
      <xdr:nvSpPr>
        <xdr:cNvPr id="120" name="MC_BR_D_root_C_survey_phase1">
          <a:extLst>
            <a:ext uri="{FF2B5EF4-FFF2-40B4-BE49-F238E27FC236}">
              <a16:creationId xmlns:a16="http://schemas.microsoft.com/office/drawing/2014/main" id="{C6358357-320F-AB41-056C-31699ECAE5D5}"/>
            </a:ext>
          </a:extLst>
        </xdr:cNvPr>
        <xdr:cNvSpPr/>
      </xdr:nvSpPr>
      <xdr:spPr>
        <a:xfrm>
          <a:off x="2194019" y="10228860"/>
          <a:ext cx="2373220" cy="2683866"/>
        </a:xfrm>
        <a:custGeom>
          <a:avLst/>
          <a:gdLst/>
          <a:ahLst/>
          <a:cxnLst/>
          <a:rect l="0" t="0" r="0" b="0"/>
          <a:pathLst>
            <a:path w="2373220" h="2683866">
              <a:moveTo>
                <a:pt x="31689" y="0"/>
              </a:moveTo>
              <a:lnTo>
                <a:pt x="198313" y="2667000"/>
              </a:lnTo>
              <a:lnTo>
                <a:pt x="182469" y="2652115"/>
              </a:lnTo>
              <a:lnTo>
                <a:pt x="2373219" y="2652115"/>
              </a:lnTo>
              <a:lnTo>
                <a:pt x="2373219" y="2683865"/>
              </a:lnTo>
              <a:lnTo>
                <a:pt x="182469" y="2683865"/>
              </a:lnTo>
              <a:lnTo>
                <a:pt x="166624" y="2668980"/>
              </a:lnTo>
              <a:lnTo>
                <a:pt x="0" y="19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945195" cy="182550"/>
    <xdr:sp macro="_xll.MC_OnBranchLabelClick" textlink="">
      <xdr:nvSpPr>
        <xdr:cNvPr id="121" name="MC_BN_D_root_C_survey_phase1">
          <a:extLst>
            <a:ext uri="{FF2B5EF4-FFF2-40B4-BE49-F238E27FC236}">
              <a16:creationId xmlns:a16="http://schemas.microsoft.com/office/drawing/2014/main" id="{88CCEDEB-CE9B-CCF5-F300-7B4D640D21F2}"/>
            </a:ext>
          </a:extLst>
        </xdr:cNvPr>
        <xdr:cNvSpPr txBox="1"/>
      </xdr:nvSpPr>
      <xdr:spPr>
        <a:xfrm>
          <a:off x="2405698" y="12805601"/>
          <a:ext cx="9451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Phased Exploration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53</xdr:row>
      <xdr:rowOff>190315</xdr:rowOff>
    </xdr:from>
    <xdr:to>
      <xdr:col>3</xdr:col>
      <xdr:colOff>47626</xdr:colOff>
      <xdr:row>84</xdr:row>
      <xdr:rowOff>6351</xdr:rowOff>
    </xdr:to>
    <xdr:sp macro="" textlink="">
      <xdr:nvSpPr>
        <xdr:cNvPr id="122" name="MC_BR_D_root_T_sell_rights">
          <a:extLst>
            <a:ext uri="{FF2B5EF4-FFF2-40B4-BE49-F238E27FC236}">
              <a16:creationId xmlns:a16="http://schemas.microsoft.com/office/drawing/2014/main" id="{0110C51F-51EA-782E-9174-AAAC2A426106}"/>
            </a:ext>
          </a:extLst>
        </xdr:cNvPr>
        <xdr:cNvSpPr/>
      </xdr:nvSpPr>
      <xdr:spPr>
        <a:xfrm>
          <a:off x="2203516" y="10229665"/>
          <a:ext cx="2363723" cy="5721536"/>
        </a:xfrm>
        <a:custGeom>
          <a:avLst/>
          <a:gdLst/>
          <a:ahLst/>
          <a:cxnLst/>
          <a:rect l="0" t="0" r="0" b="0"/>
          <a:pathLst>
            <a:path w="2363723" h="5721536">
              <a:moveTo>
                <a:pt x="12695" y="0"/>
              </a:moveTo>
              <a:lnTo>
                <a:pt x="179319" y="5715001"/>
              </a:lnTo>
              <a:lnTo>
                <a:pt x="172972" y="5708835"/>
              </a:lnTo>
              <a:lnTo>
                <a:pt x="2363722" y="5708835"/>
              </a:lnTo>
              <a:lnTo>
                <a:pt x="2363722" y="5721535"/>
              </a:lnTo>
              <a:lnTo>
                <a:pt x="172972" y="5721535"/>
              </a:lnTo>
              <a:lnTo>
                <a:pt x="166624" y="5715369"/>
              </a:lnTo>
              <a:lnTo>
                <a:pt x="0" y="37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83</xdr:row>
      <xdr:rowOff>99250</xdr:rowOff>
    </xdr:from>
    <xdr:ext cx="1087542" cy="182550"/>
    <xdr:sp macro="_xll.MC_OnBranchLabelClick" textlink="">
      <xdr:nvSpPr>
        <xdr:cNvPr id="123" name="MC_BN_D_root_T_sell_rights">
          <a:extLst>
            <a:ext uri="{FF2B5EF4-FFF2-40B4-BE49-F238E27FC236}">
              <a16:creationId xmlns:a16="http://schemas.microsoft.com/office/drawing/2014/main" id="{DB5EE9EF-D053-A55C-D866-5719A19105EE}"/>
            </a:ext>
          </a:extLst>
        </xdr:cNvPr>
        <xdr:cNvSpPr txBox="1"/>
      </xdr:nvSpPr>
      <xdr:spPr>
        <a:xfrm>
          <a:off x="2405698" y="15853600"/>
          <a:ext cx="10875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Exploration Rights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24" name="MC_BR_C_survey_full_C_commodity_major">
          <a:extLst>
            <a:ext uri="{FF2B5EF4-FFF2-40B4-BE49-F238E27FC236}">
              <a16:creationId xmlns:a16="http://schemas.microsoft.com/office/drawing/2014/main" id="{0AF77C51-7256-A986-A5CA-23630B204FB6}"/>
            </a:ext>
          </a:extLst>
        </xdr:cNvPr>
        <xdr:cNvSpPr/>
      </xdr:nvSpPr>
      <xdr:spPr>
        <a:xfrm>
          <a:off x="4603880" y="4127500"/>
          <a:ext cx="2435096" cy="1150267"/>
        </a:xfrm>
        <a:custGeom>
          <a:avLst/>
          <a:gdLst/>
          <a:ahLst/>
          <a:cxnLst/>
          <a:rect l="0" t="0" r="0" b="0"/>
          <a:pathLst>
            <a:path w="243509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435095" y="0"/>
              </a:lnTo>
              <a:lnTo>
                <a:pt x="243509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1007776" cy="182550"/>
    <xdr:sp macro="_xll.MC_OnBranchLabelClick" textlink="">
      <xdr:nvSpPr>
        <xdr:cNvPr id="125" name="MC_BN_C_survey_full_C_commodity_major">
          <a:extLst>
            <a:ext uri="{FF2B5EF4-FFF2-40B4-BE49-F238E27FC236}">
              <a16:creationId xmlns:a16="http://schemas.microsoft.com/office/drawing/2014/main" id="{4A39BDF8-CC01-585B-FB6A-6679600CF981}"/>
            </a:ext>
          </a:extLst>
        </xdr:cNvPr>
        <xdr:cNvSpPr txBox="1"/>
      </xdr:nvSpPr>
      <xdr:spPr>
        <a:xfrm>
          <a:off x="4805997" y="4042601"/>
          <a:ext cx="10077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Deposit Found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26" name="MC_BR_C_survey_full_C_commodity_mod">
          <a:extLst>
            <a:ext uri="{FF2B5EF4-FFF2-40B4-BE49-F238E27FC236}">
              <a16:creationId xmlns:a16="http://schemas.microsoft.com/office/drawing/2014/main" id="{7C01F9E5-6E77-01A0-D2E6-24874221202F}"/>
            </a:ext>
          </a:extLst>
        </xdr:cNvPr>
        <xdr:cNvSpPr/>
      </xdr:nvSpPr>
      <xdr:spPr>
        <a:xfrm>
          <a:off x="4603960" y="5275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865301" cy="182550"/>
    <xdr:sp macro="_xll.MC_OnBranchLabelClick" textlink="">
      <xdr:nvSpPr>
        <xdr:cNvPr id="127" name="MC_BN_C_survey_full_C_commodity_mod">
          <a:extLst>
            <a:ext uri="{FF2B5EF4-FFF2-40B4-BE49-F238E27FC236}">
              <a16:creationId xmlns:a16="http://schemas.microsoft.com/office/drawing/2014/main" id="{73C39840-41FC-417B-EDE1-BF85C2EB016F}"/>
            </a:ext>
          </a:extLst>
        </xdr:cNvPr>
        <xdr:cNvSpPr txBox="1"/>
      </xdr:nvSpPr>
      <xdr:spPr>
        <a:xfrm>
          <a:off x="4805997" y="5947601"/>
          <a:ext cx="8653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Deposit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27</xdr:row>
      <xdr:rowOff>190192</xdr:rowOff>
    </xdr:from>
    <xdr:to>
      <xdr:col>4</xdr:col>
      <xdr:colOff>47626</xdr:colOff>
      <xdr:row>46</xdr:row>
      <xdr:rowOff>6351</xdr:rowOff>
    </xdr:to>
    <xdr:sp macro="" textlink="">
      <xdr:nvSpPr>
        <xdr:cNvPr id="128" name="MC_BR_C_survey_full_D_small_deposit">
          <a:extLst>
            <a:ext uri="{FF2B5EF4-FFF2-40B4-BE49-F238E27FC236}">
              <a16:creationId xmlns:a16="http://schemas.microsoft.com/office/drawing/2014/main" id="{69A338D2-E2D9-E19D-09ED-EC8E093930A5}"/>
            </a:ext>
          </a:extLst>
        </xdr:cNvPr>
        <xdr:cNvSpPr/>
      </xdr:nvSpPr>
      <xdr:spPr>
        <a:xfrm>
          <a:off x="4603821" y="5276542"/>
          <a:ext cx="2435155" cy="3435659"/>
        </a:xfrm>
        <a:custGeom>
          <a:avLst/>
          <a:gdLst/>
          <a:ahLst/>
          <a:cxnLst/>
          <a:rect l="0" t="0" r="0" b="0"/>
          <a:pathLst>
            <a:path w="2435155" h="3435659">
              <a:moveTo>
                <a:pt x="12685" y="0"/>
              </a:moveTo>
              <a:lnTo>
                <a:pt x="179309" y="3428999"/>
              </a:lnTo>
              <a:lnTo>
                <a:pt x="172967" y="3422958"/>
              </a:lnTo>
              <a:lnTo>
                <a:pt x="2435154" y="3422958"/>
              </a:lnTo>
              <a:lnTo>
                <a:pt x="2435154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688265" cy="182550"/>
    <xdr:sp macro="_xll.MC_OnBranchLabelClick" textlink="">
      <xdr:nvSpPr>
        <xdr:cNvPr id="129" name="MC_BN_C_survey_full_D_small_deposit">
          <a:extLst>
            <a:ext uri="{FF2B5EF4-FFF2-40B4-BE49-F238E27FC236}">
              <a16:creationId xmlns:a16="http://schemas.microsoft.com/office/drawing/2014/main" id="{B54624A1-7793-C984-27CE-C2C6FA37BCEF}"/>
            </a:ext>
          </a:extLst>
        </xdr:cNvPr>
        <xdr:cNvSpPr txBox="1"/>
      </xdr:nvSpPr>
      <xdr:spPr>
        <a:xfrm>
          <a:off x="4805997" y="8614601"/>
          <a:ext cx="6882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Small Deposit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84205</xdr:colOff>
      <xdr:row>27</xdr:row>
      <xdr:rowOff>190269</xdr:rowOff>
    </xdr:from>
    <xdr:to>
      <xdr:col>4</xdr:col>
      <xdr:colOff>47626</xdr:colOff>
      <xdr:row>52</xdr:row>
      <xdr:rowOff>6351</xdr:rowOff>
    </xdr:to>
    <xdr:sp macro="" textlink="">
      <xdr:nvSpPr>
        <xdr:cNvPr id="130" name="MC_BR_C_survey_full_T_no_deposit">
          <a:extLst>
            <a:ext uri="{FF2B5EF4-FFF2-40B4-BE49-F238E27FC236}">
              <a16:creationId xmlns:a16="http://schemas.microsoft.com/office/drawing/2014/main" id="{CEB33ED6-19B0-DFB9-2EEB-760296745196}"/>
            </a:ext>
          </a:extLst>
        </xdr:cNvPr>
        <xdr:cNvSpPr/>
      </xdr:nvSpPr>
      <xdr:spPr>
        <a:xfrm>
          <a:off x="4603818" y="5276619"/>
          <a:ext cx="2435158" cy="4578582"/>
        </a:xfrm>
        <a:custGeom>
          <a:avLst/>
          <a:gdLst/>
          <a:ahLst/>
          <a:cxnLst/>
          <a:rect l="0" t="0" r="0" b="0"/>
          <a:pathLst>
            <a:path w="2435158" h="4578582">
              <a:moveTo>
                <a:pt x="12691" y="0"/>
              </a:moveTo>
              <a:lnTo>
                <a:pt x="179315" y="4572000"/>
              </a:lnTo>
              <a:lnTo>
                <a:pt x="172970" y="4565881"/>
              </a:lnTo>
              <a:lnTo>
                <a:pt x="2435157" y="4565881"/>
              </a:lnTo>
              <a:lnTo>
                <a:pt x="2435157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51</xdr:row>
      <xdr:rowOff>99251</xdr:rowOff>
    </xdr:from>
    <xdr:ext cx="876587" cy="182550"/>
    <xdr:sp macro="_xll.MC_OnBranchLabelClick" textlink="">
      <xdr:nvSpPr>
        <xdr:cNvPr id="131" name="MC_BN_C_survey_full_T_no_deposit">
          <a:extLst>
            <a:ext uri="{FF2B5EF4-FFF2-40B4-BE49-F238E27FC236}">
              <a16:creationId xmlns:a16="http://schemas.microsoft.com/office/drawing/2014/main" id="{7ACD988F-63D5-4A6B-D372-77E11AD2BEE5}"/>
            </a:ext>
          </a:extLst>
        </xdr:cNvPr>
        <xdr:cNvSpPr txBox="1"/>
      </xdr:nvSpPr>
      <xdr:spPr>
        <a:xfrm>
          <a:off x="4805997" y="9757601"/>
          <a:ext cx="8765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Viable Deposit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32" name="MC_BR_C_commodity_major_T_major_boom">
          <a:extLst>
            <a:ext uri="{FF2B5EF4-FFF2-40B4-BE49-F238E27FC236}">
              <a16:creationId xmlns:a16="http://schemas.microsoft.com/office/drawing/2014/main" id="{16101D0A-7316-BA6C-7C90-78C326D27A8B}"/>
            </a:ext>
          </a:extLst>
        </xdr:cNvPr>
        <xdr:cNvSpPr/>
      </xdr:nvSpPr>
      <xdr:spPr>
        <a:xfrm>
          <a:off x="7076083" y="374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19</xdr:row>
      <xdr:rowOff>99251</xdr:rowOff>
    </xdr:from>
    <xdr:ext cx="585673" cy="182550"/>
    <xdr:sp macro="_xll.MC_OnBranchLabelClick" textlink="">
      <xdr:nvSpPr>
        <xdr:cNvPr id="133" name="MC_BN_C_commodity_major_T_major_boom">
          <a:extLst>
            <a:ext uri="{FF2B5EF4-FFF2-40B4-BE49-F238E27FC236}">
              <a16:creationId xmlns:a16="http://schemas.microsoft.com/office/drawing/2014/main" id="{9C700FC6-1D22-726A-C31F-8AFF30E5F60C}"/>
            </a:ext>
          </a:extLst>
        </xdr:cNvPr>
        <xdr:cNvSpPr txBox="1"/>
      </xdr:nvSpPr>
      <xdr:spPr>
        <a:xfrm>
          <a:off x="7277735" y="3661601"/>
          <a:ext cx="5856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34" name="MC_BR_C_commodity_major_T_major_normal">
          <a:extLst>
            <a:ext uri="{FF2B5EF4-FFF2-40B4-BE49-F238E27FC236}">
              <a16:creationId xmlns:a16="http://schemas.microsoft.com/office/drawing/2014/main" id="{42F95450-5AEE-41C4-57D2-79DB8B4F8E5E}"/>
            </a:ext>
          </a:extLst>
        </xdr:cNvPr>
        <xdr:cNvSpPr/>
      </xdr:nvSpPr>
      <xdr:spPr>
        <a:xfrm>
          <a:off x="7076083" y="413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23</xdr:row>
      <xdr:rowOff>99251</xdr:rowOff>
    </xdr:from>
    <xdr:ext cx="648254" cy="182550"/>
    <xdr:sp macro="_xll.MC_OnBranchLabelClick" textlink="">
      <xdr:nvSpPr>
        <xdr:cNvPr id="135" name="MC_BN_C_commodity_major_T_major_normal">
          <a:extLst>
            <a:ext uri="{FF2B5EF4-FFF2-40B4-BE49-F238E27FC236}">
              <a16:creationId xmlns:a16="http://schemas.microsoft.com/office/drawing/2014/main" id="{13E660CB-5912-233D-1C4D-86C786DA0BE8}"/>
            </a:ext>
          </a:extLst>
        </xdr:cNvPr>
        <xdr:cNvSpPr txBox="1"/>
      </xdr:nvSpPr>
      <xdr:spPr>
        <a:xfrm>
          <a:off x="7277735" y="4423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36" name="MC_BR_C_commodity_major_T_major_slump">
          <a:extLst>
            <a:ext uri="{FF2B5EF4-FFF2-40B4-BE49-F238E27FC236}">
              <a16:creationId xmlns:a16="http://schemas.microsoft.com/office/drawing/2014/main" id="{3317DCD9-C830-4470-9638-7B8AEE62453E}"/>
            </a:ext>
          </a:extLst>
        </xdr:cNvPr>
        <xdr:cNvSpPr/>
      </xdr:nvSpPr>
      <xdr:spPr>
        <a:xfrm>
          <a:off x="7075698" y="413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25</xdr:row>
      <xdr:rowOff>99251</xdr:rowOff>
    </xdr:from>
    <xdr:ext cx="608436" cy="182550"/>
    <xdr:sp macro="_xll.MC_OnBranchLabelClick" textlink="">
      <xdr:nvSpPr>
        <xdr:cNvPr id="137" name="MC_BN_C_commodity_major_T_major_slump">
          <a:extLst>
            <a:ext uri="{FF2B5EF4-FFF2-40B4-BE49-F238E27FC236}">
              <a16:creationId xmlns:a16="http://schemas.microsoft.com/office/drawing/2014/main" id="{176EC7C2-8C81-2D22-1AB9-55E6F61CF2EE}"/>
            </a:ext>
          </a:extLst>
        </xdr:cNvPr>
        <xdr:cNvSpPr txBox="1"/>
      </xdr:nvSpPr>
      <xdr:spPr>
        <a:xfrm>
          <a:off x="7277735" y="4804601"/>
          <a:ext cx="608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Slump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38" name="MC_BR_C_commodity_mod_T_mod_boom">
          <a:extLst>
            <a:ext uri="{FF2B5EF4-FFF2-40B4-BE49-F238E27FC236}">
              <a16:creationId xmlns:a16="http://schemas.microsoft.com/office/drawing/2014/main" id="{EE884EFA-DE2C-F36A-4022-13E570B76B8E}"/>
            </a:ext>
          </a:extLst>
        </xdr:cNvPr>
        <xdr:cNvSpPr/>
      </xdr:nvSpPr>
      <xdr:spPr>
        <a:xfrm>
          <a:off x="7076083" y="5651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29</xdr:row>
      <xdr:rowOff>99251</xdr:rowOff>
    </xdr:from>
    <xdr:ext cx="585673" cy="182550"/>
    <xdr:sp macro="_xll.MC_OnBranchLabelClick" textlink="">
      <xdr:nvSpPr>
        <xdr:cNvPr id="139" name="MC_BN_C_commodity_mod_T_mod_boom">
          <a:extLst>
            <a:ext uri="{FF2B5EF4-FFF2-40B4-BE49-F238E27FC236}">
              <a16:creationId xmlns:a16="http://schemas.microsoft.com/office/drawing/2014/main" id="{F67521B3-02E0-5219-46A6-C60CF30FE840}"/>
            </a:ext>
          </a:extLst>
        </xdr:cNvPr>
        <xdr:cNvSpPr txBox="1"/>
      </xdr:nvSpPr>
      <xdr:spPr>
        <a:xfrm>
          <a:off x="7277735" y="5566601"/>
          <a:ext cx="5856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40" name="MC_BR_C_commodity_mod_T_mod_normal">
          <a:extLst>
            <a:ext uri="{FF2B5EF4-FFF2-40B4-BE49-F238E27FC236}">
              <a16:creationId xmlns:a16="http://schemas.microsoft.com/office/drawing/2014/main" id="{69B198CE-D1EC-16EE-CEC0-A7C529972144}"/>
            </a:ext>
          </a:extLst>
        </xdr:cNvPr>
        <xdr:cNvSpPr/>
      </xdr:nvSpPr>
      <xdr:spPr>
        <a:xfrm>
          <a:off x="7076083" y="6036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33</xdr:row>
      <xdr:rowOff>99251</xdr:rowOff>
    </xdr:from>
    <xdr:ext cx="648254" cy="182550"/>
    <xdr:sp macro="_xll.MC_OnBranchLabelClick" textlink="">
      <xdr:nvSpPr>
        <xdr:cNvPr id="141" name="MC_BN_C_commodity_mod_T_mod_normal">
          <a:extLst>
            <a:ext uri="{FF2B5EF4-FFF2-40B4-BE49-F238E27FC236}">
              <a16:creationId xmlns:a16="http://schemas.microsoft.com/office/drawing/2014/main" id="{2FA5BADA-E1DA-661D-B91E-EB932046C896}"/>
            </a:ext>
          </a:extLst>
        </xdr:cNvPr>
        <xdr:cNvSpPr txBox="1"/>
      </xdr:nvSpPr>
      <xdr:spPr>
        <a:xfrm>
          <a:off x="7277735" y="6328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42" name="MC_BR_C_commodity_mod_T_mod_slump">
          <a:extLst>
            <a:ext uri="{FF2B5EF4-FFF2-40B4-BE49-F238E27FC236}">
              <a16:creationId xmlns:a16="http://schemas.microsoft.com/office/drawing/2014/main" id="{0B8EA556-22C5-90B5-99F1-0E37105B2B6B}"/>
            </a:ext>
          </a:extLst>
        </xdr:cNvPr>
        <xdr:cNvSpPr/>
      </xdr:nvSpPr>
      <xdr:spPr>
        <a:xfrm>
          <a:off x="7075698" y="603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608436" cy="182550"/>
    <xdr:sp macro="_xll.MC_OnBranchLabelClick" textlink="">
      <xdr:nvSpPr>
        <xdr:cNvPr id="143" name="MC_BN_C_commodity_mod_T_mod_slump">
          <a:extLst>
            <a:ext uri="{FF2B5EF4-FFF2-40B4-BE49-F238E27FC236}">
              <a16:creationId xmlns:a16="http://schemas.microsoft.com/office/drawing/2014/main" id="{D708DD92-8055-FF95-FB66-44379E787EDF}"/>
            </a:ext>
          </a:extLst>
        </xdr:cNvPr>
        <xdr:cNvSpPr txBox="1"/>
      </xdr:nvSpPr>
      <xdr:spPr>
        <a:xfrm>
          <a:off x="7277735" y="6709601"/>
          <a:ext cx="608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Slump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39</xdr:row>
      <xdr:rowOff>184150</xdr:rowOff>
    </xdr:from>
    <xdr:to>
      <xdr:col>5</xdr:col>
      <xdr:colOff>47626</xdr:colOff>
      <xdr:row>46</xdr:row>
      <xdr:rowOff>917</xdr:rowOff>
    </xdr:to>
    <xdr:sp macro="" textlink="">
      <xdr:nvSpPr>
        <xdr:cNvPr id="144" name="MC_BR_D_small_deposit_C_commodity_small">
          <a:extLst>
            <a:ext uri="{FF2B5EF4-FFF2-40B4-BE49-F238E27FC236}">
              <a16:creationId xmlns:a16="http://schemas.microsoft.com/office/drawing/2014/main" id="{325DC42A-8A49-645F-0D0B-C1D479BD0102}"/>
            </a:ext>
          </a:extLst>
        </xdr:cNvPr>
        <xdr:cNvSpPr/>
      </xdr:nvSpPr>
      <xdr:spPr>
        <a:xfrm>
          <a:off x="7075618" y="755650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520820" y="0"/>
              </a:lnTo>
              <a:lnTo>
                <a:pt x="2520820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39</xdr:row>
      <xdr:rowOff>99251</xdr:rowOff>
    </xdr:from>
    <xdr:ext cx="979114" cy="182550"/>
    <xdr:sp macro="_xll.MC_OnBranchLabelClick" textlink="">
      <xdr:nvSpPr>
        <xdr:cNvPr id="145" name="MC_BN_D_small_deposit_C_commodity_small">
          <a:extLst>
            <a:ext uri="{FF2B5EF4-FFF2-40B4-BE49-F238E27FC236}">
              <a16:creationId xmlns:a16="http://schemas.microsoft.com/office/drawing/2014/main" id="{F9D6825D-81AF-1D3D-5A6E-62D06CE14DC3}"/>
            </a:ext>
          </a:extLst>
        </xdr:cNvPr>
        <xdr:cNvSpPr txBox="1"/>
      </xdr:nvSpPr>
      <xdr:spPr>
        <a:xfrm>
          <a:off x="7277735" y="7471601"/>
          <a:ext cx="97911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Develop (High Cost)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45</xdr:row>
      <xdr:rowOff>187956</xdr:rowOff>
    </xdr:from>
    <xdr:to>
      <xdr:col>5</xdr:col>
      <xdr:colOff>47626</xdr:colOff>
      <xdr:row>48</xdr:row>
      <xdr:rowOff>6351</xdr:rowOff>
    </xdr:to>
    <xdr:sp macro="" textlink="">
      <xdr:nvSpPr>
        <xdr:cNvPr id="146" name="MC_BR_D_small_deposit_T_sell_small">
          <a:extLst>
            <a:ext uri="{FF2B5EF4-FFF2-40B4-BE49-F238E27FC236}">
              <a16:creationId xmlns:a16="http://schemas.microsoft.com/office/drawing/2014/main" id="{7EA75306-4BB9-A916-323A-92E91EC5B5E3}"/>
            </a:ext>
          </a:extLst>
        </xdr:cNvPr>
        <xdr:cNvSpPr/>
      </xdr:nvSpPr>
      <xdr:spPr>
        <a:xfrm>
          <a:off x="7076083" y="8703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47</xdr:row>
      <xdr:rowOff>99251</xdr:rowOff>
    </xdr:from>
    <xdr:ext cx="876458" cy="182550"/>
    <xdr:sp macro="_xll.MC_OnBranchLabelClick" textlink="">
      <xdr:nvSpPr>
        <xdr:cNvPr id="147" name="MC_BN_D_small_deposit_T_sell_small">
          <a:extLst>
            <a:ext uri="{FF2B5EF4-FFF2-40B4-BE49-F238E27FC236}">
              <a16:creationId xmlns:a16="http://schemas.microsoft.com/office/drawing/2014/main" id="{D352F17F-70D4-2F44-F550-AFF6E971260E}"/>
            </a:ext>
          </a:extLst>
        </xdr:cNvPr>
        <xdr:cNvSpPr txBox="1"/>
      </xdr:nvSpPr>
      <xdr:spPr>
        <a:xfrm>
          <a:off x="7277735" y="8995601"/>
          <a:ext cx="8764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Mining Rights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148" name="MC_BR_D_small_deposit_T_abandon">
          <a:extLst>
            <a:ext uri="{FF2B5EF4-FFF2-40B4-BE49-F238E27FC236}">
              <a16:creationId xmlns:a16="http://schemas.microsoft.com/office/drawing/2014/main" id="{8159792F-4894-8C5D-856F-F233CB690F9D}"/>
            </a:ext>
          </a:extLst>
        </xdr:cNvPr>
        <xdr:cNvSpPr/>
      </xdr:nvSpPr>
      <xdr:spPr>
        <a:xfrm>
          <a:off x="7075698" y="8704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756874" cy="182550"/>
    <xdr:sp macro="_xll.MC_OnBranchLabelClick" textlink="">
      <xdr:nvSpPr>
        <xdr:cNvPr id="149" name="MC_BN_D_small_deposit_T_abandon">
          <a:extLst>
            <a:ext uri="{FF2B5EF4-FFF2-40B4-BE49-F238E27FC236}">
              <a16:creationId xmlns:a16="http://schemas.microsoft.com/office/drawing/2014/main" id="{9B8ED4BA-9A0D-F6D0-43FC-85CECE5F7C61}"/>
            </a:ext>
          </a:extLst>
        </xdr:cNvPr>
        <xdr:cNvSpPr txBox="1"/>
      </xdr:nvSpPr>
      <xdr:spPr>
        <a:xfrm>
          <a:off x="7277735" y="9376601"/>
          <a:ext cx="7568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Abandon Claim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150" name="MC_BR_C_commodity_small_T_small_boom">
          <a:extLst>
            <a:ext uri="{FF2B5EF4-FFF2-40B4-BE49-F238E27FC236}">
              <a16:creationId xmlns:a16="http://schemas.microsoft.com/office/drawing/2014/main" id="{7C4343C4-2533-0FF0-B354-C800D1E09C00}"/>
            </a:ext>
          </a:extLst>
        </xdr:cNvPr>
        <xdr:cNvSpPr/>
      </xdr:nvSpPr>
      <xdr:spPr>
        <a:xfrm>
          <a:off x="9633545" y="7175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91805" y="0"/>
              </a:lnTo>
              <a:lnTo>
                <a:pt x="269180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585673" cy="182550"/>
    <xdr:sp macro="_xll.MC_OnBranchLabelClick" textlink="">
      <xdr:nvSpPr>
        <xdr:cNvPr id="151" name="MC_BN_C_commodity_small_T_small_boom">
          <a:extLst>
            <a:ext uri="{FF2B5EF4-FFF2-40B4-BE49-F238E27FC236}">
              <a16:creationId xmlns:a16="http://schemas.microsoft.com/office/drawing/2014/main" id="{6018EDA6-51B3-107F-8CC7-374E4B3A7D7C}"/>
            </a:ext>
          </a:extLst>
        </xdr:cNvPr>
        <xdr:cNvSpPr txBox="1"/>
      </xdr:nvSpPr>
      <xdr:spPr>
        <a:xfrm>
          <a:off x="9835197" y="7090601"/>
          <a:ext cx="5856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152" name="MC_BR_C_commodity_small_T_small_normal">
          <a:extLst>
            <a:ext uri="{FF2B5EF4-FFF2-40B4-BE49-F238E27FC236}">
              <a16:creationId xmlns:a16="http://schemas.microsoft.com/office/drawing/2014/main" id="{7B822329-63BE-5D4C-6209-1CDFB9BF2AA2}"/>
            </a:ext>
          </a:extLst>
        </xdr:cNvPr>
        <xdr:cNvSpPr/>
      </xdr:nvSpPr>
      <xdr:spPr>
        <a:xfrm>
          <a:off x="9633545" y="7560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41</xdr:row>
      <xdr:rowOff>99251</xdr:rowOff>
    </xdr:from>
    <xdr:ext cx="648254" cy="182550"/>
    <xdr:sp macro="_xll.MC_OnBranchLabelClick" textlink="">
      <xdr:nvSpPr>
        <xdr:cNvPr id="153" name="MC_BN_C_commodity_small_T_small_normal">
          <a:extLst>
            <a:ext uri="{FF2B5EF4-FFF2-40B4-BE49-F238E27FC236}">
              <a16:creationId xmlns:a16="http://schemas.microsoft.com/office/drawing/2014/main" id="{7E0EF33A-469E-4521-A105-24562543E06E}"/>
            </a:ext>
          </a:extLst>
        </xdr:cNvPr>
        <xdr:cNvSpPr txBox="1"/>
      </xdr:nvSpPr>
      <xdr:spPr>
        <a:xfrm>
          <a:off x="9835197" y="7852601"/>
          <a:ext cx="6482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39</xdr:row>
      <xdr:rowOff>189143</xdr:rowOff>
    </xdr:from>
    <xdr:to>
      <xdr:col>6</xdr:col>
      <xdr:colOff>47626</xdr:colOff>
      <xdr:row>44</xdr:row>
      <xdr:rowOff>6351</xdr:rowOff>
    </xdr:to>
    <xdr:sp macro="" textlink="">
      <xdr:nvSpPr>
        <xdr:cNvPr id="154" name="MC_BR_C_commodity_small_T_small_slump">
          <a:extLst>
            <a:ext uri="{FF2B5EF4-FFF2-40B4-BE49-F238E27FC236}">
              <a16:creationId xmlns:a16="http://schemas.microsoft.com/office/drawing/2014/main" id="{F4BE1B47-B31A-E7C5-9753-9C08CCA31F60}"/>
            </a:ext>
          </a:extLst>
        </xdr:cNvPr>
        <xdr:cNvSpPr/>
      </xdr:nvSpPr>
      <xdr:spPr>
        <a:xfrm>
          <a:off x="9633160" y="7561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608436" cy="182550"/>
    <xdr:sp macro="_xll.MC_OnBranchLabelClick" textlink="">
      <xdr:nvSpPr>
        <xdr:cNvPr id="155" name="MC_BN_C_commodity_small_T_small_slump">
          <a:extLst>
            <a:ext uri="{FF2B5EF4-FFF2-40B4-BE49-F238E27FC236}">
              <a16:creationId xmlns:a16="http://schemas.microsoft.com/office/drawing/2014/main" id="{07BC404C-7C2B-CE13-EF45-510B131B3843}"/>
            </a:ext>
          </a:extLst>
        </xdr:cNvPr>
        <xdr:cNvSpPr txBox="1"/>
      </xdr:nvSpPr>
      <xdr:spPr>
        <a:xfrm>
          <a:off x="9835197" y="8233601"/>
          <a:ext cx="6084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Price Slump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63</xdr:row>
      <xdr:rowOff>174625</xdr:rowOff>
    </xdr:from>
    <xdr:to>
      <xdr:col>4</xdr:col>
      <xdr:colOff>47626</xdr:colOff>
      <xdr:row>68</xdr:row>
      <xdr:rowOff>3392</xdr:rowOff>
    </xdr:to>
    <xdr:sp macro="" textlink="">
      <xdr:nvSpPr>
        <xdr:cNvPr id="156" name="MC_BR_C_survey_phase1_D_phase2">
          <a:extLst>
            <a:ext uri="{FF2B5EF4-FFF2-40B4-BE49-F238E27FC236}">
              <a16:creationId xmlns:a16="http://schemas.microsoft.com/office/drawing/2014/main" id="{9A23E2F4-9F9A-443C-C120-40DC685CD335}"/>
            </a:ext>
          </a:extLst>
        </xdr:cNvPr>
        <xdr:cNvSpPr/>
      </xdr:nvSpPr>
      <xdr:spPr>
        <a:xfrm>
          <a:off x="4594655" y="12118975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444320" y="0"/>
              </a:lnTo>
              <a:lnTo>
                <a:pt x="2444320" y="31750"/>
              </a:lnTo>
              <a:lnTo>
                <a:pt x="182133" y="31750"/>
              </a:lnTo>
              <a:lnTo>
                <a:pt x="197641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63</xdr:row>
      <xdr:rowOff>99251</xdr:rowOff>
    </xdr:from>
    <xdr:ext cx="984885" cy="182550"/>
    <xdr:sp macro="_xll.MC_OnBranchLabelClick" textlink="">
      <xdr:nvSpPr>
        <xdr:cNvPr id="157" name="MC_BN_C_survey_phase1_D_phase2">
          <a:extLst>
            <a:ext uri="{FF2B5EF4-FFF2-40B4-BE49-F238E27FC236}">
              <a16:creationId xmlns:a16="http://schemas.microsoft.com/office/drawing/2014/main" id="{E78FD2E1-8305-6CA3-F335-117867082D1F}"/>
            </a:ext>
          </a:extLst>
        </xdr:cNvPr>
        <xdr:cNvSpPr txBox="1"/>
      </xdr:nvSpPr>
      <xdr:spPr>
        <a:xfrm>
          <a:off x="4805997" y="12043601"/>
          <a:ext cx="9848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Promising Indicators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67</xdr:row>
      <xdr:rowOff>189116</xdr:rowOff>
    </xdr:from>
    <xdr:to>
      <xdr:col>4</xdr:col>
      <xdr:colOff>47626</xdr:colOff>
      <xdr:row>78</xdr:row>
      <xdr:rowOff>15876</xdr:rowOff>
    </xdr:to>
    <xdr:sp macro="" textlink="">
      <xdr:nvSpPr>
        <xdr:cNvPr id="158" name="MC_BR_C_survey_phase1_D_inconclusive">
          <a:extLst>
            <a:ext uri="{FF2B5EF4-FFF2-40B4-BE49-F238E27FC236}">
              <a16:creationId xmlns:a16="http://schemas.microsoft.com/office/drawing/2014/main" id="{638F559F-05DE-CB19-AE0C-9D9A81DF2461}"/>
            </a:ext>
          </a:extLst>
        </xdr:cNvPr>
        <xdr:cNvSpPr/>
      </xdr:nvSpPr>
      <xdr:spPr>
        <a:xfrm>
          <a:off x="4594349" y="12895466"/>
          <a:ext cx="2444627" cy="1922260"/>
        </a:xfrm>
        <a:custGeom>
          <a:avLst/>
          <a:gdLst/>
          <a:ahLst/>
          <a:cxnLst/>
          <a:rect l="0" t="0" r="0" b="0"/>
          <a:pathLst>
            <a:path w="2444627" h="1922260">
              <a:moveTo>
                <a:pt x="31629" y="0"/>
              </a:moveTo>
              <a:lnTo>
                <a:pt x="198253" y="1905001"/>
              </a:lnTo>
              <a:lnTo>
                <a:pt x="182439" y="1890509"/>
              </a:lnTo>
              <a:lnTo>
                <a:pt x="2444626" y="1890509"/>
              </a:lnTo>
              <a:lnTo>
                <a:pt x="2444626" y="1922259"/>
              </a:lnTo>
              <a:lnTo>
                <a:pt x="182439" y="1922259"/>
              </a:lnTo>
              <a:lnTo>
                <a:pt x="166624" y="1907767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77</xdr:row>
      <xdr:rowOff>99250</xdr:rowOff>
    </xdr:from>
    <xdr:ext cx="619978" cy="182550"/>
    <xdr:sp macro="_xll.MC_OnBranchLabelClick" textlink="">
      <xdr:nvSpPr>
        <xdr:cNvPr id="159" name="MC_BN_C_survey_phase1_D_inconclusive">
          <a:extLst>
            <a:ext uri="{FF2B5EF4-FFF2-40B4-BE49-F238E27FC236}">
              <a16:creationId xmlns:a16="http://schemas.microsoft.com/office/drawing/2014/main" id="{F9945E06-9C53-991E-58C6-85A44E39E4E7}"/>
            </a:ext>
          </a:extLst>
        </xdr:cNvPr>
        <xdr:cNvSpPr txBox="1"/>
      </xdr:nvSpPr>
      <xdr:spPr>
        <a:xfrm>
          <a:off x="4805997" y="14710600"/>
          <a:ext cx="619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Inconclusive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74707</xdr:colOff>
      <xdr:row>67</xdr:row>
      <xdr:rowOff>189510</xdr:rowOff>
    </xdr:from>
    <xdr:to>
      <xdr:col>4</xdr:col>
      <xdr:colOff>47626</xdr:colOff>
      <xdr:row>82</xdr:row>
      <xdr:rowOff>15876</xdr:rowOff>
    </xdr:to>
    <xdr:sp macro="" textlink="">
      <xdr:nvSpPr>
        <xdr:cNvPr id="160" name="MC_BR_C_survey_phase1_T_phase1_negative">
          <a:extLst>
            <a:ext uri="{FF2B5EF4-FFF2-40B4-BE49-F238E27FC236}">
              <a16:creationId xmlns:a16="http://schemas.microsoft.com/office/drawing/2014/main" id="{26BEF7E1-035A-6B9D-978A-A477720DF702}"/>
            </a:ext>
          </a:extLst>
        </xdr:cNvPr>
        <xdr:cNvSpPr/>
      </xdr:nvSpPr>
      <xdr:spPr>
        <a:xfrm>
          <a:off x="4594320" y="12895860"/>
          <a:ext cx="2444656" cy="2683866"/>
        </a:xfrm>
        <a:custGeom>
          <a:avLst/>
          <a:gdLst/>
          <a:ahLst/>
          <a:cxnLst/>
          <a:rect l="0" t="0" r="0" b="0"/>
          <a:pathLst>
            <a:path w="2444656" h="2683866">
              <a:moveTo>
                <a:pt x="31688" y="0"/>
              </a:moveTo>
              <a:lnTo>
                <a:pt x="198311" y="2666999"/>
              </a:lnTo>
              <a:lnTo>
                <a:pt x="182468" y="2652115"/>
              </a:lnTo>
              <a:lnTo>
                <a:pt x="2444655" y="2652115"/>
              </a:lnTo>
              <a:lnTo>
                <a:pt x="2444655" y="2683865"/>
              </a:lnTo>
              <a:lnTo>
                <a:pt x="182468" y="2683865"/>
              </a:lnTo>
              <a:lnTo>
                <a:pt x="166624" y="2668981"/>
              </a:lnTo>
              <a:lnTo>
                <a:pt x="0" y="19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830933" cy="182550"/>
    <xdr:sp macro="_xll.MC_OnBranchLabelClick" textlink="">
      <xdr:nvSpPr>
        <xdr:cNvPr id="161" name="MC_BN_C_survey_phase1_T_phase1_negative">
          <a:extLst>
            <a:ext uri="{FF2B5EF4-FFF2-40B4-BE49-F238E27FC236}">
              <a16:creationId xmlns:a16="http://schemas.microsoft.com/office/drawing/2014/main" id="{CA1DF36E-0F77-7B98-C91F-0DB6F142CC0F}"/>
            </a:ext>
          </a:extLst>
        </xdr:cNvPr>
        <xdr:cNvSpPr txBox="1"/>
      </xdr:nvSpPr>
      <xdr:spPr>
        <a:xfrm>
          <a:off x="4805997" y="15472600"/>
          <a:ext cx="8309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Negative Results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57</xdr:row>
      <xdr:rowOff>174625</xdr:rowOff>
    </xdr:from>
    <xdr:to>
      <xdr:col>5</xdr:col>
      <xdr:colOff>47626</xdr:colOff>
      <xdr:row>64</xdr:row>
      <xdr:rowOff>2291</xdr:rowOff>
    </xdr:to>
    <xdr:sp macro="" textlink="">
      <xdr:nvSpPr>
        <xdr:cNvPr id="162" name="MC_BR_D_phase2_C_drilling">
          <a:extLst>
            <a:ext uri="{FF2B5EF4-FFF2-40B4-BE49-F238E27FC236}">
              <a16:creationId xmlns:a16="http://schemas.microsoft.com/office/drawing/2014/main" id="{A2E7C601-BB6C-19E1-2531-C531DCF8049D}"/>
            </a:ext>
          </a:extLst>
        </xdr:cNvPr>
        <xdr:cNvSpPr/>
      </xdr:nvSpPr>
      <xdr:spPr>
        <a:xfrm>
          <a:off x="7066192" y="10975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530246" y="0"/>
              </a:lnTo>
              <a:lnTo>
                <a:pt x="25302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57</xdr:row>
      <xdr:rowOff>99251</xdr:rowOff>
    </xdr:from>
    <xdr:ext cx="967637" cy="182550"/>
    <xdr:sp macro="_xll.MC_OnBranchLabelClick" textlink="">
      <xdr:nvSpPr>
        <xdr:cNvPr id="163" name="MC_BN_D_phase2_C_drilling">
          <a:extLst>
            <a:ext uri="{FF2B5EF4-FFF2-40B4-BE49-F238E27FC236}">
              <a16:creationId xmlns:a16="http://schemas.microsoft.com/office/drawing/2014/main" id="{B6570EA9-0278-81E0-78CF-55546F8AE5B0}"/>
            </a:ext>
          </a:extLst>
        </xdr:cNvPr>
        <xdr:cNvSpPr txBox="1"/>
      </xdr:nvSpPr>
      <xdr:spPr>
        <a:xfrm>
          <a:off x="7277735" y="10900601"/>
          <a:ext cx="9676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Phase 2 Drilling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63</xdr:row>
      <xdr:rowOff>187956</xdr:rowOff>
    </xdr:from>
    <xdr:to>
      <xdr:col>5</xdr:col>
      <xdr:colOff>47626</xdr:colOff>
      <xdr:row>66</xdr:row>
      <xdr:rowOff>6351</xdr:rowOff>
    </xdr:to>
    <xdr:sp macro="" textlink="">
      <xdr:nvSpPr>
        <xdr:cNvPr id="164" name="MC_BR_D_phase2_T_sell_data_promising">
          <a:extLst>
            <a:ext uri="{FF2B5EF4-FFF2-40B4-BE49-F238E27FC236}">
              <a16:creationId xmlns:a16="http://schemas.microsoft.com/office/drawing/2014/main" id="{4AFF2A8A-68C3-F2BD-1793-94D7A7462715}"/>
            </a:ext>
          </a:extLst>
        </xdr:cNvPr>
        <xdr:cNvSpPr/>
      </xdr:nvSpPr>
      <xdr:spPr>
        <a:xfrm>
          <a:off x="7076083" y="12132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65</xdr:row>
      <xdr:rowOff>99251</xdr:rowOff>
    </xdr:from>
    <xdr:ext cx="887935" cy="182550"/>
    <xdr:sp macro="_xll.MC_OnBranchLabelClick" textlink="">
      <xdr:nvSpPr>
        <xdr:cNvPr id="165" name="MC_BN_D_phase2_T_sell_data_promising">
          <a:extLst>
            <a:ext uri="{FF2B5EF4-FFF2-40B4-BE49-F238E27FC236}">
              <a16:creationId xmlns:a16="http://schemas.microsoft.com/office/drawing/2014/main" id="{72BBDBF6-7460-27EB-329D-B9F8B366B171}"/>
            </a:ext>
          </a:extLst>
        </xdr:cNvPr>
        <xdr:cNvSpPr txBox="1"/>
      </xdr:nvSpPr>
      <xdr:spPr>
        <a:xfrm>
          <a:off x="7277735" y="12424601"/>
          <a:ext cx="8879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Data &amp; Rights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55</xdr:row>
      <xdr:rowOff>174625</xdr:rowOff>
    </xdr:from>
    <xdr:to>
      <xdr:col>6</xdr:col>
      <xdr:colOff>47626</xdr:colOff>
      <xdr:row>58</xdr:row>
      <xdr:rowOff>6362</xdr:rowOff>
    </xdr:to>
    <xdr:sp macro="" textlink="">
      <xdr:nvSpPr>
        <xdr:cNvPr id="166" name="MC_BR_C_drilling_T_drill_large">
          <a:extLst>
            <a:ext uri="{FF2B5EF4-FFF2-40B4-BE49-F238E27FC236}">
              <a16:creationId xmlns:a16="http://schemas.microsoft.com/office/drawing/2014/main" id="{FDB16BBE-4B84-2A19-63E4-B91C8CCFD944}"/>
            </a:ext>
          </a:extLst>
        </xdr:cNvPr>
        <xdr:cNvSpPr/>
      </xdr:nvSpPr>
      <xdr:spPr>
        <a:xfrm>
          <a:off x="9624819" y="10594975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00531" y="0"/>
              </a:lnTo>
              <a:lnTo>
                <a:pt x="270053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55</xdr:row>
      <xdr:rowOff>99251</xdr:rowOff>
    </xdr:from>
    <xdr:ext cx="1196033" cy="182550"/>
    <xdr:sp macro="_xll.MC_OnBranchLabelClick" textlink="">
      <xdr:nvSpPr>
        <xdr:cNvPr id="167" name="MC_BN_C_drilling_T_drill_large">
          <a:extLst>
            <a:ext uri="{FF2B5EF4-FFF2-40B4-BE49-F238E27FC236}">
              <a16:creationId xmlns:a16="http://schemas.microsoft.com/office/drawing/2014/main" id="{097749E7-13D7-389F-7844-FE7462DD2B54}"/>
            </a:ext>
          </a:extLst>
        </xdr:cNvPr>
        <xdr:cNvSpPr txBox="1"/>
      </xdr:nvSpPr>
      <xdr:spPr>
        <a:xfrm>
          <a:off x="9835197" y="10519601"/>
          <a:ext cx="11960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Confirmed Large Deposit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57</xdr:row>
      <xdr:rowOff>184139</xdr:rowOff>
    </xdr:from>
    <xdr:to>
      <xdr:col>6</xdr:col>
      <xdr:colOff>47626</xdr:colOff>
      <xdr:row>60</xdr:row>
      <xdr:rowOff>15876</xdr:rowOff>
    </xdr:to>
    <xdr:sp macro="" textlink="">
      <xdr:nvSpPr>
        <xdr:cNvPr id="168" name="MC_BR_C_drilling_T_drill_moderate">
          <a:extLst>
            <a:ext uri="{FF2B5EF4-FFF2-40B4-BE49-F238E27FC236}">
              <a16:creationId xmlns:a16="http://schemas.microsoft.com/office/drawing/2014/main" id="{D2D5D3AB-D8A6-DC7C-6ABE-C6BF6DEFBB0F}"/>
            </a:ext>
          </a:extLst>
        </xdr:cNvPr>
        <xdr:cNvSpPr/>
      </xdr:nvSpPr>
      <xdr:spPr>
        <a:xfrm>
          <a:off x="9624819" y="10985489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00531" y="371486"/>
              </a:lnTo>
              <a:lnTo>
                <a:pt x="270053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59</xdr:row>
      <xdr:rowOff>99251</xdr:rowOff>
    </xdr:from>
    <xdr:ext cx="865301" cy="182550"/>
    <xdr:sp macro="_xll.MC_OnBranchLabelClick" textlink="">
      <xdr:nvSpPr>
        <xdr:cNvPr id="169" name="MC_BN_C_drilling_T_drill_moderate">
          <a:extLst>
            <a:ext uri="{FF2B5EF4-FFF2-40B4-BE49-F238E27FC236}">
              <a16:creationId xmlns:a16="http://schemas.microsoft.com/office/drawing/2014/main" id="{73182D5E-6EA3-A859-FCA1-A78A3D72FC1B}"/>
            </a:ext>
          </a:extLst>
        </xdr:cNvPr>
        <xdr:cNvSpPr txBox="1"/>
      </xdr:nvSpPr>
      <xdr:spPr>
        <a:xfrm>
          <a:off x="9835197" y="11281601"/>
          <a:ext cx="8653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Deposit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57</xdr:row>
      <xdr:rowOff>187109</xdr:rowOff>
    </xdr:from>
    <xdr:to>
      <xdr:col>6</xdr:col>
      <xdr:colOff>47626</xdr:colOff>
      <xdr:row>62</xdr:row>
      <xdr:rowOff>15876</xdr:rowOff>
    </xdr:to>
    <xdr:sp macro="" textlink="">
      <xdr:nvSpPr>
        <xdr:cNvPr id="170" name="MC_BR_C_drilling_T_drill_subeconomic">
          <a:extLst>
            <a:ext uri="{FF2B5EF4-FFF2-40B4-BE49-F238E27FC236}">
              <a16:creationId xmlns:a16="http://schemas.microsoft.com/office/drawing/2014/main" id="{705DD384-0FB5-51B7-5D82-74BB715F5B51}"/>
            </a:ext>
          </a:extLst>
        </xdr:cNvPr>
        <xdr:cNvSpPr/>
      </xdr:nvSpPr>
      <xdr:spPr>
        <a:xfrm>
          <a:off x="9623855" y="10988459"/>
          <a:ext cx="2701496" cy="781267"/>
        </a:xfrm>
        <a:custGeom>
          <a:avLst/>
          <a:gdLst/>
          <a:ahLst/>
          <a:cxnLst/>
          <a:rect l="0" t="0" r="0" b="0"/>
          <a:pathLst>
            <a:path w="270149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701495" y="749516"/>
              </a:lnTo>
              <a:lnTo>
                <a:pt x="270149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61</xdr:row>
      <xdr:rowOff>99251</xdr:rowOff>
    </xdr:from>
    <xdr:ext cx="722570" cy="182550"/>
    <xdr:sp macro="_xll.MC_OnBranchLabelClick" textlink="">
      <xdr:nvSpPr>
        <xdr:cNvPr id="171" name="MC_BN_C_drilling_T_drill_subeconomic">
          <a:extLst>
            <a:ext uri="{FF2B5EF4-FFF2-40B4-BE49-F238E27FC236}">
              <a16:creationId xmlns:a16="http://schemas.microsoft.com/office/drawing/2014/main" id="{35532A91-6D3E-2043-4BDA-923A5E108C27}"/>
            </a:ext>
          </a:extLst>
        </xdr:cNvPr>
        <xdr:cNvSpPr txBox="1"/>
      </xdr:nvSpPr>
      <xdr:spPr>
        <a:xfrm>
          <a:off x="9835197" y="11662601"/>
          <a:ext cx="7225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Sub-Economic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71</xdr:row>
      <xdr:rowOff>174625</xdr:rowOff>
    </xdr:from>
    <xdr:to>
      <xdr:col>5</xdr:col>
      <xdr:colOff>47626</xdr:colOff>
      <xdr:row>78</xdr:row>
      <xdr:rowOff>2291</xdr:rowOff>
    </xdr:to>
    <xdr:sp macro="" textlink="">
      <xdr:nvSpPr>
        <xdr:cNvPr id="172" name="MC_BR_D_inconclusive_C_additional">
          <a:extLst>
            <a:ext uri="{FF2B5EF4-FFF2-40B4-BE49-F238E27FC236}">
              <a16:creationId xmlns:a16="http://schemas.microsoft.com/office/drawing/2014/main" id="{AB77A803-983B-D4C6-BC63-D73FFE57E586}"/>
            </a:ext>
          </a:extLst>
        </xdr:cNvPr>
        <xdr:cNvSpPr/>
      </xdr:nvSpPr>
      <xdr:spPr>
        <a:xfrm>
          <a:off x="7066192" y="13642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530246" y="0"/>
              </a:lnTo>
              <a:lnTo>
                <a:pt x="25302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71</xdr:row>
      <xdr:rowOff>99250</xdr:rowOff>
    </xdr:from>
    <xdr:ext cx="962186" cy="182550"/>
    <xdr:sp macro="_xll.MC_OnBranchLabelClick" textlink="">
      <xdr:nvSpPr>
        <xdr:cNvPr id="173" name="MC_BN_D_inconclusive_C_additional">
          <a:extLst>
            <a:ext uri="{FF2B5EF4-FFF2-40B4-BE49-F238E27FC236}">
              <a16:creationId xmlns:a16="http://schemas.microsoft.com/office/drawing/2014/main" id="{09CF665A-0140-303D-3C97-0018BAD8CEB3}"/>
            </a:ext>
          </a:extLst>
        </xdr:cNvPr>
        <xdr:cNvSpPr txBox="1"/>
      </xdr:nvSpPr>
      <xdr:spPr>
        <a:xfrm>
          <a:off x="7277735" y="13567600"/>
          <a:ext cx="9621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Additional Sampling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77</xdr:row>
      <xdr:rowOff>187956</xdr:rowOff>
    </xdr:from>
    <xdr:to>
      <xdr:col>5</xdr:col>
      <xdr:colOff>47626</xdr:colOff>
      <xdr:row>80</xdr:row>
      <xdr:rowOff>6351</xdr:rowOff>
    </xdr:to>
    <xdr:sp macro="" textlink="">
      <xdr:nvSpPr>
        <xdr:cNvPr id="174" name="MC_BR_D_inconclusive_T_sell_data_inconc">
          <a:extLst>
            <a:ext uri="{FF2B5EF4-FFF2-40B4-BE49-F238E27FC236}">
              <a16:creationId xmlns:a16="http://schemas.microsoft.com/office/drawing/2014/main" id="{BEBF8349-3475-18C3-6388-6BA5F12419C1}"/>
            </a:ext>
          </a:extLst>
        </xdr:cNvPr>
        <xdr:cNvSpPr/>
      </xdr:nvSpPr>
      <xdr:spPr>
        <a:xfrm>
          <a:off x="7076083" y="1479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79</xdr:row>
      <xdr:rowOff>99250</xdr:rowOff>
    </xdr:from>
    <xdr:ext cx="733919" cy="182550"/>
    <xdr:sp macro="_xll.MC_OnBranchLabelClick" textlink="">
      <xdr:nvSpPr>
        <xdr:cNvPr id="175" name="MC_BN_D_inconclusive_T_sell_data_inconc">
          <a:extLst>
            <a:ext uri="{FF2B5EF4-FFF2-40B4-BE49-F238E27FC236}">
              <a16:creationId xmlns:a16="http://schemas.microsoft.com/office/drawing/2014/main" id="{ADE030D9-4967-90B9-8712-4FB3B9189D11}"/>
            </a:ext>
          </a:extLst>
        </xdr:cNvPr>
        <xdr:cNvSpPr txBox="1"/>
      </xdr:nvSpPr>
      <xdr:spPr>
        <a:xfrm>
          <a:off x="7277735" y="15091600"/>
          <a:ext cx="7339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Data As-Is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69</xdr:row>
      <xdr:rowOff>174625</xdr:rowOff>
    </xdr:from>
    <xdr:to>
      <xdr:col>6</xdr:col>
      <xdr:colOff>47626</xdr:colOff>
      <xdr:row>72</xdr:row>
      <xdr:rowOff>6362</xdr:rowOff>
    </xdr:to>
    <xdr:sp macro="" textlink="">
      <xdr:nvSpPr>
        <xdr:cNvPr id="176" name="MC_BR_C_additional_T_additional_promising">
          <a:extLst>
            <a:ext uri="{FF2B5EF4-FFF2-40B4-BE49-F238E27FC236}">
              <a16:creationId xmlns:a16="http://schemas.microsoft.com/office/drawing/2014/main" id="{5CAE8B42-A54B-352C-A9D7-7A1A961AAD70}"/>
            </a:ext>
          </a:extLst>
        </xdr:cNvPr>
        <xdr:cNvSpPr/>
      </xdr:nvSpPr>
      <xdr:spPr>
        <a:xfrm>
          <a:off x="9624819" y="13261975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00531" y="0"/>
              </a:lnTo>
              <a:lnTo>
                <a:pt x="270053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69</xdr:row>
      <xdr:rowOff>99250</xdr:rowOff>
    </xdr:from>
    <xdr:ext cx="745204" cy="182550"/>
    <xdr:sp macro="_xll.MC_OnBranchLabelClick" textlink="">
      <xdr:nvSpPr>
        <xdr:cNvPr id="177" name="MC_BN_C_additional_T_additional_promising">
          <a:extLst>
            <a:ext uri="{FF2B5EF4-FFF2-40B4-BE49-F238E27FC236}">
              <a16:creationId xmlns:a16="http://schemas.microsoft.com/office/drawing/2014/main" id="{E9C576EF-D556-1D66-AD3D-AEB7D63A59F0}"/>
            </a:ext>
          </a:extLst>
        </xdr:cNvPr>
        <xdr:cNvSpPr txBox="1"/>
      </xdr:nvSpPr>
      <xdr:spPr>
        <a:xfrm>
          <a:off x="9835197" y="13186600"/>
          <a:ext cx="7452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Now Promising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71</xdr:row>
      <xdr:rowOff>184139</xdr:rowOff>
    </xdr:from>
    <xdr:to>
      <xdr:col>6</xdr:col>
      <xdr:colOff>47626</xdr:colOff>
      <xdr:row>74</xdr:row>
      <xdr:rowOff>15876</xdr:rowOff>
    </xdr:to>
    <xdr:sp macro="" textlink="">
      <xdr:nvSpPr>
        <xdr:cNvPr id="178" name="MC_BR_C_additional_T_additional_inconc">
          <a:extLst>
            <a:ext uri="{FF2B5EF4-FFF2-40B4-BE49-F238E27FC236}">
              <a16:creationId xmlns:a16="http://schemas.microsoft.com/office/drawing/2014/main" id="{79CA6967-6F8D-FF29-ABBA-8024FB24146E}"/>
            </a:ext>
          </a:extLst>
        </xdr:cNvPr>
        <xdr:cNvSpPr/>
      </xdr:nvSpPr>
      <xdr:spPr>
        <a:xfrm>
          <a:off x="9624819" y="13652489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00531" y="371486"/>
              </a:lnTo>
              <a:lnTo>
                <a:pt x="270053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73</xdr:row>
      <xdr:rowOff>99250</xdr:rowOff>
    </xdr:from>
    <xdr:ext cx="813749" cy="182550"/>
    <xdr:sp macro="_xll.MC_OnBranchLabelClick" textlink="">
      <xdr:nvSpPr>
        <xdr:cNvPr id="179" name="MC_BN_C_additional_T_additional_inconc">
          <a:extLst>
            <a:ext uri="{FF2B5EF4-FFF2-40B4-BE49-F238E27FC236}">
              <a16:creationId xmlns:a16="http://schemas.microsoft.com/office/drawing/2014/main" id="{7DCA2298-C717-6DE9-AB2F-2D04F9272CCE}"/>
            </a:ext>
          </a:extLst>
        </xdr:cNvPr>
        <xdr:cNvSpPr txBox="1"/>
      </xdr:nvSpPr>
      <xdr:spPr>
        <a:xfrm>
          <a:off x="9835197" y="13948600"/>
          <a:ext cx="8137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Still Inconclusive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71</xdr:row>
      <xdr:rowOff>187110</xdr:rowOff>
    </xdr:from>
    <xdr:to>
      <xdr:col>6</xdr:col>
      <xdr:colOff>47626</xdr:colOff>
      <xdr:row>76</xdr:row>
      <xdr:rowOff>15876</xdr:rowOff>
    </xdr:to>
    <xdr:sp macro="" textlink="">
      <xdr:nvSpPr>
        <xdr:cNvPr id="180" name="MC_BR_C_additional_T_additional_neg">
          <a:extLst>
            <a:ext uri="{FF2B5EF4-FFF2-40B4-BE49-F238E27FC236}">
              <a16:creationId xmlns:a16="http://schemas.microsoft.com/office/drawing/2014/main" id="{A9321AC6-4252-6E08-D9BC-785D78BBC056}"/>
            </a:ext>
          </a:extLst>
        </xdr:cNvPr>
        <xdr:cNvSpPr/>
      </xdr:nvSpPr>
      <xdr:spPr>
        <a:xfrm>
          <a:off x="9623855" y="13655460"/>
          <a:ext cx="2701496" cy="781266"/>
        </a:xfrm>
        <a:custGeom>
          <a:avLst/>
          <a:gdLst/>
          <a:ahLst/>
          <a:cxnLst/>
          <a:rect l="0" t="0" r="0" b="0"/>
          <a:pathLst>
            <a:path w="2701496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701495" y="749515"/>
              </a:lnTo>
              <a:lnTo>
                <a:pt x="2701495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75</xdr:row>
      <xdr:rowOff>99250</xdr:rowOff>
    </xdr:from>
    <xdr:ext cx="460319" cy="182550"/>
    <xdr:sp macro="_xll.MC_OnBranchLabelClick" textlink="">
      <xdr:nvSpPr>
        <xdr:cNvPr id="181" name="MC_BN_C_additional_T_additional_neg">
          <a:extLst>
            <a:ext uri="{FF2B5EF4-FFF2-40B4-BE49-F238E27FC236}">
              <a16:creationId xmlns:a16="http://schemas.microsoft.com/office/drawing/2014/main" id="{B26E0C38-A867-F1C4-8C14-EF55E3165D74}"/>
            </a:ext>
          </a:extLst>
        </xdr:cNvPr>
        <xdr:cNvSpPr txBox="1"/>
      </xdr:nvSpPr>
      <xdr:spPr>
        <a:xfrm>
          <a:off x="9835197" y="14329600"/>
          <a:ext cx="4603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Negative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182" name="MC_T_major_boom">
          <a:extLst>
            <a:ext uri="{FF2B5EF4-FFF2-40B4-BE49-F238E27FC236}">
              <a16:creationId xmlns:a16="http://schemas.microsoft.com/office/drawing/2014/main" id="{9CB5DD0E-BB1E-1377-7EF2-F91BEB03BD8D}"/>
            </a:ext>
          </a:extLst>
        </xdr:cNvPr>
        <xdr:cNvSpPr/>
      </xdr:nvSpPr>
      <xdr:spPr>
        <a:xfrm rot="16200000">
          <a:off x="9558338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183" name="MC_C_commodity_major">
          <a:extLst>
            <a:ext uri="{FF2B5EF4-FFF2-40B4-BE49-F238E27FC236}">
              <a16:creationId xmlns:a16="http://schemas.microsoft.com/office/drawing/2014/main" id="{7AE6752A-E612-F506-B34F-C7F4DE46141E}"/>
            </a:ext>
          </a:extLst>
        </xdr:cNvPr>
        <xdr:cNvSpPr/>
      </xdr:nvSpPr>
      <xdr:spPr>
        <a:xfrm>
          <a:off x="700087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184" name="MC_T_major_normal">
          <a:extLst>
            <a:ext uri="{FF2B5EF4-FFF2-40B4-BE49-F238E27FC236}">
              <a16:creationId xmlns:a16="http://schemas.microsoft.com/office/drawing/2014/main" id="{A342AA93-AB86-BAF6-0BCC-8E203B8F9B27}"/>
            </a:ext>
          </a:extLst>
        </xdr:cNvPr>
        <xdr:cNvSpPr/>
      </xdr:nvSpPr>
      <xdr:spPr>
        <a:xfrm rot="16200000">
          <a:off x="9558338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185" name="MC_T_major_slump">
          <a:extLst>
            <a:ext uri="{FF2B5EF4-FFF2-40B4-BE49-F238E27FC236}">
              <a16:creationId xmlns:a16="http://schemas.microsoft.com/office/drawing/2014/main" id="{E288CC2B-CCF2-70E9-8E47-FECCB0FAF976}"/>
            </a:ext>
          </a:extLst>
        </xdr:cNvPr>
        <xdr:cNvSpPr/>
      </xdr:nvSpPr>
      <xdr:spPr>
        <a:xfrm rot="16200000">
          <a:off x="9558338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186" name="MC_C_survey_full">
          <a:extLst>
            <a:ext uri="{FF2B5EF4-FFF2-40B4-BE49-F238E27FC236}">
              <a16:creationId xmlns:a16="http://schemas.microsoft.com/office/drawing/2014/main" id="{DBC7733D-A902-CAF4-525B-88CB17D6B4B5}"/>
            </a:ext>
          </a:extLst>
        </xdr:cNvPr>
        <xdr:cNvSpPr/>
      </xdr:nvSpPr>
      <xdr:spPr>
        <a:xfrm>
          <a:off x="4529138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187" name="MC_T_mod_boom">
          <a:extLst>
            <a:ext uri="{FF2B5EF4-FFF2-40B4-BE49-F238E27FC236}">
              <a16:creationId xmlns:a16="http://schemas.microsoft.com/office/drawing/2014/main" id="{9676CD60-A1C4-1BB7-A744-59E57B14B4F6}"/>
            </a:ext>
          </a:extLst>
        </xdr:cNvPr>
        <xdr:cNvSpPr/>
      </xdr:nvSpPr>
      <xdr:spPr>
        <a:xfrm rot="16200000">
          <a:off x="9558338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188" name="MC_C_commodity_mod">
          <a:extLst>
            <a:ext uri="{FF2B5EF4-FFF2-40B4-BE49-F238E27FC236}">
              <a16:creationId xmlns:a16="http://schemas.microsoft.com/office/drawing/2014/main" id="{4627A389-52B6-3C31-311C-6BBFF24CD979}"/>
            </a:ext>
          </a:extLst>
        </xdr:cNvPr>
        <xdr:cNvSpPr/>
      </xdr:nvSpPr>
      <xdr:spPr>
        <a:xfrm>
          <a:off x="7000875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189" name="MC_T_mod_normal">
          <a:extLst>
            <a:ext uri="{FF2B5EF4-FFF2-40B4-BE49-F238E27FC236}">
              <a16:creationId xmlns:a16="http://schemas.microsoft.com/office/drawing/2014/main" id="{CA7BAF99-8A8A-8E44-CA3E-B7853B0E6AA1}"/>
            </a:ext>
          </a:extLst>
        </xdr:cNvPr>
        <xdr:cNvSpPr/>
      </xdr:nvSpPr>
      <xdr:spPr>
        <a:xfrm rot="16200000">
          <a:off x="9558338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190" name="MC_T_mod_slump">
          <a:extLst>
            <a:ext uri="{FF2B5EF4-FFF2-40B4-BE49-F238E27FC236}">
              <a16:creationId xmlns:a16="http://schemas.microsoft.com/office/drawing/2014/main" id="{658B8FC8-9446-F913-127F-A010AABE46BA}"/>
            </a:ext>
          </a:extLst>
        </xdr:cNvPr>
        <xdr:cNvSpPr/>
      </xdr:nvSpPr>
      <xdr:spPr>
        <a:xfrm rot="16200000">
          <a:off x="9558338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191" name="MC_T_small_boom">
          <a:extLst>
            <a:ext uri="{FF2B5EF4-FFF2-40B4-BE49-F238E27FC236}">
              <a16:creationId xmlns:a16="http://schemas.microsoft.com/office/drawing/2014/main" id="{3F52A0D2-9BB3-C3D9-C197-FA36D3496F9D}"/>
            </a:ext>
          </a:extLst>
        </xdr:cNvPr>
        <xdr:cNvSpPr/>
      </xdr:nvSpPr>
      <xdr:spPr>
        <a:xfrm rot="16200000">
          <a:off x="12287250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192" name="MC_C_commodity_small">
          <a:extLst>
            <a:ext uri="{FF2B5EF4-FFF2-40B4-BE49-F238E27FC236}">
              <a16:creationId xmlns:a16="http://schemas.microsoft.com/office/drawing/2014/main" id="{259973EB-5E17-9CFF-CDDD-61CB69472B9C}"/>
            </a:ext>
          </a:extLst>
        </xdr:cNvPr>
        <xdr:cNvSpPr/>
      </xdr:nvSpPr>
      <xdr:spPr>
        <a:xfrm>
          <a:off x="9558338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193" name="MC_T_small_normal">
          <a:extLst>
            <a:ext uri="{FF2B5EF4-FFF2-40B4-BE49-F238E27FC236}">
              <a16:creationId xmlns:a16="http://schemas.microsoft.com/office/drawing/2014/main" id="{12F4C90D-9802-EAD8-9848-AC9B807C581B}"/>
            </a:ext>
          </a:extLst>
        </xdr:cNvPr>
        <xdr:cNvSpPr/>
      </xdr:nvSpPr>
      <xdr:spPr>
        <a:xfrm rot="16200000">
          <a:off x="12287250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194" name="MC_T_small_slump">
          <a:extLst>
            <a:ext uri="{FF2B5EF4-FFF2-40B4-BE49-F238E27FC236}">
              <a16:creationId xmlns:a16="http://schemas.microsoft.com/office/drawing/2014/main" id="{8C87DAC9-7B68-A23C-0308-D918D94C2494}"/>
            </a:ext>
          </a:extLst>
        </xdr:cNvPr>
        <xdr:cNvSpPr/>
      </xdr:nvSpPr>
      <xdr:spPr>
        <a:xfrm rot="16200000">
          <a:off x="12287250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195" name="MC_D_small_deposit">
          <a:extLst>
            <a:ext uri="{FF2B5EF4-FFF2-40B4-BE49-F238E27FC236}">
              <a16:creationId xmlns:a16="http://schemas.microsoft.com/office/drawing/2014/main" id="{53053EF8-992E-00CD-E67F-5281A721DB8C}"/>
            </a:ext>
          </a:extLst>
        </xdr:cNvPr>
        <xdr:cNvSpPr/>
      </xdr:nvSpPr>
      <xdr:spPr>
        <a:xfrm>
          <a:off x="7000875" y="8624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196" name="MC_T_sell_small">
          <a:extLst>
            <a:ext uri="{FF2B5EF4-FFF2-40B4-BE49-F238E27FC236}">
              <a16:creationId xmlns:a16="http://schemas.microsoft.com/office/drawing/2014/main" id="{00A10435-957C-E3E9-5708-435555FD760D}"/>
            </a:ext>
          </a:extLst>
        </xdr:cNvPr>
        <xdr:cNvSpPr/>
      </xdr:nvSpPr>
      <xdr:spPr>
        <a:xfrm rot="16200000">
          <a:off x="955833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197" name="MC_T_abandon">
          <a:extLst>
            <a:ext uri="{FF2B5EF4-FFF2-40B4-BE49-F238E27FC236}">
              <a16:creationId xmlns:a16="http://schemas.microsoft.com/office/drawing/2014/main" id="{7169B0B5-5D99-F248-465E-3552E587DF07}"/>
            </a:ext>
          </a:extLst>
        </xdr:cNvPr>
        <xdr:cNvSpPr/>
      </xdr:nvSpPr>
      <xdr:spPr>
        <a:xfrm rot="16200000">
          <a:off x="9558338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51</xdr:row>
      <xdr:rowOff>109537</xdr:rowOff>
    </xdr:from>
    <xdr:to>
      <xdr:col>4</xdr:col>
      <xdr:colOff>176213</xdr:colOff>
      <xdr:row>52</xdr:row>
      <xdr:rowOff>80962</xdr:rowOff>
    </xdr:to>
    <xdr:sp macro="_xll.MC_OnNodeClick" textlink="">
      <xdr:nvSpPr>
        <xdr:cNvPr id="198" name="MC_T_no_deposit">
          <a:extLst>
            <a:ext uri="{FF2B5EF4-FFF2-40B4-BE49-F238E27FC236}">
              <a16:creationId xmlns:a16="http://schemas.microsoft.com/office/drawing/2014/main" id="{E7873169-2DF4-4841-472C-B381D02FA8A1}"/>
            </a:ext>
          </a:extLst>
        </xdr:cNvPr>
        <xdr:cNvSpPr/>
      </xdr:nvSpPr>
      <xdr:spPr>
        <a:xfrm rot="16200000">
          <a:off x="7000875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53</xdr:row>
      <xdr:rowOff>109538</xdr:rowOff>
    </xdr:from>
    <xdr:to>
      <xdr:col>2</xdr:col>
      <xdr:colOff>180975</xdr:colOff>
      <xdr:row>54</xdr:row>
      <xdr:rowOff>80963</xdr:rowOff>
    </xdr:to>
    <xdr:sp macro="_xll.MC_OnNodeClick" textlink="">
      <xdr:nvSpPr>
        <xdr:cNvPr id="199" name="MC_D_root">
          <a:extLst>
            <a:ext uri="{FF2B5EF4-FFF2-40B4-BE49-F238E27FC236}">
              <a16:creationId xmlns:a16="http://schemas.microsoft.com/office/drawing/2014/main" id="{A4863792-7048-B360-891C-BF52EA89E24D}"/>
            </a:ext>
          </a:extLst>
        </xdr:cNvPr>
        <xdr:cNvSpPr/>
      </xdr:nvSpPr>
      <xdr:spPr>
        <a:xfrm>
          <a:off x="2128838" y="10148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200" name="MC_T_drill_large">
          <a:extLst>
            <a:ext uri="{FF2B5EF4-FFF2-40B4-BE49-F238E27FC236}">
              <a16:creationId xmlns:a16="http://schemas.microsoft.com/office/drawing/2014/main" id="{6B6764A1-9956-B7FC-AD14-5E1B2F21835D}"/>
            </a:ext>
          </a:extLst>
        </xdr:cNvPr>
        <xdr:cNvSpPr/>
      </xdr:nvSpPr>
      <xdr:spPr>
        <a:xfrm rot="16200000">
          <a:off x="12287250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57</xdr:row>
      <xdr:rowOff>109538</xdr:rowOff>
    </xdr:from>
    <xdr:to>
      <xdr:col>5</xdr:col>
      <xdr:colOff>180975</xdr:colOff>
      <xdr:row>58</xdr:row>
      <xdr:rowOff>80963</xdr:rowOff>
    </xdr:to>
    <xdr:sp macro="_xll.MC_OnNodeClick" textlink="">
      <xdr:nvSpPr>
        <xdr:cNvPr id="201" name="MC_C_drilling">
          <a:extLst>
            <a:ext uri="{FF2B5EF4-FFF2-40B4-BE49-F238E27FC236}">
              <a16:creationId xmlns:a16="http://schemas.microsoft.com/office/drawing/2014/main" id="{72E8FAF7-E037-3109-FE92-587567399F50}"/>
            </a:ext>
          </a:extLst>
        </xdr:cNvPr>
        <xdr:cNvSpPr/>
      </xdr:nvSpPr>
      <xdr:spPr>
        <a:xfrm>
          <a:off x="9558338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202" name="MC_T_drill_moderate">
          <a:extLst>
            <a:ext uri="{FF2B5EF4-FFF2-40B4-BE49-F238E27FC236}">
              <a16:creationId xmlns:a16="http://schemas.microsoft.com/office/drawing/2014/main" id="{4C5FF2E7-28E3-58F1-FEE0-63CC85FDF694}"/>
            </a:ext>
          </a:extLst>
        </xdr:cNvPr>
        <xdr:cNvSpPr/>
      </xdr:nvSpPr>
      <xdr:spPr>
        <a:xfrm rot="16200000">
          <a:off x="12287250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03" name="MC_T_drill_subeconomic">
          <a:extLst>
            <a:ext uri="{FF2B5EF4-FFF2-40B4-BE49-F238E27FC236}">
              <a16:creationId xmlns:a16="http://schemas.microsoft.com/office/drawing/2014/main" id="{FB836737-6FDE-4C70-DCA3-37D02D2FCA37}"/>
            </a:ext>
          </a:extLst>
        </xdr:cNvPr>
        <xdr:cNvSpPr/>
      </xdr:nvSpPr>
      <xdr:spPr>
        <a:xfrm rot="16200000">
          <a:off x="12287250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63</xdr:row>
      <xdr:rowOff>109538</xdr:rowOff>
    </xdr:from>
    <xdr:to>
      <xdr:col>4</xdr:col>
      <xdr:colOff>180975</xdr:colOff>
      <xdr:row>64</xdr:row>
      <xdr:rowOff>80963</xdr:rowOff>
    </xdr:to>
    <xdr:sp macro="_xll.MC_OnNodeClick" textlink="">
      <xdr:nvSpPr>
        <xdr:cNvPr id="204" name="MC_D_phase2">
          <a:extLst>
            <a:ext uri="{FF2B5EF4-FFF2-40B4-BE49-F238E27FC236}">
              <a16:creationId xmlns:a16="http://schemas.microsoft.com/office/drawing/2014/main" id="{8043D687-6E5B-6B38-ED84-56C5B62C6832}"/>
            </a:ext>
          </a:extLst>
        </xdr:cNvPr>
        <xdr:cNvSpPr/>
      </xdr:nvSpPr>
      <xdr:spPr>
        <a:xfrm>
          <a:off x="7000875" y="12053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05" name="MC_T_sell_data_promising">
          <a:extLst>
            <a:ext uri="{FF2B5EF4-FFF2-40B4-BE49-F238E27FC236}">
              <a16:creationId xmlns:a16="http://schemas.microsoft.com/office/drawing/2014/main" id="{8FC28AED-89D7-2887-5B46-55B5EF4CFE7A}"/>
            </a:ext>
          </a:extLst>
        </xdr:cNvPr>
        <xdr:cNvSpPr/>
      </xdr:nvSpPr>
      <xdr:spPr>
        <a:xfrm rot="16200000">
          <a:off x="9558338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67</xdr:row>
      <xdr:rowOff>109538</xdr:rowOff>
    </xdr:from>
    <xdr:to>
      <xdr:col>3</xdr:col>
      <xdr:colOff>180975</xdr:colOff>
      <xdr:row>68</xdr:row>
      <xdr:rowOff>80963</xdr:rowOff>
    </xdr:to>
    <xdr:sp macro="_xll.MC_OnNodeClick" textlink="">
      <xdr:nvSpPr>
        <xdr:cNvPr id="206" name="MC_C_survey_phase1">
          <a:extLst>
            <a:ext uri="{FF2B5EF4-FFF2-40B4-BE49-F238E27FC236}">
              <a16:creationId xmlns:a16="http://schemas.microsoft.com/office/drawing/2014/main" id="{50B066F3-489A-BF74-DEC7-4D8B1FFF74C6}"/>
            </a:ext>
          </a:extLst>
        </xdr:cNvPr>
        <xdr:cNvSpPr/>
      </xdr:nvSpPr>
      <xdr:spPr>
        <a:xfrm>
          <a:off x="4529138" y="1281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69</xdr:row>
      <xdr:rowOff>109537</xdr:rowOff>
    </xdr:from>
    <xdr:to>
      <xdr:col>6</xdr:col>
      <xdr:colOff>176213</xdr:colOff>
      <xdr:row>70</xdr:row>
      <xdr:rowOff>80962</xdr:rowOff>
    </xdr:to>
    <xdr:sp macro="_xll.MC_OnNodeClick" textlink="">
      <xdr:nvSpPr>
        <xdr:cNvPr id="207" name="MC_T_additional_promising">
          <a:extLst>
            <a:ext uri="{FF2B5EF4-FFF2-40B4-BE49-F238E27FC236}">
              <a16:creationId xmlns:a16="http://schemas.microsoft.com/office/drawing/2014/main" id="{D21D7972-260E-74B1-CA39-1803159D29EE}"/>
            </a:ext>
          </a:extLst>
        </xdr:cNvPr>
        <xdr:cNvSpPr/>
      </xdr:nvSpPr>
      <xdr:spPr>
        <a:xfrm rot="16200000">
          <a:off x="12287250" y="1319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71</xdr:row>
      <xdr:rowOff>109538</xdr:rowOff>
    </xdr:from>
    <xdr:to>
      <xdr:col>5</xdr:col>
      <xdr:colOff>180975</xdr:colOff>
      <xdr:row>72</xdr:row>
      <xdr:rowOff>80963</xdr:rowOff>
    </xdr:to>
    <xdr:sp macro="_xll.MC_OnNodeClick" textlink="">
      <xdr:nvSpPr>
        <xdr:cNvPr id="208" name="MC_C_additional">
          <a:extLst>
            <a:ext uri="{FF2B5EF4-FFF2-40B4-BE49-F238E27FC236}">
              <a16:creationId xmlns:a16="http://schemas.microsoft.com/office/drawing/2014/main" id="{4FC17B97-B264-2FE9-AC3F-E17F947CA6B8}"/>
            </a:ext>
          </a:extLst>
        </xdr:cNvPr>
        <xdr:cNvSpPr/>
      </xdr:nvSpPr>
      <xdr:spPr>
        <a:xfrm>
          <a:off x="9558338" y="1357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209" name="MC_T_additional_inconc">
          <a:extLst>
            <a:ext uri="{FF2B5EF4-FFF2-40B4-BE49-F238E27FC236}">
              <a16:creationId xmlns:a16="http://schemas.microsoft.com/office/drawing/2014/main" id="{9465033D-5BC8-3A66-2F8B-EE921249D09D}"/>
            </a:ext>
          </a:extLst>
        </xdr:cNvPr>
        <xdr:cNvSpPr/>
      </xdr:nvSpPr>
      <xdr:spPr>
        <a:xfrm rot="16200000">
          <a:off x="12287250" y="1395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210" name="MC_T_additional_neg">
          <a:extLst>
            <a:ext uri="{FF2B5EF4-FFF2-40B4-BE49-F238E27FC236}">
              <a16:creationId xmlns:a16="http://schemas.microsoft.com/office/drawing/2014/main" id="{8566EC4E-A438-DEB2-E626-C2377253D9C8}"/>
            </a:ext>
          </a:extLst>
        </xdr:cNvPr>
        <xdr:cNvSpPr/>
      </xdr:nvSpPr>
      <xdr:spPr>
        <a:xfrm rot="16200000">
          <a:off x="12287250" y="1433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77</xdr:row>
      <xdr:rowOff>109538</xdr:rowOff>
    </xdr:from>
    <xdr:to>
      <xdr:col>4</xdr:col>
      <xdr:colOff>180975</xdr:colOff>
      <xdr:row>78</xdr:row>
      <xdr:rowOff>80963</xdr:rowOff>
    </xdr:to>
    <xdr:sp macro="_xll.MC_OnNodeClick" textlink="">
      <xdr:nvSpPr>
        <xdr:cNvPr id="211" name="MC_D_inconclusive">
          <a:extLst>
            <a:ext uri="{FF2B5EF4-FFF2-40B4-BE49-F238E27FC236}">
              <a16:creationId xmlns:a16="http://schemas.microsoft.com/office/drawing/2014/main" id="{5C81A1DD-68C2-35A4-940F-0564FCD0A192}"/>
            </a:ext>
          </a:extLst>
        </xdr:cNvPr>
        <xdr:cNvSpPr/>
      </xdr:nvSpPr>
      <xdr:spPr>
        <a:xfrm>
          <a:off x="7000875" y="14720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12" name="MC_T_sell_data_inconc">
          <a:extLst>
            <a:ext uri="{FF2B5EF4-FFF2-40B4-BE49-F238E27FC236}">
              <a16:creationId xmlns:a16="http://schemas.microsoft.com/office/drawing/2014/main" id="{9B3DCA96-0254-6ECB-8F83-7D7FF11E4458}"/>
            </a:ext>
          </a:extLst>
        </xdr:cNvPr>
        <xdr:cNvSpPr/>
      </xdr:nvSpPr>
      <xdr:spPr>
        <a:xfrm rot="16200000">
          <a:off x="9558338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13" name="MC_T_phase1_negative">
          <a:extLst>
            <a:ext uri="{FF2B5EF4-FFF2-40B4-BE49-F238E27FC236}">
              <a16:creationId xmlns:a16="http://schemas.microsoft.com/office/drawing/2014/main" id="{C2AACD5A-4446-FE33-F70C-B002D714D5B7}"/>
            </a:ext>
          </a:extLst>
        </xdr:cNvPr>
        <xdr:cNvSpPr/>
      </xdr:nvSpPr>
      <xdr:spPr>
        <a:xfrm rot="16200000">
          <a:off x="7000875" y="1547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83</xdr:row>
      <xdr:rowOff>109537</xdr:rowOff>
    </xdr:from>
    <xdr:to>
      <xdr:col>3</xdr:col>
      <xdr:colOff>176213</xdr:colOff>
      <xdr:row>84</xdr:row>
      <xdr:rowOff>80962</xdr:rowOff>
    </xdr:to>
    <xdr:sp macro="_xll.MC_OnNodeClick" textlink="">
      <xdr:nvSpPr>
        <xdr:cNvPr id="214" name="MC_T_sell_rights">
          <a:extLst>
            <a:ext uri="{FF2B5EF4-FFF2-40B4-BE49-F238E27FC236}">
              <a16:creationId xmlns:a16="http://schemas.microsoft.com/office/drawing/2014/main" id="{C19612BE-207C-0C59-23E5-359631096266}"/>
            </a:ext>
          </a:extLst>
        </xdr:cNvPr>
        <xdr:cNvSpPr/>
      </xdr:nvSpPr>
      <xdr:spPr>
        <a:xfrm rot="16200000">
          <a:off x="4529138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B216-46C5-42EA-B0E9-61DFA775B81B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5F6B-4479-4A19-A6E9-2F83574F9EDB}">
  <dimension ref="A1:BX1"/>
  <sheetViews>
    <sheetView workbookViewId="0"/>
  </sheetViews>
  <sheetFormatPr defaultRowHeight="14.25" x14ac:dyDescent="0.45"/>
  <sheetData>
    <row r="1" spans="1:76" x14ac:dyDescent="0.45">
      <c r="A1">
        <f>MC_Tree_1!MC_BP_C_additional_T_additional_promising</f>
        <v>0.45</v>
      </c>
      <c r="B1">
        <f>MC_Tree_1!MC_BV_C_additional_T_additional_promising</f>
        <v>15000000</v>
      </c>
      <c r="C1">
        <f>MC_Tree_1!MC_BP_C_additional_T_additional_inconc</f>
        <v>0.35</v>
      </c>
      <c r="D1">
        <f>MC_Tree_1!MC_BV_C_additional_T_additional_inconc</f>
        <v>3000000</v>
      </c>
      <c r="E1">
        <f>MC_Tree_1!MC_BP_C_additional_T_additional_neg</f>
        <v>0.2</v>
      </c>
      <c r="F1">
        <f>MC_Tree_1!MC_BV_C_additional_T_additional_neg</f>
        <v>500000</v>
      </c>
      <c r="G1">
        <f>MC_Tree_1!MC_BP_C_commodity_major_T_major_boom</f>
        <v>0.25</v>
      </c>
      <c r="H1">
        <f>MC_Tree_1!MC_BV_C_commodity_major_T_major_boom</f>
        <v>120000000</v>
      </c>
      <c r="I1">
        <f>MC_Tree_1!MC_BP_C_commodity_major_T_major_normal</f>
        <v>0.5</v>
      </c>
      <c r="J1">
        <f>MC_Tree_1!MC_BV_C_commodity_major_T_major_normal</f>
        <v>65000000</v>
      </c>
      <c r="K1">
        <f>MC_Tree_1!MC_BP_C_commodity_major_T_major_slump</f>
        <v>0.25</v>
      </c>
      <c r="L1">
        <f>MC_Tree_1!MC_BV_C_commodity_major_T_major_slump</f>
        <v>25000000</v>
      </c>
      <c r="M1">
        <f>MC_Tree_1!MC_BP_C_commodity_mod_T_mod_boom</f>
        <v>0.25</v>
      </c>
      <c r="N1">
        <f>MC_Tree_1!MC_BV_C_commodity_mod_T_mod_boom</f>
        <v>45000000</v>
      </c>
      <c r="O1">
        <f>MC_Tree_1!MC_BP_C_commodity_mod_T_mod_normal</f>
        <v>0.5</v>
      </c>
      <c r="P1">
        <f>MC_Tree_1!MC_BV_C_commodity_mod_T_mod_normal</f>
        <v>22000000</v>
      </c>
      <c r="Q1">
        <f>MC_Tree_1!MC_BP_C_commodity_mod_T_mod_slump</f>
        <v>0.25</v>
      </c>
      <c r="R1">
        <f>MC_Tree_1!MC_BV_C_commodity_mod_T_mod_slump</f>
        <v>8000000</v>
      </c>
      <c r="S1">
        <f>MC_Tree_1!MC_BP_C_commodity_small_T_small_boom</f>
        <v>0.25</v>
      </c>
      <c r="T1">
        <f>MC_Tree_1!MC_BV_C_commodity_small_T_small_boom</f>
        <v>25000000</v>
      </c>
      <c r="U1">
        <f>MC_Tree_1!MC_BP_C_commodity_small_T_small_normal</f>
        <v>0.5</v>
      </c>
      <c r="V1">
        <f>MC_Tree_1!MC_BV_C_commodity_small_T_small_normal</f>
        <v>12000000</v>
      </c>
      <c r="W1">
        <f>MC_Tree_1!MC_BP_C_commodity_small_T_small_slump</f>
        <v>0.25</v>
      </c>
      <c r="X1">
        <f>MC_Tree_1!MC_BV_C_commodity_small_T_small_slump</f>
        <v>3000000</v>
      </c>
      <c r="Y1">
        <f>MC_Tree_1!MC_BP_C_drilling_T_drill_large</f>
        <v>0.35</v>
      </c>
      <c r="Z1">
        <f>MC_Tree_1!MC_BV_C_drilling_T_drill_large</f>
        <v>80000000</v>
      </c>
      <c r="AA1">
        <f>MC_Tree_1!MC_BP_C_drilling_T_drill_moderate</f>
        <v>0.4</v>
      </c>
      <c r="AB1">
        <f>MC_Tree_1!MC_BV_C_drilling_T_drill_moderate</f>
        <v>30000000</v>
      </c>
      <c r="AC1">
        <f>MC_Tree_1!MC_BP_C_drilling_T_drill_subeconomic</f>
        <v>0.25</v>
      </c>
      <c r="AD1">
        <f>MC_Tree_1!MC_BV_C_drilling_T_drill_subeconomic</f>
        <v>2000000</v>
      </c>
      <c r="AE1">
        <f>MC_Tree_1!MC_BP_C_survey_full_C_commodity_major</f>
        <v>0.15</v>
      </c>
      <c r="AF1">
        <f>MC_Tree_1!MC_BV_C_survey_full_C_commodity_major</f>
        <v>0</v>
      </c>
      <c r="AG1">
        <f>MC_Tree_1!MC_BP_C_survey_full_C_commodity_mod</f>
        <v>0.3</v>
      </c>
      <c r="AH1">
        <f>MC_Tree_1!MC_BV_C_survey_full_C_commodity_mod</f>
        <v>0</v>
      </c>
      <c r="AI1">
        <f>MC_Tree_1!MC_BP_C_survey_full_D_small_deposit</f>
        <v>0.25</v>
      </c>
      <c r="AJ1">
        <f>MC_Tree_1!MC_BV_C_survey_full_D_small_deposit</f>
        <v>0</v>
      </c>
      <c r="AK1">
        <f>MC_Tree_1!MC_BP_C_survey_full_T_no_deposit</f>
        <v>0.3</v>
      </c>
      <c r="AL1">
        <f>MC_Tree_1!MC_BV_C_survey_full_T_no_deposit</f>
        <v>0</v>
      </c>
      <c r="AM1">
        <f>MC_Tree_1!MC_BP_C_survey_phase1_D_phase2</f>
        <v>0.4</v>
      </c>
      <c r="AN1">
        <f>MC_Tree_1!MC_BV_C_survey_phase1_D_phase2</f>
        <v>0</v>
      </c>
      <c r="AO1">
        <f>MC_Tree_1!MC_BP_C_survey_phase1_D_inconclusive</f>
        <v>0.35</v>
      </c>
      <c r="AP1">
        <f>MC_Tree_1!MC_BV_C_survey_phase1_D_inconclusive</f>
        <v>0</v>
      </c>
      <c r="AQ1">
        <f>MC_Tree_1!MC_BP_C_survey_phase1_T_phase1_negative</f>
        <v>0.25</v>
      </c>
      <c r="AR1">
        <f>MC_Tree_1!MC_BV_C_survey_phase1_T_phase1_negative</f>
        <v>200000</v>
      </c>
      <c r="AS1">
        <f>MC_Tree_1!MC_BV_D_inconclusive_C_additional</f>
        <v>-800000</v>
      </c>
      <c r="AT1">
        <f>MC_Tree_1!MC_BV_D_inconclusive_T_sell_data_inconc</f>
        <v>1500000</v>
      </c>
      <c r="AU1">
        <f>MC_Tree_1!MC_BV_D_phase2_C_drilling</f>
        <v>-4000000</v>
      </c>
      <c r="AV1">
        <f>MC_Tree_1!MC_BV_D_phase2_T_sell_data_promising</f>
        <v>5000000</v>
      </c>
      <c r="AW1">
        <f>MC_Tree_1!MC_BV_D_root_C_survey_full</f>
        <v>-5000000</v>
      </c>
      <c r="AX1">
        <f>MC_Tree_1!MC_BV_D_root_C_survey_phase1</f>
        <v>-1500000</v>
      </c>
      <c r="AY1">
        <f>MC_Tree_1!MC_BV_D_root_T_sell_rights</f>
        <v>2000000</v>
      </c>
      <c r="AZ1">
        <f>MC_Tree_1!MC_BV_D_small_deposit_C_commodity_small</f>
        <v>-12000000</v>
      </c>
      <c r="BA1">
        <f>MC_Tree_1!MC_BV_D_small_deposit_T_sell_small</f>
        <v>4000000</v>
      </c>
      <c r="BB1">
        <f>MC_Tree_1!MC_BV_D_small_deposit_T_abandon</f>
        <v>500000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7F38-3C53-4617-90C6-A32ECCDE97E8}">
  <dimension ref="B2:D48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35</v>
      </c>
    </row>
    <row r="3" spans="2:2" x14ac:dyDescent="0.45">
      <c r="B3" s="10" t="s">
        <v>36</v>
      </c>
    </row>
    <row r="5" spans="2:2" ht="15.75" x14ac:dyDescent="0.5">
      <c r="B5" s="15" t="s">
        <v>37</v>
      </c>
    </row>
    <row r="7" spans="2:2" x14ac:dyDescent="0.45">
      <c r="B7" t="s">
        <v>38</v>
      </c>
    </row>
    <row r="8" spans="2:2" x14ac:dyDescent="0.45">
      <c r="B8" t="s">
        <v>39</v>
      </c>
    </row>
    <row r="9" spans="2:2" x14ac:dyDescent="0.45">
      <c r="B9" t="s">
        <v>40</v>
      </c>
    </row>
    <row r="10" spans="2:2" x14ac:dyDescent="0.45">
      <c r="B10" t="s">
        <v>41</v>
      </c>
    </row>
    <row r="12" spans="2:2" x14ac:dyDescent="0.45">
      <c r="B12" s="8" t="s">
        <v>42</v>
      </c>
    </row>
    <row r="13" spans="2:2" x14ac:dyDescent="0.45">
      <c r="B13" t="s">
        <v>43</v>
      </c>
    </row>
    <row r="14" spans="2:2" x14ac:dyDescent="0.45">
      <c r="B14" t="s">
        <v>44</v>
      </c>
    </row>
    <row r="15" spans="2:2" x14ac:dyDescent="0.45">
      <c r="B15" t="s">
        <v>45</v>
      </c>
    </row>
    <row r="17" spans="2:2" x14ac:dyDescent="0.45">
      <c r="B17" s="8" t="s">
        <v>46</v>
      </c>
    </row>
    <row r="18" spans="2:2" x14ac:dyDescent="0.45">
      <c r="B18" t="s">
        <v>47</v>
      </c>
    </row>
    <row r="19" spans="2:2" x14ac:dyDescent="0.45">
      <c r="B19" t="s">
        <v>48</v>
      </c>
    </row>
    <row r="20" spans="2:2" x14ac:dyDescent="0.45">
      <c r="B20" t="s">
        <v>49</v>
      </c>
    </row>
    <row r="22" spans="2:2" x14ac:dyDescent="0.45">
      <c r="B22" s="8" t="s">
        <v>50</v>
      </c>
    </row>
    <row r="23" spans="2:2" x14ac:dyDescent="0.45">
      <c r="B23" t="s">
        <v>51</v>
      </c>
    </row>
    <row r="25" spans="2:2" ht="15.75" x14ac:dyDescent="0.5">
      <c r="B25" s="15" t="s">
        <v>52</v>
      </c>
    </row>
    <row r="27" spans="2:2" x14ac:dyDescent="0.45">
      <c r="B27" t="s">
        <v>53</v>
      </c>
    </row>
    <row r="28" spans="2:2" x14ac:dyDescent="0.45">
      <c r="B28" t="s">
        <v>54</v>
      </c>
    </row>
    <row r="31" spans="2:2" ht="15.75" x14ac:dyDescent="0.5">
      <c r="B31" s="15" t="s">
        <v>55</v>
      </c>
    </row>
    <row r="33" spans="2:4" x14ac:dyDescent="0.45">
      <c r="B33" s="11" t="s">
        <v>14</v>
      </c>
      <c r="C33" s="11" t="s">
        <v>15</v>
      </c>
      <c r="D33" s="11" t="s">
        <v>17</v>
      </c>
    </row>
    <row r="34" spans="2:4" x14ac:dyDescent="0.45">
      <c r="B34" s="12" t="s">
        <v>56</v>
      </c>
      <c r="C34" s="16">
        <v>5000000</v>
      </c>
      <c r="D34" s="12" t="s">
        <v>57</v>
      </c>
    </row>
    <row r="35" spans="2:4" x14ac:dyDescent="0.45">
      <c r="B35" s="12" t="s">
        <v>58</v>
      </c>
      <c r="C35" s="16">
        <v>1500000</v>
      </c>
      <c r="D35" s="12" t="s">
        <v>59</v>
      </c>
    </row>
    <row r="36" spans="2:4" x14ac:dyDescent="0.45">
      <c r="B36" s="12" t="s">
        <v>60</v>
      </c>
      <c r="C36" s="16">
        <v>4000000</v>
      </c>
      <c r="D36" s="12" t="s">
        <v>61</v>
      </c>
    </row>
    <row r="37" spans="2:4" x14ac:dyDescent="0.45">
      <c r="B37" s="12" t="s">
        <v>62</v>
      </c>
      <c r="C37" s="16">
        <v>12000000</v>
      </c>
      <c r="D37" s="12" t="s">
        <v>63</v>
      </c>
    </row>
    <row r="38" spans="2:4" x14ac:dyDescent="0.45">
      <c r="B38" s="12" t="s">
        <v>64</v>
      </c>
      <c r="C38" s="17">
        <v>0.15</v>
      </c>
      <c r="D38" s="12" t="s">
        <v>65</v>
      </c>
    </row>
    <row r="39" spans="2:4" x14ac:dyDescent="0.45">
      <c r="B39" s="12" t="s">
        <v>66</v>
      </c>
      <c r="C39" s="16">
        <v>120000000</v>
      </c>
      <c r="D39" s="12" t="s">
        <v>67</v>
      </c>
    </row>
    <row r="40" spans="2:4" x14ac:dyDescent="0.45">
      <c r="B40" s="12" t="s">
        <v>68</v>
      </c>
      <c r="C40" s="16">
        <v>2000000</v>
      </c>
      <c r="D40" s="12" t="s">
        <v>69</v>
      </c>
    </row>
    <row r="41" spans="2:4" x14ac:dyDescent="0.45">
      <c r="B41" s="12" t="s">
        <v>70</v>
      </c>
      <c r="C41" s="12" t="s">
        <v>71</v>
      </c>
      <c r="D41" s="12" t="s">
        <v>72</v>
      </c>
    </row>
    <row r="44" spans="2:4" ht="15.75" x14ac:dyDescent="0.5">
      <c r="B44" s="15" t="s">
        <v>73</v>
      </c>
    </row>
    <row r="46" spans="2:4" x14ac:dyDescent="0.45">
      <c r="B46" t="s">
        <v>74</v>
      </c>
    </row>
    <row r="47" spans="2:4" x14ac:dyDescent="0.45">
      <c r="B47" t="s">
        <v>75</v>
      </c>
    </row>
    <row r="48" spans="2:4" x14ac:dyDescent="0.45">
      <c r="B48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92A4-AA81-40FA-96C7-96C049AF7988}">
  <dimension ref="B2:G88"/>
  <sheetViews>
    <sheetView showGridLines="0" workbookViewId="0"/>
  </sheetViews>
  <sheetFormatPr defaultRowHeight="14.25" x14ac:dyDescent="0.45"/>
  <cols>
    <col min="1" max="1" width="8.59765625" customWidth="1"/>
    <col min="2" max="2" width="21.06640625" customWidth="1"/>
    <col min="3" max="3" width="33.59765625" customWidth="1"/>
    <col min="4" max="4" width="34.59765625" customWidth="1"/>
    <col min="5" max="5" width="35.796875" customWidth="1"/>
    <col min="6" max="6" width="38.19921875" customWidth="1"/>
    <col min="7" max="7" width="33.3984375" customWidth="1"/>
  </cols>
  <sheetData>
    <row r="2" spans="2:5" ht="15" customHeight="1" x14ac:dyDescent="0.55000000000000004">
      <c r="B2" s="9" t="s">
        <v>12</v>
      </c>
    </row>
    <row r="3" spans="2:5" ht="15" customHeight="1" x14ac:dyDescent="0.45">
      <c r="B3" s="10" t="s">
        <v>13</v>
      </c>
    </row>
    <row r="4" spans="2:5" ht="15" customHeight="1" x14ac:dyDescent="0.45"/>
    <row r="5" spans="2:5" ht="15" customHeight="1" x14ac:dyDescent="0.45">
      <c r="B5" s="11" t="s">
        <v>14</v>
      </c>
      <c r="C5" s="11" t="s">
        <v>15</v>
      </c>
      <c r="D5" s="11" t="s">
        <v>16</v>
      </c>
      <c r="E5" s="11" t="s">
        <v>17</v>
      </c>
    </row>
    <row r="6" spans="2:5" ht="15" customHeight="1" x14ac:dyDescent="0.45">
      <c r="B6" s="12" t="s">
        <v>18</v>
      </c>
      <c r="C6" s="13">
        <v>5000000</v>
      </c>
      <c r="D6" s="12" t="s">
        <v>19</v>
      </c>
      <c r="E6" s="12" t="s">
        <v>20</v>
      </c>
    </row>
    <row r="7" spans="2:5" ht="15" customHeight="1" x14ac:dyDescent="0.45">
      <c r="B7" s="12" t="s">
        <v>21</v>
      </c>
      <c r="C7" s="13">
        <v>1500000</v>
      </c>
      <c r="D7" s="12" t="s">
        <v>19</v>
      </c>
      <c r="E7" s="12" t="s">
        <v>22</v>
      </c>
    </row>
    <row r="8" spans="2:5" ht="15" customHeight="1" x14ac:dyDescent="0.45">
      <c r="B8" s="12" t="s">
        <v>23</v>
      </c>
      <c r="C8" s="13">
        <v>2000000</v>
      </c>
      <c r="D8" s="12" t="s">
        <v>19</v>
      </c>
      <c r="E8" s="12" t="s">
        <v>23</v>
      </c>
    </row>
    <row r="9" spans="2:5" ht="15" customHeight="1" x14ac:dyDescent="0.45">
      <c r="B9" s="12" t="s">
        <v>24</v>
      </c>
      <c r="C9" s="13">
        <v>12000000</v>
      </c>
      <c r="D9" s="12" t="s">
        <v>19</v>
      </c>
      <c r="E9" s="12" t="s">
        <v>25</v>
      </c>
    </row>
    <row r="10" spans="2:5" ht="15" customHeight="1" x14ac:dyDescent="0.45">
      <c r="B10" s="12" t="s">
        <v>26</v>
      </c>
      <c r="C10" s="13">
        <v>4000000</v>
      </c>
      <c r="D10" s="12" t="s">
        <v>19</v>
      </c>
      <c r="E10" s="12" t="s">
        <v>26</v>
      </c>
    </row>
    <row r="11" spans="2:5" ht="15" customHeight="1" x14ac:dyDescent="0.45">
      <c r="B11" s="12" t="s">
        <v>27</v>
      </c>
      <c r="C11" s="13">
        <v>500000</v>
      </c>
      <c r="D11" s="12" t="s">
        <v>19</v>
      </c>
      <c r="E11" s="12" t="s">
        <v>27</v>
      </c>
    </row>
    <row r="12" spans="2:5" ht="15" customHeight="1" x14ac:dyDescent="0.45">
      <c r="B12" s="12" t="s">
        <v>28</v>
      </c>
      <c r="C12" s="13">
        <v>4000000</v>
      </c>
      <c r="D12" s="12" t="s">
        <v>19</v>
      </c>
      <c r="E12" s="12" t="s">
        <v>29</v>
      </c>
    </row>
    <row r="13" spans="2:5" ht="15" customHeight="1" x14ac:dyDescent="0.45">
      <c r="B13" s="12" t="s">
        <v>30</v>
      </c>
      <c r="C13" s="13">
        <v>5000000</v>
      </c>
      <c r="D13" s="12" t="s">
        <v>19</v>
      </c>
      <c r="E13" s="12" t="s">
        <v>31</v>
      </c>
    </row>
    <row r="14" spans="2:5" ht="15" customHeight="1" x14ac:dyDescent="0.45">
      <c r="B14" s="12" t="s">
        <v>10</v>
      </c>
      <c r="C14" s="13">
        <v>800000</v>
      </c>
      <c r="D14" s="12" t="s">
        <v>19</v>
      </c>
      <c r="E14" s="12" t="s">
        <v>32</v>
      </c>
    </row>
    <row r="15" spans="2:5" x14ac:dyDescent="0.45">
      <c r="B15" s="12" t="s">
        <v>33</v>
      </c>
      <c r="C15" s="13">
        <v>1500000</v>
      </c>
      <c r="D15" s="12" t="s">
        <v>19</v>
      </c>
      <c r="E15" s="12" t="s">
        <v>34</v>
      </c>
    </row>
    <row r="20" spans="3:6" ht="15" customHeight="1" x14ac:dyDescent="0.45">
      <c r="E20" s="5">
        <v>0.25</v>
      </c>
      <c r="F20" s="1">
        <f>_xll.MC_NodeProbability(_MC_Calc_1,"T_major_boom")</f>
        <v>3.7499999999999999E-2</v>
      </c>
    </row>
    <row r="21" spans="3:6" ht="15" customHeight="1" x14ac:dyDescent="0.45">
      <c r="E21" s="7">
        <v>120000000</v>
      </c>
      <c r="F21" s="6">
        <f>_xll.MC_NodeValue(_MC_Calc_1,"T_major_boom")</f>
        <v>115000000</v>
      </c>
    </row>
    <row r="22" spans="3:6" ht="15" customHeight="1" x14ac:dyDescent="0.45">
      <c r="D22" s="5">
        <v>0.15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_xll.MC_NodeValue(_MC_Calc_1,"C_commodity_major")</f>
        <v>63750000</v>
      </c>
    </row>
    <row r="24" spans="3:6" ht="15" customHeight="1" x14ac:dyDescent="0.45">
      <c r="E24" s="5">
        <v>0.5</v>
      </c>
      <c r="F24" s="1">
        <f>_xll.MC_NodeProbability(_MC_Calc_1,"T_major_normal")</f>
        <v>7.4999999999999997E-2</v>
      </c>
    </row>
    <row r="25" spans="3:6" ht="15" customHeight="1" x14ac:dyDescent="0.45">
      <c r="E25" s="7">
        <v>65000000</v>
      </c>
      <c r="F25" s="6">
        <f>_xll.MC_NodeValue(_MC_Calc_1,"T_major_normal")</f>
        <v>60000000</v>
      </c>
    </row>
    <row r="26" spans="3:6" ht="15" customHeight="1" x14ac:dyDescent="0.45">
      <c r="E26" s="5">
        <v>0.25</v>
      </c>
      <c r="F26" s="1">
        <f>_xll.MC_NodeProbability(_MC_Calc_1,"T_major_slump")</f>
        <v>3.7499999999999999E-2</v>
      </c>
    </row>
    <row r="27" spans="3:6" ht="15" customHeight="1" x14ac:dyDescent="0.45">
      <c r="E27" s="7">
        <v>25000000</v>
      </c>
      <c r="F27" s="6">
        <f>_xll.MC_NodeValue(_MC_Calc_1,"T_major_slump")</f>
        <v>20000000</v>
      </c>
    </row>
    <row r="28" spans="3:6" ht="15" customHeight="1" x14ac:dyDescent="0.45">
      <c r="C28" s="4" t="str">
        <f>_xll.MC_NodeDecision(_MC_Calc_1,"C_survey_full")</f>
        <v/>
      </c>
      <c r="D28" s="2" t="s">
        <v>2</v>
      </c>
    </row>
    <row r="29" spans="3:6" ht="15" customHeight="1" x14ac:dyDescent="0.45">
      <c r="C29" s="7">
        <f>-FullExplorationProgramCost</f>
        <v>-5000000</v>
      </c>
      <c r="D29" s="6">
        <f>_xll.MC_NodeValue(_MC_Calc_1,"C_survey_full")</f>
        <v>13587500</v>
      </c>
    </row>
    <row r="30" spans="3:6" ht="15" customHeight="1" x14ac:dyDescent="0.45">
      <c r="E30" s="5">
        <v>0.25</v>
      </c>
      <c r="F30" s="1">
        <f>_xll.MC_NodeProbability(_MC_Calc_1,"T_mod_boom")</f>
        <v>7.4999999999999997E-2</v>
      </c>
    </row>
    <row r="31" spans="3:6" ht="15" customHeight="1" x14ac:dyDescent="0.45">
      <c r="E31" s="7">
        <v>45000000</v>
      </c>
      <c r="F31" s="6">
        <f>_xll.MC_NodeValue(_MC_Calc_1,"T_mod_boom")</f>
        <v>40000000</v>
      </c>
    </row>
    <row r="32" spans="3:6" ht="15" customHeight="1" x14ac:dyDescent="0.45">
      <c r="D32" s="5">
        <v>0.3</v>
      </c>
      <c r="E32" s="2" t="s">
        <v>3</v>
      </c>
    </row>
    <row r="33" spans="4:7" ht="15" customHeight="1" x14ac:dyDescent="0.45">
      <c r="D33" s="7">
        <v>0</v>
      </c>
      <c r="E33" s="6">
        <f>_xll.MC_NodeValue(_MC_Calc_1,"C_commodity_mod")</f>
        <v>19250000</v>
      </c>
    </row>
    <row r="34" spans="4:7" ht="15" customHeight="1" x14ac:dyDescent="0.45">
      <c r="E34" s="5">
        <v>0.5</v>
      </c>
      <c r="F34" s="1">
        <f>_xll.MC_NodeProbability(_MC_Calc_1,"T_mod_normal")</f>
        <v>0.15</v>
      </c>
    </row>
    <row r="35" spans="4:7" ht="15" customHeight="1" x14ac:dyDescent="0.45">
      <c r="E35" s="7">
        <v>22000000</v>
      </c>
      <c r="F35" s="6">
        <f>_xll.MC_NodeValue(_MC_Calc_1,"T_mod_normal")</f>
        <v>17000000</v>
      </c>
    </row>
    <row r="36" spans="4:7" ht="15" customHeight="1" x14ac:dyDescent="0.45">
      <c r="E36" s="5">
        <v>0.25</v>
      </c>
      <c r="F36" s="1">
        <f>_xll.MC_NodeProbability(_MC_Calc_1,"T_mod_slump")</f>
        <v>7.4999999999999997E-2</v>
      </c>
    </row>
    <row r="37" spans="4:7" ht="15" customHeight="1" x14ac:dyDescent="0.45">
      <c r="E37" s="7">
        <v>8000000</v>
      </c>
      <c r="F37" s="6">
        <f>_xll.MC_NodeValue(_MC_Calc_1,"T_mod_slump")</f>
        <v>3000000</v>
      </c>
    </row>
    <row r="38" spans="4:7" ht="15" customHeight="1" x14ac:dyDescent="0.45">
      <c r="F38" s="5">
        <v>0.25</v>
      </c>
      <c r="G38" s="1">
        <f>_xll.MC_NodeProbability(_MC_Calc_1,"T_small_boom")</f>
        <v>6.25E-2</v>
      </c>
    </row>
    <row r="39" spans="4:7" ht="15" customHeight="1" x14ac:dyDescent="0.45">
      <c r="F39" s="7">
        <v>25000000</v>
      </c>
      <c r="G39" s="6">
        <f>_xll.MC_NodeValue(_MC_Calc_1,"T_small_boom")</f>
        <v>8000000</v>
      </c>
    </row>
    <row r="40" spans="4:7" ht="15" customHeight="1" x14ac:dyDescent="0.45">
      <c r="E40" s="4" t="str">
        <f>_xll.MC_NodeDecision(_MC_Calc_1,"C_commodity_small")</f>
        <v/>
      </c>
      <c r="F40" s="2" t="s">
        <v>4</v>
      </c>
    </row>
    <row r="41" spans="4:7" ht="15" customHeight="1" x14ac:dyDescent="0.45">
      <c r="E41" s="7">
        <f>-DevelopHighCost</f>
        <v>-12000000</v>
      </c>
      <c r="F41" s="6">
        <f>_xll.MC_NodeValue(_MC_Calc_1,"C_commodity_small")</f>
        <v>-4000000</v>
      </c>
    </row>
    <row r="42" spans="4:7" ht="15" customHeight="1" x14ac:dyDescent="0.45">
      <c r="F42" s="5">
        <v>0.5</v>
      </c>
      <c r="G42" s="1">
        <f>_xll.MC_NodeProbability(_MC_Calc_1,"T_small_normal")</f>
        <v>0.125</v>
      </c>
    </row>
    <row r="43" spans="4:7" ht="15" customHeight="1" x14ac:dyDescent="0.45">
      <c r="F43" s="7">
        <v>12000000</v>
      </c>
      <c r="G43" s="6">
        <f>_xll.MC_NodeValue(_MC_Calc_1,"T_small_normal")</f>
        <v>-5000000</v>
      </c>
    </row>
    <row r="44" spans="4:7" ht="15" customHeight="1" x14ac:dyDescent="0.45">
      <c r="F44" s="5">
        <v>0.25</v>
      </c>
      <c r="G44" s="1">
        <f>_xll.MC_NodeProbability(_MC_Calc_1,"T_small_slump")</f>
        <v>6.25E-2</v>
      </c>
    </row>
    <row r="45" spans="4:7" ht="15" customHeight="1" x14ac:dyDescent="0.45">
      <c r="F45" s="7">
        <v>3000000</v>
      </c>
      <c r="G45" s="6">
        <f>_xll.MC_NodeValue(_MC_Calc_1,"T_small_slump")</f>
        <v>-14000000</v>
      </c>
    </row>
    <row r="46" spans="4:7" ht="15" customHeight="1" x14ac:dyDescent="0.45">
      <c r="D46" s="5">
        <v>0.25</v>
      </c>
      <c r="E46" s="3" t="s">
        <v>5</v>
      </c>
    </row>
    <row r="47" spans="4:7" ht="15" customHeight="1" x14ac:dyDescent="0.45">
      <c r="D47" s="7">
        <v>0</v>
      </c>
      <c r="E47" s="6">
        <f>_xll.MC_NodeValue(_MC_Calc_1,"D_small_deposit")</f>
        <v>-1000000</v>
      </c>
    </row>
    <row r="48" spans="4:7" ht="15" customHeight="1" x14ac:dyDescent="0.45">
      <c r="E48" s="4" t="str">
        <f>_xll.MC_NodeDecision(_MC_Calc_1,"T_sell_small")</f>
        <v>optimal</v>
      </c>
      <c r="F48" s="1">
        <f>_xll.MC_NodeProbability(_MC_Calc_1,"T_sell_small")</f>
        <v>0.25</v>
      </c>
    </row>
    <row r="49" spans="3:7" ht="15" customHeight="1" x14ac:dyDescent="0.45">
      <c r="E49" s="7">
        <f>SellMiningRightsValue</f>
        <v>4000000</v>
      </c>
      <c r="F49" s="6">
        <f>_xll.MC_NodeValue(_MC_Calc_1,"T_sell_small")</f>
        <v>-1000000</v>
      </c>
    </row>
    <row r="50" spans="3:7" ht="15" customHeight="1" x14ac:dyDescent="0.45">
      <c r="E50" s="4" t="str">
        <f>_xll.MC_NodeDecision(_MC_Calc_1,"T_abandon")</f>
        <v/>
      </c>
      <c r="F50" s="1">
        <f>_xll.MC_NodeProbability(_MC_Calc_1,"T_abandon")</f>
        <v>0.25</v>
      </c>
    </row>
    <row r="51" spans="3:7" ht="15" customHeight="1" x14ac:dyDescent="0.45">
      <c r="E51" s="7">
        <f>AbandonClaimValue</f>
        <v>500000</v>
      </c>
      <c r="F51" s="6">
        <f>_xll.MC_NodeValue(_MC_Calc_1,"T_abandon")</f>
        <v>-4500000</v>
      </c>
    </row>
    <row r="52" spans="3:7" ht="15" customHeight="1" x14ac:dyDescent="0.45">
      <c r="D52" s="5">
        <v>0.3</v>
      </c>
      <c r="E52" s="1">
        <f>_xll.MC_NodeProbability(_MC_Calc_1,"T_no_deposit")</f>
        <v>0.3</v>
      </c>
    </row>
    <row r="53" spans="3:7" ht="15" customHeight="1" x14ac:dyDescent="0.45">
      <c r="D53" s="7">
        <v>0</v>
      </c>
      <c r="E53" s="6">
        <f>_xll.MC_NodeValue(_MC_Calc_1,"T_no_deposit")</f>
        <v>-5000000</v>
      </c>
    </row>
    <row r="54" spans="3:7" ht="15" customHeight="1" x14ac:dyDescent="0.45">
      <c r="C54" s="3" t="s">
        <v>6</v>
      </c>
    </row>
    <row r="55" spans="3:7" ht="15" customHeight="1" x14ac:dyDescent="0.45">
      <c r="C55" s="6">
        <f>_xll.MC_NodeValue(_MC_Calc_1,"D_root")</f>
        <v>15635000</v>
      </c>
    </row>
    <row r="56" spans="3:7" ht="15" customHeight="1" x14ac:dyDescent="0.45">
      <c r="F56" s="5">
        <v>0.35</v>
      </c>
      <c r="G56" s="1">
        <f>_xll.MC_NodeProbability(_MC_Calc_1,"T_drill_large")</f>
        <v>0.13999999999999999</v>
      </c>
    </row>
    <row r="57" spans="3:7" ht="15" customHeight="1" x14ac:dyDescent="0.45">
      <c r="F57" s="7">
        <v>80000000</v>
      </c>
      <c r="G57" s="6">
        <f>_xll.MC_NodeValue(_MC_Calc_1,"T_drill_large")</f>
        <v>74500000</v>
      </c>
    </row>
    <row r="58" spans="3:7" ht="15" customHeight="1" x14ac:dyDescent="0.45">
      <c r="E58" s="4" t="str">
        <f>_xll.MC_NodeDecision(_MC_Calc_1,"C_drilling")</f>
        <v>optimal</v>
      </c>
      <c r="F58" s="2" t="s">
        <v>7</v>
      </c>
    </row>
    <row r="59" spans="3:7" ht="15" customHeight="1" x14ac:dyDescent="0.45">
      <c r="E59" s="7">
        <f>-FullPhase2DrillingCost</f>
        <v>-4000000</v>
      </c>
      <c r="F59" s="6">
        <f>_xll.MC_NodeValue(_MC_Calc_1,"C_drilling")</f>
        <v>35000000</v>
      </c>
    </row>
    <row r="60" spans="3:7" ht="15" customHeight="1" x14ac:dyDescent="0.45">
      <c r="F60" s="5">
        <v>0.4</v>
      </c>
      <c r="G60" s="1">
        <f>_xll.MC_NodeProbability(_MC_Calc_1,"T_drill_moderate")</f>
        <v>0.16000000000000003</v>
      </c>
    </row>
    <row r="61" spans="3:7" ht="15" customHeight="1" x14ac:dyDescent="0.45">
      <c r="F61" s="7">
        <v>30000000</v>
      </c>
      <c r="G61" s="6">
        <f>_xll.MC_NodeValue(_MC_Calc_1,"T_drill_moderate")</f>
        <v>24500000</v>
      </c>
    </row>
    <row r="62" spans="3:7" ht="15" customHeight="1" x14ac:dyDescent="0.45">
      <c r="F62" s="5">
        <v>0.25</v>
      </c>
      <c r="G62" s="1">
        <f>_xll.MC_NodeProbability(_MC_Calc_1,"T_drill_subeconomic")</f>
        <v>0.1</v>
      </c>
    </row>
    <row r="63" spans="3:7" ht="15" customHeight="1" x14ac:dyDescent="0.45">
      <c r="F63" s="7">
        <v>2000000</v>
      </c>
      <c r="G63" s="6">
        <f>_xll.MC_NodeValue(_MC_Calc_1,"T_drill_subeconomic")</f>
        <v>-3500000</v>
      </c>
    </row>
    <row r="64" spans="3:7" ht="15" customHeight="1" x14ac:dyDescent="0.45">
      <c r="D64" s="5">
        <v>0.4</v>
      </c>
      <c r="E64" s="3" t="s">
        <v>8</v>
      </c>
    </row>
    <row r="65" spans="3:7" ht="15" customHeight="1" x14ac:dyDescent="0.45">
      <c r="D65" s="7">
        <v>0</v>
      </c>
      <c r="E65" s="6">
        <f>_xll.MC_NodeValue(_MC_Calc_1,"D_phase2")</f>
        <v>35000000</v>
      </c>
    </row>
    <row r="66" spans="3:7" ht="15" customHeight="1" x14ac:dyDescent="0.45">
      <c r="E66" s="4" t="str">
        <f>_xll.MC_NodeDecision(_MC_Calc_1,"T_sell_data_promising")</f>
        <v/>
      </c>
      <c r="F66" s="1">
        <f>_xll.MC_NodeProbability(_MC_Calc_1,"T_sell_data_promising")</f>
        <v>0.4</v>
      </c>
    </row>
    <row r="67" spans="3:7" ht="15" customHeight="1" x14ac:dyDescent="0.45">
      <c r="E67" s="7">
        <f>SellDataRightsValue</f>
        <v>5000000</v>
      </c>
      <c r="F67" s="6">
        <f>_xll.MC_NodeValue(_MC_Calc_1,"T_sell_data_promising")</f>
        <v>3500000</v>
      </c>
    </row>
    <row r="68" spans="3:7" ht="15" customHeight="1" x14ac:dyDescent="0.45">
      <c r="C68" s="4" t="str">
        <f>_xll.MC_NodeDecision(_MC_Calc_1,"C_survey_phase1")</f>
        <v>optimal</v>
      </c>
      <c r="D68" s="2" t="s">
        <v>9</v>
      </c>
    </row>
    <row r="69" spans="3:7" ht="15" customHeight="1" x14ac:dyDescent="0.45">
      <c r="C69" s="7">
        <f>-PhasedExplorationCost</f>
        <v>-1500000</v>
      </c>
      <c r="D69" s="6">
        <f>_xll.MC_NodeValue(_MC_Calc_1,"C_survey_phase1")</f>
        <v>15635000</v>
      </c>
    </row>
    <row r="70" spans="3:7" ht="15" customHeight="1" x14ac:dyDescent="0.45">
      <c r="F70" s="5">
        <v>0.45</v>
      </c>
      <c r="G70" s="1">
        <f>_xll.MC_NodeProbability(_MC_Calc_1,"T_additional_promising")</f>
        <v>0.1575</v>
      </c>
    </row>
    <row r="71" spans="3:7" ht="15" customHeight="1" x14ac:dyDescent="0.45">
      <c r="F71" s="7">
        <v>15000000</v>
      </c>
      <c r="G71" s="6">
        <f>_xll.MC_NodeValue(_MC_Calc_1,"T_additional_promising")</f>
        <v>12700000</v>
      </c>
    </row>
    <row r="72" spans="3:7" ht="15" customHeight="1" x14ac:dyDescent="0.45">
      <c r="E72" s="4" t="str">
        <f>_xll.MC_NodeDecision(_MC_Calc_1,"C_additional")</f>
        <v>optimal</v>
      </c>
      <c r="F72" s="2" t="s">
        <v>10</v>
      </c>
    </row>
    <row r="73" spans="3:7" ht="15" customHeight="1" x14ac:dyDescent="0.45">
      <c r="E73" s="7">
        <f>-AdditionalSamplingCost</f>
        <v>-800000</v>
      </c>
      <c r="F73" s="6">
        <f>_xll.MC_NodeValue(_MC_Calc_1,"C_additional")</f>
        <v>5600000</v>
      </c>
    </row>
    <row r="74" spans="3:7" ht="15" customHeight="1" x14ac:dyDescent="0.45">
      <c r="F74" s="5">
        <v>0.35</v>
      </c>
      <c r="G74" s="1">
        <f>_xll.MC_NodeProbability(_MC_Calc_1,"T_additional_inconc")</f>
        <v>0.12249999999999998</v>
      </c>
    </row>
    <row r="75" spans="3:7" ht="15" customHeight="1" x14ac:dyDescent="0.45">
      <c r="F75" s="7">
        <v>3000000</v>
      </c>
      <c r="G75" s="6">
        <f>_xll.MC_NodeValue(_MC_Calc_1,"T_additional_inconc")</f>
        <v>700000</v>
      </c>
    </row>
    <row r="76" spans="3:7" ht="15" customHeight="1" x14ac:dyDescent="0.45">
      <c r="F76" s="5">
        <v>0.2</v>
      </c>
      <c r="G76" s="1">
        <f>_xll.MC_NodeProbability(_MC_Calc_1,"T_additional_neg")</f>
        <v>6.9999999999999993E-2</v>
      </c>
    </row>
    <row r="77" spans="3:7" ht="15" customHeight="1" x14ac:dyDescent="0.45">
      <c r="F77" s="7">
        <v>500000</v>
      </c>
      <c r="G77" s="6">
        <f>_xll.MC_NodeValue(_MC_Calc_1,"T_additional_neg")</f>
        <v>-1800000</v>
      </c>
    </row>
    <row r="78" spans="3:7" ht="15" customHeight="1" x14ac:dyDescent="0.45">
      <c r="D78" s="5">
        <v>0.35</v>
      </c>
      <c r="E78" s="3" t="s">
        <v>11</v>
      </c>
    </row>
    <row r="79" spans="3:7" ht="15" customHeight="1" x14ac:dyDescent="0.45">
      <c r="D79" s="7">
        <v>0</v>
      </c>
      <c r="E79" s="6">
        <f>_xll.MC_NodeValue(_MC_Calc_1,"D_inconclusive")</f>
        <v>5600000</v>
      </c>
    </row>
    <row r="80" spans="3:7" ht="15" customHeight="1" x14ac:dyDescent="0.45">
      <c r="E80" s="4" t="str">
        <f>_xll.MC_NodeDecision(_MC_Calc_1,"T_sell_data_inconc")</f>
        <v/>
      </c>
      <c r="F80" s="1">
        <f>_xll.MC_NodeProbability(_MC_Calc_1,"T_sell_data_inconc")</f>
        <v>0.35</v>
      </c>
    </row>
    <row r="81" spans="3:6" ht="15" customHeight="1" x14ac:dyDescent="0.45">
      <c r="E81" s="7">
        <f>SellDataAsisValue</f>
        <v>1500000</v>
      </c>
      <c r="F81" s="6">
        <f>_xll.MC_NodeValue(_MC_Calc_1,"T_sell_data_inconc")</f>
        <v>0</v>
      </c>
    </row>
    <row r="82" spans="3:6" ht="15" customHeight="1" x14ac:dyDescent="0.45">
      <c r="D82" s="5">
        <v>0.25</v>
      </c>
      <c r="E82" s="1">
        <f>_xll.MC_NodeProbability(_MC_Calc_1,"T_phase1_negative")</f>
        <v>0.25</v>
      </c>
    </row>
    <row r="83" spans="3:6" ht="15" customHeight="1" x14ac:dyDescent="0.45">
      <c r="D83" s="7">
        <v>200000</v>
      </c>
      <c r="E83" s="6">
        <f>_xll.MC_NodeValue(_MC_Calc_1,"T_phase1_negative")</f>
        <v>-1300000</v>
      </c>
    </row>
    <row r="84" spans="3:6" ht="15" customHeight="1" x14ac:dyDescent="0.45">
      <c r="C84" s="4" t="str">
        <f>_xll.MC_NodeDecision(_MC_Calc_1,"T_sell_rights")</f>
        <v/>
      </c>
      <c r="D84" s="1">
        <f>_xll.MC_NodeProbability(_MC_Calc_1,"T_sell_rights")</f>
        <v>1</v>
      </c>
    </row>
    <row r="85" spans="3:6" ht="15" customHeight="1" x14ac:dyDescent="0.45">
      <c r="C85" s="7">
        <f>SellExplorationRightsValue</f>
        <v>2000000</v>
      </c>
      <c r="D85" s="6">
        <f>_xll.MC_NodeValue(_MC_Calc_1,"T_sell_rights")</f>
        <v>2000000</v>
      </c>
    </row>
    <row r="86" spans="3:6" ht="15" customHeight="1" x14ac:dyDescent="0.45"/>
    <row r="87" spans="3:6" ht="15" customHeight="1" x14ac:dyDescent="0.45"/>
    <row r="88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141</vt:i4>
      </vt:variant>
    </vt:vector>
  </HeadingPairs>
  <TitlesOfParts>
    <vt:vector size="143" baseType="lpstr">
      <vt:lpstr>Problem</vt:lpstr>
      <vt:lpstr>MC_Tree_1</vt:lpstr>
      <vt:lpstr>_MC_Calc_1</vt:lpstr>
      <vt:lpstr>AbandonClaimValue</vt:lpstr>
      <vt:lpstr>AdditionalSamplingCost</vt:lpstr>
      <vt:lpstr>DevelopHighCost</vt:lpstr>
      <vt:lpstr>FullExplorationProgramCost</vt:lpstr>
      <vt:lpstr>FullPhase2DrillingCost</vt:lpstr>
      <vt:lpstr>MC_Tree_1!MC_BD_D_inconclusive_C_additional</vt:lpstr>
      <vt:lpstr>MC_Tree_1!MC_BD_D_inconclusive_T_sell_data_inconc</vt:lpstr>
      <vt:lpstr>MC_Tree_1!MC_BD_D_phase2_C_drilling</vt:lpstr>
      <vt:lpstr>MC_Tree_1!MC_BD_D_phase2_T_sell_data_promising</vt:lpstr>
      <vt:lpstr>MC_Tree_1!MC_BD_D_root_C_survey_full</vt:lpstr>
      <vt:lpstr>MC_Tree_1!MC_BD_D_root_C_survey_phase1</vt:lpstr>
      <vt:lpstr>MC_Tree_1!MC_BD_D_root_T_sell_rights</vt:lpstr>
      <vt:lpstr>MC_Tree_1!MC_BD_D_small_deposit_C_commodity_small</vt:lpstr>
      <vt:lpstr>MC_Tree_1!MC_BD_D_small_deposit_T_abandon</vt:lpstr>
      <vt:lpstr>MC_Tree_1!MC_BD_D_small_deposit_T_sell_small</vt:lpstr>
      <vt:lpstr>MC_Tree_1!MC_BP_C_additional_T_additional_inconc</vt:lpstr>
      <vt:lpstr>MC_Tree_1!MC_BP_C_additional_T_additional_neg</vt:lpstr>
      <vt:lpstr>MC_Tree_1!MC_BP_C_additional_T_additional_promising</vt:lpstr>
      <vt:lpstr>MC_Tree_1!MC_BP_C_commodity_major_T_major_boom</vt:lpstr>
      <vt:lpstr>MC_Tree_1!MC_BP_C_commodity_major_T_major_normal</vt:lpstr>
      <vt:lpstr>MC_Tree_1!MC_BP_C_commodity_major_T_major_slump</vt:lpstr>
      <vt:lpstr>MC_Tree_1!MC_BP_C_commodity_mod_T_mod_boom</vt:lpstr>
      <vt:lpstr>MC_Tree_1!MC_BP_C_commodity_mod_T_mod_normal</vt:lpstr>
      <vt:lpstr>MC_Tree_1!MC_BP_C_commodity_mod_T_mod_slump</vt:lpstr>
      <vt:lpstr>MC_Tree_1!MC_BP_C_commodity_small_T_small_boom</vt:lpstr>
      <vt:lpstr>MC_Tree_1!MC_BP_C_commodity_small_T_small_normal</vt:lpstr>
      <vt:lpstr>MC_Tree_1!MC_BP_C_commodity_small_T_small_slump</vt:lpstr>
      <vt:lpstr>MC_Tree_1!MC_BP_C_drilling_T_drill_large</vt:lpstr>
      <vt:lpstr>MC_Tree_1!MC_BP_C_drilling_T_drill_moderate</vt:lpstr>
      <vt:lpstr>MC_Tree_1!MC_BP_C_drilling_T_drill_subeconomic</vt:lpstr>
      <vt:lpstr>MC_Tree_1!MC_BP_C_survey_full_C_commodity_major</vt:lpstr>
      <vt:lpstr>MC_Tree_1!MC_BP_C_survey_full_C_commodity_mod</vt:lpstr>
      <vt:lpstr>MC_Tree_1!MC_BP_C_survey_full_D_small_deposit</vt:lpstr>
      <vt:lpstr>MC_Tree_1!MC_BP_C_survey_full_T_no_deposit</vt:lpstr>
      <vt:lpstr>MC_Tree_1!MC_BP_C_survey_phase1_D_inconclusive</vt:lpstr>
      <vt:lpstr>MC_Tree_1!MC_BP_C_survey_phase1_D_phase2</vt:lpstr>
      <vt:lpstr>MC_Tree_1!MC_BP_C_survey_phase1_T_phase1_negative</vt:lpstr>
      <vt:lpstr>MC_Tree_1!MC_BV_C_additional_T_additional_inconc</vt:lpstr>
      <vt:lpstr>MC_Tree_1!MC_BV_C_additional_T_additional_neg</vt:lpstr>
      <vt:lpstr>MC_Tree_1!MC_BV_C_additional_T_additional_promising</vt:lpstr>
      <vt:lpstr>MC_Tree_1!MC_BV_C_commodity_major_T_major_boom</vt:lpstr>
      <vt:lpstr>MC_Tree_1!MC_BV_C_commodity_major_T_major_normal</vt:lpstr>
      <vt:lpstr>MC_Tree_1!MC_BV_C_commodity_major_T_major_slump</vt:lpstr>
      <vt:lpstr>MC_Tree_1!MC_BV_C_commodity_mod_T_mod_boom</vt:lpstr>
      <vt:lpstr>MC_Tree_1!MC_BV_C_commodity_mod_T_mod_normal</vt:lpstr>
      <vt:lpstr>MC_Tree_1!MC_BV_C_commodity_mod_T_mod_slump</vt:lpstr>
      <vt:lpstr>MC_Tree_1!MC_BV_C_commodity_small_T_small_boom</vt:lpstr>
      <vt:lpstr>MC_Tree_1!MC_BV_C_commodity_small_T_small_normal</vt:lpstr>
      <vt:lpstr>MC_Tree_1!MC_BV_C_commodity_small_T_small_slump</vt:lpstr>
      <vt:lpstr>MC_Tree_1!MC_BV_C_drilling_T_drill_large</vt:lpstr>
      <vt:lpstr>MC_Tree_1!MC_BV_C_drilling_T_drill_moderate</vt:lpstr>
      <vt:lpstr>MC_Tree_1!MC_BV_C_drilling_T_drill_subeconomic</vt:lpstr>
      <vt:lpstr>MC_Tree_1!MC_BV_C_survey_full_C_commodity_major</vt:lpstr>
      <vt:lpstr>MC_Tree_1!MC_BV_C_survey_full_C_commodity_mod</vt:lpstr>
      <vt:lpstr>MC_Tree_1!MC_BV_C_survey_full_D_small_deposit</vt:lpstr>
      <vt:lpstr>MC_Tree_1!MC_BV_C_survey_full_T_no_deposit</vt:lpstr>
      <vt:lpstr>MC_Tree_1!MC_BV_C_survey_phase1_D_inconclusive</vt:lpstr>
      <vt:lpstr>MC_Tree_1!MC_BV_C_survey_phase1_D_phase2</vt:lpstr>
      <vt:lpstr>MC_Tree_1!MC_BV_C_survey_phase1_T_phase1_negative</vt:lpstr>
      <vt:lpstr>MC_Tree_1!MC_BV_D_inconclusive_C_additional</vt:lpstr>
      <vt:lpstr>MC_Tree_1!MC_BV_D_inconclusive_T_sell_data_inconc</vt:lpstr>
      <vt:lpstr>MC_Tree_1!MC_BV_D_phase2_C_drilling</vt:lpstr>
      <vt:lpstr>MC_Tree_1!MC_BV_D_phase2_T_sell_data_promising</vt:lpstr>
      <vt:lpstr>MC_Tree_1!MC_BV_D_root_C_survey_full</vt:lpstr>
      <vt:lpstr>MC_Tree_1!MC_BV_D_root_C_survey_phase1</vt:lpstr>
      <vt:lpstr>MC_Tree_1!MC_BV_D_root_T_sell_rights</vt:lpstr>
      <vt:lpstr>MC_Tree_1!MC_BV_D_small_deposit_C_commodity_small</vt:lpstr>
      <vt:lpstr>MC_Tree_1!MC_BV_D_small_deposit_T_abandon</vt:lpstr>
      <vt:lpstr>MC_Tree_1!MC_BV_D_small_deposit_T_sell_small</vt:lpstr>
      <vt:lpstr>MC_Tree_1!MC_N_C_additional</vt:lpstr>
      <vt:lpstr>MC_Tree_1!MC_N_C_commodity_major</vt:lpstr>
      <vt:lpstr>MC_Tree_1!MC_N_C_commodity_mod</vt:lpstr>
      <vt:lpstr>MC_Tree_1!MC_N_C_commodity_small</vt:lpstr>
      <vt:lpstr>MC_Tree_1!MC_N_C_drilling</vt:lpstr>
      <vt:lpstr>MC_Tree_1!MC_N_C_survey_full</vt:lpstr>
      <vt:lpstr>MC_Tree_1!MC_N_C_survey_phase1</vt:lpstr>
      <vt:lpstr>MC_Tree_1!MC_N_D_inconclusive</vt:lpstr>
      <vt:lpstr>MC_Tree_1!MC_N_D_phase2</vt:lpstr>
      <vt:lpstr>MC_Tree_1!MC_N_D_root</vt:lpstr>
      <vt:lpstr>MC_Tree_1!MC_N_D_small_deposit</vt:lpstr>
      <vt:lpstr>MC_Tree_1!MC_NP_T_abandon</vt:lpstr>
      <vt:lpstr>MC_Tree_1!MC_NP_T_additional_inconc</vt:lpstr>
      <vt:lpstr>MC_Tree_1!MC_NP_T_additional_neg</vt:lpstr>
      <vt:lpstr>MC_Tree_1!MC_NP_T_additional_promising</vt:lpstr>
      <vt:lpstr>MC_Tree_1!MC_NP_T_drill_large</vt:lpstr>
      <vt:lpstr>MC_Tree_1!MC_NP_T_drill_moderate</vt:lpstr>
      <vt:lpstr>MC_Tree_1!MC_NP_T_drill_subeconomic</vt:lpstr>
      <vt:lpstr>MC_Tree_1!MC_NP_T_major_boom</vt:lpstr>
      <vt:lpstr>MC_Tree_1!MC_NP_T_major_normal</vt:lpstr>
      <vt:lpstr>MC_Tree_1!MC_NP_T_major_slump</vt:lpstr>
      <vt:lpstr>MC_Tree_1!MC_NP_T_mod_boom</vt:lpstr>
      <vt:lpstr>MC_Tree_1!MC_NP_T_mod_normal</vt:lpstr>
      <vt:lpstr>MC_Tree_1!MC_NP_T_mod_slump</vt:lpstr>
      <vt:lpstr>MC_Tree_1!MC_NP_T_no_deposit</vt:lpstr>
      <vt:lpstr>MC_Tree_1!MC_NP_T_phase1_negative</vt:lpstr>
      <vt:lpstr>MC_Tree_1!MC_NP_T_sell_data_inconc</vt:lpstr>
      <vt:lpstr>MC_Tree_1!MC_NP_T_sell_data_promising</vt:lpstr>
      <vt:lpstr>MC_Tree_1!MC_NP_T_sell_rights</vt:lpstr>
      <vt:lpstr>MC_Tree_1!MC_NP_T_sell_small</vt:lpstr>
      <vt:lpstr>MC_Tree_1!MC_NP_T_small_boom</vt:lpstr>
      <vt:lpstr>MC_Tree_1!MC_NP_T_small_normal</vt:lpstr>
      <vt:lpstr>MC_Tree_1!MC_NP_T_small_slump</vt:lpstr>
      <vt:lpstr>MC_Tree_1!MC_V_C_additional</vt:lpstr>
      <vt:lpstr>MC_Tree_1!MC_V_C_commodity_major</vt:lpstr>
      <vt:lpstr>MC_Tree_1!MC_V_C_commodity_mod</vt:lpstr>
      <vt:lpstr>MC_Tree_1!MC_V_C_commodity_small</vt:lpstr>
      <vt:lpstr>MC_Tree_1!MC_V_C_drilling</vt:lpstr>
      <vt:lpstr>MC_Tree_1!MC_V_C_survey_full</vt:lpstr>
      <vt:lpstr>MC_Tree_1!MC_V_C_survey_phase1</vt:lpstr>
      <vt:lpstr>MC_Tree_1!MC_V_D_inconclusive</vt:lpstr>
      <vt:lpstr>MC_Tree_1!MC_V_D_phase2</vt:lpstr>
      <vt:lpstr>MC_Tree_1!MC_V_D_root</vt:lpstr>
      <vt:lpstr>MC_Tree_1!MC_V_D_small_deposit</vt:lpstr>
      <vt:lpstr>MC_Tree_1!MC_V_T_abandon</vt:lpstr>
      <vt:lpstr>MC_Tree_1!MC_V_T_additional_inconc</vt:lpstr>
      <vt:lpstr>MC_Tree_1!MC_V_T_additional_neg</vt:lpstr>
      <vt:lpstr>MC_Tree_1!MC_V_T_additional_promising</vt:lpstr>
      <vt:lpstr>MC_Tree_1!MC_V_T_drill_large</vt:lpstr>
      <vt:lpstr>MC_Tree_1!MC_V_T_drill_moderate</vt:lpstr>
      <vt:lpstr>MC_Tree_1!MC_V_T_drill_subeconomic</vt:lpstr>
      <vt:lpstr>MC_Tree_1!MC_V_T_major_boom</vt:lpstr>
      <vt:lpstr>MC_Tree_1!MC_V_T_major_normal</vt:lpstr>
      <vt:lpstr>MC_Tree_1!MC_V_T_major_slump</vt:lpstr>
      <vt:lpstr>MC_Tree_1!MC_V_T_mod_boom</vt:lpstr>
      <vt:lpstr>MC_Tree_1!MC_V_T_mod_normal</vt:lpstr>
      <vt:lpstr>MC_Tree_1!MC_V_T_mod_slump</vt:lpstr>
      <vt:lpstr>MC_Tree_1!MC_V_T_no_deposit</vt:lpstr>
      <vt:lpstr>MC_Tree_1!MC_V_T_phase1_negative</vt:lpstr>
      <vt:lpstr>MC_Tree_1!MC_V_T_sell_data_inconc</vt:lpstr>
      <vt:lpstr>MC_Tree_1!MC_V_T_sell_data_promising</vt:lpstr>
      <vt:lpstr>MC_Tree_1!MC_V_T_sell_rights</vt:lpstr>
      <vt:lpstr>MC_Tree_1!MC_V_T_sell_small</vt:lpstr>
      <vt:lpstr>MC_Tree_1!MC_V_T_small_boom</vt:lpstr>
      <vt:lpstr>MC_Tree_1!MC_V_T_small_normal</vt:lpstr>
      <vt:lpstr>MC_Tree_1!MC_V_T_small_slump</vt:lpstr>
      <vt:lpstr>PhasedExplorationCost</vt:lpstr>
      <vt:lpstr>SellDataAsisValue</vt:lpstr>
      <vt:lpstr>SellDataRightsValue</vt:lpstr>
      <vt:lpstr>SellExplorationRightsValue</vt:lpstr>
      <vt:lpstr>SellMiningRightsValue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2026-03-27T14:32:02Z</dcterms:created>
  <dcterms:modified xsi:type="dcterms:W3CDTF">2026-03-27T14:32:17Z</dcterms:modified>
</cp:coreProperties>
</file>