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Manufacturing\"/>
    </mc:Choice>
  </mc:AlternateContent>
  <xr:revisionPtr revIDLastSave="0" documentId="8_{2463F867-59D9-4009-9A59-C23EEC4D0AE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Spindles" sheetId="4" r:id="rId4"/>
    <sheet name="Results" sheetId="5" r:id="rId5"/>
    <sheet name="ModelRiskOptimizer" sheetId="6" state="veryHidden" r:id="rId6"/>
    <sheet name="ModelRiskDSN" sheetId="8" state="hidden" r:id="rId7"/>
    <sheet name="ModelRiskSYS1" sheetId="9" state="hidden" r:id="rId8"/>
    <sheet name="ModelRiskCharts" sheetId="10" state="hidden" r:id="rId9"/>
  </sheets>
  <definedNames>
    <definedName name="Checks">Spindles!$D$86:$D$88</definedName>
    <definedName name="CostFail">Spindles!$D$11</definedName>
    <definedName name="CostPlan">Spindles!$D$10</definedName>
    <definedName name="CostWait">Spindles!$D$12</definedName>
    <definedName name="Damage">Inputs!$D$23</definedName>
    <definedName name="DownCost">Inputs!$D$25</definedName>
    <definedName name="DownFail">Inputs!$D$24</definedName>
    <definedName name="E_Plan">Spindles!$D$54:$M$61</definedName>
    <definedName name="E_Start">Spindles!$D$30:$M$37</definedName>
    <definedName name="HLead">Spindles!$D$9</definedName>
    <definedName name="HoldKit">Spindles!$D$13</definedName>
    <definedName name="HoldRate">Inputs!$D$32</definedName>
    <definedName name="Horizon">Spindles!$D$8</definedName>
    <definedName name="HoursCap">Inputs!$D$37</definedName>
    <definedName name="HoursYear">Inputs!$D$11</definedName>
    <definedName name="KitPrice">Inputs!$D$21</definedName>
    <definedName name="Kits">Decisions!$D$12</definedName>
    <definedName name="Kits_Hi">Decisions!$G$12</definedName>
    <definedName name="Kits_Lo">Decisions!$F$12</definedName>
    <definedName name="Kits_Start">Decisions!$E$12</definedName>
    <definedName name="Labour">Inputs!$D$22</definedName>
    <definedName name="LeadWeeks">Inputs!$D$31</definedName>
    <definedName name="Life">Spindles!$D$18:$M$25</definedName>
    <definedName name="M0_c0_cell" hidden="1">Spindles!$H$80</definedName>
    <definedName name="M0_c0_rhsA" hidden="1">Inputs!$D$38</definedName>
    <definedName name="M0_o0_cell" hidden="1">Spindles!$I$80</definedName>
    <definedName name="M0_v0_cell" hidden="1">Decisions!$D$11</definedName>
    <definedName name="M0_v0_max" hidden="1">Decisions!$G$11</definedName>
    <definedName name="M0_v0_min" hidden="1">Decisions!$F$11</definedName>
    <definedName name="M0_v1_cell" hidden="1">Decisions!$D$12</definedName>
    <definedName name="M0_v1_max" hidden="1">Decisions!$G$12</definedName>
    <definedName name="M0_v1_min" hidden="1">Decisions!$F$12</definedName>
    <definedName name="NFail_Plan">Spindles!$N$62</definedName>
    <definedName name="NFail_Start">Spindles!$N$38</definedName>
    <definedName name="NPlan_Plan">Spindles!$O$62</definedName>
    <definedName name="NPlan_Start">Spindles!$O$38</definedName>
    <definedName name="OptRun_Best">Decisions!$D$30</definedName>
    <definedName name="OptRun_Date">Decisions!$D$23</definedName>
    <definedName name="OptRun_Engine">Decisions!$D$24</definedName>
    <definedName name="OptRun_Feasible">Decisions!$D$29</definedName>
    <definedName name="OptRun_Samples">Decisions!$D$26</definedName>
    <definedName name="OptRun_Seconds">Decisions!$D$27</definedName>
    <definedName name="OptRun_Stop">Decisions!$D$28</definedName>
    <definedName name="OptRun_Trials">Decisions!$D$25</definedName>
    <definedName name="Out_Cost_Plan">Spindles!$I$80</definedName>
    <definedName name="Out_Cost_Start">Spindles!$I$79</definedName>
    <definedName name="Out_Fail_Plan">Spindles!$D$80</definedName>
    <definedName name="Out_Fail_Start">Spindles!$D$79</definedName>
    <definedName name="Out_Lost_Plan">Spindles!$G$80</definedName>
    <definedName name="Out_Lost_Start">Spindles!$G$79</definedName>
    <definedName name="Out_NoKit_Plan">Spindles!$F$80</definedName>
    <definedName name="Out_NoKit_Start">Spindles!$F$79</definedName>
    <definedName name="Out_Over_Plan">Spindles!$H$80</definedName>
    <definedName name="Out_Over_Start">Spindles!$H$79</definedName>
    <definedName name="Out_Repl_Plan">Spindles!$E$80</definedName>
    <definedName name="Out_Repl_Start">Spindles!$E$79</definedName>
    <definedName name="_xlnm.Print_Area" localSheetId="4">Results!$A$1:$R$47</definedName>
    <definedName name="_xlnm.Print_Titles" localSheetId="2">Decisions!$1:$4</definedName>
    <definedName name="_xlnm.Print_Titles" localSheetId="1">Inputs!$1:$4</definedName>
    <definedName name="_xlnm.Print_Titles" localSheetId="4">Results!$1:$4</definedName>
    <definedName name="ReplAge">Decisions!$D$11</definedName>
    <definedName name="ReplAge_Hi">Decisions!$G$11</definedName>
    <definedName name="ReplAge_Lo">Decisions!$F$11</definedName>
    <definedName name="ReplAge_Start">Decisions!$E$11</definedName>
    <definedName name="RiskMax">Inputs!$D$38</definedName>
    <definedName name="Scale">Inputs!$D$17</definedName>
    <definedName name="Shape">Inputs!$D$16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W_Plan">Spindles!$D$65:$M$72</definedName>
    <definedName name="W_Start">Spindles!$D$41:$M$48</definedName>
    <definedName name="WaitHours">Inputs!$D$26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2" i="5" l="1"/>
  <c r="C102" i="5"/>
  <c r="H101" i="5"/>
  <c r="C101" i="5"/>
  <c r="H100" i="5"/>
  <c r="C100" i="5"/>
  <c r="H99" i="5"/>
  <c r="C99" i="5"/>
  <c r="H98" i="5"/>
  <c r="C98" i="5"/>
  <c r="H97" i="5"/>
  <c r="C97" i="5"/>
  <c r="H96" i="5"/>
  <c r="C96" i="5"/>
  <c r="H95" i="5"/>
  <c r="C95" i="5"/>
  <c r="H94" i="5"/>
  <c r="C94" i="5"/>
  <c r="H93" i="5"/>
  <c r="C93" i="5"/>
  <c r="H92" i="5"/>
  <c r="C92" i="5"/>
  <c r="H91" i="5"/>
  <c r="C91" i="5"/>
  <c r="H90" i="5"/>
  <c r="C90" i="5"/>
  <c r="H89" i="5"/>
  <c r="C89" i="5"/>
  <c r="H88" i="5"/>
  <c r="C88" i="5"/>
  <c r="H87" i="5"/>
  <c r="C87" i="5"/>
  <c r="H86" i="5"/>
  <c r="C86" i="5"/>
  <c r="H85" i="5"/>
  <c r="C85" i="5"/>
  <c r="H84" i="5"/>
  <c r="C84" i="5"/>
  <c r="H83" i="5"/>
  <c r="C83" i="5"/>
  <c r="H82" i="5"/>
  <c r="C82" i="5"/>
  <c r="H81" i="5"/>
  <c r="C81" i="5"/>
  <c r="H80" i="5"/>
  <c r="C80" i="5"/>
  <c r="H79" i="5"/>
  <c r="C79" i="5"/>
  <c r="H78" i="5"/>
  <c r="C78" i="5"/>
  <c r="H77" i="5"/>
  <c r="C77" i="5"/>
  <c r="H76" i="5"/>
  <c r="C76" i="5"/>
  <c r="H75" i="5"/>
  <c r="C75" i="5"/>
  <c r="H74" i="5"/>
  <c r="C74" i="5"/>
  <c r="H73" i="5"/>
  <c r="C73" i="5"/>
  <c r="H72" i="5"/>
  <c r="C72" i="5"/>
  <c r="H71" i="5"/>
  <c r="C71" i="5"/>
  <c r="H70" i="5"/>
  <c r="C70" i="5"/>
  <c r="H69" i="5"/>
  <c r="C69" i="5"/>
  <c r="H68" i="5"/>
  <c r="C68" i="5"/>
  <c r="H67" i="5"/>
  <c r="C67" i="5"/>
  <c r="H66" i="5"/>
  <c r="C66" i="5"/>
  <c r="H65" i="5"/>
  <c r="C65" i="5"/>
  <c r="H64" i="5"/>
  <c r="C64" i="5"/>
  <c r="H63" i="5"/>
  <c r="C63" i="5"/>
  <c r="H62" i="5"/>
  <c r="C62" i="5"/>
  <c r="H61" i="5"/>
  <c r="C61" i="5"/>
  <c r="H60" i="5"/>
  <c r="C60" i="5"/>
  <c r="H59" i="5"/>
  <c r="C59" i="5"/>
  <c r="H58" i="5"/>
  <c r="C58" i="5"/>
  <c r="H57" i="5"/>
  <c r="C57" i="5"/>
  <c r="H56" i="5"/>
  <c r="C56" i="5"/>
  <c r="H55" i="5"/>
  <c r="C55" i="5"/>
  <c r="H54" i="5"/>
  <c r="C54" i="5"/>
  <c r="H53" i="5"/>
  <c r="C53" i="5"/>
  <c r="E23" i="5"/>
  <c r="D23" i="5"/>
  <c r="B22" i="5"/>
  <c r="E13" i="5"/>
  <c r="F13" i="5" s="1"/>
  <c r="D13" i="5"/>
  <c r="E12" i="5"/>
  <c r="D12" i="5"/>
  <c r="D88" i="4"/>
  <c r="D87" i="4"/>
  <c r="B52" i="4"/>
  <c r="B28" i="4"/>
  <c r="D13" i="4"/>
  <c r="E32" i="5" s="1"/>
  <c r="D12" i="4"/>
  <c r="D11" i="4"/>
  <c r="D10" i="4"/>
  <c r="D9" i="4"/>
  <c r="D8" i="4"/>
  <c r="G19" i="3"/>
  <c r="G18" i="3"/>
  <c r="D25" i="4" a="1"/>
  <c r="E19" i="4" a="1"/>
  <c r="E21" i="4" a="1"/>
  <c r="I25" i="4" a="1"/>
  <c r="L24" i="4" a="1"/>
  <c r="M18" i="4" a="1"/>
  <c r="J24" i="4" a="1"/>
  <c r="L18" i="4" a="1"/>
  <c r="K20" i="4" a="1"/>
  <c r="M21" i="4" a="1"/>
  <c r="H24" i="4" a="1"/>
  <c r="F18" i="4" a="1"/>
  <c r="I19" i="4" a="1"/>
  <c r="F24" i="4" a="1"/>
  <c r="E24" i="4" a="1"/>
  <c r="D18" i="4" a="1"/>
  <c r="D24" i="4" a="1"/>
  <c r="L25" i="4" a="1"/>
  <c r="E20" i="4" a="1"/>
  <c r="J20" i="4" a="1"/>
  <c r="K23" i="4" a="1"/>
  <c r="J25" i="4" a="1"/>
  <c r="J18" i="4" a="1"/>
  <c r="J23" i="4" a="1"/>
  <c r="I23" i="4" a="1"/>
  <c r="G25" i="4" a="1"/>
  <c r="G23" i="4" a="1"/>
  <c r="F25" i="4" a="1"/>
  <c r="F19" i="4" a="1"/>
  <c r="J19" i="4" a="1"/>
  <c r="F20" i="4" a="1"/>
  <c r="L22" i="4" a="1"/>
  <c r="E23" i="4" a="1"/>
  <c r="M24" i="4" a="1"/>
  <c r="M19" i="4" a="1"/>
  <c r="M22" i="4" a="1"/>
  <c r="F22" i="4" a="1"/>
  <c r="K24" i="4" a="1"/>
  <c r="K22" i="4" a="1"/>
  <c r="I24" i="4" a="1"/>
  <c r="G18" i="4" a="1"/>
  <c r="K18" i="4" a="1"/>
  <c r="H22" i="4" a="1"/>
  <c r="H20" i="4" a="1"/>
  <c r="D22" i="4" a="1"/>
  <c r="L21" i="4" a="1"/>
  <c r="G24" i="4" a="1"/>
  <c r="L19" i="4" a="1"/>
  <c r="G22" i="4" a="1"/>
  <c r="J21" i="4" a="1"/>
  <c r="H23" i="4" a="1"/>
  <c r="H21" i="4" a="1"/>
  <c r="M23" i="4" a="1"/>
  <c r="E25" i="4" a="1"/>
  <c r="D19" i="4" a="1"/>
  <c r="I18" i="4" a="1"/>
  <c r="I20" i="4" a="1"/>
  <c r="E18" i="4" a="1"/>
  <c r="G19" i="4" a="1"/>
  <c r="F23" i="4" a="1"/>
  <c r="F21" i="4" a="1"/>
  <c r="D23" i="4" a="1"/>
  <c r="H18" i="4" a="1"/>
  <c r="D21" i="4" a="1"/>
  <c r="M20" i="4" a="1"/>
  <c r="I21" i="4" a="1"/>
  <c r="L20" i="4" a="1"/>
  <c r="J22" i="4" a="1"/>
  <c r="L23" i="4" a="1"/>
  <c r="D20" i="4" a="1"/>
  <c r="G21" i="4" a="1"/>
  <c r="K21" i="4" a="1"/>
  <c r="I22" i="4" a="1"/>
  <c r="H25" i="4" a="1"/>
  <c r="M25" i="4" a="1"/>
  <c r="E22" i="4" a="1"/>
  <c r="K25" i="4" a="1"/>
  <c r="G20" i="4" a="1"/>
  <c r="H19" i="4" a="1"/>
  <c r="K19" i="4" a="1"/>
  <c r="F12" i="5" l="1"/>
  <c r="D32" i="5"/>
  <c r="F32" i="5" s="1"/>
  <c r="K19" i="4"/>
  <c r="H19" i="4"/>
  <c r="G20" i="4"/>
  <c r="K25" i="4"/>
  <c r="E22" i="4"/>
  <c r="M25" i="4"/>
  <c r="H25" i="4"/>
  <c r="I22" i="4"/>
  <c r="K21" i="4"/>
  <c r="G21" i="4"/>
  <c r="D20" i="4"/>
  <c r="L23" i="4"/>
  <c r="J22" i="4"/>
  <c r="L20" i="4"/>
  <c r="I21" i="4"/>
  <c r="M20" i="4"/>
  <c r="D21" i="4"/>
  <c r="H18" i="4"/>
  <c r="D23" i="4"/>
  <c r="F21" i="4"/>
  <c r="F23" i="4"/>
  <c r="G19" i="4"/>
  <c r="E18" i="4"/>
  <c r="I20" i="4"/>
  <c r="I18" i="4"/>
  <c r="D19" i="4"/>
  <c r="E25" i="4"/>
  <c r="M23" i="4"/>
  <c r="H21" i="4"/>
  <c r="H23" i="4"/>
  <c r="J21" i="4"/>
  <c r="G22" i="4"/>
  <c r="L19" i="4"/>
  <c r="G24" i="4"/>
  <c r="L21" i="4"/>
  <c r="D22" i="4"/>
  <c r="H20" i="4"/>
  <c r="H22" i="4"/>
  <c r="K18" i="4"/>
  <c r="G18" i="4"/>
  <c r="I24" i="4"/>
  <c r="K22" i="4"/>
  <c r="K24" i="4"/>
  <c r="F22" i="4"/>
  <c r="M22" i="4"/>
  <c r="M19" i="4"/>
  <c r="M24" i="4"/>
  <c r="E23" i="4"/>
  <c r="L22" i="4"/>
  <c r="F20" i="4"/>
  <c r="J19" i="4"/>
  <c r="F19" i="4"/>
  <c r="F25" i="4"/>
  <c r="G23" i="4"/>
  <c r="G25" i="4"/>
  <c r="I23" i="4"/>
  <c r="J23" i="4"/>
  <c r="J18" i="4"/>
  <c r="J25" i="4"/>
  <c r="K23" i="4"/>
  <c r="J20" i="4"/>
  <c r="E20" i="4"/>
  <c r="L25" i="4"/>
  <c r="D24" i="4"/>
  <c r="D18" i="4"/>
  <c r="E24" i="4"/>
  <c r="F24" i="4"/>
  <c r="I19" i="4"/>
  <c r="F18" i="4"/>
  <c r="H24" i="4"/>
  <c r="M21" i="4"/>
  <c r="K20" i="4"/>
  <c r="L18" i="4"/>
  <c r="J24" i="4"/>
  <c r="M18" i="4"/>
  <c r="L24" i="4"/>
  <c r="I25" i="4"/>
  <c r="E21" i="4"/>
  <c r="E19" i="4"/>
  <c r="D25" i="4"/>
  <c r="D37" i="4" l="1"/>
  <c r="D61" i="4"/>
  <c r="D36" i="4"/>
  <c r="D60" i="4"/>
  <c r="D34" i="4"/>
  <c r="E34" i="4" s="1"/>
  <c r="F34" i="4" s="1"/>
  <c r="G34" i="4" s="1"/>
  <c r="H34" i="4" s="1"/>
  <c r="I34" i="4" s="1"/>
  <c r="J34" i="4" s="1"/>
  <c r="K34" i="4" s="1"/>
  <c r="L34" i="4" s="1"/>
  <c r="M34" i="4" s="1"/>
  <c r="M45" i="4" s="1"/>
  <c r="D58" i="4"/>
  <c r="E58" i="4" s="1"/>
  <c r="F58" i="4" s="1"/>
  <c r="G58" i="4" s="1"/>
  <c r="H58" i="4" s="1"/>
  <c r="I58" i="4" s="1"/>
  <c r="J58" i="4" s="1"/>
  <c r="K58" i="4" s="1"/>
  <c r="L58" i="4" s="1"/>
  <c r="M58" i="4" s="1"/>
  <c r="N58" i="4" s="1"/>
  <c r="D35" i="4"/>
  <c r="E35" i="4" s="1"/>
  <c r="F35" i="4" s="1"/>
  <c r="G35" i="4" s="1"/>
  <c r="H35" i="4" s="1"/>
  <c r="H46" i="4" s="1"/>
  <c r="D59" i="4"/>
  <c r="E59" i="4" s="1"/>
  <c r="F59" i="4" s="1"/>
  <c r="G59" i="4" s="1"/>
  <c r="H59" i="4" s="1"/>
  <c r="I59" i="4" s="1"/>
  <c r="J59" i="4" s="1"/>
  <c r="K59" i="4" s="1"/>
  <c r="L59" i="4" s="1"/>
  <c r="M59" i="4" s="1"/>
  <c r="M70" i="4" s="1"/>
  <c r="D32" i="4"/>
  <c r="E32" i="4" s="1"/>
  <c r="F32" i="4" s="1"/>
  <c r="G32" i="4" s="1"/>
  <c r="H32" i="4" s="1"/>
  <c r="I32" i="4" s="1"/>
  <c r="J32" i="4" s="1"/>
  <c r="D56" i="4"/>
  <c r="D55" i="4"/>
  <c r="E55" i="4" s="1"/>
  <c r="F55" i="4" s="1"/>
  <c r="G55" i="4" s="1"/>
  <c r="H55" i="4" s="1"/>
  <c r="I55" i="4" s="1"/>
  <c r="J55" i="4" s="1"/>
  <c r="K55" i="4" s="1"/>
  <c r="L55" i="4" s="1"/>
  <c r="M55" i="4" s="1"/>
  <c r="M66" i="4" s="1"/>
  <c r="D31" i="4"/>
  <c r="E31" i="4" s="1"/>
  <c r="D30" i="4"/>
  <c r="E30" i="4" s="1"/>
  <c r="F30" i="4" s="1"/>
  <c r="G30" i="4" s="1"/>
  <c r="H30" i="4" s="1"/>
  <c r="I30" i="4" s="1"/>
  <c r="J30" i="4" s="1"/>
  <c r="K30" i="4" s="1"/>
  <c r="L30" i="4" s="1"/>
  <c r="M30" i="4" s="1"/>
  <c r="M41" i="4" s="1"/>
  <c r="D54" i="4"/>
  <c r="D33" i="4"/>
  <c r="E33" i="4" s="1"/>
  <c r="F33" i="4" s="1"/>
  <c r="G33" i="4" s="1"/>
  <c r="G44" i="4" s="1"/>
  <c r="D57" i="4"/>
  <c r="E57" i="4" s="1"/>
  <c r="F57" i="4" s="1"/>
  <c r="G57" i="4" s="1"/>
  <c r="H57" i="4" s="1"/>
  <c r="I57" i="4" s="1"/>
  <c r="J57" i="4" s="1"/>
  <c r="K57" i="4" s="1"/>
  <c r="L57" i="4" s="1"/>
  <c r="N59" i="4" l="1"/>
  <c r="J70" i="4"/>
  <c r="J66" i="4"/>
  <c r="E66" i="4"/>
  <c r="L69" i="4"/>
  <c r="K69" i="4"/>
  <c r="L70" i="4"/>
  <c r="I70" i="4"/>
  <c r="O58" i="4"/>
  <c r="K68" i="4"/>
  <c r="O55" i="4"/>
  <c r="F70" i="4"/>
  <c r="O59" i="4"/>
  <c r="H69" i="4"/>
  <c r="K70" i="4"/>
  <c r="I68" i="4"/>
  <c r="O30" i="4"/>
  <c r="D46" i="4"/>
  <c r="J69" i="4"/>
  <c r="I41" i="4"/>
  <c r="I43" i="4"/>
  <c r="M69" i="4"/>
  <c r="I69" i="4"/>
  <c r="L41" i="4"/>
  <c r="L66" i="4"/>
  <c r="G69" i="4"/>
  <c r="E56" i="4"/>
  <c r="M57" i="4"/>
  <c r="M68" i="4" s="1"/>
  <c r="N57" i="4"/>
  <c r="E61" i="4"/>
  <c r="N30" i="4"/>
  <c r="D43" i="4"/>
  <c r="D70" i="4"/>
  <c r="E68" i="4"/>
  <c r="J68" i="4"/>
  <c r="I45" i="4"/>
  <c r="G41" i="4"/>
  <c r="E60" i="4"/>
  <c r="E37" i="4"/>
  <c r="K45" i="4"/>
  <c r="K32" i="4"/>
  <c r="G45" i="4"/>
  <c r="O34" i="4"/>
  <c r="L68" i="4"/>
  <c r="G68" i="4"/>
  <c r="J41" i="4"/>
  <c r="D67" i="4"/>
  <c r="F69" i="4"/>
  <c r="H68" i="4"/>
  <c r="J43" i="4"/>
  <c r="E36" i="4"/>
  <c r="J45" i="4"/>
  <c r="F31" i="4"/>
  <c r="I66" i="4"/>
  <c r="H45" i="4"/>
  <c r="K66" i="4"/>
  <c r="E54" i="4"/>
  <c r="I35" i="4"/>
  <c r="E69" i="4"/>
  <c r="H43" i="4"/>
  <c r="G66" i="4"/>
  <c r="G46" i="4"/>
  <c r="K41" i="4"/>
  <c r="E70" i="4"/>
  <c r="N55" i="4"/>
  <c r="H33" i="4"/>
  <c r="L45" i="4"/>
  <c r="H41" i="4"/>
  <c r="G70" i="4"/>
  <c r="N34" i="4"/>
  <c r="O57" i="4" l="1"/>
  <c r="F37" i="4"/>
  <c r="G31" i="4"/>
  <c r="F60" i="4"/>
  <c r="E71" i="4"/>
  <c r="I33" i="4"/>
  <c r="H44" i="4"/>
  <c r="F56" i="4"/>
  <c r="E67" i="4"/>
  <c r="J35" i="4"/>
  <c r="I46" i="4"/>
  <c r="F61" i="4"/>
  <c r="F54" i="4"/>
  <c r="F36" i="4"/>
  <c r="L32" i="4"/>
  <c r="K43" i="4"/>
  <c r="K35" i="4" l="1"/>
  <c r="J46" i="4"/>
  <c r="H31" i="4"/>
  <c r="G42" i="4"/>
  <c r="G61" i="4"/>
  <c r="J33" i="4"/>
  <c r="I44" i="4"/>
  <c r="M32" i="4"/>
  <c r="L43" i="4"/>
  <c r="N32" i="4"/>
  <c r="G37" i="4"/>
  <c r="G60" i="4"/>
  <c r="F71" i="4"/>
  <c r="G56" i="4"/>
  <c r="G54" i="4"/>
  <c r="G36" i="4"/>
  <c r="K33" i="4" l="1"/>
  <c r="J44" i="4"/>
  <c r="I31" i="4"/>
  <c r="H42" i="4"/>
  <c r="H36" i="4"/>
  <c r="M43" i="4"/>
  <c r="O32" i="4"/>
  <c r="H60" i="4"/>
  <c r="H54" i="4"/>
  <c r="H37" i="4"/>
  <c r="H61" i="4"/>
  <c r="H56" i="4"/>
  <c r="L35" i="4"/>
  <c r="K46" i="4"/>
  <c r="I54" i="4" l="1"/>
  <c r="I61" i="4"/>
  <c r="M35" i="4"/>
  <c r="O35" i="4" s="1"/>
  <c r="L46" i="4"/>
  <c r="I60" i="4"/>
  <c r="H71" i="4"/>
  <c r="J31" i="4"/>
  <c r="I42" i="4"/>
  <c r="I56" i="4"/>
  <c r="I37" i="4"/>
  <c r="H48" i="4"/>
  <c r="I36" i="4"/>
  <c r="H47" i="4"/>
  <c r="L33" i="4"/>
  <c r="K44" i="4"/>
  <c r="K31" i="4" l="1"/>
  <c r="J42" i="4"/>
  <c r="J61" i="4"/>
  <c r="I72" i="4"/>
  <c r="J56" i="4"/>
  <c r="I67" i="4"/>
  <c r="M33" i="4"/>
  <c r="N33" i="4" s="1"/>
  <c r="L44" i="4"/>
  <c r="J37" i="4"/>
  <c r="I48" i="4"/>
  <c r="J60" i="4"/>
  <c r="J36" i="4"/>
  <c r="I47" i="4"/>
  <c r="M46" i="4"/>
  <c r="N35" i="4"/>
  <c r="J54" i="4"/>
  <c r="I65" i="4"/>
  <c r="K56" i="4" l="1"/>
  <c r="J67" i="4"/>
  <c r="K60" i="4"/>
  <c r="J71" i="4"/>
  <c r="K36" i="4"/>
  <c r="J47" i="4"/>
  <c r="K61" i="4"/>
  <c r="J72" i="4"/>
  <c r="K37" i="4"/>
  <c r="J48" i="4"/>
  <c r="M44" i="4"/>
  <c r="O33" i="4"/>
  <c r="K54" i="4"/>
  <c r="J65" i="4"/>
  <c r="L31" i="4"/>
  <c r="K42" i="4"/>
  <c r="M31" i="4" l="1"/>
  <c r="N31" i="4" s="1"/>
  <c r="L42" i="4"/>
  <c r="L37" i="4"/>
  <c r="K48" i="4"/>
  <c r="L60" i="4"/>
  <c r="N60" i="4" s="1"/>
  <c r="K71" i="4"/>
  <c r="L36" i="4"/>
  <c r="K47" i="4"/>
  <c r="L54" i="4"/>
  <c r="K65" i="4"/>
  <c r="L61" i="4"/>
  <c r="K72" i="4"/>
  <c r="L56" i="4"/>
  <c r="K67" i="4"/>
  <c r="H65" i="4" l="1"/>
  <c r="H72" i="4"/>
  <c r="G43" i="4"/>
  <c r="M61" i="4"/>
  <c r="L72" i="4"/>
  <c r="M60" i="4"/>
  <c r="M71" i="4" s="1"/>
  <c r="L71" i="4"/>
  <c r="M54" i="4"/>
  <c r="N54" i="4" s="1"/>
  <c r="L65" i="4"/>
  <c r="G72" i="4"/>
  <c r="M37" i="4"/>
  <c r="L48" i="4"/>
  <c r="M36" i="4"/>
  <c r="O36" i="4" s="1"/>
  <c r="L47" i="4"/>
  <c r="M56" i="4"/>
  <c r="N56" i="4" s="1"/>
  <c r="L67" i="4"/>
  <c r="M42" i="4"/>
  <c r="O31" i="4"/>
  <c r="F48" i="4" l="1"/>
  <c r="F72" i="4"/>
  <c r="G65" i="4"/>
  <c r="E48" i="4"/>
  <c r="F46" i="4"/>
  <c r="E72" i="4"/>
  <c r="D69" i="4"/>
  <c r="F47" i="4"/>
  <c r="D45" i="4"/>
  <c r="D68" i="4"/>
  <c r="H66" i="4"/>
  <c r="N61" i="4"/>
  <c r="N62" i="4" s="1"/>
  <c r="D80" i="4" s="1" a="1"/>
  <c r="D80" i="4" s="1"/>
  <c r="F67" i="4"/>
  <c r="D72" i="4"/>
  <c r="D48" i="4"/>
  <c r="E45" i="4"/>
  <c r="D44" i="4"/>
  <c r="E42" i="4"/>
  <c r="G48" i="4"/>
  <c r="F68" i="4"/>
  <c r="D65" i="4"/>
  <c r="E65" i="4"/>
  <c r="G71" i="4"/>
  <c r="F44" i="4"/>
  <c r="E43" i="4"/>
  <c r="G47" i="4"/>
  <c r="O60" i="4"/>
  <c r="H67" i="4"/>
  <c r="G67" i="4"/>
  <c r="E41" i="4"/>
  <c r="D41" i="4"/>
  <c r="F43" i="4"/>
  <c r="E46" i="4"/>
  <c r="F45" i="4"/>
  <c r="E47" i="4"/>
  <c r="E44" i="4"/>
  <c r="H70" i="4"/>
  <c r="F65" i="4"/>
  <c r="D86" i="4"/>
  <c r="B7" i="5" s="1"/>
  <c r="M47" i="4"/>
  <c r="N36" i="4"/>
  <c r="M65" i="4"/>
  <c r="O54" i="4"/>
  <c r="M67" i="4"/>
  <c r="O56" i="4"/>
  <c r="M48" i="4"/>
  <c r="N37" i="4"/>
  <c r="O37" i="4"/>
  <c r="O38" i="4" s="1"/>
  <c r="E79" i="4" s="1" a="1"/>
  <c r="E79" i="4" s="1"/>
  <c r="D47" i="4"/>
  <c r="F41" i="4"/>
  <c r="D42" i="4"/>
  <c r="F42" i="4"/>
  <c r="M72" i="4"/>
  <c r="D66" i="4"/>
  <c r="F66" i="4"/>
  <c r="D71" i="4"/>
  <c r="O61" i="4"/>
  <c r="I71" i="4"/>
  <c r="E30" i="5" a="1"/>
  <c r="E18" i="5" a="1"/>
  <c r="D19" i="5" a="1"/>
  <c r="D29" i="5" a="1"/>
  <c r="E18" i="5" l="1"/>
  <c r="E30" i="5"/>
  <c r="D29" i="5"/>
  <c r="D19" i="5"/>
  <c r="F80" i="4" a="1"/>
  <c r="F80" i="4" s="1"/>
  <c r="F79" i="4" a="1"/>
  <c r="F79" i="4" s="1"/>
  <c r="O62" i="4"/>
  <c r="E80" i="4" s="1" a="1"/>
  <c r="E80" i="4" s="1"/>
  <c r="N38" i="4"/>
  <c r="D79" i="4" s="1" a="1"/>
  <c r="D79" i="4" s="1"/>
  <c r="D31" i="5" a="1"/>
  <c r="D20" i="5" a="1"/>
  <c r="E31" i="5" a="1"/>
  <c r="E20" i="5" a="1"/>
  <c r="E19" i="5" a="1"/>
  <c r="E29" i="5" a="1"/>
  <c r="D30" i="5" a="1"/>
  <c r="D18" i="5" a="1"/>
  <c r="D18" i="5" l="1"/>
  <c r="F18" i="5" s="1"/>
  <c r="G18" i="5" s="1"/>
  <c r="D30" i="5"/>
  <c r="F30" i="5" s="1"/>
  <c r="G30" i="5" s="1"/>
  <c r="E29" i="5"/>
  <c r="E19" i="5"/>
  <c r="F19" i="5" s="1"/>
  <c r="E20" i="5"/>
  <c r="E31" i="5"/>
  <c r="D20" i="5"/>
  <c r="D31" i="5"/>
  <c r="I80" i="4" a="1"/>
  <c r="I80" i="4" s="1"/>
  <c r="G80" i="4" a="1"/>
  <c r="G80" i="4" s="1"/>
  <c r="G79" i="4" a="1"/>
  <c r="G79" i="4" s="1"/>
  <c r="I79" i="4" a="1"/>
  <c r="I79" i="4" s="1"/>
  <c r="E102" i="5" a="1"/>
  <c r="E93" i="5" a="1"/>
  <c r="B6" i="5" a="1"/>
  <c r="E95" i="5" a="1"/>
  <c r="E87" i="5" a="1"/>
  <c r="E79" i="5" a="1"/>
  <c r="E71" i="5" a="1"/>
  <c r="E63" i="5" a="1"/>
  <c r="E55" i="5" a="1"/>
  <c r="E86" i="5" a="1"/>
  <c r="E78" i="5" a="1"/>
  <c r="E70" i="5" a="1"/>
  <c r="E62" i="5" a="1"/>
  <c r="E54" i="5" a="1"/>
  <c r="E85" i="5" a="1"/>
  <c r="E77" i="5" a="1"/>
  <c r="E69" i="5" a="1"/>
  <c r="E61" i="5" a="1"/>
  <c r="E53" i="5" a="1"/>
  <c r="E92" i="5" a="1"/>
  <c r="E60" i="5" a="1"/>
  <c r="E94" i="5" a="1"/>
  <c r="E101" i="5" a="1"/>
  <c r="E76" i="5" a="1"/>
  <c r="E59" i="5" a="1"/>
  <c r="E100" i="5" a="1"/>
  <c r="E99" i="5" a="1"/>
  <c r="E91" i="5" a="1"/>
  <c r="E75" i="5" a="1"/>
  <c r="E82" i="5" a="1"/>
  <c r="E66" i="5" a="1"/>
  <c r="E58" i="5" a="1"/>
  <c r="E97" i="5" a="1"/>
  <c r="E65" i="5" a="1"/>
  <c r="E57" i="5" a="1"/>
  <c r="E84" i="5" a="1"/>
  <c r="E68" i="5" a="1"/>
  <c r="E16" i="5" a="1"/>
  <c r="E83" i="5" a="1"/>
  <c r="E67" i="5" a="1"/>
  <c r="E98" i="5" a="1"/>
  <c r="E90" i="5" a="1"/>
  <c r="E74" i="5" a="1"/>
  <c r="E89" i="5" a="1"/>
  <c r="E81" i="5" a="1"/>
  <c r="E73" i="5" a="1"/>
  <c r="E17" i="5" a="1"/>
  <c r="E96" i="5" a="1"/>
  <c r="E88" i="5" a="1"/>
  <c r="E80" i="5" a="1"/>
  <c r="E72" i="5" a="1"/>
  <c r="E64" i="5" a="1"/>
  <c r="E56" i="5" a="1"/>
  <c r="D97" i="5" a="1"/>
  <c r="D90" i="5" a="1"/>
  <c r="D65" i="5" a="1"/>
  <c r="D87" i="5" a="1"/>
  <c r="D54" i="5" a="1"/>
  <c r="D68" i="5" a="1"/>
  <c r="D96" i="5" a="1"/>
  <c r="D82" i="5" a="1"/>
  <c r="D57" i="5" a="1"/>
  <c r="D79" i="5" a="1"/>
  <c r="D86" i="5" a="1"/>
  <c r="D60" i="5" a="1"/>
  <c r="D94" i="5" a="1"/>
  <c r="D74" i="5" a="1"/>
  <c r="D88" i="5" a="1"/>
  <c r="D71" i="5" a="1"/>
  <c r="D85" i="5" a="1"/>
  <c r="D84" i="5" a="1"/>
  <c r="D17" i="5" a="1"/>
  <c r="D93" i="5" a="1"/>
  <c r="D66" i="5" a="1"/>
  <c r="D80" i="5" a="1"/>
  <c r="D63" i="5" a="1"/>
  <c r="D77" i="5" a="1"/>
  <c r="D83" i="5" a="1"/>
  <c r="D101" i="5" a="1"/>
  <c r="D92" i="5" a="1"/>
  <c r="D58" i="5" a="1"/>
  <c r="D72" i="5" a="1"/>
  <c r="D55" i="5" a="1"/>
  <c r="D69" i="5" a="1"/>
  <c r="D75" i="5" a="1"/>
  <c r="D100" i="5" a="1"/>
  <c r="D91" i="5" a="1"/>
  <c r="D89" i="5" a="1"/>
  <c r="D64" i="5" a="1"/>
  <c r="D78" i="5" a="1"/>
  <c r="D61" i="5" a="1"/>
  <c r="D67" i="5" a="1"/>
  <c r="D99" i="5" a="1"/>
  <c r="D102" i="5" a="1"/>
  <c r="D81" i="5" a="1"/>
  <c r="D56" i="5" a="1"/>
  <c r="D70" i="5" a="1"/>
  <c r="D53" i="5" a="1"/>
  <c r="D59" i="5" a="1"/>
  <c r="D98" i="5" a="1"/>
  <c r="D95" i="5" a="1"/>
  <c r="D73" i="5" a="1"/>
  <c r="D16" i="5" a="1"/>
  <c r="D62" i="5" a="1"/>
  <c r="D76" i="5" a="1"/>
  <c r="G59" i="5" a="1"/>
  <c r="G67" i="5" a="1"/>
  <c r="G75" i="5" a="1"/>
  <c r="G83" i="5" a="1"/>
  <c r="G91" i="5" a="1"/>
  <c r="G99" i="5" a="1"/>
  <c r="E21" i="5" a="1"/>
  <c r="G60" i="5" a="1"/>
  <c r="G68" i="5" a="1"/>
  <c r="G76" i="5" a="1"/>
  <c r="G84" i="5" a="1"/>
  <c r="G92" i="5" a="1"/>
  <c r="G100" i="5" a="1"/>
  <c r="G53" i="5" a="1"/>
  <c r="G61" i="5" a="1"/>
  <c r="G69" i="5" a="1"/>
  <c r="G77" i="5" a="1"/>
  <c r="G85" i="5" a="1"/>
  <c r="G93" i="5" a="1"/>
  <c r="G101" i="5" a="1"/>
  <c r="G70" i="5" a="1"/>
  <c r="G86" i="5" a="1"/>
  <c r="G102" i="5" a="1"/>
  <c r="G54" i="5" a="1"/>
  <c r="G78" i="5" a="1"/>
  <c r="G55" i="5" a="1"/>
  <c r="G63" i="5" a="1"/>
  <c r="G71" i="5" a="1"/>
  <c r="G79" i="5" a="1"/>
  <c r="G87" i="5" a="1"/>
  <c r="G95" i="5" a="1"/>
  <c r="G62" i="5" a="1"/>
  <c r="G94" i="5" a="1"/>
  <c r="G72" i="5" a="1"/>
  <c r="G96" i="5" a="1"/>
  <c r="G56" i="5" a="1"/>
  <c r="G80" i="5" a="1"/>
  <c r="G88" i="5" a="1"/>
  <c r="G57" i="5" a="1"/>
  <c r="G65" i="5" a="1"/>
  <c r="G73" i="5" a="1"/>
  <c r="G81" i="5" a="1"/>
  <c r="G89" i="5" a="1"/>
  <c r="G97" i="5" a="1"/>
  <c r="G64" i="5" a="1"/>
  <c r="G58" i="5" a="1"/>
  <c r="G66" i="5" a="1"/>
  <c r="G74" i="5" a="1"/>
  <c r="G82" i="5" a="1"/>
  <c r="G90" i="5" a="1"/>
  <c r="G98" i="5" a="1"/>
  <c r="F54" i="5" a="1"/>
  <c r="F62" i="5" a="1"/>
  <c r="F70" i="5" a="1"/>
  <c r="F78" i="5" a="1"/>
  <c r="F86" i="5" a="1"/>
  <c r="F94" i="5" a="1"/>
  <c r="F102" i="5" a="1"/>
  <c r="F55" i="5" a="1"/>
  <c r="F63" i="5" a="1"/>
  <c r="F71" i="5" a="1"/>
  <c r="F79" i="5" a="1"/>
  <c r="F87" i="5" a="1"/>
  <c r="F95" i="5" a="1"/>
  <c r="F56" i="5" a="1"/>
  <c r="F64" i="5" a="1"/>
  <c r="F72" i="5" a="1"/>
  <c r="F80" i="5" a="1"/>
  <c r="F88" i="5" a="1"/>
  <c r="F96" i="5" a="1"/>
  <c r="F57" i="5" a="1"/>
  <c r="F65" i="5" a="1"/>
  <c r="F73" i="5" a="1"/>
  <c r="F81" i="5" a="1"/>
  <c r="F89" i="5" a="1"/>
  <c r="F97" i="5" a="1"/>
  <c r="F58" i="5" a="1"/>
  <c r="F66" i="5" a="1"/>
  <c r="F74" i="5" a="1"/>
  <c r="F82" i="5" a="1"/>
  <c r="F90" i="5" a="1"/>
  <c r="F98" i="5" a="1"/>
  <c r="F59" i="5" a="1"/>
  <c r="F67" i="5" a="1"/>
  <c r="F75" i="5" a="1"/>
  <c r="F83" i="5" a="1"/>
  <c r="F91" i="5" a="1"/>
  <c r="F99" i="5" a="1"/>
  <c r="D21" i="5" a="1"/>
  <c r="F60" i="5" a="1"/>
  <c r="F68" i="5" a="1"/>
  <c r="F76" i="5" a="1"/>
  <c r="F84" i="5" a="1"/>
  <c r="F92" i="5" a="1"/>
  <c r="F100" i="5" a="1"/>
  <c r="F53" i="5" a="1"/>
  <c r="F61" i="5" a="1"/>
  <c r="F69" i="5" a="1"/>
  <c r="F77" i="5" a="1"/>
  <c r="F85" i="5" a="1"/>
  <c r="F93" i="5" a="1"/>
  <c r="F101" i="5" a="1"/>
  <c r="D33" i="5" l="1"/>
  <c r="F31" i="5"/>
  <c r="G31" i="5" s="1"/>
  <c r="F101" i="5"/>
  <c r="F93" i="5"/>
  <c r="F85" i="5"/>
  <c r="F77" i="5"/>
  <c r="F69" i="5"/>
  <c r="F61" i="5"/>
  <c r="F53" i="5"/>
  <c r="F100" i="5"/>
  <c r="F92" i="5"/>
  <c r="F84" i="5"/>
  <c r="F76" i="5"/>
  <c r="F68" i="5"/>
  <c r="F60" i="5"/>
  <c r="D21" i="5"/>
  <c r="F99" i="5"/>
  <c r="F91" i="5"/>
  <c r="F83" i="5"/>
  <c r="F75" i="5"/>
  <c r="F67" i="5"/>
  <c r="F59" i="5"/>
  <c r="F98" i="5"/>
  <c r="F90" i="5"/>
  <c r="F82" i="5"/>
  <c r="F74" i="5"/>
  <c r="F66" i="5"/>
  <c r="F58" i="5"/>
  <c r="F97" i="5"/>
  <c r="F89" i="5"/>
  <c r="F81" i="5"/>
  <c r="F73" i="5"/>
  <c r="F65" i="5"/>
  <c r="F57" i="5"/>
  <c r="F96" i="5"/>
  <c r="F88" i="5"/>
  <c r="F80" i="5"/>
  <c r="F72" i="5"/>
  <c r="F64" i="5"/>
  <c r="F56" i="5"/>
  <c r="F95" i="5"/>
  <c r="F87" i="5"/>
  <c r="F79" i="5"/>
  <c r="F71" i="5"/>
  <c r="F63" i="5"/>
  <c r="F55" i="5"/>
  <c r="F102" i="5"/>
  <c r="F94" i="5"/>
  <c r="F86" i="5"/>
  <c r="F78" i="5"/>
  <c r="F70" i="5"/>
  <c r="F62" i="5"/>
  <c r="F54" i="5"/>
  <c r="G98" i="5"/>
  <c r="G90" i="5"/>
  <c r="G82" i="5"/>
  <c r="G74" i="5"/>
  <c r="G66" i="5"/>
  <c r="G58" i="5"/>
  <c r="G64" i="5"/>
  <c r="G97" i="5"/>
  <c r="G89" i="5"/>
  <c r="G81" i="5"/>
  <c r="G73" i="5"/>
  <c r="G65" i="5"/>
  <c r="G57" i="5"/>
  <c r="G88" i="5"/>
  <c r="G80" i="5"/>
  <c r="G56" i="5"/>
  <c r="G96" i="5"/>
  <c r="G72" i="5"/>
  <c r="G94" i="5"/>
  <c r="G62" i="5"/>
  <c r="G95" i="5"/>
  <c r="G87" i="5"/>
  <c r="G79" i="5"/>
  <c r="G71" i="5"/>
  <c r="G63" i="5"/>
  <c r="G55" i="5"/>
  <c r="G78" i="5"/>
  <c r="G54" i="5"/>
  <c r="G102" i="5"/>
  <c r="G86" i="5"/>
  <c r="G70" i="5"/>
  <c r="G101" i="5"/>
  <c r="G93" i="5"/>
  <c r="G85" i="5"/>
  <c r="G77" i="5"/>
  <c r="G69" i="5"/>
  <c r="G61" i="5"/>
  <c r="G53" i="5"/>
  <c r="G100" i="5"/>
  <c r="G92" i="5"/>
  <c r="G84" i="5"/>
  <c r="G76" i="5"/>
  <c r="G68" i="5"/>
  <c r="G60" i="5"/>
  <c r="E21" i="5"/>
  <c r="G99" i="5"/>
  <c r="G91" i="5"/>
  <c r="G83" i="5"/>
  <c r="G75" i="5"/>
  <c r="G67" i="5"/>
  <c r="G59" i="5"/>
  <c r="D76" i="5"/>
  <c r="D62" i="5"/>
  <c r="D16" i="5"/>
  <c r="D73" i="5"/>
  <c r="D95" i="5"/>
  <c r="D98" i="5"/>
  <c r="D59" i="5"/>
  <c r="D53" i="5"/>
  <c r="D70" i="5"/>
  <c r="D56" i="5"/>
  <c r="D81" i="5"/>
  <c r="D102" i="5"/>
  <c r="D99" i="5"/>
  <c r="D67" i="5"/>
  <c r="D61" i="5"/>
  <c r="D78" i="5"/>
  <c r="D64" i="5"/>
  <c r="D89" i="5"/>
  <c r="D91" i="5"/>
  <c r="D100" i="5"/>
  <c r="D75" i="5"/>
  <c r="D69" i="5"/>
  <c r="D55" i="5"/>
  <c r="D72" i="5"/>
  <c r="D58" i="5"/>
  <c r="D92" i="5"/>
  <c r="D101" i="5"/>
  <c r="D83" i="5"/>
  <c r="D77" i="5"/>
  <c r="D63" i="5"/>
  <c r="D80" i="5"/>
  <c r="D66" i="5"/>
  <c r="D93" i="5"/>
  <c r="D17" i="5"/>
  <c r="D84" i="5"/>
  <c r="D85" i="5"/>
  <c r="D71" i="5"/>
  <c r="D88" i="5"/>
  <c r="D74" i="5"/>
  <c r="D94" i="5"/>
  <c r="D60" i="5"/>
  <c r="D86" i="5"/>
  <c r="D79" i="5"/>
  <c r="D57" i="5"/>
  <c r="D82" i="5"/>
  <c r="D96" i="5"/>
  <c r="D68" i="5"/>
  <c r="D54" i="5"/>
  <c r="D87" i="5"/>
  <c r="D65" i="5"/>
  <c r="D90" i="5"/>
  <c r="D97" i="5"/>
  <c r="E56" i="5"/>
  <c r="E64" i="5"/>
  <c r="E72" i="5"/>
  <c r="E80" i="5"/>
  <c r="E88" i="5"/>
  <c r="E96" i="5"/>
  <c r="E17" i="5"/>
  <c r="E73" i="5"/>
  <c r="E81" i="5"/>
  <c r="E89" i="5"/>
  <c r="E74" i="5"/>
  <c r="E90" i="5"/>
  <c r="E98" i="5"/>
  <c r="E67" i="5"/>
  <c r="E83" i="5"/>
  <c r="E16" i="5"/>
  <c r="E68" i="5"/>
  <c r="E84" i="5"/>
  <c r="E57" i="5"/>
  <c r="E65" i="5"/>
  <c r="E97" i="5"/>
  <c r="E58" i="5"/>
  <c r="E66" i="5"/>
  <c r="E82" i="5"/>
  <c r="E75" i="5"/>
  <c r="E91" i="5"/>
  <c r="E99" i="5"/>
  <c r="E100" i="5"/>
  <c r="E59" i="5"/>
  <c r="E76" i="5"/>
  <c r="E101" i="5"/>
  <c r="E94" i="5"/>
  <c r="E60" i="5"/>
  <c r="E92" i="5"/>
  <c r="E53" i="5"/>
  <c r="E61" i="5"/>
  <c r="E69" i="5"/>
  <c r="E77" i="5"/>
  <c r="E85" i="5"/>
  <c r="E54" i="5"/>
  <c r="E62" i="5"/>
  <c r="E70" i="5"/>
  <c r="E78" i="5"/>
  <c r="E86" i="5"/>
  <c r="E55" i="5"/>
  <c r="E63" i="5"/>
  <c r="E71" i="5"/>
  <c r="E79" i="5"/>
  <c r="E87" i="5"/>
  <c r="E95" i="5"/>
  <c r="B6" i="5"/>
  <c r="E93" i="5"/>
  <c r="E102" i="5"/>
  <c r="H79" i="4" a="1"/>
  <c r="H79" i="4" s="1"/>
  <c r="E33" i="5"/>
  <c r="F33" i="5" s="1"/>
  <c r="F29" i="5"/>
  <c r="H80" i="4" a="1"/>
  <c r="H80" i="4" s="1"/>
  <c r="F20" i="5"/>
  <c r="G20" i="5" s="1"/>
  <c r="E22" i="5" a="1"/>
  <c r="D22" i="5" a="1"/>
  <c r="F17" i="5" l="1"/>
  <c r="G17" i="5" s="1"/>
  <c r="D22" i="5"/>
  <c r="E22" i="5"/>
  <c r="F22" i="5" s="1"/>
  <c r="G22" i="5" s="1"/>
  <c r="F21" i="5"/>
  <c r="G21" i="5" s="1"/>
  <c r="F16" i="5"/>
  <c r="G16"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<sst xmlns="http://schemas.openxmlformats.org/spreadsheetml/2006/main" count="515" uniqueCount="304">
  <si>
    <t>Spare Parts and Maintenance Strategy Chosen by the Optimizer</t>
  </si>
  <si>
    <t>ModelRisk example  ·  Manufacturing  ·  MF-10</t>
  </si>
  <si>
    <t>Which replacement age and how many spare kits cost least while keeping the downtime promised to a customer?</t>
  </si>
  <si>
    <t>Next:  Inputs  ▸</t>
  </si>
  <si>
    <t>Model card</t>
  </si>
  <si>
    <t>Industry</t>
  </si>
  <si>
    <t>Manufacturing</t>
  </si>
  <si>
    <t>Difficulty</t>
  </si>
  <si>
    <t>★★★★☆   A renewal process on each spindle for two plans on the same simulated bearing lives; the replacement age and the spare kits chosen together by the ModelRisk Optimizer, at least cost, for a limit on the machine-hours lost.</t>
  </si>
  <si>
    <t>Business question</t>
  </si>
  <si>
    <t>A machine shop runs eight machining centres whose spindle bearings wear out. A failure stops its machine for 12 hours, or 48 if no spare kit is on the shelf. The shop has promised its main customer at most a 10% chance that bearing trouble costs more than 48 machine-hours over the next two years. Which replacement age and how many spare kits keep that promise at least cost?</t>
  </si>
  <si>
    <t>Who it is for</t>
  </si>
  <si>
    <t>Maintenance and reliability engineers, plant managers, spare-parts and MRO planners.</t>
  </si>
  <si>
    <t>Main outputs</t>
  </si>
  <si>
    <t>The Optimizer's replacement age and spare kits against a starting plan (MF-08's cheapest option: replace at 3,500 hours, three kits) · for both plans: the two-year cost, failures, planned replacements, the chance that any failure finds no kit, the machine-hours lost and the chance of losing more than promised · the distributions of the cost and of the hours lost.</t>
  </si>
  <si>
    <t>ModelRisk techniques</t>
  </si>
  <si>
    <t>The ModelRisk Optimizer: a replacement age from a list (steps of 250 hours) and a whole number of spare kits, the mean two-year cost minimised, a probability constraint on the machine-hours lost · bearing lives as Weibull distributions (VoseWeibull) · a renewal process on each spindle · stock-outs from the failures within one resupply time · both plans on the same simulated lives.</t>
  </si>
  <si>
    <t>File</t>
  </si>
  <si>
    <t>MF-10 Spare parts and maintenance strategy chosen by the Optimizer  ·  Version 1.0  ·  October 2026  ·  built with ModelRisk 10</t>
  </si>
  <si>
    <t>The business question</t>
  </si>
  <si>
    <t>A machine shop's eight spindles all got new bearings in this year's shutdown. A bearing that fails in service costs about US$21,000 and stops its machine for 12 hours, or 48 if no spare kit is on the shelf. MF-08 found replacing at 3,500 hours with three kits cheapest. Now the shop has promised a customer limited downtime, so the Optimizer chooses the age and the kits together.</t>
  </si>
  <si>
    <t>How the model works</t>
  </si>
  <si>
    <t>Four sheets after this one, read from left to right. Each one feeds the next.</t>
  </si>
  <si>
    <t>1  Inputs</t>
  </si>
  <si>
    <t>Operating hours a year; the bearing's Weibull shape and scale; the cost of a kit, the labour, the damage and the downtime of a failure; the resupply time of a kit and the cost of holding one; the machine-hours lost that the promise allows, and the accepted chance of losing more.</t>
  </si>
  <si>
    <t>2  Decisions</t>
  </si>
  <si>
    <t>The two cells the Optimizer changes — the replacement age and the spare kits held — with their bounds, the starting plan they are compared with, the goal (the least mean two-year cost) and the limit (the chance of losing more machine-hours than promised).</t>
  </si>
  <si>
    <t>3  Spindles</t>
  </si>
  <si>
    <t>VoseWeibull draws the lives of ten successive bearings on each spindle. In each plan a bearing comes out at the replacement age or when it fails, and the next one starts. Failures, planned replacements, failures that find no kit, the machine-hours lost and the two-year cost are outputs.</t>
  </si>
  <si>
    <t>4  Results</t>
  </si>
  <si>
    <t>Both plans on the same simulated lives: the two-year cost, failures, the chance of running out of kits, the machine-hours lost and the chance of losing more than promised; where the cost goes; the distributions of the cost and of the hours lost.</t>
  </si>
  <si>
    <t>How to use it</t>
  </si>
  <si>
    <t>Step 1</t>
  </si>
  <si>
    <t>Enter your operating hours, the bearing's Weibull life (fitted to your failure records, see MF-03), your costs and your downtime promise on the Inputs sheet.</t>
  </si>
  <si>
    <t>Step 2</t>
  </si>
  <si>
    <t>On the ModelRisk ribbon, open the Optimizer: the task is saved in this workbook. Press Start; each plan it tries is simulated in full, so a run takes a while. When it finishes, apply the best solution: the replacement age and spare kits on the Decisions sheet change.</t>
  </si>
  <si>
    <t>Step 3</t>
  </si>
  <si>
    <t>Run a simulation from the ModelRisk ribbon (10,000 samples with a fixed seed are set) to compare the new plan with the starting plan on the Results sheet.</t>
  </si>
  <si>
    <t>Step 4</t>
  </si>
  <si>
    <t>To watch the search from the beginning, copy the starting plan onto the plan in use first.</t>
  </si>
  <si>
    <t>Workbook map</t>
  </si>
  <si>
    <t>Inputs</t>
  </si>
  <si>
    <t>Hours, bearing life, costs, spare-kit resupply, the downtime promised.</t>
  </si>
  <si>
    <t>Decisions</t>
  </si>
  <si>
    <t>The plan in use, the starting plan, the bounds, the goal and limit, and the Optimizer's last run.</t>
  </si>
  <si>
    <t>Spindles</t>
  </si>
  <si>
    <t>Bearing lives; each plan's renewals, failures and stock-outs; outputs and checks.</t>
  </si>
  <si>
    <t>Results</t>
  </si>
  <si>
    <t>The plan in use against the starting plan; where the cost goes; cost and hours lost.</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</si>
  <si>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</si>
  <si>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</si>
  <si>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</si>
  <si>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</si>
  <si>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</si>
  <si>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</si>
  <si>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</si>
  <si>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</si>
  <si>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</si>
  <si>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</si>
  <si>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</si>
  <si>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</si>
  <si>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</si>
  <si>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</si>
  <si>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Hours</t>
  </si>
  <si>
    <t>Operating hours since this year's shutdown: 6,000 a year, 12,000 in the two years.</t>
  </si>
  <si>
    <t>Money</t>
  </si>
  <si>
    <t>US$ thousand (US$k), not discounted over the two years.</t>
  </si>
  <si>
    <t>Replacement age</t>
  </si>
  <si>
    <t>Each bearing comes out when it reaches this age or when it fails, whichever comes first.</t>
  </si>
  <si>
    <t>Stock-out</t>
  </si>
  <si>
    <t>A failure that finds no spare kit on the shelf. Every kit used by a failure is reordered at once and arrives one resupply time later.</t>
  </si>
  <si>
    <t>Machine-hours lost</t>
  </si>
  <si>
    <t>The hours a failure stops its machine, plus the wait for an expedited kit when none is on the shelf. Planned replacements lose none.</t>
  </si>
  <si>
    <t>Key assumptions and limitations</t>
  </si>
  <si>
    <t>Bearings</t>
  </si>
  <si>
    <t>Lives independent and Weibull; a new bearing is as good as new; all eight start new after the shutdown.</t>
  </si>
  <si>
    <t>Planned work</t>
  </si>
  <si>
    <t>Done in weekend maintenance windows: no lost production; its kits are ordered ahead and never wait.</t>
  </si>
  <si>
    <t>Spare kits</t>
  </si>
  <si>
    <t>One kit reordered for each failure; a failure that finds no kit waits for an expedited one.</t>
  </si>
  <si>
    <t>Two years</t>
  </si>
  <si>
    <t>Only the two years are costed. The cost jumps where one more round of replacements fits into them, and the age of the bearings left in service at the end is not charged.</t>
  </si>
  <si>
    <t>Optimizer</t>
  </si>
  <si>
    <t>Each plan the Optimizer tries is judged on the same 10,000 simulated two-year periods (common random numbers, seed 1) as the simulation on the Results sheet, so plans are compared fairly and the limit the Optimizer met holds on the Results sheet too.</t>
  </si>
  <si>
    <t>Data</t>
  </si>
  <si>
    <t>The shop and all figures are invented for this example.</t>
  </si>
  <si>
    <t>ModelRisk functions used</t>
  </si>
  <si>
    <t>ModelRisk Optimizer</t>
  </si>
  <si>
    <t>Chooses the replacement age and the spare kits: least mean two-year cost, with the chance of losing more machine-hours than promised at most the accepted chance.</t>
  </si>
  <si>
    <t>VoseWeibull</t>
  </si>
  <si>
    <t>The life of each bearing, in operating hours.</t>
  </si>
  <si>
    <t>VoseOutput</t>
  </si>
  <si>
    <t>Failures, planned replacements, stock-outs, machine-hours lost and the cost of both plans, recorded at every sample.</t>
  </si>
  <si>
    <t>VoseSimMean, VoseSimPercentile, VoseSimProbability</t>
  </si>
  <si>
    <t>Statistics of both plans on the Results sheet.</t>
  </si>
  <si>
    <t>Further reading</t>
  </si>
  <si>
    <t>Maintenance</t>
  </si>
  <si>
    <t>Jardine, A. K. S. &amp; Tsang, A. H. C. (2013). Maintenance, Replacement, and Reliability, 2nd edition. CRC Press — age replacement.</t>
  </si>
  <si>
    <t>Spare parts</t>
  </si>
  <si>
    <t>Sherbrooke, C. C. (2004). Optimal Inventory Modeling of Systems, 2nd edition. Kluwer.</t>
  </si>
  <si>
    <t>Companion model</t>
  </si>
  <si>
    <t>MF-08 Spare parts and maintenance strategy: the same shop, with four strategies and zero to three spare kits compared side by side.</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</si>
  <si>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</si>
  <si>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</si>
  <si>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</si>
  <si>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Decisions  ▸</t>
  </si>
  <si>
    <t>How to read this sheet:  yellow cells are inputs.</t>
  </si>
  <si>
    <t>1   The spindles</t>
  </si>
  <si>
    <t>Eight machining centres, all with new spindle bearings after this year's shutdown.</t>
  </si>
  <si>
    <t>Assumption</t>
  </si>
  <si>
    <t>Unit</t>
  </si>
  <si>
    <t>Value in model</t>
  </si>
  <si>
    <t>Uncertainty</t>
  </si>
  <si>
    <t>Basis / source (illustrative)</t>
  </si>
  <si>
    <t>Operating hours a year</t>
  </si>
  <si>
    <t>hours</t>
  </si>
  <si>
    <t>Fixed</t>
  </si>
  <si>
    <t>Two shifts, five days a week.</t>
  </si>
  <si>
    <t>2   Bearing life</t>
  </si>
  <si>
    <t>A Weibull distribution of operating hours to failure.</t>
  </si>
  <si>
    <t>Weibull shape</t>
  </si>
  <si>
    <t>Above 1: the bearings wear out — the older, the likelier to fail.</t>
  </si>
  <si>
    <t>Weibull scale</t>
  </si>
  <si>
    <t>63% of bearings fail by this age; fitted to the shop's records.</t>
  </si>
  <si>
    <t>3   Costs</t>
  </si>
  <si>
    <t>Bearing kit</t>
  </si>
  <si>
    <t>US$k</t>
  </si>
  <si>
    <t>Labour to replace the bearings</t>
  </si>
  <si>
    <t>Planned or not.</t>
  </si>
  <si>
    <t>A failure: damage to the shaft and housing</t>
  </si>
  <si>
    <t>A failure: hours the machine stands</t>
  </si>
  <si>
    <t>Strip, rebuild and test the spindle.</t>
  </si>
  <si>
    <t>Contribution lost per hour a machine stands</t>
  </si>
  <si>
    <t>No kit on the shelf: extra hours waiting</t>
  </si>
  <si>
    <t>For an expedited kit from the maker.</t>
  </si>
  <si>
    <t>4   Spare kits</t>
  </si>
  <si>
    <t>How many to hold is a decision (Decisions sheet).</t>
  </si>
  <si>
    <t>Resupply time of a kit</t>
  </si>
  <si>
    <t>weeks</t>
  </si>
  <si>
    <t>Ordered as soon as a failure uses one.</t>
  </si>
  <si>
    <t>Cost of holding a kit</t>
  </si>
  <si>
    <t>per year</t>
  </si>
  <si>
    <t>Capital, storage and obsolescence.</t>
  </si>
  <si>
    <t>5   Downtime promised</t>
  </si>
  <si>
    <t>The limit the Optimizer must respect.</t>
  </si>
  <si>
    <t>Machine-hours lost that the promise allows</t>
  </si>
  <si>
    <t>In the two years, all eight machines: four failures, or one that waits for a kit.</t>
  </si>
  <si>
    <t>Accepted chance of losing more</t>
  </si>
  <si>
    <t>of futures</t>
  </si>
  <si>
    <t>At most one future in ten may lose more machine-hours than the promise allows.</t>
  </si>
  <si>
    <t>DECISIONS   ·   The cells the ModelRisk Optimizer changes, the plan they are compared with, and what the Optimizer is asked to do.</t>
  </si>
  <si>
    <t>◂  Inputs</t>
  </si>
  <si>
    <t>Next:  Spindles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</si>
  <si>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</si>
  <si>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maintenance plan</t>
  </si>
  <si>
    <t>The Optimizer changes the blue cells. The starting plan is MF-08's cheapest option: replace each bearing at 3,500 hours and hold three spare kits.</t>
  </si>
  <si>
    <t>Plan in use</t>
  </si>
  <si>
    <t>Starting plan</t>
  </si>
  <si>
    <t>Lowest</t>
  </si>
  <si>
    <t>Highest</t>
  </si>
  <si>
    <t>Kind</t>
  </si>
  <si>
    <t>Notes</t>
  </si>
  <si>
    <t>Replacement age of a bearing</t>
  </si>
  <si>
    <t>From a list, steps of 250</t>
  </si>
  <si>
    <t>Each bearing comes out at this age, or when it fails.</t>
  </si>
  <si>
    <t>Spare kits held</t>
  </si>
  <si>
    <t>kits</t>
  </si>
  <si>
    <t>Whole number</t>
  </si>
  <si>
    <t>Kits on the shelf for failures; one is reordered for each failure.</t>
  </si>
  <si>
    <t>2   Goal and limits</t>
  </si>
  <si>
    <t>What the Optimizer is asked to do. It judges every plan it tries by these statistics of a simulation of that plan.</t>
  </si>
  <si>
    <t>Statistic</t>
  </si>
  <si>
    <t>Limit</t>
  </si>
  <si>
    <t>Output cell</t>
  </si>
  <si>
    <t>Minimise:  Two-year cost of the plan in use</t>
  </si>
  <si>
    <t>the mean</t>
  </si>
  <si>
    <t>Spindles!I80</t>
  </si>
  <si>
    <t>Keep:  Chance of losing more than promised  at most</t>
  </si>
  <si>
    <t>the chance (share of futures)  ·  the input Accepted chance of losing more</t>
  </si>
  <si>
    <t>Spindles!H80</t>
  </si>
  <si>
    <t xml:space="preserve">    losing more:  more machine-hours than</t>
  </si>
  <si>
    <t>the input Machine-hours lost that the promise allows</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</si>
  <si>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</si>
  <si>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</si>
  <si>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</si>
  <si>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</si>
  <si>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</si>
  <si>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</si>
  <si>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</si>
  <si>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</si>
  <si>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</si>
  <si>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</si>
  <si>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SPINDLES   ·   Two years of bearing lives on eight spindles, and each plan's replacements, failures, stock-outs, machine-hours lost and cost.</t>
  </si>
  <si>
    <t>◂  Decisions</t>
  </si>
  <si>
    <t>Next:  Results  ▸</t>
  </si>
  <si>
    <t>1   This iteration's single values</t>
  </si>
  <si>
    <t>Quantity</t>
  </si>
  <si>
    <t>Value</t>
  </si>
  <si>
    <t>How it is calculated</t>
  </si>
  <si>
    <t>Operating hours in the two years</t>
  </si>
  <si>
    <t>Two years from this year's shutdown</t>
  </si>
  <si>
    <t>Weeks × operating hours a week, with 50 working weeks a year</t>
  </si>
  <si>
    <t>Cost of a planned replacement</t>
  </si>
  <si>
    <t>Kit + labour, in a weekend window</t>
  </si>
  <si>
    <t>Cost of a failure</t>
  </si>
  <si>
    <t>Kit + labour + damage + hours stopped × contribution per hour</t>
  </si>
  <si>
    <t>Extra cost when a failure finds no kit</t>
  </si>
  <si>
    <t>Hours waiting for an expedited kit × contribution per hour</t>
  </si>
  <si>
    <t>Cost of holding one spare kit for two years</t>
  </si>
  <si>
    <t>Kit price × holding rate × two years</t>
  </si>
  <si>
    <t>2   Bearing lives</t>
  </si>
  <si>
    <t>VoseWeibull: the life of each successive bearing on each spindle, in operating hours. The same lives serve both plans.</t>
  </si>
  <si>
    <t>Spindle</t>
  </si>
  <si>
    <t>1st</t>
  </si>
  <si>
    <t>2nd</t>
  </si>
  <si>
    <t>3rd</t>
  </si>
  <si>
    <t>4th</t>
  </si>
  <si>
    <t>5th</t>
  </si>
  <si>
    <t>6th</t>
  </si>
  <si>
    <t>7th</t>
  </si>
  <si>
    <t>8th</t>
  </si>
  <si>
    <t>9th</t>
  </si>
  <si>
    <t>10th</t>
  </si>
  <si>
    <t>Spindle 1</t>
  </si>
  <si>
    <t>Spindle 2</t>
  </si>
  <si>
    <t>Spindle 3</t>
  </si>
  <si>
    <t>Spindle 4</t>
  </si>
  <si>
    <t>Spindle 5</t>
  </si>
  <si>
    <t>Spindle 6</t>
  </si>
  <si>
    <t>Spindle 7</t>
  </si>
  <si>
    <t>Spindle 8</t>
  </si>
  <si>
    <t>3   Starting plan</t>
  </si>
  <si>
    <t>When each bearing comes out  (hours since the shutdown)</t>
  </si>
  <si>
    <t>Failures</t>
  </si>
  <si>
    <t>Planned</t>
  </si>
  <si>
    <t>All spindles, in the two years</t>
  </si>
  <si>
    <t>Each failure: the failures within one resupply time up to it</t>
  </si>
  <si>
    <t>failures</t>
  </si>
  <si>
    <t>Itself included; – = not a failure in the two years. It finds no kit when this count exceeds the kits held.</t>
  </si>
  <si>
    <t>4   Plan in use</t>
  </si>
  <si>
    <t>5   Outputs</t>
  </si>
  <si>
    <t>Recorded by ModelRisk at every sample (VoseOutput). The goal and the limit on the Decisions sheet read the plan in use.</t>
  </si>
  <si>
    <t>By plan</t>
  </si>
  <si>
    <t>No kit</t>
  </si>
  <si>
    <t>Lost</t>
  </si>
  <si>
    <t>Over*</t>
  </si>
  <si>
    <t>Cost</t>
  </si>
  <si>
    <t>number</t>
  </si>
  <si>
    <t>0 / 1</t>
  </si>
  <si>
    <t>Lost = failures × hours a machine stands + failures that find no kit × extra hours waiting.</t>
  </si>
  <si>
    <t>* Over = 1 when the machine-hours lost exceed what the promise allows (Inputs). Cost = failures, planned replacements, waits for a kit and the spare kits held, each at its cost.</t>
  </si>
  <si>
    <t>6   Model checks</t>
  </si>
  <si>
    <t>Should all read OK. A CHECK means an input has been set outside the range the model is built for.</t>
  </si>
  <si>
    <t>Ten bearings cover the two years on every spindle, in both plans</t>
  </si>
  <si>
    <t>Both plans within the bounds on the Decisions sheet</t>
  </si>
  <si>
    <t>Spare kits held are whole numbers in both plans</t>
  </si>
  <si>
    <t>RESULTS   ·   Filled in automatically from the last simulation. Run a simulation after changing any input.</t>
  </si>
  <si>
    <t>◂  Spindles</t>
  </si>
  <si>
    <t>1   The plan in use against the starting plan</t>
  </si>
  <si>
    <t>Two-year cost — cumulative probability</t>
  </si>
  <si>
    <t>The two plans, and how each performs over the same simulated two years.</t>
  </si>
  <si>
    <t>Change</t>
  </si>
  <si>
    <t>Measure</t>
  </si>
  <si>
    <t>Two-year cost, mean</t>
  </si>
  <si>
    <t>Two-year cost, 90th percentile</t>
  </si>
  <si>
    <t>Failures in service, mean</t>
  </si>
  <si>
    <t>Planned replacements, mean</t>
  </si>
  <si>
    <t>bearings</t>
  </si>
  <si>
    <t>Chance that any failure finds no kit</t>
  </si>
  <si>
    <t>Machine-hours lost, mean</t>
  </si>
  <si>
    <t>Accepted chance of losing more  (the promise)</t>
  </si>
  <si>
    <t>Machine-hours lost: the hours failures stop the machines, plus the waits for a kit; all eight machines, two years.</t>
  </si>
  <si>
    <t>2   Where the two-year cost goes</t>
  </si>
  <si>
    <t>Machine-hours lost in the two years — cumulative probability</t>
  </si>
  <si>
    <t>Mean cost of each part, US$k: what earlier replacement buys and what it costs.</t>
  </si>
  <si>
    <t>Planned replacements</t>
  </si>
  <si>
    <t>Failures in service</t>
  </si>
  <si>
    <t>Waiting for a kit</t>
  </si>
  <si>
    <t>Holding the spare kits</t>
  </si>
  <si>
    <t>Total: the mean two-year cost</t>
  </si>
  <si>
    <t>Each part: its mean number in the two years × its cost (Spindles sheet); holding: kits × the cost of holding one.</t>
  </si>
  <si>
    <t>3   How to read these results</t>
  </si>
  <si>
    <t>•  The starting plan — MF-08's cheapest option, replacing each bearing at 3,500 hours with three spare kits — loses more than 48 machine-hours in about two futures in five: far more often than the one in ten the shop has accepted.</t>
  </si>
  <si>
    <t>•  The Optimizer replaces each bearing much earlier, at 2,250 hours, and keeps the three spare kits. Failures in service fall by about half, so a failure rarely finds the shelf empty: two kits would cost about the same, but three lose less time. The chance of losing more than 48 hours falls to just under one in ten.</t>
  </si>
  <si>
    <t>•  Keeping the promise costs about US$28,000 more over the two years, some 16%: about 38 planned replacements instead of 21 buy about two fewer failures. At 2,500 hours the plan would cost about US$20,000 less, but lose more than 48 hours in about one future in seven.</t>
  </si>
  <si>
    <t>•  The cost does not fall smoothly with the age. Only the two years are costed, so it jumps where one more round of replacements fits into them: a spindle without a failure gets five new bearings at 2,250 hours, four at 2,500. The Optimizer searches the list of ages, so it finds such steps.</t>
  </si>
  <si>
    <t>•  Try 72 hours on the Inputs sheet and run the Optimizer again: it then settles near 3,250 hours with four spare kits, and the cost falls a little below the starting plan's.</t>
  </si>
  <si>
    <t>Chart data</t>
  </si>
  <si>
    <t>Statistics of the last simulation behind the charts and the ranking above. Grouped: click + in the left margin to show them.</t>
  </si>
  <si>
    <t>Cumulative probability</t>
  </si>
  <si>
    <t>Exceedance</t>
  </si>
  <si>
    <t>Out_Cost_Start</t>
  </si>
  <si>
    <t>Out_Cost_Plan</t>
  </si>
  <si>
    <t>Out_Lost_Start</t>
  </si>
  <si>
    <t>Out_Lost_Plan</t>
  </si>
  <si>
    <t>line at HoursCap</t>
  </si>
  <si>
    <t>MROPTREPO/2.0</t>
  </si>
  <si>
    <t>{"format_version":"1.0","model":"Maintenance plan: replacement age and spare kits","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150,"maxTimeSeconds":7200.0,"parameterTolerance":1.0,"toleranceUnit":1,"stagnationTrials":50,"stagnationDeviation":1e-06,"stagnationUnit":0,"stopOnError":false,"stopFormulaEnabled":false,"stopFormulaRef":""},"adj":{"variables":[{"cell":{"sheet":"Decisions","row":10,"col":3},"type":2,"min":2000.0,"max":6000.0,"groupIndex":-1,"label":"Replacement age of a bearing","discreteSet":[],"step":250.0,"minCell":{"sheet":"Decisions","row":10,"col":5},"maxCell":{"sheet":"Decisions","row":10,"col":6}},{"cell":{"sheet":"Decisions","row":11,"col":3},"type":1,"min":0.0,"max":8.0,"groupIndex":-1,"label":"Spare kits held","discreteSet":[],"minCell":{"sheet":"Decisions","row":11,"col":5},"maxCell":{"sheet":"Decisions","row":11,"col":6}}],"groups":[]},"objectives":[{"name":"Two-year cost of the plan in use","cell":{"sheet":"Spindles","row":79,"col":8},"stat":{"kind":0,"param1":0.0,"param2":0.0},"mode":1,"targetValue":0.0}],"constraints":[{"name":"Chance of losing more than promised","cell":{"sheet":"Spindles","row":79,"col":7},"type":0,"softWeight":1.0,"penaltyKind":0,"sixSigma":0,"precision":0.0,"stat":{"kind":23,"param1":0.5,"param2":0.0},"op":0,"rhsA":0.1,"rhsB":0.0,"formulaCellRef":"","evalTime":2,"rhsACell":{"sheet":"Inputs","row":37,"col":3}}],"frontier":{"sweptIndex":-1,"lo":0.0,"hi":0.0,"nPoints":5}}</t>
  </si>
  <si>
    <t>Base scenario</t>
  </si>
  <si>
    <t>trial budget used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</si>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</sst>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0\);&quot;–&quot;_)"/>
    <numFmt numFmtId="165" formatCode="#,##0.0_);\(#,##0.0\);&quot;–&quot;_)"/>
    <numFmt numFmtId="166" formatCode="#,##0.00_);\(#,##0.00\);&quot;–&quot;_)"/>
    <numFmt numFmtId="167" formatCode="#,##0_);\(#,##0\);0_)"/>
    <numFmt numFmtId="168" formatCode="#,##0.0"/>
    <numFmt numFmtId="169" formatCode="0;\-0;&quot;–&quot;"/>
    <numFmt numFmtId="170" formatCode="#,##0_);\(#,##0\);&quot;–&quot;_);&quot;–&quot;"/>
    <numFmt numFmtId="171" formatCode="#,##0_);\(#,##0\);0_);&quot;–&quot;"/>
    <numFmt numFmtId="172" formatCode="#,##0.0_);\(#,##0.0\);&quot;–&quot;_);&quot;–&quot;"/>
    <numFmt numFmtId="173" formatCode="0.0%;\-0.0%;0.0%;&quot;–&quot;"/>
    <numFmt numFmtId="174" formatCode="0.0%"/>
  </numFmts>
  <fonts count="23"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b/>
      <sz val="10"/>
      <color rgb="FF15803D"/>
      <name val="Calibri"/>
      <family val="2"/>
      <charset val="204"/>
    </font>
    <font>
      <b/>
      <sz val="9"/>
      <color rgb="FF15803D"/>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5">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style="thin">
        <color rgb="FF0E4F92"/>
      </left>
      <right style="thin">
        <color rgb="FF0E4F92"/>
      </right>
      <top style="thin">
        <color rgb="FF0E4F92"/>
      </top>
      <bottom style="thin">
        <color rgb="FFE4E9F0"/>
      </bottom>
      <diagonal/>
    </border>
    <border>
      <left/>
      <right/>
      <top/>
      <bottom style="thin">
        <color rgb="FFE4E9F0"/>
      </bottom>
      <diagonal/>
    </border>
    <border>
      <left/>
      <right/>
      <top style="thin">
        <color rgb="FF3F5876"/>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91">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2" fontId="1" fillId="2" borderId="8" xfId="1" applyNumberFormat="1" applyBorder="1">
      <alignment horizontal="right" vertical="center"/>
    </xf>
    <xf numFmtId="165" fontId="1" fillId="2" borderId="8" xfId="1" applyNumberFormat="1" applyBorder="1">
      <alignment horizontal="right" vertical="center"/>
    </xf>
    <xf numFmtId="166" fontId="1" fillId="2" borderId="8" xfId="1" applyNumberFormat="1" applyBorder="1">
      <alignment horizontal="right" vertical="center"/>
    </xf>
    <xf numFmtId="9"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164" fontId="5" fillId="6" borderId="9" xfId="6" applyNumberFormat="1" applyBorder="1">
      <alignment horizontal="right" vertical="center"/>
    </xf>
    <xf numFmtId="167" fontId="5" fillId="6" borderId="9" xfId="6" applyNumberFormat="1" applyBorder="1">
      <alignment horizontal="right" vertical="center"/>
    </xf>
    <xf numFmtId="167" fontId="1" fillId="2" borderId="8" xfId="1" applyNumberFormat="1" applyBorder="1">
      <alignment horizontal="right" vertical="center"/>
    </xf>
    <xf numFmtId="0" fontId="13" fillId="0" borderId="7" xfId="0" applyFont="1" applyBorder="1" applyAlignment="1">
      <alignment horizontal="left" vertical="center" indent="1"/>
    </xf>
    <xf numFmtId="9" fontId="3" fillId="0" borderId="10" xfId="3" applyNumberFormat="1" applyBorder="1">
      <alignment horizontal="right" vertical="center"/>
    </xf>
    <xf numFmtId="164" fontId="3" fillId="0" borderId="10" xfId="3" applyNumberFormat="1" applyBorder="1">
      <alignment horizontal="right" vertical="center"/>
    </xf>
    <xf numFmtId="0" fontId="3" fillId="0" borderId="10" xfId="3" applyBorder="1">
      <alignment horizontal="right" vertical="center"/>
    </xf>
    <xf numFmtId="3" fontId="3" fillId="0" borderId="10" xfId="3" applyNumberFormat="1" applyBorder="1">
      <alignment horizontal="right" vertical="center"/>
    </xf>
    <xf numFmtId="168" fontId="3" fillId="0" borderId="10" xfId="3" applyNumberFormat="1" applyBorder="1">
      <alignment horizontal="right" vertical="center"/>
    </xf>
    <xf numFmtId="4" fontId="3" fillId="0" borderId="10" xfId="3" applyNumberFormat="1" applyBorder="1">
      <alignment horizontal="right" vertical="center"/>
    </xf>
    <xf numFmtId="165" fontId="3" fillId="0" borderId="10" xfId="3" applyNumberFormat="1" applyBorder="1">
      <alignment horizontal="right" vertical="center"/>
    </xf>
    <xf numFmtId="166" fontId="3" fillId="0" borderId="10" xfId="3" applyNumberFormat="1" applyBorder="1">
      <alignment horizontal="right" vertical="center"/>
    </xf>
    <xf numFmtId="164" fontId="2" fillId="3" borderId="8" xfId="2" applyNumberFormat="1" applyBorder="1">
      <alignment horizontal="right" vertical="center"/>
    </xf>
    <xf numFmtId="0" fontId="13" fillId="0" borderId="11" xfId="0" applyFont="1" applyBorder="1" applyAlignment="1">
      <alignment horizontal="left" vertical="center" indent="1"/>
    </xf>
    <xf numFmtId="0" fontId="0" fillId="0" borderId="11" xfId="0" applyBorder="1"/>
    <xf numFmtId="164" fontId="13" fillId="0" borderId="11" xfId="3" applyNumberFormat="1" applyFont="1" applyBorder="1">
      <alignment horizontal="right" vertical="center"/>
    </xf>
    <xf numFmtId="169" fontId="3" fillId="0" borderId="10" xfId="3" applyNumberFormat="1" applyBorder="1">
      <alignment horizontal="right" vertical="center"/>
    </xf>
    <xf numFmtId="0" fontId="14" fillId="0" borderId="0" xfId="0" applyFont="1" applyAlignment="1">
      <alignment horizontal="left" vertical="center" indent="1"/>
    </xf>
    <xf numFmtId="0" fontId="17" fillId="8" borderId="2" xfId="0" applyFont="1" applyFill="1" applyBorder="1" applyAlignment="1">
      <alignment horizontal="right" vertical="center"/>
    </xf>
    <xf numFmtId="0" fontId="19" fillId="8" borderId="5" xfId="0" applyFont="1" applyFill="1" applyBorder="1" applyAlignment="1">
      <alignment horizontal="right" vertical="center"/>
    </xf>
    <xf numFmtId="164" fontId="4" fillId="4" borderId="12" xfId="4" applyNumberFormat="1" applyBorder="1">
      <alignment horizontal="right" vertical="center"/>
    </xf>
    <xf numFmtId="1" fontId="4" fillId="4" borderId="12" xfId="4" applyNumberFormat="1" applyBorder="1">
      <alignment horizontal="right" vertical="center"/>
    </xf>
    <xf numFmtId="165" fontId="4" fillId="4" borderId="12" xfId="4" applyNumberFormat="1" applyBorder="1">
      <alignment horizontal="right" vertical="center"/>
    </xf>
    <xf numFmtId="0" fontId="20" fillId="0" borderId="7" xfId="0" applyFont="1" applyBorder="1" applyAlignment="1">
      <alignment horizontal="center" vertical="center"/>
    </xf>
    <xf numFmtId="0" fontId="5" fillId="5" borderId="13" xfId="0" applyFont="1" applyFill="1" applyBorder="1" applyAlignment="1">
      <alignment horizontal="left" vertical="center" indent="1"/>
    </xf>
    <xf numFmtId="0" fontId="0" fillId="5" borderId="13" xfId="0" applyFill="1" applyBorder="1"/>
    <xf numFmtId="0" fontId="18" fillId="0" borderId="0" xfId="0" applyFont="1" applyAlignment="1">
      <alignment horizontal="left" vertical="center" indent="1"/>
    </xf>
    <xf numFmtId="0" fontId="22" fillId="0" borderId="6" xfId="0" applyFont="1" applyBorder="1"/>
    <xf numFmtId="164" fontId="5" fillId="0" borderId="10" xfId="3" applyNumberFormat="1" applyFont="1" applyBorder="1">
      <alignment horizontal="right" vertical="center"/>
    </xf>
    <xf numFmtId="170" fontId="3" fillId="0" borderId="10" xfId="3" applyNumberFormat="1" applyBorder="1">
      <alignment horizontal="right" vertical="center"/>
    </xf>
    <xf numFmtId="167" fontId="3" fillId="0" borderId="10" xfId="3" applyNumberFormat="1" applyBorder="1">
      <alignment horizontal="right" vertical="center"/>
    </xf>
    <xf numFmtId="167" fontId="5" fillId="0" borderId="10" xfId="3" applyNumberFormat="1" applyFont="1" applyBorder="1">
      <alignment horizontal="right" vertical="center"/>
    </xf>
    <xf numFmtId="171" fontId="3" fillId="0" borderId="10" xfId="3" applyNumberFormat="1" applyBorder="1">
      <alignment horizontal="right" vertical="center"/>
    </xf>
    <xf numFmtId="172" fontId="1" fillId="5" borderId="8" xfId="5" applyNumberFormat="1" applyBorder="1">
      <alignment horizontal="right" vertical="center"/>
    </xf>
    <xf numFmtId="172" fontId="3" fillId="0" borderId="10" xfId="3" applyNumberFormat="1" applyBorder="1">
      <alignment horizontal="right" vertical="center"/>
    </xf>
    <xf numFmtId="0" fontId="21" fillId="0" borderId="7" xfId="0" applyFont="1" applyBorder="1" applyAlignment="1">
      <alignment horizontal="right" vertical="center"/>
    </xf>
    <xf numFmtId="173" fontId="1" fillId="5" borderId="8" xfId="5" applyNumberFormat="1" applyBorder="1">
      <alignment horizontal="right" vertical="center"/>
    </xf>
    <xf numFmtId="173" fontId="3" fillId="0" borderId="10" xfId="3" applyNumberFormat="1" applyBorder="1">
      <alignment horizontal="right" vertical="center"/>
    </xf>
    <xf numFmtId="174" fontId="3" fillId="0" borderId="10" xfId="3" applyNumberFormat="1" applyBorder="1">
      <alignment horizontal="right" vertical="center"/>
    </xf>
    <xf numFmtId="0" fontId="13" fillId="0" borderId="14" xfId="0" applyFont="1" applyBorder="1" applyAlignment="1">
      <alignment horizontal="left" vertical="center" indent="1"/>
    </xf>
    <xf numFmtId="0" fontId="0" fillId="0" borderId="14" xfId="0" applyBorder="1"/>
    <xf numFmtId="172" fontId="13" fillId="0" borderId="14" xfId="3" applyNumberFormat="1" applyFont="1" applyBorder="1">
      <alignment horizontal="right" vertical="center"/>
    </xf>
    <xf numFmtId="172" fontId="3" fillId="0" borderId="14" xfId="3"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49" fontId="0" fillId="0" borderId="0" xfId="0" applyNumberFormat="1"/>
    <xf numFmtId="0" fontId="16" fillId="0" borderId="0" xfId="0" applyFont="1"/>
    <xf numFmtId="0" fontId="0" fillId="0" borderId="0" xfId="0"/>
    <xf numFmtId="0" fontId="3" fillId="0" borderId="0" xfId="0" applyFont="1" applyAlignment="1">
      <alignment horizontal="left" vertical="top" wrapText="1" indent="1"/>
    </xf>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10"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Results!$D$53:$D$102</c:f>
              <c:numCache>
                <c:formatCode>#,##0.00</c:formatCode>
                <c:ptCount val="50"/>
                <c:pt idx="0">
                  <c:v>99.75</c:v>
                </c:pt>
                <c:pt idx="1">
                  <c:v>116.75</c:v>
                </c:pt>
                <c:pt idx="2">
                  <c:v>116.75</c:v>
                </c:pt>
                <c:pt idx="3">
                  <c:v>133.75</c:v>
                </c:pt>
                <c:pt idx="4">
                  <c:v>133.75</c:v>
                </c:pt>
                <c:pt idx="5">
                  <c:v>133.75</c:v>
                </c:pt>
                <c:pt idx="6">
                  <c:v>133.75</c:v>
                </c:pt>
                <c:pt idx="7">
                  <c:v>137.75</c:v>
                </c:pt>
                <c:pt idx="8">
                  <c:v>137.75</c:v>
                </c:pt>
                <c:pt idx="9">
                  <c:v>150.75</c:v>
                </c:pt>
                <c:pt idx="10">
                  <c:v>150.75</c:v>
                </c:pt>
                <c:pt idx="11">
                  <c:v>150.75</c:v>
                </c:pt>
                <c:pt idx="12">
                  <c:v>150.75</c:v>
                </c:pt>
                <c:pt idx="13">
                  <c:v>150.75</c:v>
                </c:pt>
                <c:pt idx="14">
                  <c:v>154.75</c:v>
                </c:pt>
                <c:pt idx="15">
                  <c:v>154.75</c:v>
                </c:pt>
                <c:pt idx="16">
                  <c:v>154.75</c:v>
                </c:pt>
                <c:pt idx="17">
                  <c:v>154.75</c:v>
                </c:pt>
                <c:pt idx="18">
                  <c:v>158.75</c:v>
                </c:pt>
                <c:pt idx="19">
                  <c:v>167.75</c:v>
                </c:pt>
                <c:pt idx="20">
                  <c:v>167.75</c:v>
                </c:pt>
                <c:pt idx="21">
                  <c:v>167.75</c:v>
                </c:pt>
                <c:pt idx="22">
                  <c:v>171.75</c:v>
                </c:pt>
                <c:pt idx="23">
                  <c:v>171.75</c:v>
                </c:pt>
                <c:pt idx="24">
                  <c:v>171.75</c:v>
                </c:pt>
                <c:pt idx="25">
                  <c:v>171.75</c:v>
                </c:pt>
                <c:pt idx="26">
                  <c:v>171.75</c:v>
                </c:pt>
                <c:pt idx="27">
                  <c:v>175.75</c:v>
                </c:pt>
                <c:pt idx="28">
                  <c:v>175.75</c:v>
                </c:pt>
                <c:pt idx="29">
                  <c:v>184.75</c:v>
                </c:pt>
                <c:pt idx="30">
                  <c:v>184.75</c:v>
                </c:pt>
                <c:pt idx="31">
                  <c:v>188.75</c:v>
                </c:pt>
                <c:pt idx="32">
                  <c:v>188.75</c:v>
                </c:pt>
                <c:pt idx="33">
                  <c:v>188.75</c:v>
                </c:pt>
                <c:pt idx="34">
                  <c:v>188.75</c:v>
                </c:pt>
                <c:pt idx="35">
                  <c:v>192.75</c:v>
                </c:pt>
                <c:pt idx="36">
                  <c:v>192.75</c:v>
                </c:pt>
                <c:pt idx="37">
                  <c:v>201.75</c:v>
                </c:pt>
                <c:pt idx="38">
                  <c:v>205.75</c:v>
                </c:pt>
                <c:pt idx="39">
                  <c:v>205.75</c:v>
                </c:pt>
                <c:pt idx="40">
                  <c:v>205.75</c:v>
                </c:pt>
                <c:pt idx="41">
                  <c:v>209.75</c:v>
                </c:pt>
                <c:pt idx="42">
                  <c:v>213.75</c:v>
                </c:pt>
                <c:pt idx="43">
                  <c:v>222.75</c:v>
                </c:pt>
                <c:pt idx="44">
                  <c:v>226.75</c:v>
                </c:pt>
                <c:pt idx="45">
                  <c:v>226.75</c:v>
                </c:pt>
                <c:pt idx="46">
                  <c:v>237.75</c:v>
                </c:pt>
                <c:pt idx="47">
                  <c:v>243.75</c:v>
                </c:pt>
                <c:pt idx="48">
                  <c:v>260.75</c:v>
                </c:pt>
                <c:pt idx="49">
                  <c:v>285.75</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3731-456D-94DA-FACAA80DFFF9}"/>
            </c:ext>
          </c:extLst>
        </c:ser>
        <c:ser>
          <c:idx val="1"/>
          <c:order val="1"/>
          <c:tx>
            <c:v>Plan in use</c:v>
          </c:tx>
          <c:spPr>
            <a:ln w="25400">
              <a:solidFill>
                <a:srgbClr val="B45309"/>
              </a:solidFill>
              <a:prstDash val="dash"/>
            </a:ln>
          </c:spPr>
          <c:marker>
            <c:symbol val="none"/>
          </c:marker>
          <c:xVal>
            <c:numRef>
              <c:f>Results!$E$53:$E$102</c:f>
              <c:numCache>
                <c:formatCode>#,##0.00</c:formatCode>
                <c:ptCount val="50"/>
                <c:pt idx="0">
                  <c:v>163.75</c:v>
                </c:pt>
                <c:pt idx="1">
                  <c:v>163.75</c:v>
                </c:pt>
                <c:pt idx="2">
                  <c:v>163.75</c:v>
                </c:pt>
                <c:pt idx="3">
                  <c:v>163.75</c:v>
                </c:pt>
                <c:pt idx="4">
                  <c:v>163.75</c:v>
                </c:pt>
                <c:pt idx="5">
                  <c:v>180.75</c:v>
                </c:pt>
                <c:pt idx="6">
                  <c:v>180.75</c:v>
                </c:pt>
                <c:pt idx="7">
                  <c:v>180.75</c:v>
                </c:pt>
                <c:pt idx="8">
                  <c:v>180.75</c:v>
                </c:pt>
                <c:pt idx="9">
                  <c:v>180.75</c:v>
                </c:pt>
                <c:pt idx="10">
                  <c:v>180.75</c:v>
                </c:pt>
                <c:pt idx="11">
                  <c:v>180.75</c:v>
                </c:pt>
                <c:pt idx="12">
                  <c:v>180.75</c:v>
                </c:pt>
                <c:pt idx="13">
                  <c:v>180.75</c:v>
                </c:pt>
                <c:pt idx="14">
                  <c:v>180.75</c:v>
                </c:pt>
                <c:pt idx="15">
                  <c:v>184.75</c:v>
                </c:pt>
                <c:pt idx="16">
                  <c:v>197.75</c:v>
                </c:pt>
                <c:pt idx="17">
                  <c:v>197.75</c:v>
                </c:pt>
                <c:pt idx="18">
                  <c:v>197.75</c:v>
                </c:pt>
                <c:pt idx="19">
                  <c:v>197.75</c:v>
                </c:pt>
                <c:pt idx="20">
                  <c:v>197.75</c:v>
                </c:pt>
                <c:pt idx="21">
                  <c:v>197.75</c:v>
                </c:pt>
                <c:pt idx="22">
                  <c:v>197.75</c:v>
                </c:pt>
                <c:pt idx="23">
                  <c:v>197.75</c:v>
                </c:pt>
                <c:pt idx="24">
                  <c:v>197.75</c:v>
                </c:pt>
                <c:pt idx="25">
                  <c:v>197.75</c:v>
                </c:pt>
                <c:pt idx="26">
                  <c:v>201.75</c:v>
                </c:pt>
                <c:pt idx="27">
                  <c:v>201.75</c:v>
                </c:pt>
                <c:pt idx="28">
                  <c:v>201.75</c:v>
                </c:pt>
                <c:pt idx="29">
                  <c:v>214.75</c:v>
                </c:pt>
                <c:pt idx="30">
                  <c:v>214.75</c:v>
                </c:pt>
                <c:pt idx="31">
                  <c:v>214.75</c:v>
                </c:pt>
                <c:pt idx="32">
                  <c:v>214.75</c:v>
                </c:pt>
                <c:pt idx="33">
                  <c:v>214.75</c:v>
                </c:pt>
                <c:pt idx="34">
                  <c:v>214.75</c:v>
                </c:pt>
                <c:pt idx="35">
                  <c:v>214.75</c:v>
                </c:pt>
                <c:pt idx="36">
                  <c:v>218.75</c:v>
                </c:pt>
                <c:pt idx="37">
                  <c:v>218.75</c:v>
                </c:pt>
                <c:pt idx="38">
                  <c:v>218.75</c:v>
                </c:pt>
                <c:pt idx="39">
                  <c:v>231.75</c:v>
                </c:pt>
                <c:pt idx="40">
                  <c:v>231.75</c:v>
                </c:pt>
                <c:pt idx="41">
                  <c:v>231.75</c:v>
                </c:pt>
                <c:pt idx="42">
                  <c:v>231.75</c:v>
                </c:pt>
                <c:pt idx="43">
                  <c:v>235.75</c:v>
                </c:pt>
                <c:pt idx="44">
                  <c:v>235.75</c:v>
                </c:pt>
                <c:pt idx="45">
                  <c:v>239.75</c:v>
                </c:pt>
                <c:pt idx="46">
                  <c:v>248.75</c:v>
                </c:pt>
                <c:pt idx="47">
                  <c:v>252.75</c:v>
                </c:pt>
                <c:pt idx="48">
                  <c:v>265.75</c:v>
                </c:pt>
                <c:pt idx="49">
                  <c:v>282.75</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3731-456D-94DA-FACAA80DFFF9}"/>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US$k</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Results!$F$53:$F$102</c:f>
              <c:numCache>
                <c:formatCode>#,##0.00</c:formatCode>
                <c:ptCount val="50"/>
                <c:pt idx="0">
                  <c:v>0</c:v>
                </c:pt>
                <c:pt idx="1">
                  <c:v>12</c:v>
                </c:pt>
                <c:pt idx="2">
                  <c:v>12</c:v>
                </c:pt>
                <c:pt idx="3">
                  <c:v>24</c:v>
                </c:pt>
                <c:pt idx="4">
                  <c:v>24</c:v>
                </c:pt>
                <c:pt idx="5">
                  <c:v>24</c:v>
                </c:pt>
                <c:pt idx="6">
                  <c:v>24</c:v>
                </c:pt>
                <c:pt idx="7">
                  <c:v>24</c:v>
                </c:pt>
                <c:pt idx="8">
                  <c:v>24</c:v>
                </c:pt>
                <c:pt idx="9">
                  <c:v>36</c:v>
                </c:pt>
                <c:pt idx="10">
                  <c:v>36</c:v>
                </c:pt>
                <c:pt idx="11">
                  <c:v>36</c:v>
                </c:pt>
                <c:pt idx="12">
                  <c:v>36</c:v>
                </c:pt>
                <c:pt idx="13">
                  <c:v>36</c:v>
                </c:pt>
                <c:pt idx="14">
                  <c:v>36</c:v>
                </c:pt>
                <c:pt idx="15">
                  <c:v>36</c:v>
                </c:pt>
                <c:pt idx="16">
                  <c:v>36</c:v>
                </c:pt>
                <c:pt idx="17">
                  <c:v>36</c:v>
                </c:pt>
                <c:pt idx="18">
                  <c:v>36</c:v>
                </c:pt>
                <c:pt idx="19">
                  <c:v>48</c:v>
                </c:pt>
                <c:pt idx="20">
                  <c:v>48</c:v>
                </c:pt>
                <c:pt idx="21">
                  <c:v>48</c:v>
                </c:pt>
                <c:pt idx="22">
                  <c:v>48</c:v>
                </c:pt>
                <c:pt idx="23">
                  <c:v>48</c:v>
                </c:pt>
                <c:pt idx="24">
                  <c:v>48</c:v>
                </c:pt>
                <c:pt idx="25">
                  <c:v>48</c:v>
                </c:pt>
                <c:pt idx="26">
                  <c:v>48</c:v>
                </c:pt>
                <c:pt idx="27">
                  <c:v>48</c:v>
                </c:pt>
                <c:pt idx="28">
                  <c:v>48</c:v>
                </c:pt>
                <c:pt idx="29">
                  <c:v>60</c:v>
                </c:pt>
                <c:pt idx="30">
                  <c:v>60</c:v>
                </c:pt>
                <c:pt idx="31">
                  <c:v>60</c:v>
                </c:pt>
                <c:pt idx="32">
                  <c:v>60</c:v>
                </c:pt>
                <c:pt idx="33">
                  <c:v>60</c:v>
                </c:pt>
                <c:pt idx="34">
                  <c:v>60</c:v>
                </c:pt>
                <c:pt idx="35">
                  <c:v>60</c:v>
                </c:pt>
                <c:pt idx="36">
                  <c:v>60</c:v>
                </c:pt>
                <c:pt idx="37">
                  <c:v>72</c:v>
                </c:pt>
                <c:pt idx="38">
                  <c:v>72</c:v>
                </c:pt>
                <c:pt idx="39">
                  <c:v>72</c:v>
                </c:pt>
                <c:pt idx="40">
                  <c:v>72</c:v>
                </c:pt>
                <c:pt idx="41">
                  <c:v>72</c:v>
                </c:pt>
                <c:pt idx="42">
                  <c:v>72</c:v>
                </c:pt>
                <c:pt idx="43">
                  <c:v>84</c:v>
                </c:pt>
                <c:pt idx="44">
                  <c:v>84</c:v>
                </c:pt>
                <c:pt idx="45">
                  <c:v>84</c:v>
                </c:pt>
                <c:pt idx="46">
                  <c:v>96</c:v>
                </c:pt>
                <c:pt idx="47">
                  <c:v>96</c:v>
                </c:pt>
                <c:pt idx="48">
                  <c:v>108</c:v>
                </c:pt>
                <c:pt idx="49">
                  <c:v>132</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9DCB-4ECA-A39C-E902D4988159}"/>
            </c:ext>
          </c:extLst>
        </c:ser>
        <c:ser>
          <c:idx val="1"/>
          <c:order val="1"/>
          <c:tx>
            <c:v>Plan in use</c:v>
          </c:tx>
          <c:spPr>
            <a:ln w="25400">
              <a:solidFill>
                <a:srgbClr val="B45309"/>
              </a:solidFill>
              <a:prstDash val="dash"/>
            </a:ln>
          </c:spPr>
          <c:marker>
            <c:symbol val="none"/>
          </c:marker>
          <c:xVal>
            <c:numRef>
              <c:f>Results!$G$53:$G$102</c:f>
              <c:numCache>
                <c:formatCode>#,##0.00</c:formatCode>
                <c:ptCount val="50"/>
                <c:pt idx="0">
                  <c:v>0</c:v>
                </c:pt>
                <c:pt idx="1">
                  <c:v>0</c:v>
                </c:pt>
                <c:pt idx="2">
                  <c:v>0</c:v>
                </c:pt>
                <c:pt idx="3">
                  <c:v>0</c:v>
                </c:pt>
                <c:pt idx="4">
                  <c:v>0</c:v>
                </c:pt>
                <c:pt idx="5">
                  <c:v>12</c:v>
                </c:pt>
                <c:pt idx="6">
                  <c:v>12</c:v>
                </c:pt>
                <c:pt idx="7">
                  <c:v>12</c:v>
                </c:pt>
                <c:pt idx="8">
                  <c:v>12</c:v>
                </c:pt>
                <c:pt idx="9">
                  <c:v>12</c:v>
                </c:pt>
                <c:pt idx="10">
                  <c:v>12</c:v>
                </c:pt>
                <c:pt idx="11">
                  <c:v>12</c:v>
                </c:pt>
                <c:pt idx="12">
                  <c:v>12</c:v>
                </c:pt>
                <c:pt idx="13">
                  <c:v>12</c:v>
                </c:pt>
                <c:pt idx="14">
                  <c:v>12</c:v>
                </c:pt>
                <c:pt idx="15">
                  <c:v>12</c:v>
                </c:pt>
                <c:pt idx="16">
                  <c:v>24</c:v>
                </c:pt>
                <c:pt idx="17">
                  <c:v>24</c:v>
                </c:pt>
                <c:pt idx="18">
                  <c:v>24</c:v>
                </c:pt>
                <c:pt idx="19">
                  <c:v>24</c:v>
                </c:pt>
                <c:pt idx="20">
                  <c:v>24</c:v>
                </c:pt>
                <c:pt idx="21">
                  <c:v>24</c:v>
                </c:pt>
                <c:pt idx="22">
                  <c:v>24</c:v>
                </c:pt>
                <c:pt idx="23">
                  <c:v>24</c:v>
                </c:pt>
                <c:pt idx="24">
                  <c:v>24</c:v>
                </c:pt>
                <c:pt idx="25">
                  <c:v>24</c:v>
                </c:pt>
                <c:pt idx="26">
                  <c:v>24</c:v>
                </c:pt>
                <c:pt idx="27">
                  <c:v>24</c:v>
                </c:pt>
                <c:pt idx="28">
                  <c:v>24</c:v>
                </c:pt>
                <c:pt idx="29">
                  <c:v>36</c:v>
                </c:pt>
                <c:pt idx="30">
                  <c:v>36</c:v>
                </c:pt>
                <c:pt idx="31">
                  <c:v>36</c:v>
                </c:pt>
                <c:pt idx="32">
                  <c:v>36</c:v>
                </c:pt>
                <c:pt idx="33">
                  <c:v>36</c:v>
                </c:pt>
                <c:pt idx="34">
                  <c:v>36</c:v>
                </c:pt>
                <c:pt idx="35">
                  <c:v>36</c:v>
                </c:pt>
                <c:pt idx="36">
                  <c:v>36</c:v>
                </c:pt>
                <c:pt idx="37">
                  <c:v>36</c:v>
                </c:pt>
                <c:pt idx="38">
                  <c:v>36</c:v>
                </c:pt>
                <c:pt idx="39">
                  <c:v>48</c:v>
                </c:pt>
                <c:pt idx="40">
                  <c:v>48</c:v>
                </c:pt>
                <c:pt idx="41">
                  <c:v>48</c:v>
                </c:pt>
                <c:pt idx="42">
                  <c:v>48</c:v>
                </c:pt>
                <c:pt idx="43">
                  <c:v>48</c:v>
                </c:pt>
                <c:pt idx="44">
                  <c:v>48</c:v>
                </c:pt>
                <c:pt idx="45">
                  <c:v>48</c:v>
                </c:pt>
                <c:pt idx="46">
                  <c:v>60</c:v>
                </c:pt>
                <c:pt idx="47">
                  <c:v>60</c:v>
                </c:pt>
                <c:pt idx="48">
                  <c:v>72</c:v>
                </c:pt>
                <c:pt idx="49">
                  <c:v>84</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9DCB-4ECA-A39C-E902D4988159}"/>
            </c:ext>
          </c:extLst>
        </c:ser>
        <c:ser>
          <c:idx val="2"/>
          <c:order val="2"/>
          <c:tx>
            <c:v>Hours the promise allows</c:v>
          </c:tx>
          <c:spPr>
            <a:ln w="19050">
              <a:solidFill>
                <a:srgbClr val="B91C1C"/>
              </a:solidFill>
              <a:prstDash val="sysDash"/>
            </a:ln>
          </c:spPr>
          <c:marker>
            <c:symbol val="none"/>
          </c:marker>
          <c:xVal>
            <c:numRef>
              <c:f>Results!$H$53:$H$102</c:f>
              <c:numCache>
                <c:formatCode>#,##0.00</c:formatCode>
                <c:ptCount val="50"/>
                <c:pt idx="0">
                  <c:v>48</c:v>
                </c:pt>
                <c:pt idx="1">
                  <c:v>48</c:v>
                </c:pt>
                <c:pt idx="2">
                  <c:v>48</c:v>
                </c:pt>
                <c:pt idx="3">
                  <c:v>48</c:v>
                </c:pt>
                <c:pt idx="4">
                  <c:v>48</c:v>
                </c:pt>
                <c:pt idx="5">
                  <c:v>48</c:v>
                </c:pt>
                <c:pt idx="6">
                  <c:v>48</c:v>
                </c:pt>
                <c:pt idx="7">
                  <c:v>48</c:v>
                </c:pt>
                <c:pt idx="8">
                  <c:v>48</c:v>
                </c:pt>
                <c:pt idx="9">
                  <c:v>48</c:v>
                </c:pt>
                <c:pt idx="10">
                  <c:v>48</c:v>
                </c:pt>
                <c:pt idx="11">
                  <c:v>48</c:v>
                </c:pt>
                <c:pt idx="12">
                  <c:v>48</c:v>
                </c:pt>
                <c:pt idx="13">
                  <c:v>48</c:v>
                </c:pt>
                <c:pt idx="14">
                  <c:v>48</c:v>
                </c:pt>
                <c:pt idx="15">
                  <c:v>48</c:v>
                </c:pt>
                <c:pt idx="16">
                  <c:v>48</c:v>
                </c:pt>
                <c:pt idx="17">
                  <c:v>48</c:v>
                </c:pt>
                <c:pt idx="18">
                  <c:v>48</c:v>
                </c:pt>
                <c:pt idx="19">
                  <c:v>48</c:v>
                </c:pt>
                <c:pt idx="20">
                  <c:v>48</c:v>
                </c:pt>
                <c:pt idx="21">
                  <c:v>48</c:v>
                </c:pt>
                <c:pt idx="22">
                  <c:v>48</c:v>
                </c:pt>
                <c:pt idx="23">
                  <c:v>48</c:v>
                </c:pt>
                <c:pt idx="24">
                  <c:v>48</c:v>
                </c:pt>
                <c:pt idx="25">
                  <c:v>48</c:v>
                </c:pt>
                <c:pt idx="26">
                  <c:v>48</c:v>
                </c:pt>
                <c:pt idx="27">
                  <c:v>48</c:v>
                </c:pt>
                <c:pt idx="28">
                  <c:v>48</c:v>
                </c:pt>
                <c:pt idx="29">
                  <c:v>48</c:v>
                </c:pt>
                <c:pt idx="30">
                  <c:v>48</c:v>
                </c:pt>
                <c:pt idx="31">
                  <c:v>48</c:v>
                </c:pt>
                <c:pt idx="32">
                  <c:v>48</c:v>
                </c:pt>
                <c:pt idx="33">
                  <c:v>48</c:v>
                </c:pt>
                <c:pt idx="34">
                  <c:v>48</c:v>
                </c:pt>
                <c:pt idx="35">
                  <c:v>48</c:v>
                </c:pt>
                <c:pt idx="36">
                  <c:v>48</c:v>
                </c:pt>
                <c:pt idx="37">
                  <c:v>48</c:v>
                </c:pt>
                <c:pt idx="38">
                  <c:v>48</c:v>
                </c:pt>
                <c:pt idx="39">
                  <c:v>48</c:v>
                </c:pt>
                <c:pt idx="40">
                  <c:v>48</c:v>
                </c:pt>
                <c:pt idx="41">
                  <c:v>48</c:v>
                </c:pt>
                <c:pt idx="42">
                  <c:v>48</c:v>
                </c:pt>
                <c:pt idx="43">
                  <c:v>48</c:v>
                </c:pt>
                <c:pt idx="44">
                  <c:v>48</c:v>
                </c:pt>
                <c:pt idx="45">
                  <c:v>48</c:v>
                </c:pt>
                <c:pt idx="46">
                  <c:v>48</c:v>
                </c:pt>
                <c:pt idx="47">
                  <c:v>48</c:v>
                </c:pt>
                <c:pt idx="48">
                  <c:v>48</c:v>
                </c:pt>
                <c:pt idx="49">
                  <c:v>48</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9DCB-4ECA-A39C-E902D4988159}"/>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machine-hours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26</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9"/>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85" t="s">
        <v>20</v>
      </c>
      <c r="C16" s="8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ht="26.25" x14ac:dyDescent="0.45">
      <c r="B34" s="9" t="s">
        <v>32</v>
      </c>
      <c r="C34" s="10" t="s">
        <v>33</v>
      </c>
    </row>
    <row r="35" spans="2:3" ht="26.25" x14ac:dyDescent="0.45">
      <c r="B35" s="9" t="s">
        <v>34</v>
      </c>
      <c r="C35" s="10" t="s">
        <v>35</v>
      </c>
    </row>
    <row r="36" spans="2:3" ht="26.25"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x14ac:dyDescent="0.45">
      <c r="B51" s="20"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x14ac:dyDescent="0.45">
      <c r="B61" s="9" t="s">
        <v>74</v>
      </c>
      <c r="C61" s="10" t="s">
        <v>75</v>
      </c>
    </row>
    <row r="62" spans="2:3" x14ac:dyDescent="0.45">
      <c r="B62" s="9" t="s">
        <v>76</v>
      </c>
      <c r="C62" s="10" t="s">
        <v>77</v>
      </c>
    </row>
    <row r="63" spans="2:3" x14ac:dyDescent="0.45">
      <c r="B63" s="9" t="s">
        <v>78</v>
      </c>
      <c r="C63" s="10" t="s">
        <v>79</v>
      </c>
    </row>
    <row r="64" spans="2:3" ht="26.25" x14ac:dyDescent="0.45">
      <c r="B64" s="9" t="s">
        <v>80</v>
      </c>
      <c r="C64" s="10" t="s">
        <v>81</v>
      </c>
    </row>
    <row r="65" spans="2:3" ht="26.25" x14ac:dyDescent="0.45">
      <c r="B65" s="9" t="s">
        <v>82</v>
      </c>
      <c r="C65" s="10" t="s">
        <v>83</v>
      </c>
    </row>
    <row r="66" spans="2:3" x14ac:dyDescent="0.45">
      <c r="B66" s="9" t="s">
        <v>84</v>
      </c>
      <c r="C66" s="10" t="s">
        <v>85</v>
      </c>
    </row>
    <row r="67" spans="2:3" ht="12" customHeight="1" x14ac:dyDescent="0.45"/>
    <row r="68" spans="2:3" ht="22.05" customHeight="1" x14ac:dyDescent="0.5">
      <c r="B68" s="7" t="s">
        <v>86</v>
      </c>
      <c r="C68" s="8"/>
    </row>
    <row r="69" spans="2:3" ht="26.25" x14ac:dyDescent="0.45">
      <c r="B69" s="21" t="s">
        <v>87</v>
      </c>
      <c r="C69" s="10" t="s">
        <v>88</v>
      </c>
    </row>
    <row r="70" spans="2:3" x14ac:dyDescent="0.45">
      <c r="B70" s="21" t="s">
        <v>89</v>
      </c>
      <c r="C70" s="10" t="s">
        <v>90</v>
      </c>
    </row>
    <row r="71" spans="2:3" x14ac:dyDescent="0.45">
      <c r="B71" s="21" t="s">
        <v>91</v>
      </c>
      <c r="C71" s="10" t="s">
        <v>92</v>
      </c>
    </row>
    <row r="72" spans="2:3" ht="39.4" x14ac:dyDescent="0.45">
      <c r="B72" s="21" t="s">
        <v>93</v>
      </c>
      <c r="C72" s="10" t="s">
        <v>94</v>
      </c>
    </row>
    <row r="73" spans="2:3" ht="12" customHeight="1" x14ac:dyDescent="0.45"/>
    <row r="74" spans="2:3" ht="22.05" customHeight="1" x14ac:dyDescent="0.5">
      <c r="B74" s="7" t="s">
        <v>95</v>
      </c>
      <c r="C74" s="8"/>
    </row>
    <row r="75" spans="2:3" x14ac:dyDescent="0.45">
      <c r="B75" s="9" t="s">
        <v>96</v>
      </c>
      <c r="C75" s="10" t="s">
        <v>97</v>
      </c>
    </row>
    <row r="76" spans="2:3" x14ac:dyDescent="0.45">
      <c r="B76" s="9" t="s">
        <v>98</v>
      </c>
      <c r="C76" s="10" t="s">
        <v>99</v>
      </c>
    </row>
    <row r="77" spans="2:3" x14ac:dyDescent="0.45">
      <c r="B77" s="9" t="s">
        <v>100</v>
      </c>
      <c r="C77" s="10" t="s">
        <v>101</v>
      </c>
    </row>
    <row r="78" spans="2:3" ht="16.05" customHeight="1" x14ac:dyDescent="0.45"/>
    <row r="79" spans="2:3" x14ac:dyDescent="0.45">
      <c r="B79" s="83" t="s">
        <v>102</v>
      </c>
      <c r="C79" s="84"/>
    </row>
  </sheetData>
  <mergeCells count="2">
    <mergeCell ref="B79:C79"/>
    <mergeCell ref="B16:C16"/>
  </mergeCells>
  <hyperlinks>
    <hyperlink ref="D4" location="'Inputs'!A1" display="Next:  Inputs  ▸" xr:uid="{00000000-0004-0000-0000-000000000000}"/>
    <hyperlink ref="B40" location="'Inputs'!A1" display="Inputs" xr:uid="{00000000-0004-0000-0000-000001000000}"/>
    <hyperlink ref="B41" location="'Decisions'!A1" display="Decisions" xr:uid="{00000000-0004-0000-0000-000002000000}"/>
    <hyperlink ref="B42" location="'Spindles'!A1" display="Spindles" xr:uid="{00000000-0004-0000-0000-000003000000}"/>
    <hyperlink ref="B43" location="'Results'!A1" display="Results" xr:uid="{00000000-0004-0000-0000-000004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9"/>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103</v>
      </c>
      <c r="C3" s="1"/>
      <c r="D3" s="1"/>
      <c r="E3" s="1"/>
      <c r="F3" s="1"/>
      <c r="G3" s="1"/>
      <c r="H3" s="1"/>
      <c r="I3" s="1"/>
      <c r="J3" s="1"/>
    </row>
    <row r="4" spans="1:10" ht="20" customHeight="1" x14ac:dyDescent="0.45">
      <c r="A4" s="5"/>
      <c r="B4" s="23" t="s">
        <v>104</v>
      </c>
      <c r="C4" s="5"/>
      <c r="D4" s="5"/>
      <c r="E4" s="5"/>
      <c r="F4" s="5"/>
      <c r="G4" s="5"/>
      <c r="H4" s="5"/>
      <c r="I4" s="5"/>
      <c r="J4" s="6" t="s">
        <v>105</v>
      </c>
    </row>
    <row r="5" spans="1:10" ht="8" customHeight="1" x14ac:dyDescent="0.45"/>
    <row r="6" spans="1:10" ht="20" customHeight="1" x14ac:dyDescent="0.45">
      <c r="B6" s="86" t="s">
        <v>106</v>
      </c>
      <c r="C6" s="84"/>
      <c r="D6" s="84"/>
      <c r="E6" s="84"/>
      <c r="F6" s="84"/>
      <c r="G6" s="84"/>
      <c r="H6" s="84"/>
      <c r="I6" s="84"/>
      <c r="J6" s="84"/>
    </row>
    <row r="7" spans="1:10" ht="6" customHeight="1" x14ac:dyDescent="0.45"/>
    <row r="8" spans="1:10" ht="22.05" customHeight="1" x14ac:dyDescent="0.5">
      <c r="B8" s="7" t="s">
        <v>107</v>
      </c>
      <c r="C8" s="8"/>
      <c r="D8" s="8"/>
      <c r="E8" s="8"/>
      <c r="F8" s="8"/>
      <c r="G8" s="8"/>
      <c r="H8" s="8"/>
      <c r="I8" s="8"/>
      <c r="J8" s="8"/>
    </row>
    <row r="9" spans="1:10" ht="18" customHeight="1" x14ac:dyDescent="0.45">
      <c r="B9" s="13" t="s">
        <v>108</v>
      </c>
    </row>
    <row r="10" spans="1:10" ht="18" customHeight="1" x14ac:dyDescent="0.45">
      <c r="B10" s="24" t="s">
        <v>109</v>
      </c>
      <c r="C10" s="24" t="s">
        <v>110</v>
      </c>
      <c r="D10" s="25" t="s">
        <v>111</v>
      </c>
      <c r="E10" s="24" t="s">
        <v>112</v>
      </c>
      <c r="F10" s="5"/>
      <c r="G10" s="5"/>
      <c r="H10" s="5"/>
      <c r="I10" s="5"/>
      <c r="J10" s="24" t="s">
        <v>113</v>
      </c>
    </row>
    <row r="11" spans="1:10" x14ac:dyDescent="0.45">
      <c r="B11" s="26" t="s">
        <v>114</v>
      </c>
      <c r="C11" s="27" t="s">
        <v>115</v>
      </c>
      <c r="D11" s="28">
        <v>6000</v>
      </c>
      <c r="E11" s="27" t="s">
        <v>116</v>
      </c>
      <c r="F11" s="29"/>
      <c r="G11" s="29"/>
      <c r="H11" s="29"/>
      <c r="I11" s="29"/>
      <c r="J11" s="30" t="s">
        <v>117</v>
      </c>
    </row>
    <row r="12" spans="1:10" ht="8" customHeight="1" x14ac:dyDescent="0.45"/>
    <row r="13" spans="1:10" ht="22.05" customHeight="1" x14ac:dyDescent="0.5">
      <c r="B13" s="7" t="s">
        <v>118</v>
      </c>
      <c r="C13" s="8"/>
      <c r="D13" s="8"/>
      <c r="E13" s="8"/>
      <c r="F13" s="8"/>
      <c r="G13" s="8"/>
      <c r="H13" s="8"/>
      <c r="I13" s="8"/>
      <c r="J13" s="8"/>
    </row>
    <row r="14" spans="1:10" ht="18" customHeight="1" x14ac:dyDescent="0.45">
      <c r="B14" s="13" t="s">
        <v>119</v>
      </c>
    </row>
    <row r="15" spans="1:10" ht="18" customHeight="1" x14ac:dyDescent="0.45">
      <c r="B15" s="24" t="s">
        <v>109</v>
      </c>
      <c r="C15" s="24" t="s">
        <v>110</v>
      </c>
      <c r="D15" s="25" t="s">
        <v>111</v>
      </c>
      <c r="E15" s="24" t="s">
        <v>112</v>
      </c>
      <c r="F15" s="5"/>
      <c r="G15" s="5"/>
      <c r="H15" s="5"/>
      <c r="I15" s="5"/>
      <c r="J15" s="24" t="s">
        <v>113</v>
      </c>
    </row>
    <row r="16" spans="1:10" x14ac:dyDescent="0.45">
      <c r="B16" s="26" t="s">
        <v>120</v>
      </c>
      <c r="C16" s="27"/>
      <c r="D16" s="31">
        <v>2.5</v>
      </c>
      <c r="E16" s="27" t="s">
        <v>116</v>
      </c>
      <c r="F16" s="29"/>
      <c r="G16" s="29"/>
      <c r="H16" s="29"/>
      <c r="I16" s="29"/>
      <c r="J16" s="30" t="s">
        <v>121</v>
      </c>
    </row>
    <row r="17" spans="2:10" x14ac:dyDescent="0.45">
      <c r="B17" s="26" t="s">
        <v>122</v>
      </c>
      <c r="C17" s="27" t="s">
        <v>115</v>
      </c>
      <c r="D17" s="28">
        <v>7000</v>
      </c>
      <c r="E17" s="27" t="s">
        <v>116</v>
      </c>
      <c r="F17" s="29"/>
      <c r="G17" s="29"/>
      <c r="H17" s="29"/>
      <c r="I17" s="29"/>
      <c r="J17" s="30" t="s">
        <v>123</v>
      </c>
    </row>
    <row r="18" spans="2:10" ht="8" customHeight="1" x14ac:dyDescent="0.45"/>
    <row r="19" spans="2:10" ht="22.05" customHeight="1" x14ac:dyDescent="0.5">
      <c r="B19" s="7" t="s">
        <v>124</v>
      </c>
      <c r="C19" s="8"/>
      <c r="D19" s="8"/>
      <c r="E19" s="8"/>
      <c r="F19" s="8"/>
      <c r="G19" s="8"/>
      <c r="H19" s="8"/>
      <c r="I19" s="8"/>
      <c r="J19" s="8"/>
    </row>
    <row r="20" spans="2:10" ht="18" customHeight="1" x14ac:dyDescent="0.45">
      <c r="B20" s="24" t="s">
        <v>109</v>
      </c>
      <c r="C20" s="24" t="s">
        <v>110</v>
      </c>
      <c r="D20" s="25" t="s">
        <v>111</v>
      </c>
      <c r="E20" s="24" t="s">
        <v>112</v>
      </c>
      <c r="F20" s="5"/>
      <c r="G20" s="5"/>
      <c r="H20" s="5"/>
      <c r="I20" s="5"/>
      <c r="J20" s="24" t="s">
        <v>113</v>
      </c>
    </row>
    <row r="21" spans="2:10" x14ac:dyDescent="0.45">
      <c r="B21" s="26" t="s">
        <v>125</v>
      </c>
      <c r="C21" s="27" t="s">
        <v>126</v>
      </c>
      <c r="D21" s="32">
        <v>2.5</v>
      </c>
      <c r="E21" s="27" t="s">
        <v>116</v>
      </c>
      <c r="F21" s="29"/>
      <c r="G21" s="29"/>
      <c r="H21" s="29"/>
      <c r="I21" s="29"/>
      <c r="J21" s="30"/>
    </row>
    <row r="22" spans="2:10" x14ac:dyDescent="0.45">
      <c r="B22" s="26" t="s">
        <v>127</v>
      </c>
      <c r="C22" s="27" t="s">
        <v>126</v>
      </c>
      <c r="D22" s="32">
        <v>1.5</v>
      </c>
      <c r="E22" s="27" t="s">
        <v>116</v>
      </c>
      <c r="F22" s="29"/>
      <c r="G22" s="29"/>
      <c r="H22" s="29"/>
      <c r="I22" s="29"/>
      <c r="J22" s="30" t="s">
        <v>128</v>
      </c>
    </row>
    <row r="23" spans="2:10" x14ac:dyDescent="0.45">
      <c r="B23" s="26" t="s">
        <v>129</v>
      </c>
      <c r="C23" s="27" t="s">
        <v>126</v>
      </c>
      <c r="D23" s="32">
        <v>5</v>
      </c>
      <c r="E23" s="27" t="s">
        <v>116</v>
      </c>
      <c r="F23" s="29"/>
      <c r="G23" s="29"/>
      <c r="H23" s="29"/>
      <c r="I23" s="29"/>
      <c r="J23" s="30"/>
    </row>
    <row r="24" spans="2:10" x14ac:dyDescent="0.45">
      <c r="B24" s="26" t="s">
        <v>130</v>
      </c>
      <c r="C24" s="27" t="s">
        <v>115</v>
      </c>
      <c r="D24" s="28">
        <v>12</v>
      </c>
      <c r="E24" s="27" t="s">
        <v>116</v>
      </c>
      <c r="F24" s="29"/>
      <c r="G24" s="29"/>
      <c r="H24" s="29"/>
      <c r="I24" s="29"/>
      <c r="J24" s="30" t="s">
        <v>131</v>
      </c>
    </row>
    <row r="25" spans="2:10" x14ac:dyDescent="0.45">
      <c r="B25" s="26" t="s">
        <v>132</v>
      </c>
      <c r="C25" s="27" t="s">
        <v>126</v>
      </c>
      <c r="D25" s="33">
        <v>1</v>
      </c>
      <c r="E25" s="27" t="s">
        <v>116</v>
      </c>
      <c r="F25" s="29"/>
      <c r="G25" s="29"/>
      <c r="H25" s="29"/>
      <c r="I25" s="29"/>
      <c r="J25" s="30"/>
    </row>
    <row r="26" spans="2:10" x14ac:dyDescent="0.45">
      <c r="B26" s="26" t="s">
        <v>133</v>
      </c>
      <c r="C26" s="27" t="s">
        <v>115</v>
      </c>
      <c r="D26" s="28">
        <v>36</v>
      </c>
      <c r="E26" s="27" t="s">
        <v>116</v>
      </c>
      <c r="F26" s="29"/>
      <c r="G26" s="29"/>
      <c r="H26" s="29"/>
      <c r="I26" s="29"/>
      <c r="J26" s="30" t="s">
        <v>134</v>
      </c>
    </row>
    <row r="27" spans="2:10" ht="8" customHeight="1" x14ac:dyDescent="0.45"/>
    <row r="28" spans="2:10" ht="22.05" customHeight="1" x14ac:dyDescent="0.5">
      <c r="B28" s="7" t="s">
        <v>135</v>
      </c>
      <c r="C28" s="8"/>
      <c r="D28" s="8"/>
      <c r="E28" s="8"/>
      <c r="F28" s="8"/>
      <c r="G28" s="8"/>
      <c r="H28" s="8"/>
      <c r="I28" s="8"/>
      <c r="J28" s="8"/>
    </row>
    <row r="29" spans="2:10" ht="18" customHeight="1" x14ac:dyDescent="0.45">
      <c r="B29" s="13" t="s">
        <v>136</v>
      </c>
    </row>
    <row r="30" spans="2:10" ht="18" customHeight="1" x14ac:dyDescent="0.45">
      <c r="B30" s="24" t="s">
        <v>109</v>
      </c>
      <c r="C30" s="24" t="s">
        <v>110</v>
      </c>
      <c r="D30" s="25" t="s">
        <v>111</v>
      </c>
      <c r="E30" s="24" t="s">
        <v>112</v>
      </c>
      <c r="F30" s="5"/>
      <c r="G30" s="5"/>
      <c r="H30" s="5"/>
      <c r="I30" s="5"/>
      <c r="J30" s="24" t="s">
        <v>113</v>
      </c>
    </row>
    <row r="31" spans="2:10" x14ac:dyDescent="0.45">
      <c r="B31" s="26" t="s">
        <v>137</v>
      </c>
      <c r="C31" s="27" t="s">
        <v>138</v>
      </c>
      <c r="D31" s="28">
        <v>8</v>
      </c>
      <c r="E31" s="27" t="s">
        <v>116</v>
      </c>
      <c r="F31" s="29"/>
      <c r="G31" s="29"/>
      <c r="H31" s="29"/>
      <c r="I31" s="29"/>
      <c r="J31" s="30" t="s">
        <v>139</v>
      </c>
    </row>
    <row r="32" spans="2:10" x14ac:dyDescent="0.45">
      <c r="B32" s="26" t="s">
        <v>140</v>
      </c>
      <c r="C32" s="27" t="s">
        <v>141</v>
      </c>
      <c r="D32" s="34">
        <v>0.25</v>
      </c>
      <c r="E32" s="27" t="s">
        <v>116</v>
      </c>
      <c r="F32" s="29"/>
      <c r="G32" s="29"/>
      <c r="H32" s="29"/>
      <c r="I32" s="29"/>
      <c r="J32" s="30" t="s">
        <v>142</v>
      </c>
    </row>
    <row r="33" spans="2:10" ht="8" customHeight="1" x14ac:dyDescent="0.45"/>
    <row r="34" spans="2:10" ht="22.05" customHeight="1" x14ac:dyDescent="0.5">
      <c r="B34" s="7" t="s">
        <v>143</v>
      </c>
      <c r="C34" s="8"/>
      <c r="D34" s="8"/>
      <c r="E34" s="8"/>
      <c r="F34" s="8"/>
      <c r="G34" s="8"/>
      <c r="H34" s="8"/>
      <c r="I34" s="8"/>
      <c r="J34" s="8"/>
    </row>
    <row r="35" spans="2:10" ht="18" customHeight="1" x14ac:dyDescent="0.45">
      <c r="B35" s="13" t="s">
        <v>144</v>
      </c>
    </row>
    <row r="36" spans="2:10" ht="18" customHeight="1" x14ac:dyDescent="0.45">
      <c r="B36" s="24" t="s">
        <v>109</v>
      </c>
      <c r="C36" s="24" t="s">
        <v>110</v>
      </c>
      <c r="D36" s="25" t="s">
        <v>111</v>
      </c>
      <c r="E36" s="24" t="s">
        <v>112</v>
      </c>
      <c r="F36" s="5"/>
      <c r="G36" s="5"/>
      <c r="H36" s="5"/>
      <c r="I36" s="5"/>
      <c r="J36" s="24" t="s">
        <v>113</v>
      </c>
    </row>
    <row r="37" spans="2:10" x14ac:dyDescent="0.45">
      <c r="B37" s="26" t="s">
        <v>145</v>
      </c>
      <c r="C37" s="27" t="s">
        <v>115</v>
      </c>
      <c r="D37" s="28">
        <v>48</v>
      </c>
      <c r="E37" s="27" t="s">
        <v>116</v>
      </c>
      <c r="F37" s="29"/>
      <c r="G37" s="29"/>
      <c r="H37" s="29"/>
      <c r="I37" s="29"/>
      <c r="J37" s="30" t="s">
        <v>146</v>
      </c>
    </row>
    <row r="38" spans="2:10" x14ac:dyDescent="0.45">
      <c r="B38" s="26" t="s">
        <v>147</v>
      </c>
      <c r="C38" s="27" t="s">
        <v>148</v>
      </c>
      <c r="D38" s="34">
        <v>0.1</v>
      </c>
      <c r="E38" s="27" t="s">
        <v>116</v>
      </c>
      <c r="F38" s="29"/>
      <c r="G38" s="29"/>
      <c r="H38" s="29"/>
      <c r="I38" s="29"/>
      <c r="J38" s="30" t="s">
        <v>149</v>
      </c>
    </row>
    <row r="39" spans="2:10" ht="8" customHeight="1" x14ac:dyDescent="0.45"/>
  </sheetData>
  <mergeCells count="1">
    <mergeCell ref="B6:J6"/>
  </mergeCells>
  <dataValidations count="3">
    <dataValidation type="decimal" operator="greaterThan" showErrorMessage="1" errorTitle="Positive value" error="Enter a value greater than zero." sqref="D11 D31 D16:D17" xr:uid="{00000000-0002-0000-0100-000000000000}">
      <formula1>0</formula1>
    </dataValidation>
    <dataValidation type="decimal" showErrorMessage="1" errorTitle="Value" error="Enter a value of zero or more." sqref="D37 D21:D26" xr:uid="{00000000-0002-0000-0100-000003000000}">
      <formula1>0</formula1>
      <formula2>1000000000000</formula2>
    </dataValidation>
    <dataValidation type="decimal" showErrorMessage="1" errorTitle="Probability" error="Enter a value between 0% and 100%." sqref="D32 D38" xr:uid="{00000000-0002-0000-0100-00000A000000}">
      <formula1>0</formula1>
      <formula2>1</formula2>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31"/>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22"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150</v>
      </c>
      <c r="C3" s="1"/>
      <c r="D3" s="1"/>
      <c r="E3" s="1"/>
      <c r="F3" s="1"/>
      <c r="G3" s="1"/>
      <c r="H3" s="1"/>
      <c r="I3" s="1"/>
    </row>
    <row r="4" spans="1:9" ht="20" customHeight="1" x14ac:dyDescent="0.45">
      <c r="A4" s="5"/>
      <c r="B4" s="23" t="s">
        <v>151</v>
      </c>
      <c r="C4" s="5"/>
      <c r="D4" s="5"/>
      <c r="E4" s="5"/>
      <c r="F4" s="5"/>
      <c r="G4" s="5"/>
      <c r="H4" s="5"/>
      <c r="I4" s="6" t="s">
        <v>152</v>
      </c>
    </row>
    <row r="5" spans="1:9" ht="8" customHeight="1" x14ac:dyDescent="0.45"/>
    <row r="6" spans="1:9" ht="30" customHeight="1" x14ac:dyDescent="0.45">
      <c r="B6" s="86" t="s">
        <v>153</v>
      </c>
      <c r="C6" s="84"/>
      <c r="D6" s="84"/>
      <c r="E6" s="84"/>
      <c r="F6" s="84"/>
      <c r="G6" s="84"/>
      <c r="H6" s="84"/>
      <c r="I6" s="84"/>
    </row>
    <row r="7" spans="1:9" ht="6" customHeight="1" x14ac:dyDescent="0.45"/>
    <row r="8" spans="1:9" ht="22.05" customHeight="1" x14ac:dyDescent="0.5">
      <c r="B8" s="7" t="s">
        <v>154</v>
      </c>
      <c r="C8" s="8"/>
      <c r="D8" s="8"/>
      <c r="E8" s="8"/>
      <c r="F8" s="8"/>
      <c r="G8" s="8"/>
      <c r="H8" s="8"/>
      <c r="I8" s="8"/>
    </row>
    <row r="9" spans="1:9" ht="18" customHeight="1" x14ac:dyDescent="0.45">
      <c r="B9" s="13" t="s">
        <v>155</v>
      </c>
    </row>
    <row r="10" spans="1:9" ht="18" customHeight="1" x14ac:dyDescent="0.45">
      <c r="B10" s="35" t="s">
        <v>54</v>
      </c>
      <c r="C10" s="35" t="s">
        <v>110</v>
      </c>
      <c r="D10" s="36" t="s">
        <v>156</v>
      </c>
      <c r="E10" s="36" t="s">
        <v>157</v>
      </c>
      <c r="F10" s="36" t="s">
        <v>158</v>
      </c>
      <c r="G10" s="36" t="s">
        <v>159</v>
      </c>
      <c r="H10" s="35" t="s">
        <v>160</v>
      </c>
      <c r="I10" s="35" t="s">
        <v>161</v>
      </c>
    </row>
    <row r="11" spans="1:9" x14ac:dyDescent="0.45">
      <c r="B11" s="26" t="s">
        <v>162</v>
      </c>
      <c r="C11" s="27" t="s">
        <v>115</v>
      </c>
      <c r="D11" s="37">
        <v>2250</v>
      </c>
      <c r="E11" s="28">
        <v>3500</v>
      </c>
      <c r="F11" s="28">
        <v>2000</v>
      </c>
      <c r="G11" s="28">
        <v>6000</v>
      </c>
      <c r="H11" s="27" t="s">
        <v>163</v>
      </c>
      <c r="I11" s="27" t="s">
        <v>164</v>
      </c>
    </row>
    <row r="12" spans="1:9" x14ac:dyDescent="0.45">
      <c r="B12" s="26" t="s">
        <v>165</v>
      </c>
      <c r="C12" s="27" t="s">
        <v>166</v>
      </c>
      <c r="D12" s="38">
        <v>3</v>
      </c>
      <c r="E12" s="39">
        <v>3</v>
      </c>
      <c r="F12" s="39">
        <v>0</v>
      </c>
      <c r="G12" s="39">
        <v>8</v>
      </c>
      <c r="H12" s="27" t="s">
        <v>167</v>
      </c>
      <c r="I12" s="27" t="s">
        <v>168</v>
      </c>
    </row>
    <row r="13" spans="1:9" ht="8" customHeight="1" x14ac:dyDescent="0.45"/>
    <row r="14" spans="1:9" ht="22.05" customHeight="1" x14ac:dyDescent="0.5">
      <c r="B14" s="7" t="s">
        <v>169</v>
      </c>
      <c r="C14" s="8"/>
      <c r="D14" s="8"/>
      <c r="E14" s="8"/>
      <c r="F14" s="8"/>
      <c r="G14" s="8"/>
      <c r="H14" s="8"/>
      <c r="I14" s="8"/>
    </row>
    <row r="15" spans="1:9" ht="18" customHeight="1" x14ac:dyDescent="0.45">
      <c r="B15" s="13" t="s">
        <v>170</v>
      </c>
    </row>
    <row r="16" spans="1:9" ht="18" customHeight="1" x14ac:dyDescent="0.45">
      <c r="B16" s="35"/>
      <c r="C16" s="35" t="s">
        <v>171</v>
      </c>
      <c r="D16" s="5"/>
      <c r="E16" s="5"/>
      <c r="F16" s="5"/>
      <c r="G16" s="36" t="s">
        <v>172</v>
      </c>
      <c r="H16" s="5"/>
      <c r="I16" s="35" t="s">
        <v>173</v>
      </c>
    </row>
    <row r="17" spans="2:9" x14ac:dyDescent="0.45">
      <c r="B17" s="40" t="s">
        <v>174</v>
      </c>
      <c r="C17" s="87" t="s">
        <v>175</v>
      </c>
      <c r="D17" s="88"/>
      <c r="E17" s="88"/>
      <c r="F17" s="88"/>
      <c r="G17" s="29"/>
      <c r="H17" s="29"/>
      <c r="I17" s="27" t="s">
        <v>176</v>
      </c>
    </row>
    <row r="18" spans="2:9" x14ac:dyDescent="0.45">
      <c r="B18" s="26" t="s">
        <v>177</v>
      </c>
      <c r="C18" s="87" t="s">
        <v>178</v>
      </c>
      <c r="D18" s="88"/>
      <c r="E18" s="88"/>
      <c r="F18" s="88"/>
      <c r="G18" s="41">
        <f>RiskMax</f>
        <v>0.1</v>
      </c>
      <c r="H18" s="29"/>
      <c r="I18" s="27" t="s">
        <v>179</v>
      </c>
    </row>
    <row r="19" spans="2:9" x14ac:dyDescent="0.45">
      <c r="B19" s="26" t="s">
        <v>180</v>
      </c>
      <c r="C19" s="87" t="s">
        <v>181</v>
      </c>
      <c r="D19" s="88"/>
      <c r="E19" s="88"/>
      <c r="F19" s="88"/>
      <c r="G19" s="42">
        <f>HoursCap</f>
        <v>48</v>
      </c>
      <c r="H19" s="29"/>
      <c r="I19" s="29"/>
    </row>
    <row r="20" spans="2:9" ht="8" customHeight="1" x14ac:dyDescent="0.45"/>
    <row r="21" spans="2:9" ht="22.05" customHeight="1" x14ac:dyDescent="0.5">
      <c r="B21" s="7" t="s">
        <v>182</v>
      </c>
      <c r="C21" s="8"/>
      <c r="D21" s="8"/>
      <c r="E21" s="8"/>
      <c r="F21" s="8"/>
      <c r="G21" s="8"/>
      <c r="H21" s="8"/>
      <c r="I21" s="8"/>
    </row>
    <row r="22" spans="2:9" ht="18" customHeight="1" x14ac:dyDescent="0.45">
      <c r="B22" s="13" t="s">
        <v>183</v>
      </c>
    </row>
    <row r="23" spans="2:9" x14ac:dyDescent="0.45">
      <c r="B23" s="26" t="s">
        <v>184</v>
      </c>
      <c r="C23" s="29"/>
      <c r="D23" s="89" t="s">
        <v>302</v>
      </c>
      <c r="E23" s="29"/>
      <c r="F23" s="29"/>
      <c r="G23" s="29"/>
      <c r="H23" s="29"/>
      <c r="I23" s="29"/>
    </row>
    <row r="24" spans="2:9" x14ac:dyDescent="0.45">
      <c r="B24" s="26" t="s">
        <v>185</v>
      </c>
      <c r="C24" s="29"/>
      <c r="D24" s="43" t="s">
        <v>301</v>
      </c>
      <c r="E24" s="29"/>
      <c r="F24" s="29"/>
      <c r="G24" s="29"/>
      <c r="H24" s="29"/>
      <c r="I24" s="29"/>
    </row>
    <row r="25" spans="2:9" x14ac:dyDescent="0.45">
      <c r="B25" s="26" t="s">
        <v>186</v>
      </c>
      <c r="C25" s="29"/>
      <c r="D25" s="44">
        <v>150</v>
      </c>
      <c r="E25" s="29"/>
      <c r="F25" s="29"/>
      <c r="G25" s="29"/>
      <c r="H25" s="29"/>
      <c r="I25" s="29"/>
    </row>
    <row r="26" spans="2:9" x14ac:dyDescent="0.45">
      <c r="B26" s="26" t="s">
        <v>187</v>
      </c>
      <c r="C26" s="29"/>
      <c r="D26" s="44">
        <v>10000</v>
      </c>
      <c r="E26" s="29"/>
      <c r="F26" s="29"/>
      <c r="G26" s="29"/>
      <c r="H26" s="29"/>
      <c r="I26" s="29"/>
    </row>
    <row r="27" spans="2:9" x14ac:dyDescent="0.45">
      <c r="B27" s="26" t="s">
        <v>188</v>
      </c>
      <c r="C27" s="29"/>
      <c r="D27" s="45">
        <v>47.8</v>
      </c>
      <c r="E27" s="29"/>
      <c r="F27" s="29"/>
      <c r="G27" s="29"/>
      <c r="H27" s="29"/>
      <c r="I27" s="29"/>
    </row>
    <row r="28" spans="2:9" x14ac:dyDescent="0.45">
      <c r="B28" s="26" t="s">
        <v>189</v>
      </c>
      <c r="C28" s="29"/>
      <c r="D28" s="43" t="s">
        <v>299</v>
      </c>
      <c r="E28" s="29"/>
      <c r="F28" s="29"/>
      <c r="G28" s="29"/>
      <c r="H28" s="29"/>
      <c r="I28" s="29"/>
    </row>
    <row r="29" spans="2:9" x14ac:dyDescent="0.45">
      <c r="B29" s="26" t="s">
        <v>190</v>
      </c>
      <c r="C29" s="29"/>
      <c r="D29" s="43" t="s">
        <v>300</v>
      </c>
      <c r="E29" s="29"/>
      <c r="F29" s="29"/>
      <c r="G29" s="29"/>
      <c r="H29" s="29"/>
      <c r="I29" s="29"/>
    </row>
    <row r="30" spans="2:9" x14ac:dyDescent="0.45">
      <c r="B30" s="26" t="s">
        <v>191</v>
      </c>
      <c r="C30" s="29"/>
      <c r="D30" s="46">
        <v>205.35579999999999</v>
      </c>
      <c r="E30" s="29"/>
      <c r="F30" s="29"/>
      <c r="G30" s="29"/>
      <c r="H30" s="29"/>
      <c r="I30" s="29"/>
    </row>
    <row r="31" spans="2:9" ht="14" customHeight="1" x14ac:dyDescent="0.45"/>
  </sheetData>
  <mergeCells count="4">
    <mergeCell ref="C19:F19"/>
    <mergeCell ref="B6:I6"/>
    <mergeCell ref="C18:F18"/>
    <mergeCell ref="C17:F17"/>
  </mergeCells>
  <dataValidations count="2">
    <dataValidation type="decimal" showErrorMessage="1" errorTitle="Decision" error="Enter a value from 2000 to 6000." sqref="D11:E11" xr:uid="{00000000-0002-0000-0200-000000000000}">
      <formula1>2000</formula1>
      <formula2>6000</formula2>
    </dataValidation>
    <dataValidation type="whole" showErrorMessage="1" errorTitle="Decision" error="Enter a whole number from 0 to 8." sqref="D12:E12" xr:uid="{00000000-0002-0000-0200-000001000000}">
      <formula1>0</formula1>
      <formula2>8</formula2>
    </dataValidation>
  </dataValidations>
  <hyperlinks>
    <hyperlink ref="B4" location="'Inputs'!A1" display="◂  Inputs" xr:uid="{00000000-0004-0000-0200-000000000000}"/>
    <hyperlink ref="I4" location="'Spindles'!A1" display="Next:  Spindles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O89"/>
  <sheetViews>
    <sheetView showGridLines="0" workbookViewId="0"/>
  </sheetViews>
  <sheetFormatPr defaultRowHeight="14.25" x14ac:dyDescent="0.45"/>
  <cols>
    <col min="1" max="1" width="2" customWidth="1"/>
    <col min="2" max="2" width="44" customWidth="1"/>
    <col min="3" max="3" width="10" customWidth="1"/>
    <col min="4" max="13" width="8.19921875" customWidth="1"/>
    <col min="14" max="15" width="9" customWidth="1"/>
  </cols>
  <sheetData>
    <row r="1" spans="1:15" ht="6" customHeight="1" x14ac:dyDescent="0.45"/>
    <row r="2" spans="1:15" ht="30" customHeight="1" x14ac:dyDescent="0.45">
      <c r="A2" s="1"/>
      <c r="B2" s="22" t="s">
        <v>0</v>
      </c>
      <c r="C2" s="1"/>
      <c r="D2" s="1"/>
      <c r="E2" s="1"/>
      <c r="F2" s="1"/>
      <c r="G2" s="1"/>
      <c r="H2" s="1"/>
      <c r="I2" s="1"/>
      <c r="J2" s="1"/>
      <c r="K2" s="1"/>
      <c r="L2" s="1"/>
      <c r="M2" s="1"/>
      <c r="N2" s="1"/>
      <c r="O2" s="3" t="s">
        <v>1</v>
      </c>
    </row>
    <row r="3" spans="1:15" ht="20" customHeight="1" x14ac:dyDescent="0.45">
      <c r="A3" s="1"/>
      <c r="B3" s="4" t="s">
        <v>192</v>
      </c>
      <c r="C3" s="1"/>
      <c r="D3" s="1"/>
      <c r="E3" s="1"/>
      <c r="F3" s="1"/>
      <c r="G3" s="1"/>
      <c r="H3" s="1"/>
      <c r="I3" s="1"/>
      <c r="J3" s="1"/>
      <c r="K3" s="1"/>
      <c r="L3" s="1"/>
      <c r="M3" s="1"/>
      <c r="N3" s="1"/>
      <c r="O3" s="1"/>
    </row>
    <row r="4" spans="1:15" ht="20" customHeight="1" x14ac:dyDescent="0.45">
      <c r="A4" s="5"/>
      <c r="B4" s="23" t="s">
        <v>193</v>
      </c>
      <c r="C4" s="5"/>
      <c r="D4" s="5"/>
      <c r="E4" s="5"/>
      <c r="F4" s="5"/>
      <c r="G4" s="5"/>
      <c r="H4" s="5"/>
      <c r="I4" s="5"/>
      <c r="J4" s="5"/>
      <c r="K4" s="5"/>
      <c r="L4" s="5"/>
      <c r="M4" s="5"/>
      <c r="N4" s="5"/>
      <c r="O4" s="6" t="s">
        <v>194</v>
      </c>
    </row>
    <row r="5" spans="1:15" ht="8" customHeight="1" x14ac:dyDescent="0.45"/>
    <row r="6" spans="1:15" ht="22.05" customHeight="1" x14ac:dyDescent="0.5">
      <c r="B6" s="7" t="s">
        <v>195</v>
      </c>
      <c r="C6" s="8"/>
      <c r="D6" s="8"/>
      <c r="E6" s="8"/>
      <c r="F6" s="8"/>
      <c r="G6" s="8"/>
      <c r="H6" s="8"/>
      <c r="I6" s="8"/>
      <c r="J6" s="8"/>
      <c r="K6" s="8"/>
      <c r="L6" s="8"/>
      <c r="M6" s="8"/>
      <c r="N6" s="8"/>
      <c r="O6" s="8"/>
    </row>
    <row r="7" spans="1:15" ht="18" customHeight="1" x14ac:dyDescent="0.45">
      <c r="B7" s="35" t="s">
        <v>196</v>
      </c>
      <c r="C7" s="35" t="s">
        <v>110</v>
      </c>
      <c r="D7" s="36" t="s">
        <v>197</v>
      </c>
      <c r="E7" s="5"/>
      <c r="F7" s="35" t="s">
        <v>198</v>
      </c>
      <c r="G7" s="5"/>
      <c r="H7" s="5"/>
      <c r="I7" s="5"/>
      <c r="J7" s="5"/>
      <c r="K7" s="5"/>
      <c r="L7" s="5"/>
      <c r="M7" s="5"/>
      <c r="N7" s="5"/>
      <c r="O7" s="5"/>
    </row>
    <row r="8" spans="1:15" x14ac:dyDescent="0.45">
      <c r="B8" s="26" t="s">
        <v>199</v>
      </c>
      <c r="C8" s="27" t="s">
        <v>115</v>
      </c>
      <c r="D8" s="42">
        <f>2*HoursYear</f>
        <v>12000</v>
      </c>
      <c r="E8" s="29"/>
      <c r="F8" s="27" t="s">
        <v>200</v>
      </c>
      <c r="G8" s="29"/>
      <c r="H8" s="29"/>
      <c r="I8" s="29"/>
      <c r="J8" s="29"/>
      <c r="K8" s="29"/>
      <c r="L8" s="29"/>
      <c r="M8" s="29"/>
      <c r="N8" s="29"/>
      <c r="O8" s="29"/>
    </row>
    <row r="9" spans="1:15" x14ac:dyDescent="0.45">
      <c r="B9" s="26" t="s">
        <v>137</v>
      </c>
      <c r="C9" s="27" t="s">
        <v>115</v>
      </c>
      <c r="D9" s="42">
        <f>LeadWeeks*HoursYear/50</f>
        <v>960</v>
      </c>
      <c r="E9" s="29"/>
      <c r="F9" s="27" t="s">
        <v>201</v>
      </c>
      <c r="G9" s="29"/>
      <c r="H9" s="29"/>
      <c r="I9" s="29"/>
      <c r="J9" s="29"/>
      <c r="K9" s="29"/>
      <c r="L9" s="29"/>
      <c r="M9" s="29"/>
      <c r="N9" s="29"/>
      <c r="O9" s="29"/>
    </row>
    <row r="10" spans="1:15" x14ac:dyDescent="0.45">
      <c r="B10" s="26" t="s">
        <v>202</v>
      </c>
      <c r="C10" s="27" t="s">
        <v>126</v>
      </c>
      <c r="D10" s="47">
        <f>KitPrice+Labour</f>
        <v>4</v>
      </c>
      <c r="E10" s="29"/>
      <c r="F10" s="27" t="s">
        <v>203</v>
      </c>
      <c r="G10" s="29"/>
      <c r="H10" s="29"/>
      <c r="I10" s="29"/>
      <c r="J10" s="29"/>
      <c r="K10" s="29"/>
      <c r="L10" s="29"/>
      <c r="M10" s="29"/>
      <c r="N10" s="29"/>
      <c r="O10" s="29"/>
    </row>
    <row r="11" spans="1:15" x14ac:dyDescent="0.45">
      <c r="B11" s="26" t="s">
        <v>204</v>
      </c>
      <c r="C11" s="27" t="s">
        <v>126</v>
      </c>
      <c r="D11" s="47">
        <f>KitPrice+Labour+Damage+DownFail*DownCost</f>
        <v>21</v>
      </c>
      <c r="E11" s="29"/>
      <c r="F11" s="27" t="s">
        <v>205</v>
      </c>
      <c r="G11" s="29"/>
      <c r="H11" s="29"/>
      <c r="I11" s="29"/>
      <c r="J11" s="29"/>
      <c r="K11" s="29"/>
      <c r="L11" s="29"/>
      <c r="M11" s="29"/>
      <c r="N11" s="29"/>
      <c r="O11" s="29"/>
    </row>
    <row r="12" spans="1:15" x14ac:dyDescent="0.45">
      <c r="B12" s="26" t="s">
        <v>206</v>
      </c>
      <c r="C12" s="27" t="s">
        <v>126</v>
      </c>
      <c r="D12" s="47">
        <f>WaitHours*DownCost</f>
        <v>36</v>
      </c>
      <c r="E12" s="29"/>
      <c r="F12" s="27" t="s">
        <v>207</v>
      </c>
      <c r="G12" s="29"/>
      <c r="H12" s="29"/>
      <c r="I12" s="29"/>
      <c r="J12" s="29"/>
      <c r="K12" s="29"/>
      <c r="L12" s="29"/>
      <c r="M12" s="29"/>
      <c r="N12" s="29"/>
      <c r="O12" s="29"/>
    </row>
    <row r="13" spans="1:15" x14ac:dyDescent="0.45">
      <c r="B13" s="26" t="s">
        <v>208</v>
      </c>
      <c r="C13" s="27" t="s">
        <v>126</v>
      </c>
      <c r="D13" s="48">
        <f>KitPrice*HoldRate*2</f>
        <v>1.25</v>
      </c>
      <c r="E13" s="29"/>
      <c r="F13" s="27" t="s">
        <v>209</v>
      </c>
      <c r="G13" s="29"/>
      <c r="H13" s="29"/>
      <c r="I13" s="29"/>
      <c r="J13" s="29"/>
      <c r="K13" s="29"/>
      <c r="L13" s="29"/>
      <c r="M13" s="29"/>
      <c r="N13" s="29"/>
      <c r="O13" s="29"/>
    </row>
    <row r="14" spans="1:15" ht="8" customHeight="1" x14ac:dyDescent="0.45"/>
    <row r="15" spans="1:15" ht="22.05" customHeight="1" x14ac:dyDescent="0.5">
      <c r="B15" s="7" t="s">
        <v>210</v>
      </c>
      <c r="C15" s="8"/>
      <c r="D15" s="8"/>
      <c r="E15" s="8"/>
      <c r="F15" s="8"/>
      <c r="G15" s="8"/>
      <c r="H15" s="8"/>
      <c r="I15" s="8"/>
      <c r="J15" s="8"/>
      <c r="K15" s="8"/>
      <c r="L15" s="8"/>
      <c r="M15" s="8"/>
      <c r="N15" s="8"/>
      <c r="O15" s="8"/>
    </row>
    <row r="16" spans="1:15" ht="18" customHeight="1" x14ac:dyDescent="0.45">
      <c r="B16" s="13" t="s">
        <v>211</v>
      </c>
    </row>
    <row r="17" spans="2:15" ht="18" customHeight="1" x14ac:dyDescent="0.45">
      <c r="B17" s="35" t="s">
        <v>212</v>
      </c>
      <c r="C17" s="5"/>
      <c r="D17" s="36" t="s">
        <v>213</v>
      </c>
      <c r="E17" s="36" t="s">
        <v>214</v>
      </c>
      <c r="F17" s="36" t="s">
        <v>215</v>
      </c>
      <c r="G17" s="36" t="s">
        <v>216</v>
      </c>
      <c r="H17" s="36" t="s">
        <v>217</v>
      </c>
      <c r="I17" s="36" t="s">
        <v>218</v>
      </c>
      <c r="J17" s="36" t="s">
        <v>219</v>
      </c>
      <c r="K17" s="36" t="s">
        <v>220</v>
      </c>
      <c r="L17" s="36" t="s">
        <v>221</v>
      </c>
      <c r="M17" s="36" t="s">
        <v>222</v>
      </c>
      <c r="N17" s="5"/>
      <c r="O17" s="5"/>
    </row>
    <row r="18" spans="2:15" x14ac:dyDescent="0.45">
      <c r="B18" s="26" t="s">
        <v>223</v>
      </c>
      <c r="C18" s="27" t="s">
        <v>115</v>
      </c>
      <c r="D18" s="49" cm="1">
        <f t="array" aca="1" ref="D18" ca="1">_xll.VoseWeibull(Shape,Scale)</f>
        <v>4007.2935628476407</v>
      </c>
      <c r="E18" s="49" cm="1">
        <f t="array" aca="1" ref="E18" ca="1">_xll.VoseWeibull(Shape,Scale)</f>
        <v>2594.1296291225394</v>
      </c>
      <c r="F18" s="49" cm="1">
        <f t="array" aca="1" ref="F18" ca="1">_xll.VoseWeibull(Shape,Scale)</f>
        <v>8286.944879024526</v>
      </c>
      <c r="G18" s="49" cm="1">
        <f t="array" aca="1" ref="G18" ca="1">_xll.VoseWeibull(Shape,Scale)</f>
        <v>6697.2973936706194</v>
      </c>
      <c r="H18" s="49" cm="1">
        <f t="array" aca="1" ref="H18" ca="1">_xll.VoseWeibull(Shape,Scale)</f>
        <v>6897.170501693</v>
      </c>
      <c r="I18" s="49" cm="1">
        <f t="array" aca="1" ref="I18" ca="1">_xll.VoseWeibull(Shape,Scale)</f>
        <v>11227.583268157716</v>
      </c>
      <c r="J18" s="49" cm="1">
        <f t="array" aca="1" ref="J18" ca="1">_xll.VoseWeibull(Shape,Scale)</f>
        <v>8785.6655219899822</v>
      </c>
      <c r="K18" s="49" cm="1">
        <f t="array" aca="1" ref="K18" ca="1">_xll.VoseWeibull(Shape,Scale)</f>
        <v>5963.0957861245261</v>
      </c>
      <c r="L18" s="49" cm="1">
        <f t="array" aca="1" ref="L18" ca="1">_xll.VoseWeibull(Shape,Scale)</f>
        <v>6378.78459648224</v>
      </c>
      <c r="M18" s="49" cm="1">
        <f t="array" aca="1" ref="M18" ca="1">_xll.VoseWeibull(Shape,Scale)</f>
        <v>1273.7387583377433</v>
      </c>
      <c r="N18" s="29"/>
      <c r="O18" s="29"/>
    </row>
    <row r="19" spans="2:15" x14ac:dyDescent="0.45">
      <c r="B19" s="26" t="s">
        <v>224</v>
      </c>
      <c r="C19" s="27" t="s">
        <v>115</v>
      </c>
      <c r="D19" s="49" cm="1">
        <f t="array" aca="1" ref="D19" ca="1">_xll.VoseWeibull(Shape,Scale)</f>
        <v>4360.9305484900797</v>
      </c>
      <c r="E19" s="49" cm="1">
        <f t="array" aca="1" ref="E19" ca="1">_xll.VoseWeibull(Shape,Scale)</f>
        <v>4314.2940329350286</v>
      </c>
      <c r="F19" s="49" cm="1">
        <f t="array" aca="1" ref="F19" ca="1">_xll.VoseWeibull(Shape,Scale)</f>
        <v>8598.9718633696939</v>
      </c>
      <c r="G19" s="49" cm="1">
        <f t="array" aca="1" ref="G19" ca="1">_xll.VoseWeibull(Shape,Scale)</f>
        <v>6362.4759295202193</v>
      </c>
      <c r="H19" s="49" cm="1">
        <f t="array" aca="1" ref="H19" ca="1">_xll.VoseWeibull(Shape,Scale)</f>
        <v>5805.9302099808219</v>
      </c>
      <c r="I19" s="49" cm="1">
        <f t="array" aca="1" ref="I19" ca="1">_xll.VoseWeibull(Shape,Scale)</f>
        <v>4982.6333164799034</v>
      </c>
      <c r="J19" s="49" cm="1">
        <f t="array" aca="1" ref="J19" ca="1">_xll.VoseWeibull(Shape,Scale)</f>
        <v>8326.2115125921337</v>
      </c>
      <c r="K19" s="49" cm="1">
        <f t="array" aca="1" ref="K19" ca="1">_xll.VoseWeibull(Shape,Scale)</f>
        <v>10666.406496502985</v>
      </c>
      <c r="L19" s="49" cm="1">
        <f t="array" aca="1" ref="L19" ca="1">_xll.VoseWeibull(Shape,Scale)</f>
        <v>6041.3823305096603</v>
      </c>
      <c r="M19" s="49" cm="1">
        <f t="array" aca="1" ref="M19" ca="1">_xll.VoseWeibull(Shape,Scale)</f>
        <v>7865.9751928811247</v>
      </c>
      <c r="N19" s="29"/>
      <c r="O19" s="29"/>
    </row>
    <row r="20" spans="2:15" x14ac:dyDescent="0.45">
      <c r="B20" s="26" t="s">
        <v>225</v>
      </c>
      <c r="C20" s="27" t="s">
        <v>115</v>
      </c>
      <c r="D20" s="49" cm="1">
        <f t="array" aca="1" ref="D20" ca="1">_xll.VoseWeibull(Shape,Scale)</f>
        <v>5425.1222407369078</v>
      </c>
      <c r="E20" s="49" cm="1">
        <f t="array" aca="1" ref="E20" ca="1">_xll.VoseWeibull(Shape,Scale)</f>
        <v>10290.352972224944</v>
      </c>
      <c r="F20" s="49" cm="1">
        <f t="array" aca="1" ref="F20" ca="1">_xll.VoseWeibull(Shape,Scale)</f>
        <v>4108.1063526568141</v>
      </c>
      <c r="G20" s="49" cm="1">
        <f t="array" aca="1" ref="G20" ca="1">_xll.VoseWeibull(Shape,Scale)</f>
        <v>4024.5072185480417</v>
      </c>
      <c r="H20" s="49" cm="1">
        <f t="array" aca="1" ref="H20" ca="1">_xll.VoseWeibull(Shape,Scale)</f>
        <v>6674.5407792948745</v>
      </c>
      <c r="I20" s="49" cm="1">
        <f t="array" aca="1" ref="I20" ca="1">_xll.VoseWeibull(Shape,Scale)</f>
        <v>4087.6240731421735</v>
      </c>
      <c r="J20" s="49" cm="1">
        <f t="array" aca="1" ref="J20" ca="1">_xll.VoseWeibull(Shape,Scale)</f>
        <v>3737.9233060079214</v>
      </c>
      <c r="K20" s="49" cm="1">
        <f t="array" aca="1" ref="K20" ca="1">_xll.VoseWeibull(Shape,Scale)</f>
        <v>5432.4659907752593</v>
      </c>
      <c r="L20" s="49" cm="1">
        <f t="array" aca="1" ref="L20" ca="1">_xll.VoseWeibull(Shape,Scale)</f>
        <v>3066.152287795077</v>
      </c>
      <c r="M20" s="49" cm="1">
        <f t="array" aca="1" ref="M20" ca="1">_xll.VoseWeibull(Shape,Scale)</f>
        <v>12783.403756701524</v>
      </c>
      <c r="N20" s="29"/>
      <c r="O20" s="29"/>
    </row>
    <row r="21" spans="2:15" x14ac:dyDescent="0.45">
      <c r="B21" s="26" t="s">
        <v>226</v>
      </c>
      <c r="C21" s="27" t="s">
        <v>115</v>
      </c>
      <c r="D21" s="49" cm="1">
        <f t="array" aca="1" ref="D21" ca="1">_xll.VoseWeibull(Shape,Scale)</f>
        <v>5476.2070715351874</v>
      </c>
      <c r="E21" s="49" cm="1">
        <f t="array" aca="1" ref="E21" ca="1">_xll.VoseWeibull(Shape,Scale)</f>
        <v>5642.3219245369364</v>
      </c>
      <c r="F21" s="49" cm="1">
        <f t="array" aca="1" ref="F21" ca="1">_xll.VoseWeibull(Shape,Scale)</f>
        <v>13805.735229037713</v>
      </c>
      <c r="G21" s="49" cm="1">
        <f t="array" aca="1" ref="G21" ca="1">_xll.VoseWeibull(Shape,Scale)</f>
        <v>7224.3199043153545</v>
      </c>
      <c r="H21" s="49" cm="1">
        <f t="array" aca="1" ref="H21" ca="1">_xll.VoseWeibull(Shape,Scale)</f>
        <v>4124.0009986188707</v>
      </c>
      <c r="I21" s="49" cm="1">
        <f t="array" aca="1" ref="I21" ca="1">_xll.VoseWeibull(Shape,Scale)</f>
        <v>5323.072597308249</v>
      </c>
      <c r="J21" s="49" cm="1">
        <f t="array" aca="1" ref="J21" ca="1">_xll.VoseWeibull(Shape,Scale)</f>
        <v>5886.118791075186</v>
      </c>
      <c r="K21" s="49" cm="1">
        <f t="array" aca="1" ref="K21" ca="1">_xll.VoseWeibull(Shape,Scale)</f>
        <v>3482.9270941536379</v>
      </c>
      <c r="L21" s="49" cm="1">
        <f t="array" aca="1" ref="L21" ca="1">_xll.VoseWeibull(Shape,Scale)</f>
        <v>5374.7005071614813</v>
      </c>
      <c r="M21" s="49" cm="1">
        <f t="array" aca="1" ref="M21" ca="1">_xll.VoseWeibull(Shape,Scale)</f>
        <v>5093.8818058669085</v>
      </c>
      <c r="N21" s="29"/>
      <c r="O21" s="29"/>
    </row>
    <row r="22" spans="2:15" x14ac:dyDescent="0.45">
      <c r="B22" s="26" t="s">
        <v>227</v>
      </c>
      <c r="C22" s="27" t="s">
        <v>115</v>
      </c>
      <c r="D22" s="49" cm="1">
        <f t="array" aca="1" ref="D22" ca="1">_xll.VoseWeibull(Shape,Scale)</f>
        <v>4166.2069728416618</v>
      </c>
      <c r="E22" s="49" cm="1">
        <f t="array" aca="1" ref="E22" ca="1">_xll.VoseWeibull(Shape,Scale)</f>
        <v>4801.2198621547195</v>
      </c>
      <c r="F22" s="49" cm="1">
        <f t="array" aca="1" ref="F22" ca="1">_xll.VoseWeibull(Shape,Scale)</f>
        <v>6153.8283769499549</v>
      </c>
      <c r="G22" s="49" cm="1">
        <f t="array" aca="1" ref="G22" ca="1">_xll.VoseWeibull(Shape,Scale)</f>
        <v>9720.2333122474683</v>
      </c>
      <c r="H22" s="49" cm="1">
        <f t="array" aca="1" ref="H22" ca="1">_xll.VoseWeibull(Shape,Scale)</f>
        <v>6088.2767191609646</v>
      </c>
      <c r="I22" s="49" cm="1">
        <f t="array" aca="1" ref="I22" ca="1">_xll.VoseWeibull(Shape,Scale)</f>
        <v>6419.577516443921</v>
      </c>
      <c r="J22" s="49" cm="1">
        <f t="array" aca="1" ref="J22" ca="1">_xll.VoseWeibull(Shape,Scale)</f>
        <v>6385.9665923359325</v>
      </c>
      <c r="K22" s="49" cm="1">
        <f t="array" aca="1" ref="K22" ca="1">_xll.VoseWeibull(Shape,Scale)</f>
        <v>4242.0835419652367</v>
      </c>
      <c r="L22" s="49" cm="1">
        <f t="array" aca="1" ref="L22" ca="1">_xll.VoseWeibull(Shape,Scale)</f>
        <v>8596.7748637788027</v>
      </c>
      <c r="M22" s="49" cm="1">
        <f t="array" aca="1" ref="M22" ca="1">_xll.VoseWeibull(Shape,Scale)</f>
        <v>6348.3110095633829</v>
      </c>
      <c r="N22" s="29"/>
      <c r="O22" s="29"/>
    </row>
    <row r="23" spans="2:15" x14ac:dyDescent="0.45">
      <c r="B23" s="26" t="s">
        <v>228</v>
      </c>
      <c r="C23" s="27" t="s">
        <v>115</v>
      </c>
      <c r="D23" s="49" cm="1">
        <f t="array" aca="1" ref="D23" ca="1">_xll.VoseWeibull(Shape,Scale)</f>
        <v>3609.3986640563585</v>
      </c>
      <c r="E23" s="49" cm="1">
        <f t="array" aca="1" ref="E23" ca="1">_xll.VoseWeibull(Shape,Scale)</f>
        <v>8597.8863660319948</v>
      </c>
      <c r="F23" s="49" cm="1">
        <f t="array" aca="1" ref="F23" ca="1">_xll.VoseWeibull(Shape,Scale)</f>
        <v>6732.5061722539122</v>
      </c>
      <c r="G23" s="49" cm="1">
        <f t="array" aca="1" ref="G23" ca="1">_xll.VoseWeibull(Shape,Scale)</f>
        <v>5507.7668962789867</v>
      </c>
      <c r="H23" s="49" cm="1">
        <f t="array" aca="1" ref="H23" ca="1">_xll.VoseWeibull(Shape,Scale)</f>
        <v>5126.6347152276066</v>
      </c>
      <c r="I23" s="49" cm="1">
        <f t="array" aca="1" ref="I23" ca="1">_xll.VoseWeibull(Shape,Scale)</f>
        <v>7566.3591320338564</v>
      </c>
      <c r="J23" s="49" cm="1">
        <f t="array" aca="1" ref="J23" ca="1">_xll.VoseWeibull(Shape,Scale)</f>
        <v>5315.6319502649485</v>
      </c>
      <c r="K23" s="49" cm="1">
        <f t="array" aca="1" ref="K23" ca="1">_xll.VoseWeibull(Shape,Scale)</f>
        <v>3813.2704870208008</v>
      </c>
      <c r="L23" s="49" cm="1">
        <f t="array" aca="1" ref="L23" ca="1">_xll.VoseWeibull(Shape,Scale)</f>
        <v>1070.6917107080963</v>
      </c>
      <c r="M23" s="49" cm="1">
        <f t="array" aca="1" ref="M23" ca="1">_xll.VoseWeibull(Shape,Scale)</f>
        <v>3350.4301702832631</v>
      </c>
      <c r="N23" s="29"/>
      <c r="O23" s="29"/>
    </row>
    <row r="24" spans="2:15" x14ac:dyDescent="0.45">
      <c r="B24" s="26" t="s">
        <v>229</v>
      </c>
      <c r="C24" s="27" t="s">
        <v>115</v>
      </c>
      <c r="D24" s="49" cm="1">
        <f t="array" aca="1" ref="D24" ca="1">_xll.VoseWeibull(Shape,Scale)</f>
        <v>8043.8158933499717</v>
      </c>
      <c r="E24" s="49" cm="1">
        <f t="array" aca="1" ref="E24" ca="1">_xll.VoseWeibull(Shape,Scale)</f>
        <v>4611.8267316957554</v>
      </c>
      <c r="F24" s="49" cm="1">
        <f t="array" aca="1" ref="F24" ca="1">_xll.VoseWeibull(Shape,Scale)</f>
        <v>8893.3796985071931</v>
      </c>
      <c r="G24" s="49" cm="1">
        <f t="array" aca="1" ref="G24" ca="1">_xll.VoseWeibull(Shape,Scale)</f>
        <v>4305.3351712307222</v>
      </c>
      <c r="H24" s="49" cm="1">
        <f t="array" aca="1" ref="H24" ca="1">_xll.VoseWeibull(Shape,Scale)</f>
        <v>8651.5619716098645</v>
      </c>
      <c r="I24" s="49" cm="1">
        <f t="array" aca="1" ref="I24" ca="1">_xll.VoseWeibull(Shape,Scale)</f>
        <v>11090.736291134332</v>
      </c>
      <c r="J24" s="49" cm="1">
        <f t="array" aca="1" ref="J24" ca="1">_xll.VoseWeibull(Shape,Scale)</f>
        <v>4749.556229957504</v>
      </c>
      <c r="K24" s="49" cm="1">
        <f t="array" aca="1" ref="K24" ca="1">_xll.VoseWeibull(Shape,Scale)</f>
        <v>5112.1670812666998</v>
      </c>
      <c r="L24" s="49" cm="1">
        <f t="array" aca="1" ref="L24" ca="1">_xll.VoseWeibull(Shape,Scale)</f>
        <v>9806.8714978442204</v>
      </c>
      <c r="M24" s="49" cm="1">
        <f t="array" aca="1" ref="M24" ca="1">_xll.VoseWeibull(Shape,Scale)</f>
        <v>5774.9207049600855</v>
      </c>
      <c r="N24" s="29"/>
      <c r="O24" s="29"/>
    </row>
    <row r="25" spans="2:15" x14ac:dyDescent="0.45">
      <c r="B25" s="26" t="s">
        <v>230</v>
      </c>
      <c r="C25" s="27" t="s">
        <v>115</v>
      </c>
      <c r="D25" s="49" cm="1">
        <f t="array" aca="1" ref="D25" ca="1">_xll.VoseWeibull(Shape,Scale)</f>
        <v>11327.6263123466</v>
      </c>
      <c r="E25" s="49" cm="1">
        <f t="array" aca="1" ref="E25" ca="1">_xll.VoseWeibull(Shape,Scale)</f>
        <v>7876.2169941941138</v>
      </c>
      <c r="F25" s="49" cm="1">
        <f t="array" aca="1" ref="F25" ca="1">_xll.VoseWeibull(Shape,Scale)</f>
        <v>1590.7845454438382</v>
      </c>
      <c r="G25" s="49" cm="1">
        <f t="array" aca="1" ref="G25" ca="1">_xll.VoseWeibull(Shape,Scale)</f>
        <v>6380.6531215649075</v>
      </c>
      <c r="H25" s="49" cm="1">
        <f t="array" aca="1" ref="H25" ca="1">_xll.VoseWeibull(Shape,Scale)</f>
        <v>5366.0122317961668</v>
      </c>
      <c r="I25" s="49" cm="1">
        <f t="array" aca="1" ref="I25" ca="1">_xll.VoseWeibull(Shape,Scale)</f>
        <v>10013.401990141474</v>
      </c>
      <c r="J25" s="49" cm="1">
        <f t="array" aca="1" ref="J25" ca="1">_xll.VoseWeibull(Shape,Scale)</f>
        <v>8093.856515320319</v>
      </c>
      <c r="K25" s="49" cm="1">
        <f t="array" aca="1" ref="K25" ca="1">_xll.VoseWeibull(Shape,Scale)</f>
        <v>4324.4673611657936</v>
      </c>
      <c r="L25" s="49" cm="1">
        <f t="array" aca="1" ref="L25" ca="1">_xll.VoseWeibull(Shape,Scale)</f>
        <v>6594.901144110705</v>
      </c>
      <c r="M25" s="49" cm="1">
        <f t="array" aca="1" ref="M25" ca="1">_xll.VoseWeibull(Shape,Scale)</f>
        <v>6392.7203779030397</v>
      </c>
      <c r="N25" s="29"/>
      <c r="O25" s="29"/>
    </row>
    <row r="26" spans="2:15" ht="8" customHeight="1" x14ac:dyDescent="0.45"/>
    <row r="27" spans="2:15" ht="22.05" customHeight="1" x14ac:dyDescent="0.5">
      <c r="B27" s="7" t="s">
        <v>231</v>
      </c>
      <c r="C27" s="8"/>
      <c r="D27" s="8"/>
      <c r="E27" s="8"/>
      <c r="F27" s="8"/>
      <c r="G27" s="8"/>
      <c r="H27" s="8"/>
      <c r="I27" s="8"/>
      <c r="J27" s="8"/>
      <c r="K27" s="8"/>
      <c r="L27" s="8"/>
      <c r="M27" s="8"/>
      <c r="N27" s="8"/>
      <c r="O27" s="8"/>
    </row>
    <row r="28" spans="2:15" ht="18" customHeight="1" x14ac:dyDescent="0.45">
      <c r="B28" s="13" t="str">
        <f>"Each bearing comes out at "&amp;TEXT(ReplAge_Start,"#,##0")&amp;" hours, or when it fails; a new one starts at once. Spare kits held: "&amp;Kits_Start&amp;"."</f>
        <v>Each bearing comes out at 3,500 hours, or when it fails; a new one starts at once. Spare kits held: 3.</v>
      </c>
    </row>
    <row r="29" spans="2:15" ht="18" customHeight="1" x14ac:dyDescent="0.45">
      <c r="B29" s="35" t="s">
        <v>232</v>
      </c>
      <c r="C29" s="5"/>
      <c r="D29" s="36" t="s">
        <v>213</v>
      </c>
      <c r="E29" s="36" t="s">
        <v>214</v>
      </c>
      <c r="F29" s="36" t="s">
        <v>215</v>
      </c>
      <c r="G29" s="36" t="s">
        <v>216</v>
      </c>
      <c r="H29" s="36" t="s">
        <v>217</v>
      </c>
      <c r="I29" s="36" t="s">
        <v>218</v>
      </c>
      <c r="J29" s="36" t="s">
        <v>219</v>
      </c>
      <c r="K29" s="36" t="s">
        <v>220</v>
      </c>
      <c r="L29" s="36" t="s">
        <v>221</v>
      </c>
      <c r="M29" s="36" t="s">
        <v>222</v>
      </c>
      <c r="N29" s="36" t="s">
        <v>233</v>
      </c>
      <c r="O29" s="36" t="s">
        <v>234</v>
      </c>
    </row>
    <row r="30" spans="2:15" x14ac:dyDescent="0.45">
      <c r="B30" s="26" t="s">
        <v>223</v>
      </c>
      <c r="C30" s="27" t="s">
        <v>115</v>
      </c>
      <c r="D30" s="42">
        <f t="shared" ref="D30:D37" ca="1" si="0">MIN(D18,ReplAge_Start)</f>
        <v>3500</v>
      </c>
      <c r="E30" s="42">
        <f t="shared" ref="E30:M30" ca="1" si="1">D30+MIN(E18,ReplAge_Start)</f>
        <v>6094.129629122539</v>
      </c>
      <c r="F30" s="42">
        <f t="shared" ca="1" si="1"/>
        <v>9594.129629122539</v>
      </c>
      <c r="G30" s="42">
        <f t="shared" ca="1" si="1"/>
        <v>13094.129629122539</v>
      </c>
      <c r="H30" s="42">
        <f t="shared" ca="1" si="1"/>
        <v>16594.129629122537</v>
      </c>
      <c r="I30" s="42">
        <f t="shared" ca="1" si="1"/>
        <v>20094.129629122537</v>
      </c>
      <c r="J30" s="42">
        <f t="shared" ca="1" si="1"/>
        <v>23594.129629122537</v>
      </c>
      <c r="K30" s="42">
        <f t="shared" ca="1" si="1"/>
        <v>27094.129629122537</v>
      </c>
      <c r="L30" s="42">
        <f t="shared" ca="1" si="1"/>
        <v>30594.129629122537</v>
      </c>
      <c r="M30" s="42">
        <f t="shared" ca="1" si="1"/>
        <v>31867.868387460279</v>
      </c>
      <c r="N30" s="42">
        <f t="shared" ref="N30:N37" ca="1" si="2">COUNTIFS(D18:M18,"&lt;"&amp;ReplAge_Start,D30:M30,"&lt;="&amp;Horizon)</f>
        <v>1</v>
      </c>
      <c r="O30" s="42">
        <f t="shared" ref="O30:O37" ca="1" si="3">COUNTIFS(D18:M18,"&gt;="&amp;ReplAge_Start,D30:M30,"&lt;="&amp;Horizon)</f>
        <v>2</v>
      </c>
    </row>
    <row r="31" spans="2:15" x14ac:dyDescent="0.45">
      <c r="B31" s="26" t="s">
        <v>224</v>
      </c>
      <c r="C31" s="27" t="s">
        <v>115</v>
      </c>
      <c r="D31" s="42">
        <f t="shared" ca="1" si="0"/>
        <v>3500</v>
      </c>
      <c r="E31" s="42">
        <f t="shared" ref="E31:M31" ca="1" si="4">D31+MIN(E19,ReplAge_Start)</f>
        <v>7000</v>
      </c>
      <c r="F31" s="42">
        <f t="shared" ca="1" si="4"/>
        <v>10500</v>
      </c>
      <c r="G31" s="42">
        <f t="shared" ca="1" si="4"/>
        <v>14000</v>
      </c>
      <c r="H31" s="42">
        <f t="shared" ca="1" si="4"/>
        <v>17500</v>
      </c>
      <c r="I31" s="42">
        <f t="shared" ca="1" si="4"/>
        <v>21000</v>
      </c>
      <c r="J31" s="42">
        <f t="shared" ca="1" si="4"/>
        <v>24500</v>
      </c>
      <c r="K31" s="42">
        <f t="shared" ca="1" si="4"/>
        <v>28000</v>
      </c>
      <c r="L31" s="42">
        <f t="shared" ca="1" si="4"/>
        <v>31500</v>
      </c>
      <c r="M31" s="42">
        <f t="shared" ca="1" si="4"/>
        <v>35000</v>
      </c>
      <c r="N31" s="42">
        <f t="shared" ca="1" si="2"/>
        <v>0</v>
      </c>
      <c r="O31" s="42">
        <f t="shared" ca="1" si="3"/>
        <v>3</v>
      </c>
    </row>
    <row r="32" spans="2:15" x14ac:dyDescent="0.45">
      <c r="B32" s="26" t="s">
        <v>225</v>
      </c>
      <c r="C32" s="27" t="s">
        <v>115</v>
      </c>
      <c r="D32" s="42">
        <f t="shared" ca="1" si="0"/>
        <v>3500</v>
      </c>
      <c r="E32" s="42">
        <f t="shared" ref="E32:M32" ca="1" si="5">D32+MIN(E20,ReplAge_Start)</f>
        <v>7000</v>
      </c>
      <c r="F32" s="42">
        <f t="shared" ca="1" si="5"/>
        <v>10500</v>
      </c>
      <c r="G32" s="42">
        <f t="shared" ca="1" si="5"/>
        <v>14000</v>
      </c>
      <c r="H32" s="42">
        <f t="shared" ca="1" si="5"/>
        <v>17500</v>
      </c>
      <c r="I32" s="42">
        <f t="shared" ca="1" si="5"/>
        <v>21000</v>
      </c>
      <c r="J32" s="42">
        <f t="shared" ca="1" si="5"/>
        <v>24500</v>
      </c>
      <c r="K32" s="42">
        <f t="shared" ca="1" si="5"/>
        <v>28000</v>
      </c>
      <c r="L32" s="42">
        <f t="shared" ca="1" si="5"/>
        <v>31066.152287795077</v>
      </c>
      <c r="M32" s="42">
        <f t="shared" ca="1" si="5"/>
        <v>34566.152287795077</v>
      </c>
      <c r="N32" s="42">
        <f t="shared" ca="1" si="2"/>
        <v>0</v>
      </c>
      <c r="O32" s="42">
        <f t="shared" ca="1" si="3"/>
        <v>3</v>
      </c>
    </row>
    <row r="33" spans="2:15" x14ac:dyDescent="0.45">
      <c r="B33" s="26" t="s">
        <v>226</v>
      </c>
      <c r="C33" s="27" t="s">
        <v>115</v>
      </c>
      <c r="D33" s="42">
        <f t="shared" ca="1" si="0"/>
        <v>3500</v>
      </c>
      <c r="E33" s="42">
        <f t="shared" ref="E33:M33" ca="1" si="6">D33+MIN(E21,ReplAge_Start)</f>
        <v>7000</v>
      </c>
      <c r="F33" s="42">
        <f t="shared" ca="1" si="6"/>
        <v>10500</v>
      </c>
      <c r="G33" s="42">
        <f t="shared" ca="1" si="6"/>
        <v>14000</v>
      </c>
      <c r="H33" s="42">
        <f t="shared" ca="1" si="6"/>
        <v>17500</v>
      </c>
      <c r="I33" s="42">
        <f t="shared" ca="1" si="6"/>
        <v>21000</v>
      </c>
      <c r="J33" s="42">
        <f t="shared" ca="1" si="6"/>
        <v>24500</v>
      </c>
      <c r="K33" s="42">
        <f t="shared" ca="1" si="6"/>
        <v>27982.927094153638</v>
      </c>
      <c r="L33" s="42">
        <f t="shared" ca="1" si="6"/>
        <v>31482.927094153638</v>
      </c>
      <c r="M33" s="42">
        <f t="shared" ca="1" si="6"/>
        <v>34982.927094153638</v>
      </c>
      <c r="N33" s="42">
        <f t="shared" ca="1" si="2"/>
        <v>0</v>
      </c>
      <c r="O33" s="42">
        <f t="shared" ca="1" si="3"/>
        <v>3</v>
      </c>
    </row>
    <row r="34" spans="2:15" x14ac:dyDescent="0.45">
      <c r="B34" s="26" t="s">
        <v>227</v>
      </c>
      <c r="C34" s="27" t="s">
        <v>115</v>
      </c>
      <c r="D34" s="42">
        <f t="shared" ca="1" si="0"/>
        <v>3500</v>
      </c>
      <c r="E34" s="42">
        <f t="shared" ref="E34:M34" ca="1" si="7">D34+MIN(E22,ReplAge_Start)</f>
        <v>7000</v>
      </c>
      <c r="F34" s="42">
        <f t="shared" ca="1" si="7"/>
        <v>10500</v>
      </c>
      <c r="G34" s="42">
        <f t="shared" ca="1" si="7"/>
        <v>14000</v>
      </c>
      <c r="H34" s="42">
        <f t="shared" ca="1" si="7"/>
        <v>17500</v>
      </c>
      <c r="I34" s="42">
        <f t="shared" ca="1" si="7"/>
        <v>21000</v>
      </c>
      <c r="J34" s="42">
        <f t="shared" ca="1" si="7"/>
        <v>24500</v>
      </c>
      <c r="K34" s="42">
        <f t="shared" ca="1" si="7"/>
        <v>28000</v>
      </c>
      <c r="L34" s="42">
        <f t="shared" ca="1" si="7"/>
        <v>31500</v>
      </c>
      <c r="M34" s="42">
        <f t="shared" ca="1" si="7"/>
        <v>35000</v>
      </c>
      <c r="N34" s="42">
        <f t="shared" ca="1" si="2"/>
        <v>0</v>
      </c>
      <c r="O34" s="42">
        <f t="shared" ca="1" si="3"/>
        <v>3</v>
      </c>
    </row>
    <row r="35" spans="2:15" x14ac:dyDescent="0.45">
      <c r="B35" s="26" t="s">
        <v>228</v>
      </c>
      <c r="C35" s="27" t="s">
        <v>115</v>
      </c>
      <c r="D35" s="42">
        <f t="shared" ca="1" si="0"/>
        <v>3500</v>
      </c>
      <c r="E35" s="42">
        <f t="shared" ref="E35:M35" ca="1" si="8">D35+MIN(E23,ReplAge_Start)</f>
        <v>7000</v>
      </c>
      <c r="F35" s="42">
        <f t="shared" ca="1" si="8"/>
        <v>10500</v>
      </c>
      <c r="G35" s="42">
        <f t="shared" ca="1" si="8"/>
        <v>14000</v>
      </c>
      <c r="H35" s="42">
        <f t="shared" ca="1" si="8"/>
        <v>17500</v>
      </c>
      <c r="I35" s="42">
        <f t="shared" ca="1" si="8"/>
        <v>21000</v>
      </c>
      <c r="J35" s="42">
        <f t="shared" ca="1" si="8"/>
        <v>24500</v>
      </c>
      <c r="K35" s="42">
        <f t="shared" ca="1" si="8"/>
        <v>28000</v>
      </c>
      <c r="L35" s="42">
        <f t="shared" ca="1" si="8"/>
        <v>29070.691710708095</v>
      </c>
      <c r="M35" s="42">
        <f t="shared" ca="1" si="8"/>
        <v>32421.121880991359</v>
      </c>
      <c r="N35" s="42">
        <f t="shared" ca="1" si="2"/>
        <v>0</v>
      </c>
      <c r="O35" s="42">
        <f t="shared" ca="1" si="3"/>
        <v>3</v>
      </c>
    </row>
    <row r="36" spans="2:15" x14ac:dyDescent="0.45">
      <c r="B36" s="26" t="s">
        <v>229</v>
      </c>
      <c r="C36" s="27" t="s">
        <v>115</v>
      </c>
      <c r="D36" s="42">
        <f t="shared" ca="1" si="0"/>
        <v>3500</v>
      </c>
      <c r="E36" s="42">
        <f t="shared" ref="E36:M36" ca="1" si="9">D36+MIN(E24,ReplAge_Start)</f>
        <v>7000</v>
      </c>
      <c r="F36" s="42">
        <f t="shared" ca="1" si="9"/>
        <v>10500</v>
      </c>
      <c r="G36" s="42">
        <f t="shared" ca="1" si="9"/>
        <v>14000</v>
      </c>
      <c r="H36" s="42">
        <f t="shared" ca="1" si="9"/>
        <v>17500</v>
      </c>
      <c r="I36" s="42">
        <f t="shared" ca="1" si="9"/>
        <v>21000</v>
      </c>
      <c r="J36" s="42">
        <f t="shared" ca="1" si="9"/>
        <v>24500</v>
      </c>
      <c r="K36" s="42">
        <f t="shared" ca="1" si="9"/>
        <v>28000</v>
      </c>
      <c r="L36" s="42">
        <f t="shared" ca="1" si="9"/>
        <v>31500</v>
      </c>
      <c r="M36" s="42">
        <f t="shared" ca="1" si="9"/>
        <v>35000</v>
      </c>
      <c r="N36" s="42">
        <f t="shared" ca="1" si="2"/>
        <v>0</v>
      </c>
      <c r="O36" s="42">
        <f t="shared" ca="1" si="3"/>
        <v>3</v>
      </c>
    </row>
    <row r="37" spans="2:15" x14ac:dyDescent="0.45">
      <c r="B37" s="26" t="s">
        <v>230</v>
      </c>
      <c r="C37" s="27" t="s">
        <v>115</v>
      </c>
      <c r="D37" s="42">
        <f t="shared" ca="1" si="0"/>
        <v>3500</v>
      </c>
      <c r="E37" s="42">
        <f t="shared" ref="E37:M37" ca="1" si="10">D37+MIN(E25,ReplAge_Start)</f>
        <v>7000</v>
      </c>
      <c r="F37" s="42">
        <f t="shared" ca="1" si="10"/>
        <v>8590.7845454438375</v>
      </c>
      <c r="G37" s="42">
        <f t="shared" ca="1" si="10"/>
        <v>12090.784545443837</v>
      </c>
      <c r="H37" s="42">
        <f t="shared" ca="1" si="10"/>
        <v>15590.784545443837</v>
      </c>
      <c r="I37" s="42">
        <f t="shared" ca="1" si="10"/>
        <v>19090.784545443836</v>
      </c>
      <c r="J37" s="42">
        <f t="shared" ca="1" si="10"/>
        <v>22590.784545443836</v>
      </c>
      <c r="K37" s="42">
        <f t="shared" ca="1" si="10"/>
        <v>26090.784545443836</v>
      </c>
      <c r="L37" s="42">
        <f t="shared" ca="1" si="10"/>
        <v>29590.784545443836</v>
      </c>
      <c r="M37" s="42">
        <f t="shared" ca="1" si="10"/>
        <v>33090.784545443836</v>
      </c>
      <c r="N37" s="42">
        <f t="shared" ca="1" si="2"/>
        <v>1</v>
      </c>
      <c r="O37" s="42">
        <f t="shared" ca="1" si="3"/>
        <v>2</v>
      </c>
    </row>
    <row r="38" spans="2:15" x14ac:dyDescent="0.45">
      <c r="B38" s="50" t="s">
        <v>235</v>
      </c>
      <c r="C38" s="51"/>
      <c r="D38" s="51"/>
      <c r="E38" s="51"/>
      <c r="F38" s="51"/>
      <c r="G38" s="51"/>
      <c r="H38" s="51"/>
      <c r="I38" s="51"/>
      <c r="J38" s="51"/>
      <c r="K38" s="51"/>
      <c r="L38" s="51"/>
      <c r="M38" s="51"/>
      <c r="N38" s="52">
        <f ca="1">SUM(N30:N37)</f>
        <v>2</v>
      </c>
      <c r="O38" s="52">
        <f ca="1">SUM(O30:O37)</f>
        <v>22</v>
      </c>
    </row>
    <row r="39" spans="2:15" ht="6" customHeight="1" x14ac:dyDescent="0.45"/>
    <row r="40" spans="2:15" ht="18" customHeight="1" x14ac:dyDescent="0.45">
      <c r="B40" s="35" t="s">
        <v>236</v>
      </c>
      <c r="C40" s="5"/>
      <c r="D40" s="36" t="s">
        <v>213</v>
      </c>
      <c r="E40" s="36" t="s">
        <v>214</v>
      </c>
      <c r="F40" s="36" t="s">
        <v>215</v>
      </c>
      <c r="G40" s="36" t="s">
        <v>216</v>
      </c>
      <c r="H40" s="36" t="s">
        <v>217</v>
      </c>
      <c r="I40" s="36" t="s">
        <v>218</v>
      </c>
      <c r="J40" s="36" t="s">
        <v>219</v>
      </c>
      <c r="K40" s="36" t="s">
        <v>220</v>
      </c>
      <c r="L40" s="36" t="s">
        <v>221</v>
      </c>
      <c r="M40" s="36" t="s">
        <v>222</v>
      </c>
      <c r="N40" s="5"/>
      <c r="O40" s="5"/>
    </row>
    <row r="41" spans="2:15" x14ac:dyDescent="0.45">
      <c r="B41" s="26" t="s">
        <v>223</v>
      </c>
      <c r="C41" s="27" t="s">
        <v>237</v>
      </c>
      <c r="D41" s="53">
        <f t="shared" ref="D41:M41" ca="1" si="11">IF(AND(D18&lt;ReplAge_Start,D30&lt;=Horizon),COUNTIFS(E_Start,"&gt;"&amp;(D30-HLead),E_Start,"&lt;="&amp;D30,Life,"&lt;"&amp;ReplAge_Start),0)</f>
        <v>0</v>
      </c>
      <c r="E41" s="53">
        <f t="shared" ca="1" si="11"/>
        <v>1</v>
      </c>
      <c r="F41" s="53">
        <f t="shared" ca="1" si="11"/>
        <v>0</v>
      </c>
      <c r="G41" s="53">
        <f t="shared" ca="1" si="11"/>
        <v>0</v>
      </c>
      <c r="H41" s="53">
        <f t="shared" ca="1" si="11"/>
        <v>0</v>
      </c>
      <c r="I41" s="53">
        <f t="shared" ca="1" si="11"/>
        <v>0</v>
      </c>
      <c r="J41" s="53">
        <f t="shared" ca="1" si="11"/>
        <v>0</v>
      </c>
      <c r="K41" s="53">
        <f t="shared" ca="1" si="11"/>
        <v>0</v>
      </c>
      <c r="L41" s="53">
        <f t="shared" ca="1" si="11"/>
        <v>0</v>
      </c>
      <c r="M41" s="53">
        <f t="shared" ca="1" si="11"/>
        <v>0</v>
      </c>
      <c r="N41" s="29"/>
      <c r="O41" s="29"/>
    </row>
    <row r="42" spans="2:15" x14ac:dyDescent="0.45">
      <c r="B42" s="26" t="s">
        <v>224</v>
      </c>
      <c r="C42" s="27" t="s">
        <v>237</v>
      </c>
      <c r="D42" s="53">
        <f t="shared" ref="D42:M42" ca="1" si="12">IF(AND(D19&lt;ReplAge_Start,D31&lt;=Horizon),COUNTIFS(E_Start,"&gt;"&amp;(D31-HLead),E_Start,"&lt;="&amp;D31,Life,"&lt;"&amp;ReplAge_Start),0)</f>
        <v>0</v>
      </c>
      <c r="E42" s="53">
        <f t="shared" ca="1" si="12"/>
        <v>0</v>
      </c>
      <c r="F42" s="53">
        <f t="shared" ca="1" si="12"/>
        <v>0</v>
      </c>
      <c r="G42" s="53">
        <f t="shared" ca="1" si="12"/>
        <v>0</v>
      </c>
      <c r="H42" s="53">
        <f t="shared" ca="1" si="12"/>
        <v>0</v>
      </c>
      <c r="I42" s="53">
        <f t="shared" ca="1" si="12"/>
        <v>0</v>
      </c>
      <c r="J42" s="53">
        <f t="shared" ca="1" si="12"/>
        <v>0</v>
      </c>
      <c r="K42" s="53">
        <f t="shared" ca="1" si="12"/>
        <v>0</v>
      </c>
      <c r="L42" s="53">
        <f t="shared" ca="1" si="12"/>
        <v>0</v>
      </c>
      <c r="M42" s="53">
        <f t="shared" ca="1" si="12"/>
        <v>0</v>
      </c>
      <c r="N42" s="29"/>
      <c r="O42" s="29"/>
    </row>
    <row r="43" spans="2:15" x14ac:dyDescent="0.45">
      <c r="B43" s="26" t="s">
        <v>225</v>
      </c>
      <c r="C43" s="27" t="s">
        <v>237</v>
      </c>
      <c r="D43" s="53">
        <f t="shared" ref="D43:M43" ca="1" si="13">IF(AND(D20&lt;ReplAge_Start,D32&lt;=Horizon),COUNTIFS(E_Start,"&gt;"&amp;(D32-HLead),E_Start,"&lt;="&amp;D32,Life,"&lt;"&amp;ReplAge_Start),0)</f>
        <v>0</v>
      </c>
      <c r="E43" s="53">
        <f t="shared" ca="1" si="13"/>
        <v>0</v>
      </c>
      <c r="F43" s="53">
        <f t="shared" ca="1" si="13"/>
        <v>0</v>
      </c>
      <c r="G43" s="53">
        <f t="shared" ca="1" si="13"/>
        <v>0</v>
      </c>
      <c r="H43" s="53">
        <f t="shared" ca="1" si="13"/>
        <v>0</v>
      </c>
      <c r="I43" s="53">
        <f t="shared" ca="1" si="13"/>
        <v>0</v>
      </c>
      <c r="J43" s="53">
        <f t="shared" ca="1" si="13"/>
        <v>0</v>
      </c>
      <c r="K43" s="53">
        <f t="shared" ca="1" si="13"/>
        <v>0</v>
      </c>
      <c r="L43" s="53">
        <f t="shared" ca="1" si="13"/>
        <v>0</v>
      </c>
      <c r="M43" s="53">
        <f t="shared" ca="1" si="13"/>
        <v>0</v>
      </c>
      <c r="N43" s="29"/>
      <c r="O43" s="29"/>
    </row>
    <row r="44" spans="2:15" x14ac:dyDescent="0.45">
      <c r="B44" s="26" t="s">
        <v>226</v>
      </c>
      <c r="C44" s="27" t="s">
        <v>237</v>
      </c>
      <c r="D44" s="53">
        <f t="shared" ref="D44:M44" ca="1" si="14">IF(AND(D21&lt;ReplAge_Start,D33&lt;=Horizon),COUNTIFS(E_Start,"&gt;"&amp;(D33-HLead),E_Start,"&lt;="&amp;D33,Life,"&lt;"&amp;ReplAge_Start),0)</f>
        <v>0</v>
      </c>
      <c r="E44" s="53">
        <f t="shared" ca="1" si="14"/>
        <v>0</v>
      </c>
      <c r="F44" s="53">
        <f t="shared" ca="1" si="14"/>
        <v>0</v>
      </c>
      <c r="G44" s="53">
        <f t="shared" ca="1" si="14"/>
        <v>0</v>
      </c>
      <c r="H44" s="53">
        <f t="shared" ca="1" si="14"/>
        <v>0</v>
      </c>
      <c r="I44" s="53">
        <f t="shared" ca="1" si="14"/>
        <v>0</v>
      </c>
      <c r="J44" s="53">
        <f t="shared" ca="1" si="14"/>
        <v>0</v>
      </c>
      <c r="K44" s="53">
        <f t="shared" ca="1" si="14"/>
        <v>0</v>
      </c>
      <c r="L44" s="53">
        <f t="shared" ca="1" si="14"/>
        <v>0</v>
      </c>
      <c r="M44" s="53">
        <f t="shared" ca="1" si="14"/>
        <v>0</v>
      </c>
      <c r="N44" s="29"/>
      <c r="O44" s="29"/>
    </row>
    <row r="45" spans="2:15" x14ac:dyDescent="0.45">
      <c r="B45" s="26" t="s">
        <v>227</v>
      </c>
      <c r="C45" s="27" t="s">
        <v>237</v>
      </c>
      <c r="D45" s="53">
        <f t="shared" ref="D45:M45" ca="1" si="15">IF(AND(D22&lt;ReplAge_Start,D34&lt;=Horizon),COUNTIFS(E_Start,"&gt;"&amp;(D34-HLead),E_Start,"&lt;="&amp;D34,Life,"&lt;"&amp;ReplAge_Start),0)</f>
        <v>0</v>
      </c>
      <c r="E45" s="53">
        <f t="shared" ca="1" si="15"/>
        <v>0</v>
      </c>
      <c r="F45" s="53">
        <f t="shared" ca="1" si="15"/>
        <v>0</v>
      </c>
      <c r="G45" s="53">
        <f t="shared" ca="1" si="15"/>
        <v>0</v>
      </c>
      <c r="H45" s="53">
        <f t="shared" ca="1" si="15"/>
        <v>0</v>
      </c>
      <c r="I45" s="53">
        <f t="shared" ca="1" si="15"/>
        <v>0</v>
      </c>
      <c r="J45" s="53">
        <f t="shared" ca="1" si="15"/>
        <v>0</v>
      </c>
      <c r="K45" s="53">
        <f t="shared" ca="1" si="15"/>
        <v>0</v>
      </c>
      <c r="L45" s="53">
        <f t="shared" ca="1" si="15"/>
        <v>0</v>
      </c>
      <c r="M45" s="53">
        <f t="shared" ca="1" si="15"/>
        <v>0</v>
      </c>
      <c r="N45" s="29"/>
      <c r="O45" s="29"/>
    </row>
    <row r="46" spans="2:15" x14ac:dyDescent="0.45">
      <c r="B46" s="26" t="s">
        <v>228</v>
      </c>
      <c r="C46" s="27" t="s">
        <v>237</v>
      </c>
      <c r="D46" s="53">
        <f t="shared" ref="D46:M46" ca="1" si="16">IF(AND(D23&lt;ReplAge_Start,D35&lt;=Horizon),COUNTIFS(E_Start,"&gt;"&amp;(D35-HLead),E_Start,"&lt;="&amp;D35,Life,"&lt;"&amp;ReplAge_Start),0)</f>
        <v>0</v>
      </c>
      <c r="E46" s="53">
        <f t="shared" ca="1" si="16"/>
        <v>0</v>
      </c>
      <c r="F46" s="53">
        <f t="shared" ca="1" si="16"/>
        <v>0</v>
      </c>
      <c r="G46" s="53">
        <f t="shared" ca="1" si="16"/>
        <v>0</v>
      </c>
      <c r="H46" s="53">
        <f t="shared" ca="1" si="16"/>
        <v>0</v>
      </c>
      <c r="I46" s="53">
        <f t="shared" ca="1" si="16"/>
        <v>0</v>
      </c>
      <c r="J46" s="53">
        <f t="shared" ca="1" si="16"/>
        <v>0</v>
      </c>
      <c r="K46" s="53">
        <f t="shared" ca="1" si="16"/>
        <v>0</v>
      </c>
      <c r="L46" s="53">
        <f t="shared" ca="1" si="16"/>
        <v>0</v>
      </c>
      <c r="M46" s="53">
        <f t="shared" ca="1" si="16"/>
        <v>0</v>
      </c>
      <c r="N46" s="29"/>
      <c r="O46" s="29"/>
    </row>
    <row r="47" spans="2:15" x14ac:dyDescent="0.45">
      <c r="B47" s="26" t="s">
        <v>229</v>
      </c>
      <c r="C47" s="27" t="s">
        <v>237</v>
      </c>
      <c r="D47" s="53">
        <f t="shared" ref="D47:M47" ca="1" si="17">IF(AND(D24&lt;ReplAge_Start,D36&lt;=Horizon),COUNTIFS(E_Start,"&gt;"&amp;(D36-HLead),E_Start,"&lt;="&amp;D36,Life,"&lt;"&amp;ReplAge_Start),0)</f>
        <v>0</v>
      </c>
      <c r="E47" s="53">
        <f t="shared" ca="1" si="17"/>
        <v>0</v>
      </c>
      <c r="F47" s="53">
        <f t="shared" ca="1" si="17"/>
        <v>0</v>
      </c>
      <c r="G47" s="53">
        <f t="shared" ca="1" si="17"/>
        <v>0</v>
      </c>
      <c r="H47" s="53">
        <f t="shared" ca="1" si="17"/>
        <v>0</v>
      </c>
      <c r="I47" s="53">
        <f t="shared" ca="1" si="17"/>
        <v>0</v>
      </c>
      <c r="J47" s="53">
        <f t="shared" ca="1" si="17"/>
        <v>0</v>
      </c>
      <c r="K47" s="53">
        <f t="shared" ca="1" si="17"/>
        <v>0</v>
      </c>
      <c r="L47" s="53">
        <f t="shared" ca="1" si="17"/>
        <v>0</v>
      </c>
      <c r="M47" s="53">
        <f t="shared" ca="1" si="17"/>
        <v>0</v>
      </c>
      <c r="N47" s="29"/>
      <c r="O47" s="29"/>
    </row>
    <row r="48" spans="2:15" x14ac:dyDescent="0.45">
      <c r="B48" s="26" t="s">
        <v>230</v>
      </c>
      <c r="C48" s="27" t="s">
        <v>237</v>
      </c>
      <c r="D48" s="53">
        <f t="shared" ref="D48:M48" ca="1" si="18">IF(AND(D25&lt;ReplAge_Start,D37&lt;=Horizon),COUNTIFS(E_Start,"&gt;"&amp;(D37-HLead),E_Start,"&lt;="&amp;D37,Life,"&lt;"&amp;ReplAge_Start),0)</f>
        <v>0</v>
      </c>
      <c r="E48" s="53">
        <f t="shared" ca="1" si="18"/>
        <v>0</v>
      </c>
      <c r="F48" s="53">
        <f t="shared" ca="1" si="18"/>
        <v>1</v>
      </c>
      <c r="G48" s="53">
        <f t="shared" ca="1" si="18"/>
        <v>0</v>
      </c>
      <c r="H48" s="53">
        <f t="shared" ca="1" si="18"/>
        <v>0</v>
      </c>
      <c r="I48" s="53">
        <f t="shared" ca="1" si="18"/>
        <v>0</v>
      </c>
      <c r="J48" s="53">
        <f t="shared" ca="1" si="18"/>
        <v>0</v>
      </c>
      <c r="K48" s="53">
        <f t="shared" ca="1" si="18"/>
        <v>0</v>
      </c>
      <c r="L48" s="53">
        <f t="shared" ca="1" si="18"/>
        <v>0</v>
      </c>
      <c r="M48" s="53">
        <f t="shared" ca="1" si="18"/>
        <v>0</v>
      </c>
      <c r="N48" s="29"/>
      <c r="O48" s="29"/>
    </row>
    <row r="49" spans="2:15" x14ac:dyDescent="0.45">
      <c r="B49" s="54" t="s">
        <v>238</v>
      </c>
    </row>
    <row r="50" spans="2:15" ht="8" customHeight="1" x14ac:dyDescent="0.45"/>
    <row r="51" spans="2:15" ht="22.05" customHeight="1" x14ac:dyDescent="0.5">
      <c r="B51" s="7" t="s">
        <v>239</v>
      </c>
      <c r="C51" s="8"/>
      <c r="D51" s="8"/>
      <c r="E51" s="8"/>
      <c r="F51" s="8"/>
      <c r="G51" s="8"/>
      <c r="H51" s="8"/>
      <c r="I51" s="8"/>
      <c r="J51" s="8"/>
      <c r="K51" s="8"/>
      <c r="L51" s="8"/>
      <c r="M51" s="8"/>
      <c r="N51" s="8"/>
      <c r="O51" s="8"/>
    </row>
    <row r="52" spans="2:15" ht="18" customHeight="1" x14ac:dyDescent="0.45">
      <c r="B52" s="13" t="str">
        <f>"Each bearing comes out at "&amp;TEXT(ReplAge,"#,##0")&amp;" hours, or when it fails; a new one starts at once. Spare kits held: "&amp;Kits&amp;"."</f>
        <v>Each bearing comes out at 2,250 hours, or when it fails; a new one starts at once. Spare kits held: 3.</v>
      </c>
    </row>
    <row r="53" spans="2:15" ht="18" customHeight="1" x14ac:dyDescent="0.45">
      <c r="B53" s="35" t="s">
        <v>232</v>
      </c>
      <c r="C53" s="5"/>
      <c r="D53" s="36" t="s">
        <v>213</v>
      </c>
      <c r="E53" s="36" t="s">
        <v>214</v>
      </c>
      <c r="F53" s="36" t="s">
        <v>215</v>
      </c>
      <c r="G53" s="36" t="s">
        <v>216</v>
      </c>
      <c r="H53" s="36" t="s">
        <v>217</v>
      </c>
      <c r="I53" s="36" t="s">
        <v>218</v>
      </c>
      <c r="J53" s="36" t="s">
        <v>219</v>
      </c>
      <c r="K53" s="36" t="s">
        <v>220</v>
      </c>
      <c r="L53" s="36" t="s">
        <v>221</v>
      </c>
      <c r="M53" s="36" t="s">
        <v>222</v>
      </c>
      <c r="N53" s="36" t="s">
        <v>233</v>
      </c>
      <c r="O53" s="36" t="s">
        <v>234</v>
      </c>
    </row>
    <row r="54" spans="2:15" x14ac:dyDescent="0.45">
      <c r="B54" s="26" t="s">
        <v>223</v>
      </c>
      <c r="C54" s="27" t="s">
        <v>115</v>
      </c>
      <c r="D54" s="42">
        <f t="shared" ref="D54:D61" ca="1" si="19">MIN(D18,ReplAge)</f>
        <v>2250</v>
      </c>
      <c r="E54" s="42">
        <f t="shared" ref="E54:M54" ca="1" si="20">D54+MIN(E18,ReplAge)</f>
        <v>4500</v>
      </c>
      <c r="F54" s="42">
        <f t="shared" ca="1" si="20"/>
        <v>6750</v>
      </c>
      <c r="G54" s="42">
        <f t="shared" ca="1" si="20"/>
        <v>9000</v>
      </c>
      <c r="H54" s="42">
        <f t="shared" ca="1" si="20"/>
        <v>11250</v>
      </c>
      <c r="I54" s="42">
        <f t="shared" ca="1" si="20"/>
        <v>13500</v>
      </c>
      <c r="J54" s="42">
        <f t="shared" ca="1" si="20"/>
        <v>15750</v>
      </c>
      <c r="K54" s="42">
        <f t="shared" ca="1" si="20"/>
        <v>18000</v>
      </c>
      <c r="L54" s="42">
        <f t="shared" ca="1" si="20"/>
        <v>20250</v>
      </c>
      <c r="M54" s="42">
        <f t="shared" ca="1" si="20"/>
        <v>21523.738758337742</v>
      </c>
      <c r="N54" s="42">
        <f t="shared" ref="N54:N61" ca="1" si="21">COUNTIFS(D18:M18,"&lt;"&amp;ReplAge,D54:M54,"&lt;="&amp;Horizon)</f>
        <v>0</v>
      </c>
      <c r="O54" s="42">
        <f t="shared" ref="O54:O61" ca="1" si="22">COUNTIFS(D18:M18,"&gt;="&amp;ReplAge,D54:M54,"&lt;="&amp;Horizon)</f>
        <v>5</v>
      </c>
    </row>
    <row r="55" spans="2:15" x14ac:dyDescent="0.45">
      <c r="B55" s="26" t="s">
        <v>224</v>
      </c>
      <c r="C55" s="27" t="s">
        <v>115</v>
      </c>
      <c r="D55" s="42">
        <f t="shared" ca="1" si="19"/>
        <v>2250</v>
      </c>
      <c r="E55" s="42">
        <f t="shared" ref="E55:M55" ca="1" si="23">D55+MIN(E19,ReplAge)</f>
        <v>4500</v>
      </c>
      <c r="F55" s="42">
        <f t="shared" ca="1" si="23"/>
        <v>6750</v>
      </c>
      <c r="G55" s="42">
        <f t="shared" ca="1" si="23"/>
        <v>9000</v>
      </c>
      <c r="H55" s="42">
        <f t="shared" ca="1" si="23"/>
        <v>11250</v>
      </c>
      <c r="I55" s="42">
        <f t="shared" ca="1" si="23"/>
        <v>13500</v>
      </c>
      <c r="J55" s="42">
        <f t="shared" ca="1" si="23"/>
        <v>15750</v>
      </c>
      <c r="K55" s="42">
        <f t="shared" ca="1" si="23"/>
        <v>18000</v>
      </c>
      <c r="L55" s="42">
        <f t="shared" ca="1" si="23"/>
        <v>20250</v>
      </c>
      <c r="M55" s="42">
        <f t="shared" ca="1" si="23"/>
        <v>22500</v>
      </c>
      <c r="N55" s="42">
        <f t="shared" ca="1" si="21"/>
        <v>0</v>
      </c>
      <c r="O55" s="42">
        <f t="shared" ca="1" si="22"/>
        <v>5</v>
      </c>
    </row>
    <row r="56" spans="2:15" x14ac:dyDescent="0.45">
      <c r="B56" s="26" t="s">
        <v>225</v>
      </c>
      <c r="C56" s="27" t="s">
        <v>115</v>
      </c>
      <c r="D56" s="42">
        <f t="shared" ca="1" si="19"/>
        <v>2250</v>
      </c>
      <c r="E56" s="42">
        <f t="shared" ref="E56:M56" ca="1" si="24">D56+MIN(E20,ReplAge)</f>
        <v>4500</v>
      </c>
      <c r="F56" s="42">
        <f t="shared" ca="1" si="24"/>
        <v>6750</v>
      </c>
      <c r="G56" s="42">
        <f t="shared" ca="1" si="24"/>
        <v>9000</v>
      </c>
      <c r="H56" s="42">
        <f t="shared" ca="1" si="24"/>
        <v>11250</v>
      </c>
      <c r="I56" s="42">
        <f t="shared" ca="1" si="24"/>
        <v>13500</v>
      </c>
      <c r="J56" s="42">
        <f t="shared" ca="1" si="24"/>
        <v>15750</v>
      </c>
      <c r="K56" s="42">
        <f t="shared" ca="1" si="24"/>
        <v>18000</v>
      </c>
      <c r="L56" s="42">
        <f t="shared" ca="1" si="24"/>
        <v>20250</v>
      </c>
      <c r="M56" s="42">
        <f t="shared" ca="1" si="24"/>
        <v>22500</v>
      </c>
      <c r="N56" s="42">
        <f t="shared" ca="1" si="21"/>
        <v>0</v>
      </c>
      <c r="O56" s="42">
        <f t="shared" ca="1" si="22"/>
        <v>5</v>
      </c>
    </row>
    <row r="57" spans="2:15" x14ac:dyDescent="0.45">
      <c r="B57" s="26" t="s">
        <v>226</v>
      </c>
      <c r="C57" s="27" t="s">
        <v>115</v>
      </c>
      <c r="D57" s="42">
        <f t="shared" ca="1" si="19"/>
        <v>2250</v>
      </c>
      <c r="E57" s="42">
        <f t="shared" ref="E57:M57" ca="1" si="25">D57+MIN(E21,ReplAge)</f>
        <v>4500</v>
      </c>
      <c r="F57" s="42">
        <f t="shared" ca="1" si="25"/>
        <v>6750</v>
      </c>
      <c r="G57" s="42">
        <f t="shared" ca="1" si="25"/>
        <v>9000</v>
      </c>
      <c r="H57" s="42">
        <f t="shared" ca="1" si="25"/>
        <v>11250</v>
      </c>
      <c r="I57" s="42">
        <f t="shared" ca="1" si="25"/>
        <v>13500</v>
      </c>
      <c r="J57" s="42">
        <f t="shared" ca="1" si="25"/>
        <v>15750</v>
      </c>
      <c r="K57" s="42">
        <f t="shared" ca="1" si="25"/>
        <v>18000</v>
      </c>
      <c r="L57" s="42">
        <f t="shared" ca="1" si="25"/>
        <v>20250</v>
      </c>
      <c r="M57" s="42">
        <f t="shared" ca="1" si="25"/>
        <v>22500</v>
      </c>
      <c r="N57" s="42">
        <f t="shared" ca="1" si="21"/>
        <v>0</v>
      </c>
      <c r="O57" s="42">
        <f t="shared" ca="1" si="22"/>
        <v>5</v>
      </c>
    </row>
    <row r="58" spans="2:15" x14ac:dyDescent="0.45">
      <c r="B58" s="26" t="s">
        <v>227</v>
      </c>
      <c r="C58" s="27" t="s">
        <v>115</v>
      </c>
      <c r="D58" s="42">
        <f t="shared" ca="1" si="19"/>
        <v>2250</v>
      </c>
      <c r="E58" s="42">
        <f t="shared" ref="E58:M58" ca="1" si="26">D58+MIN(E22,ReplAge)</f>
        <v>4500</v>
      </c>
      <c r="F58" s="42">
        <f t="shared" ca="1" si="26"/>
        <v>6750</v>
      </c>
      <c r="G58" s="42">
        <f t="shared" ca="1" si="26"/>
        <v>9000</v>
      </c>
      <c r="H58" s="42">
        <f t="shared" ca="1" si="26"/>
        <v>11250</v>
      </c>
      <c r="I58" s="42">
        <f t="shared" ca="1" si="26"/>
        <v>13500</v>
      </c>
      <c r="J58" s="42">
        <f t="shared" ca="1" si="26"/>
        <v>15750</v>
      </c>
      <c r="K58" s="42">
        <f t="shared" ca="1" si="26"/>
        <v>18000</v>
      </c>
      <c r="L58" s="42">
        <f t="shared" ca="1" si="26"/>
        <v>20250</v>
      </c>
      <c r="M58" s="42">
        <f t="shared" ca="1" si="26"/>
        <v>22500</v>
      </c>
      <c r="N58" s="42">
        <f t="shared" ca="1" si="21"/>
        <v>0</v>
      </c>
      <c r="O58" s="42">
        <f t="shared" ca="1" si="22"/>
        <v>5</v>
      </c>
    </row>
    <row r="59" spans="2:15" x14ac:dyDescent="0.45">
      <c r="B59" s="26" t="s">
        <v>228</v>
      </c>
      <c r="C59" s="27" t="s">
        <v>115</v>
      </c>
      <c r="D59" s="42">
        <f t="shared" ca="1" si="19"/>
        <v>2250</v>
      </c>
      <c r="E59" s="42">
        <f t="shared" ref="E59:M59" ca="1" si="27">D59+MIN(E23,ReplAge)</f>
        <v>4500</v>
      </c>
      <c r="F59" s="42">
        <f t="shared" ca="1" si="27"/>
        <v>6750</v>
      </c>
      <c r="G59" s="42">
        <f t="shared" ca="1" si="27"/>
        <v>9000</v>
      </c>
      <c r="H59" s="42">
        <f t="shared" ca="1" si="27"/>
        <v>11250</v>
      </c>
      <c r="I59" s="42">
        <f t="shared" ca="1" si="27"/>
        <v>13500</v>
      </c>
      <c r="J59" s="42">
        <f t="shared" ca="1" si="27"/>
        <v>15750</v>
      </c>
      <c r="K59" s="42">
        <f t="shared" ca="1" si="27"/>
        <v>18000</v>
      </c>
      <c r="L59" s="42">
        <f t="shared" ca="1" si="27"/>
        <v>19070.691710708095</v>
      </c>
      <c r="M59" s="42">
        <f t="shared" ca="1" si="27"/>
        <v>21320.691710708095</v>
      </c>
      <c r="N59" s="42">
        <f t="shared" ca="1" si="21"/>
        <v>0</v>
      </c>
      <c r="O59" s="42">
        <f t="shared" ca="1" si="22"/>
        <v>5</v>
      </c>
    </row>
    <row r="60" spans="2:15" x14ac:dyDescent="0.45">
      <c r="B60" s="26" t="s">
        <v>229</v>
      </c>
      <c r="C60" s="27" t="s">
        <v>115</v>
      </c>
      <c r="D60" s="42">
        <f t="shared" ca="1" si="19"/>
        <v>2250</v>
      </c>
      <c r="E60" s="42">
        <f t="shared" ref="E60:M60" ca="1" si="28">D60+MIN(E24,ReplAge)</f>
        <v>4500</v>
      </c>
      <c r="F60" s="42">
        <f t="shared" ca="1" si="28"/>
        <v>6750</v>
      </c>
      <c r="G60" s="42">
        <f t="shared" ca="1" si="28"/>
        <v>9000</v>
      </c>
      <c r="H60" s="42">
        <f t="shared" ca="1" si="28"/>
        <v>11250</v>
      </c>
      <c r="I60" s="42">
        <f t="shared" ca="1" si="28"/>
        <v>13500</v>
      </c>
      <c r="J60" s="42">
        <f t="shared" ca="1" si="28"/>
        <v>15750</v>
      </c>
      <c r="K60" s="42">
        <f t="shared" ca="1" si="28"/>
        <v>18000</v>
      </c>
      <c r="L60" s="42">
        <f t="shared" ca="1" si="28"/>
        <v>20250</v>
      </c>
      <c r="M60" s="42">
        <f t="shared" ca="1" si="28"/>
        <v>22500</v>
      </c>
      <c r="N60" s="42">
        <f t="shared" ca="1" si="21"/>
        <v>0</v>
      </c>
      <c r="O60" s="42">
        <f t="shared" ca="1" si="22"/>
        <v>5</v>
      </c>
    </row>
    <row r="61" spans="2:15" x14ac:dyDescent="0.45">
      <c r="B61" s="26" t="s">
        <v>230</v>
      </c>
      <c r="C61" s="27" t="s">
        <v>115</v>
      </c>
      <c r="D61" s="42">
        <f t="shared" ca="1" si="19"/>
        <v>2250</v>
      </c>
      <c r="E61" s="42">
        <f t="shared" ref="E61:M61" ca="1" si="29">D61+MIN(E25,ReplAge)</f>
        <v>4500</v>
      </c>
      <c r="F61" s="42">
        <f t="shared" ca="1" si="29"/>
        <v>6090.7845454438384</v>
      </c>
      <c r="G61" s="42">
        <f t="shared" ca="1" si="29"/>
        <v>8340.7845454438393</v>
      </c>
      <c r="H61" s="42">
        <f t="shared" ca="1" si="29"/>
        <v>10590.784545443839</v>
      </c>
      <c r="I61" s="42">
        <f t="shared" ca="1" si="29"/>
        <v>12840.784545443839</v>
      </c>
      <c r="J61" s="42">
        <f t="shared" ca="1" si="29"/>
        <v>15090.784545443839</v>
      </c>
      <c r="K61" s="42">
        <f t="shared" ca="1" si="29"/>
        <v>17340.784545443839</v>
      </c>
      <c r="L61" s="42">
        <f t="shared" ca="1" si="29"/>
        <v>19590.784545443839</v>
      </c>
      <c r="M61" s="42">
        <f t="shared" ca="1" si="29"/>
        <v>21840.784545443839</v>
      </c>
      <c r="N61" s="42">
        <f t="shared" ca="1" si="21"/>
        <v>1</v>
      </c>
      <c r="O61" s="42">
        <f t="shared" ca="1" si="22"/>
        <v>4</v>
      </c>
    </row>
    <row r="62" spans="2:15" x14ac:dyDescent="0.45">
      <c r="B62" s="50" t="s">
        <v>235</v>
      </c>
      <c r="C62" s="51"/>
      <c r="D62" s="51"/>
      <c r="E62" s="51"/>
      <c r="F62" s="51"/>
      <c r="G62" s="51"/>
      <c r="H62" s="51"/>
      <c r="I62" s="51"/>
      <c r="J62" s="51"/>
      <c r="K62" s="51"/>
      <c r="L62" s="51"/>
      <c r="M62" s="51"/>
      <c r="N62" s="52">
        <f ca="1">SUM(N54:N61)</f>
        <v>1</v>
      </c>
      <c r="O62" s="52">
        <f ca="1">SUM(O54:O61)</f>
        <v>39</v>
      </c>
    </row>
    <row r="63" spans="2:15" ht="6" customHeight="1" x14ac:dyDescent="0.45"/>
    <row r="64" spans="2:15" ht="18" customHeight="1" x14ac:dyDescent="0.45">
      <c r="B64" s="35" t="s">
        <v>236</v>
      </c>
      <c r="C64" s="5"/>
      <c r="D64" s="36" t="s">
        <v>213</v>
      </c>
      <c r="E64" s="36" t="s">
        <v>214</v>
      </c>
      <c r="F64" s="36" t="s">
        <v>215</v>
      </c>
      <c r="G64" s="36" t="s">
        <v>216</v>
      </c>
      <c r="H64" s="36" t="s">
        <v>217</v>
      </c>
      <c r="I64" s="36" t="s">
        <v>218</v>
      </c>
      <c r="J64" s="36" t="s">
        <v>219</v>
      </c>
      <c r="K64" s="36" t="s">
        <v>220</v>
      </c>
      <c r="L64" s="36" t="s">
        <v>221</v>
      </c>
      <c r="M64" s="36" t="s">
        <v>222</v>
      </c>
      <c r="N64" s="5"/>
      <c r="O64" s="5"/>
    </row>
    <row r="65" spans="2:15" x14ac:dyDescent="0.45">
      <c r="B65" s="26" t="s">
        <v>223</v>
      </c>
      <c r="C65" s="27" t="s">
        <v>237</v>
      </c>
      <c r="D65" s="53">
        <f t="shared" ref="D65:M65" ca="1" si="30">IF(AND(D18&lt;ReplAge,D54&lt;=Horizon),COUNTIFS(E_Plan,"&gt;"&amp;(D54-HLead),E_Plan,"&lt;="&amp;D54,Life,"&lt;"&amp;ReplAge),0)</f>
        <v>0</v>
      </c>
      <c r="E65" s="53">
        <f t="shared" ca="1" si="30"/>
        <v>0</v>
      </c>
      <c r="F65" s="53">
        <f t="shared" ca="1" si="30"/>
        <v>0</v>
      </c>
      <c r="G65" s="53">
        <f t="shared" ca="1" si="30"/>
        <v>0</v>
      </c>
      <c r="H65" s="53">
        <f t="shared" ca="1" si="30"/>
        <v>0</v>
      </c>
      <c r="I65" s="53">
        <f t="shared" ca="1" si="30"/>
        <v>0</v>
      </c>
      <c r="J65" s="53">
        <f t="shared" ca="1" si="30"/>
        <v>0</v>
      </c>
      <c r="K65" s="53">
        <f t="shared" ca="1" si="30"/>
        <v>0</v>
      </c>
      <c r="L65" s="53">
        <f t="shared" ca="1" si="30"/>
        <v>0</v>
      </c>
      <c r="M65" s="53">
        <f t="shared" ca="1" si="30"/>
        <v>0</v>
      </c>
      <c r="N65" s="29"/>
      <c r="O65" s="29"/>
    </row>
    <row r="66" spans="2:15" x14ac:dyDescent="0.45">
      <c r="B66" s="26" t="s">
        <v>224</v>
      </c>
      <c r="C66" s="27" t="s">
        <v>237</v>
      </c>
      <c r="D66" s="53">
        <f t="shared" ref="D66:M66" ca="1" si="31">IF(AND(D19&lt;ReplAge,D55&lt;=Horizon),COUNTIFS(E_Plan,"&gt;"&amp;(D55-HLead),E_Plan,"&lt;="&amp;D55,Life,"&lt;"&amp;ReplAge),0)</f>
        <v>0</v>
      </c>
      <c r="E66" s="53">
        <f t="shared" ca="1" si="31"/>
        <v>0</v>
      </c>
      <c r="F66" s="53">
        <f t="shared" ca="1" si="31"/>
        <v>0</v>
      </c>
      <c r="G66" s="53">
        <f t="shared" ca="1" si="31"/>
        <v>0</v>
      </c>
      <c r="H66" s="53">
        <f t="shared" ca="1" si="31"/>
        <v>0</v>
      </c>
      <c r="I66" s="53">
        <f t="shared" ca="1" si="31"/>
        <v>0</v>
      </c>
      <c r="J66" s="53">
        <f t="shared" ca="1" si="31"/>
        <v>0</v>
      </c>
      <c r="K66" s="53">
        <f t="shared" ca="1" si="31"/>
        <v>0</v>
      </c>
      <c r="L66" s="53">
        <f t="shared" ca="1" si="31"/>
        <v>0</v>
      </c>
      <c r="M66" s="53">
        <f t="shared" ca="1" si="31"/>
        <v>0</v>
      </c>
      <c r="N66" s="29"/>
      <c r="O66" s="29"/>
    </row>
    <row r="67" spans="2:15" x14ac:dyDescent="0.45">
      <c r="B67" s="26" t="s">
        <v>225</v>
      </c>
      <c r="C67" s="27" t="s">
        <v>237</v>
      </c>
      <c r="D67" s="53">
        <f t="shared" ref="D67:M67" ca="1" si="32">IF(AND(D20&lt;ReplAge,D56&lt;=Horizon),COUNTIFS(E_Plan,"&gt;"&amp;(D56-HLead),E_Plan,"&lt;="&amp;D56,Life,"&lt;"&amp;ReplAge),0)</f>
        <v>0</v>
      </c>
      <c r="E67" s="53">
        <f t="shared" ca="1" si="32"/>
        <v>0</v>
      </c>
      <c r="F67" s="53">
        <f t="shared" ca="1" si="32"/>
        <v>0</v>
      </c>
      <c r="G67" s="53">
        <f t="shared" ca="1" si="32"/>
        <v>0</v>
      </c>
      <c r="H67" s="53">
        <f t="shared" ca="1" si="32"/>
        <v>0</v>
      </c>
      <c r="I67" s="53">
        <f t="shared" ca="1" si="32"/>
        <v>0</v>
      </c>
      <c r="J67" s="53">
        <f t="shared" ca="1" si="32"/>
        <v>0</v>
      </c>
      <c r="K67" s="53">
        <f t="shared" ca="1" si="32"/>
        <v>0</v>
      </c>
      <c r="L67" s="53">
        <f t="shared" ca="1" si="32"/>
        <v>0</v>
      </c>
      <c r="M67" s="53">
        <f t="shared" ca="1" si="32"/>
        <v>0</v>
      </c>
      <c r="N67" s="29"/>
      <c r="O67" s="29"/>
    </row>
    <row r="68" spans="2:15" x14ac:dyDescent="0.45">
      <c r="B68" s="26" t="s">
        <v>226</v>
      </c>
      <c r="C68" s="27" t="s">
        <v>237</v>
      </c>
      <c r="D68" s="53">
        <f t="shared" ref="D68:M68" ca="1" si="33">IF(AND(D21&lt;ReplAge,D57&lt;=Horizon),COUNTIFS(E_Plan,"&gt;"&amp;(D57-HLead),E_Plan,"&lt;="&amp;D57,Life,"&lt;"&amp;ReplAge),0)</f>
        <v>0</v>
      </c>
      <c r="E68" s="53">
        <f t="shared" ca="1" si="33"/>
        <v>0</v>
      </c>
      <c r="F68" s="53">
        <f t="shared" ca="1" si="33"/>
        <v>0</v>
      </c>
      <c r="G68" s="53">
        <f t="shared" ca="1" si="33"/>
        <v>0</v>
      </c>
      <c r="H68" s="53">
        <f t="shared" ca="1" si="33"/>
        <v>0</v>
      </c>
      <c r="I68" s="53">
        <f t="shared" ca="1" si="33"/>
        <v>0</v>
      </c>
      <c r="J68" s="53">
        <f t="shared" ca="1" si="33"/>
        <v>0</v>
      </c>
      <c r="K68" s="53">
        <f t="shared" ca="1" si="33"/>
        <v>0</v>
      </c>
      <c r="L68" s="53">
        <f t="shared" ca="1" si="33"/>
        <v>0</v>
      </c>
      <c r="M68" s="53">
        <f t="shared" ca="1" si="33"/>
        <v>0</v>
      </c>
      <c r="N68" s="29"/>
      <c r="O68" s="29"/>
    </row>
    <row r="69" spans="2:15" x14ac:dyDescent="0.45">
      <c r="B69" s="26" t="s">
        <v>227</v>
      </c>
      <c r="C69" s="27" t="s">
        <v>237</v>
      </c>
      <c r="D69" s="53">
        <f t="shared" ref="D69:M69" ca="1" si="34">IF(AND(D22&lt;ReplAge,D58&lt;=Horizon),COUNTIFS(E_Plan,"&gt;"&amp;(D58-HLead),E_Plan,"&lt;="&amp;D58,Life,"&lt;"&amp;ReplAge),0)</f>
        <v>0</v>
      </c>
      <c r="E69" s="53">
        <f t="shared" ca="1" si="34"/>
        <v>0</v>
      </c>
      <c r="F69" s="53">
        <f t="shared" ca="1" si="34"/>
        <v>0</v>
      </c>
      <c r="G69" s="53">
        <f t="shared" ca="1" si="34"/>
        <v>0</v>
      </c>
      <c r="H69" s="53">
        <f t="shared" ca="1" si="34"/>
        <v>0</v>
      </c>
      <c r="I69" s="53">
        <f t="shared" ca="1" si="34"/>
        <v>0</v>
      </c>
      <c r="J69" s="53">
        <f t="shared" ca="1" si="34"/>
        <v>0</v>
      </c>
      <c r="K69" s="53">
        <f t="shared" ca="1" si="34"/>
        <v>0</v>
      </c>
      <c r="L69" s="53">
        <f t="shared" ca="1" si="34"/>
        <v>0</v>
      </c>
      <c r="M69" s="53">
        <f t="shared" ca="1" si="34"/>
        <v>0</v>
      </c>
      <c r="N69" s="29"/>
      <c r="O69" s="29"/>
    </row>
    <row r="70" spans="2:15" x14ac:dyDescent="0.45">
      <c r="B70" s="26" t="s">
        <v>228</v>
      </c>
      <c r="C70" s="27" t="s">
        <v>237</v>
      </c>
      <c r="D70" s="53">
        <f t="shared" ref="D70:M70" ca="1" si="35">IF(AND(D23&lt;ReplAge,D59&lt;=Horizon),COUNTIFS(E_Plan,"&gt;"&amp;(D59-HLead),E_Plan,"&lt;="&amp;D59,Life,"&lt;"&amp;ReplAge),0)</f>
        <v>0</v>
      </c>
      <c r="E70" s="53">
        <f t="shared" ca="1" si="35"/>
        <v>0</v>
      </c>
      <c r="F70" s="53">
        <f t="shared" ca="1" si="35"/>
        <v>0</v>
      </c>
      <c r="G70" s="53">
        <f t="shared" ca="1" si="35"/>
        <v>0</v>
      </c>
      <c r="H70" s="53">
        <f t="shared" ca="1" si="35"/>
        <v>0</v>
      </c>
      <c r="I70" s="53">
        <f t="shared" ca="1" si="35"/>
        <v>0</v>
      </c>
      <c r="J70" s="53">
        <f t="shared" ca="1" si="35"/>
        <v>0</v>
      </c>
      <c r="K70" s="53">
        <f t="shared" ca="1" si="35"/>
        <v>0</v>
      </c>
      <c r="L70" s="53">
        <f t="shared" ca="1" si="35"/>
        <v>0</v>
      </c>
      <c r="M70" s="53">
        <f t="shared" ca="1" si="35"/>
        <v>0</v>
      </c>
      <c r="N70" s="29"/>
      <c r="O70" s="29"/>
    </row>
    <row r="71" spans="2:15" x14ac:dyDescent="0.45">
      <c r="B71" s="26" t="s">
        <v>229</v>
      </c>
      <c r="C71" s="27" t="s">
        <v>237</v>
      </c>
      <c r="D71" s="53">
        <f t="shared" ref="D71:M71" ca="1" si="36">IF(AND(D24&lt;ReplAge,D60&lt;=Horizon),COUNTIFS(E_Plan,"&gt;"&amp;(D60-HLead),E_Plan,"&lt;="&amp;D60,Life,"&lt;"&amp;ReplAge),0)</f>
        <v>0</v>
      </c>
      <c r="E71" s="53">
        <f t="shared" ca="1" si="36"/>
        <v>0</v>
      </c>
      <c r="F71" s="53">
        <f t="shared" ca="1" si="36"/>
        <v>0</v>
      </c>
      <c r="G71" s="53">
        <f t="shared" ca="1" si="36"/>
        <v>0</v>
      </c>
      <c r="H71" s="53">
        <f t="shared" ca="1" si="36"/>
        <v>0</v>
      </c>
      <c r="I71" s="53">
        <f t="shared" ca="1" si="36"/>
        <v>0</v>
      </c>
      <c r="J71" s="53">
        <f t="shared" ca="1" si="36"/>
        <v>0</v>
      </c>
      <c r="K71" s="53">
        <f t="shared" ca="1" si="36"/>
        <v>0</v>
      </c>
      <c r="L71" s="53">
        <f t="shared" ca="1" si="36"/>
        <v>0</v>
      </c>
      <c r="M71" s="53">
        <f t="shared" ca="1" si="36"/>
        <v>0</v>
      </c>
      <c r="N71" s="29"/>
      <c r="O71" s="29"/>
    </row>
    <row r="72" spans="2:15" x14ac:dyDescent="0.45">
      <c r="B72" s="26" t="s">
        <v>230</v>
      </c>
      <c r="C72" s="27" t="s">
        <v>237</v>
      </c>
      <c r="D72" s="53">
        <f t="shared" ref="D72:M72" ca="1" si="37">IF(AND(D25&lt;ReplAge,D61&lt;=Horizon),COUNTIFS(E_Plan,"&gt;"&amp;(D61-HLead),E_Plan,"&lt;="&amp;D61,Life,"&lt;"&amp;ReplAge),0)</f>
        <v>0</v>
      </c>
      <c r="E72" s="53">
        <f t="shared" ca="1" si="37"/>
        <v>0</v>
      </c>
      <c r="F72" s="53">
        <f t="shared" ca="1" si="37"/>
        <v>1</v>
      </c>
      <c r="G72" s="53">
        <f t="shared" ca="1" si="37"/>
        <v>0</v>
      </c>
      <c r="H72" s="53">
        <f t="shared" ca="1" si="37"/>
        <v>0</v>
      </c>
      <c r="I72" s="53">
        <f t="shared" ca="1" si="37"/>
        <v>0</v>
      </c>
      <c r="J72" s="53">
        <f t="shared" ca="1" si="37"/>
        <v>0</v>
      </c>
      <c r="K72" s="53">
        <f t="shared" ca="1" si="37"/>
        <v>0</v>
      </c>
      <c r="L72" s="53">
        <f t="shared" ca="1" si="37"/>
        <v>0</v>
      </c>
      <c r="M72" s="53">
        <f t="shared" ca="1" si="37"/>
        <v>0</v>
      </c>
      <c r="N72" s="29"/>
      <c r="O72" s="29"/>
    </row>
    <row r="73" spans="2:15" x14ac:dyDescent="0.45">
      <c r="B73" s="54" t="s">
        <v>238</v>
      </c>
    </row>
    <row r="74" spans="2:15" ht="8" customHeight="1" x14ac:dyDescent="0.45"/>
    <row r="75" spans="2:15" ht="22.05" customHeight="1" x14ac:dyDescent="0.5">
      <c r="B75" s="7" t="s">
        <v>240</v>
      </c>
      <c r="C75" s="8"/>
      <c r="D75" s="8"/>
      <c r="E75" s="8"/>
      <c r="F75" s="8"/>
      <c r="G75" s="8"/>
      <c r="H75" s="8"/>
      <c r="I75" s="8"/>
      <c r="J75" s="8"/>
      <c r="K75" s="8"/>
      <c r="L75" s="8"/>
      <c r="M75" s="8"/>
      <c r="N75" s="8"/>
      <c r="O75" s="8"/>
    </row>
    <row r="76" spans="2:15" ht="18" customHeight="1" x14ac:dyDescent="0.45">
      <c r="B76" s="13" t="s">
        <v>241</v>
      </c>
    </row>
    <row r="77" spans="2:15" ht="18" customHeight="1" x14ac:dyDescent="0.45">
      <c r="B77" s="35" t="s">
        <v>242</v>
      </c>
      <c r="C77" s="5"/>
      <c r="D77" s="55" t="s">
        <v>233</v>
      </c>
      <c r="E77" s="55" t="s">
        <v>234</v>
      </c>
      <c r="F77" s="55" t="s">
        <v>243</v>
      </c>
      <c r="G77" s="55" t="s">
        <v>244</v>
      </c>
      <c r="H77" s="55" t="s">
        <v>245</v>
      </c>
      <c r="I77" s="55" t="s">
        <v>246</v>
      </c>
      <c r="J77" s="5"/>
      <c r="K77" s="5"/>
      <c r="L77" s="5"/>
      <c r="M77" s="5"/>
      <c r="N77" s="5"/>
      <c r="O77" s="5"/>
    </row>
    <row r="78" spans="2:15" x14ac:dyDescent="0.45">
      <c r="D78" s="56" t="s">
        <v>247</v>
      </c>
      <c r="E78" s="56" t="s">
        <v>247</v>
      </c>
      <c r="F78" s="56" t="s">
        <v>237</v>
      </c>
      <c r="G78" s="56" t="s">
        <v>115</v>
      </c>
      <c r="H78" s="56" t="s">
        <v>248</v>
      </c>
      <c r="I78" s="56" t="s">
        <v>126</v>
      </c>
    </row>
    <row r="79" spans="2:15" x14ac:dyDescent="0.45">
      <c r="B79" s="26" t="s">
        <v>157</v>
      </c>
      <c r="C79" s="29"/>
      <c r="D79" s="57" cm="1">
        <f t="array" aca="1" ref="D79" ca="1">_xll.VoseOutput("Failures, starting plan","failures")+NFail_Start</f>
        <v>2</v>
      </c>
      <c r="E79" s="57" cm="1">
        <f t="array" aca="1" ref="E79" ca="1">_xll.VoseOutput("Planned replacements, starting plan","replacements")+NPlan_Start</f>
        <v>22</v>
      </c>
      <c r="F79" s="57" cm="1">
        <f t="array" aca="1" ref="F79" ca="1">_xll.VoseOutput("Failures that find no kit, starting plan","failures")+COUNTIF(W_Start,"&gt;"&amp;Kits_Start)</f>
        <v>0</v>
      </c>
      <c r="G79" s="57" cm="1">
        <f t="array" aca="1" ref="G79" ca="1">_xll.VoseOutput("Machine-hours lost, starting plan","hours")+D79*DownFail+F79*WaitHours</f>
        <v>24</v>
      </c>
      <c r="H79" s="58" cm="1">
        <f t="array" aca="1" ref="H79" ca="1">_xll.VoseOutput("More hours lost than promised, starting plan","0 or 1")+IF(G79&gt;HoursCap,1,0)</f>
        <v>0</v>
      </c>
      <c r="I79" s="59" cm="1">
        <f t="array" aca="1" ref="I79" ca="1">_xll.VoseOutput("Two-year cost, starting plan","US$k")+D79*CostFail+E79*CostPlan+F79*CostWait+Kits_Start*HoldKit</f>
        <v>133.75</v>
      </c>
      <c r="J79" s="29"/>
      <c r="K79" s="29"/>
      <c r="L79" s="29"/>
      <c r="M79" s="29"/>
      <c r="N79" s="29"/>
      <c r="O79" s="29"/>
    </row>
    <row r="80" spans="2:15" x14ac:dyDescent="0.45">
      <c r="B80" s="26" t="s">
        <v>156</v>
      </c>
      <c r="C80" s="29"/>
      <c r="D80" s="57" cm="1">
        <f t="array" aca="1" ref="D80" ca="1">_xll.VoseOutput("Failures, plan in use","failures")+NFail_Plan</f>
        <v>1</v>
      </c>
      <c r="E80" s="57" cm="1">
        <f t="array" aca="1" ref="E80" ca="1">_xll.VoseOutput("Planned replacements, plan in use","replacements")+NPlan_Plan</f>
        <v>39</v>
      </c>
      <c r="F80" s="57" cm="1">
        <f t="array" aca="1" ref="F80" ca="1">_xll.VoseOutput("Failures that find no kit, plan in use","failures")+COUNTIF(W_Plan,"&gt;"&amp;Kits)</f>
        <v>0</v>
      </c>
      <c r="G80" s="57" cm="1">
        <f t="array" aca="1" ref="G80" ca="1">_xll.VoseOutput("Machine-hours lost, plan in use","hours")+D80*DownFail+F80*WaitHours</f>
        <v>12</v>
      </c>
      <c r="H80" s="58" cm="1">
        <f t="array" aca="1" ref="H80" ca="1">_xll.VoseOutput("More hours lost than promised, plan in use","0 or 1")+IF(G80&gt;HoursCap,1,0)</f>
        <v>0</v>
      </c>
      <c r="I80" s="59" cm="1">
        <f t="array" aca="1" ref="I80" ca="1">_xll.VoseOutput("Two-year cost, plan in use","US$k")+D80*CostFail+E80*CostPlan+F80*CostWait+Kits*HoldKit</f>
        <v>180.75</v>
      </c>
      <c r="J80" s="29"/>
      <c r="K80" s="29"/>
      <c r="L80" s="29"/>
      <c r="M80" s="29"/>
      <c r="N80" s="29"/>
      <c r="O80" s="29"/>
    </row>
    <row r="81" spans="2:15" x14ac:dyDescent="0.45">
      <c r="B81" s="54" t="s">
        <v>249</v>
      </c>
    </row>
    <row r="82" spans="2:15" x14ac:dyDescent="0.45">
      <c r="B82" s="54" t="s">
        <v>250</v>
      </c>
    </row>
    <row r="83" spans="2:15" ht="8" customHeight="1" x14ac:dyDescent="0.45"/>
    <row r="84" spans="2:15" ht="22.05" customHeight="1" x14ac:dyDescent="0.5">
      <c r="B84" s="7" t="s">
        <v>251</v>
      </c>
      <c r="C84" s="8"/>
      <c r="D84" s="8"/>
      <c r="E84" s="8"/>
      <c r="F84" s="8"/>
      <c r="G84" s="8"/>
      <c r="H84" s="8"/>
      <c r="I84" s="8"/>
      <c r="J84" s="8"/>
      <c r="K84" s="8"/>
      <c r="L84" s="8"/>
      <c r="M84" s="8"/>
      <c r="N84" s="8"/>
      <c r="O84" s="8"/>
    </row>
    <row r="85" spans="2:15" ht="18" customHeight="1" x14ac:dyDescent="0.45">
      <c r="B85" s="13" t="s">
        <v>252</v>
      </c>
    </row>
    <row r="86" spans="2:15" x14ac:dyDescent="0.45">
      <c r="B86" s="26" t="s">
        <v>253</v>
      </c>
      <c r="C86" s="29"/>
      <c r="D86" s="60" t="str">
        <f ca="1">IF(MIN(INDEX(E_Start,0,10),INDEX(E_Plan,0,10))&gt;Horizon,"OK","CHECK")</f>
        <v>OK</v>
      </c>
      <c r="E86" s="29"/>
      <c r="F86" s="29"/>
      <c r="G86" s="29"/>
      <c r="H86" s="29"/>
      <c r="I86" s="29"/>
      <c r="J86" s="29"/>
      <c r="K86" s="29"/>
      <c r="L86" s="29"/>
      <c r="M86" s="29"/>
      <c r="N86" s="29"/>
      <c r="O86" s="29"/>
    </row>
    <row r="87" spans="2:15" x14ac:dyDescent="0.45">
      <c r="B87" s="26" t="s">
        <v>254</v>
      </c>
      <c r="C87" s="29"/>
      <c r="D87" s="60" t="str">
        <f>IF(AND(ReplAge&gt;=ReplAge_Lo,ReplAge&lt;=ReplAge_Hi,ReplAge_Start&gt;=ReplAge_Lo,ReplAge_Start&lt;=ReplAge_Hi,Kits&gt;=Kits_Lo,Kits&lt;=Kits_Hi,Kits_Start&gt;=Kits_Lo,Kits_Start&lt;=Kits_Hi),"OK","CHECK")</f>
        <v>OK</v>
      </c>
      <c r="E87" s="29"/>
      <c r="F87" s="29"/>
      <c r="G87" s="29"/>
      <c r="H87" s="29"/>
      <c r="I87" s="29"/>
      <c r="J87" s="29"/>
      <c r="K87" s="29"/>
      <c r="L87" s="29"/>
      <c r="M87" s="29"/>
      <c r="N87" s="29"/>
      <c r="O87" s="29"/>
    </row>
    <row r="88" spans="2:15" x14ac:dyDescent="0.45">
      <c r="B88" s="26" t="s">
        <v>255</v>
      </c>
      <c r="C88" s="29"/>
      <c r="D88" s="60" t="str">
        <f>IF(AND(Kits=INT(Kits),Kits_Start=INT(Kits_Start)),"OK","CHECK")</f>
        <v>OK</v>
      </c>
      <c r="E88" s="29"/>
      <c r="F88" s="29"/>
      <c r="G88" s="29"/>
      <c r="H88" s="29"/>
      <c r="I88" s="29"/>
      <c r="J88" s="29"/>
      <c r="K88" s="29"/>
      <c r="L88" s="29"/>
      <c r="M88" s="29"/>
      <c r="N88" s="29"/>
      <c r="O88" s="29"/>
    </row>
    <row r="89" spans="2:15" ht="14" customHeight="1" x14ac:dyDescent="0.45"/>
  </sheetData>
  <conditionalFormatting sqref="D86:D88">
    <cfRule type="expression" dxfId="3" priority="1">
      <formula>D86="CHECK"</formula>
    </cfRule>
  </conditionalFormatting>
  <hyperlinks>
    <hyperlink ref="B4" location="'Decisions'!A1" display="◂  Decisions" xr:uid="{00000000-0004-0000-0300-000000000000}"/>
    <hyperlink ref="O4" location="'Results'!A1" display="Next:  Results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3" manualBreakCount="3">
    <brk id="26" max="16383" man="1"/>
    <brk id="50" max="16383" man="1"/>
    <brk id="7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0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256</v>
      </c>
      <c r="C3" s="1"/>
      <c r="D3" s="1"/>
      <c r="E3" s="1"/>
      <c r="F3" s="1"/>
      <c r="G3" s="1"/>
      <c r="H3" s="1"/>
      <c r="I3" s="1"/>
      <c r="J3" s="1"/>
      <c r="K3" s="1"/>
      <c r="L3" s="1"/>
      <c r="M3" s="1"/>
      <c r="N3" s="1"/>
      <c r="O3" s="1"/>
      <c r="P3" s="1"/>
      <c r="Q3" s="1"/>
      <c r="R3" s="1"/>
    </row>
    <row r="4" spans="1:18" ht="20" customHeight="1" x14ac:dyDescent="0.45">
      <c r="A4" s="5"/>
      <c r="B4" s="23" t="s">
        <v>257</v>
      </c>
      <c r="C4" s="5"/>
      <c r="D4" s="5"/>
      <c r="E4" s="5"/>
      <c r="F4" s="5"/>
      <c r="G4" s="5"/>
      <c r="H4" s="5"/>
      <c r="I4" s="5"/>
      <c r="J4" s="5"/>
      <c r="K4" s="5"/>
      <c r="L4" s="5"/>
      <c r="M4" s="5"/>
      <c r="N4" s="5"/>
      <c r="O4" s="5"/>
      <c r="P4" s="5"/>
      <c r="Q4" s="5"/>
      <c r="R4" s="5"/>
    </row>
    <row r="5" spans="1:18" ht="8" customHeight="1" x14ac:dyDescent="0.45"/>
    <row r="6" spans="1:18" ht="26" customHeight="1" x14ac:dyDescent="0.45">
      <c r="B6" s="61" t="str" cm="1">
        <f t="array" aca="1" ref="B6" ca="1">IF(ISNUMBER(_xll.VoseSimMean(Out_Cost_Plan)),"✔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2"/>
      <c r="D6" s="62"/>
      <c r="E6" s="62"/>
      <c r="F6" s="62"/>
      <c r="G6" s="62"/>
    </row>
    <row r="7" spans="1:18" x14ac:dyDescent="0.45">
      <c r="B7" s="63"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258</v>
      </c>
      <c r="C9" s="8"/>
      <c r="D9" s="8"/>
      <c r="E9" s="8"/>
      <c r="F9" s="8"/>
      <c r="G9" s="8"/>
      <c r="I9" s="64" t="s">
        <v>259</v>
      </c>
      <c r="J9" s="8"/>
      <c r="K9" s="8"/>
      <c r="L9" s="8"/>
      <c r="M9" s="8"/>
      <c r="N9" s="8"/>
      <c r="O9" s="8"/>
      <c r="P9" s="8"/>
      <c r="Q9" s="8"/>
      <c r="R9" s="8"/>
    </row>
    <row r="10" spans="1:18" ht="18" customHeight="1" x14ac:dyDescent="0.45">
      <c r="B10" s="13" t="s">
        <v>260</v>
      </c>
    </row>
    <row r="11" spans="1:18" ht="18" customHeight="1" x14ac:dyDescent="0.45">
      <c r="B11" s="24" t="s">
        <v>54</v>
      </c>
      <c r="C11" s="24" t="s">
        <v>110</v>
      </c>
      <c r="D11" s="25" t="s">
        <v>157</v>
      </c>
      <c r="E11" s="25" t="s">
        <v>156</v>
      </c>
      <c r="F11" s="25" t="s">
        <v>261</v>
      </c>
      <c r="G11" s="5"/>
    </row>
    <row r="12" spans="1:18" x14ac:dyDescent="0.45">
      <c r="B12" s="26" t="s">
        <v>162</v>
      </c>
      <c r="C12" s="27" t="s">
        <v>115</v>
      </c>
      <c r="D12" s="42">
        <f>ReplAge_Start</f>
        <v>3500</v>
      </c>
      <c r="E12" s="65">
        <f>ReplAge</f>
        <v>2250</v>
      </c>
      <c r="F12" s="66">
        <f>E12-D12</f>
        <v>-1250</v>
      </c>
      <c r="G12" s="29"/>
    </row>
    <row r="13" spans="1:18" x14ac:dyDescent="0.45">
      <c r="B13" s="26" t="s">
        <v>165</v>
      </c>
      <c r="C13" s="27" t="s">
        <v>166</v>
      </c>
      <c r="D13" s="67">
        <f>Kits_Start</f>
        <v>3</v>
      </c>
      <c r="E13" s="68">
        <f>Kits</f>
        <v>3</v>
      </c>
      <c r="F13" s="69">
        <f>E13-D13</f>
        <v>0</v>
      </c>
      <c r="G13" s="29"/>
    </row>
    <row r="14" spans="1:18" ht="6" customHeight="1" x14ac:dyDescent="0.45"/>
    <row r="15" spans="1:18" ht="28.05" customHeight="1" x14ac:dyDescent="0.45">
      <c r="B15" s="24" t="s">
        <v>262</v>
      </c>
      <c r="C15" s="24" t="s">
        <v>110</v>
      </c>
      <c r="D15" s="25" t="s">
        <v>157</v>
      </c>
      <c r="E15" s="25" t="s">
        <v>156</v>
      </c>
      <c r="F15" s="25" t="s">
        <v>261</v>
      </c>
      <c r="G15" s="25"/>
    </row>
    <row r="16" spans="1:18" x14ac:dyDescent="0.45">
      <c r="B16" s="26" t="s">
        <v>263</v>
      </c>
      <c r="C16" s="27" t="s">
        <v>126</v>
      </c>
      <c r="D16" s="70" cm="1">
        <f t="array" aca="1" ref="D16" ca="1">_xll.VoseSimMean(Out_Cost_Start)</f>
        <v>176.91120000000001</v>
      </c>
      <c r="E16" s="70" cm="1">
        <f t="array" aca="1" ref="E16" ca="1">_xll.VoseSimMean(Out_Cost_Plan)</f>
        <v>205.0001</v>
      </c>
      <c r="F16" s="71">
        <f t="shared" ref="F16:F22" ca="1" si="0">IFERROR(E16-D16,"–")</f>
        <v>28.088899999999995</v>
      </c>
      <c r="G16" s="72" t="str">
        <f ca="1">IF(ISNUMBER(F16),IF(F16&lt;0,"✔ better",IF(F16=0,"same","")),"")</f>
        <v/>
      </c>
    </row>
    <row r="17" spans="2:18" x14ac:dyDescent="0.45">
      <c r="B17" s="26" t="s">
        <v>264</v>
      </c>
      <c r="C17" s="27" t="s">
        <v>126</v>
      </c>
      <c r="D17" s="70" cm="1">
        <f t="array" aca="1" ref="D17" ca="1">_xll.VoseSimPercentile(Out_Cost_Start,0.9)</f>
        <v>226.75</v>
      </c>
      <c r="E17" s="70" cm="1">
        <f t="array" aca="1" ref="E17" ca="1">_xll.VoseSimPercentile(Out_Cost_Plan,0.9)</f>
        <v>235.75</v>
      </c>
      <c r="F17" s="71">
        <f t="shared" ca="1" si="0"/>
        <v>9</v>
      </c>
      <c r="G17" s="72" t="str">
        <f ca="1">IF(ISNUMBER(F17),IF(F17&lt;0,"✔ better",IF(F17=0,"same","")),"")</f>
        <v/>
      </c>
    </row>
    <row r="18" spans="2:18" x14ac:dyDescent="0.45">
      <c r="B18" s="26" t="s">
        <v>265</v>
      </c>
      <c r="C18" s="27" t="s">
        <v>237</v>
      </c>
      <c r="D18" s="70" cm="1">
        <f t="array" aca="1" ref="D18" ca="1">_xll.VoseSimMean(Out_Fail_Start)</f>
        <v>4.2648000000000001</v>
      </c>
      <c r="E18" s="70" cm="1">
        <f t="array" aca="1" ref="E18" ca="1">_xll.VoseSimMean(Out_Fail_Plan)</f>
        <v>2.3589000000000002</v>
      </c>
      <c r="F18" s="71">
        <f t="shared" ca="1" si="0"/>
        <v>-1.9058999999999999</v>
      </c>
      <c r="G18" s="72" t="str">
        <f ca="1">IF(ISNUMBER(F18),IF(F18&lt;0,"✔ better",IF(F18=0,"same","")),"")</f>
        <v>✔ better</v>
      </c>
    </row>
    <row r="19" spans="2:18" x14ac:dyDescent="0.45">
      <c r="B19" s="26" t="s">
        <v>266</v>
      </c>
      <c r="C19" s="27" t="s">
        <v>267</v>
      </c>
      <c r="D19" s="70" cm="1">
        <f t="array" aca="1" ref="D19" ca="1">_xll.VoseSimMean(Out_Repl_Start)</f>
        <v>20.6814</v>
      </c>
      <c r="E19" s="70" cm="1">
        <f t="array" aca="1" ref="E19" ca="1">_xll.VoseSimMean(Out_Repl_Plan)</f>
        <v>37.912999999999997</v>
      </c>
      <c r="F19" s="71">
        <f t="shared" ca="1" si="0"/>
        <v>17.231599999999997</v>
      </c>
      <c r="G19" s="29"/>
    </row>
    <row r="20" spans="2:18" x14ac:dyDescent="0.45">
      <c r="B20" s="26" t="s">
        <v>268</v>
      </c>
      <c r="C20" s="27" t="s">
        <v>148</v>
      </c>
      <c r="D20" s="73" cm="1">
        <f t="array" aca="1" ref="D20" ca="1">1-_xll.VoseSimProbability(Out_NoKit_Start,0.5)</f>
        <v>2.149785021497852E-2</v>
      </c>
      <c r="E20" s="73" cm="1">
        <f t="array" aca="1" ref="E20" ca="1">1-_xll.VoseSimProbability(Out_NoKit_Plan,0.5)</f>
        <v>1.6998300169982494E-3</v>
      </c>
      <c r="F20" s="74">
        <f t="shared" ca="1" si="0"/>
        <v>-1.9798020197980271E-2</v>
      </c>
      <c r="G20" s="72" t="str">
        <f ca="1">IF(ISNUMBER(F20),IF(F20&lt;0,"✔ better",IF(F20=0,"same","")),"")</f>
        <v>✔ better</v>
      </c>
    </row>
    <row r="21" spans="2:18" x14ac:dyDescent="0.45">
      <c r="B21" s="26" t="s">
        <v>269</v>
      </c>
      <c r="C21" s="27" t="s">
        <v>115</v>
      </c>
      <c r="D21" s="70" cm="1">
        <f t="array" aca="1" ref="D21" ca="1">_xll.VoseSimMean(Out_Lost_Start)</f>
        <v>52.052399999999999</v>
      </c>
      <c r="E21" s="70" cm="1">
        <f t="array" aca="1" ref="E21" ca="1">_xll.VoseSimMean(Out_Lost_Plan)</f>
        <v>28.367999999999999</v>
      </c>
      <c r="F21" s="71">
        <f t="shared" ca="1" si="0"/>
        <v>-23.6844</v>
      </c>
      <c r="G21" s="72" t="str">
        <f ca="1">IF(ISNUMBER(F21),IF(F21&lt;0,"✔ better",IF(F21=0,"same","")),"")</f>
        <v>✔ better</v>
      </c>
    </row>
    <row r="22" spans="2:18" x14ac:dyDescent="0.45">
      <c r="B22" s="26" t="str">
        <f>"Chance of losing more than "&amp;TEXT(HoursCap,"#,##0")&amp;" hours"</f>
        <v>Chance of losing more than 48 hours</v>
      </c>
      <c r="C22" s="27" t="s">
        <v>148</v>
      </c>
      <c r="D22" s="73" cm="1">
        <f t="array" aca="1" ref="D22" ca="1">1-_xll.VoseSimProbability(Out_Over_Start,0.5)</f>
        <v>0.42125787421257876</v>
      </c>
      <c r="E22" s="73" cm="1">
        <f t="array" aca="1" ref="E22" ca="1">1-_xll.VoseSimProbability(Out_Over_Plan,0.5)</f>
        <v>8.7491250874912496E-2</v>
      </c>
      <c r="F22" s="74">
        <f t="shared" ca="1" si="0"/>
        <v>-0.33376662333766627</v>
      </c>
      <c r="G22" s="72" t="str">
        <f ca="1">IF(ISNUMBER(F22),IF(F22&lt;0,"✔ better",IF(F22=0,"same","")),"")</f>
        <v>✔ better</v>
      </c>
    </row>
    <row r="23" spans="2:18" x14ac:dyDescent="0.45">
      <c r="B23" s="26" t="s">
        <v>270</v>
      </c>
      <c r="C23" s="27" t="s">
        <v>148</v>
      </c>
      <c r="D23" s="75">
        <f>RiskMax</f>
        <v>0.1</v>
      </c>
      <c r="E23" s="75">
        <f>RiskMax</f>
        <v>0.1</v>
      </c>
      <c r="F23" s="29"/>
      <c r="G23" s="29"/>
    </row>
    <row r="24" spans="2:18" x14ac:dyDescent="0.45">
      <c r="B24" s="54" t="s">
        <v>271</v>
      </c>
    </row>
    <row r="25" spans="2:18" ht="8" customHeight="1" x14ac:dyDescent="0.45"/>
    <row r="26" spans="2:18" ht="22.05" customHeight="1" x14ac:dyDescent="0.5">
      <c r="B26" s="7" t="s">
        <v>272</v>
      </c>
      <c r="C26" s="8"/>
      <c r="D26" s="8"/>
      <c r="E26" s="8"/>
      <c r="F26" s="8"/>
      <c r="G26" s="8"/>
      <c r="I26" s="64" t="s">
        <v>273</v>
      </c>
      <c r="J26" s="8"/>
      <c r="K26" s="8"/>
      <c r="L26" s="8"/>
      <c r="M26" s="8"/>
      <c r="N26" s="8"/>
      <c r="O26" s="8"/>
      <c r="P26" s="8"/>
      <c r="Q26" s="8"/>
      <c r="R26" s="8"/>
    </row>
    <row r="27" spans="2:18" ht="18" customHeight="1" x14ac:dyDescent="0.45">
      <c r="B27" s="13" t="s">
        <v>274</v>
      </c>
    </row>
    <row r="28" spans="2:18" ht="28.05" customHeight="1" x14ac:dyDescent="0.45">
      <c r="B28" s="24" t="s">
        <v>262</v>
      </c>
      <c r="C28" s="24" t="s">
        <v>110</v>
      </c>
      <c r="D28" s="25" t="s">
        <v>157</v>
      </c>
      <c r="E28" s="25" t="s">
        <v>156</v>
      </c>
      <c r="F28" s="25" t="s">
        <v>261</v>
      </c>
      <c r="G28" s="25"/>
    </row>
    <row r="29" spans="2:18" x14ac:dyDescent="0.45">
      <c r="B29" s="26" t="s">
        <v>275</v>
      </c>
      <c r="C29" s="27" t="s">
        <v>126</v>
      </c>
      <c r="D29" s="70" cm="1">
        <f t="array" aca="1" ref="D29" ca="1">IFERROR(_xll.VoseSimMean(Out_Repl_Start)*CostPlan,"–")</f>
        <v>82.7256</v>
      </c>
      <c r="E29" s="70" cm="1">
        <f t="array" aca="1" ref="E29" ca="1">IFERROR(_xll.VoseSimMean(Out_Repl_Plan)*CostPlan,"–")</f>
        <v>151.65199999999999</v>
      </c>
      <c r="F29" s="71">
        <f ca="1">IFERROR(E29-D29,"–")</f>
        <v>68.926399999999987</v>
      </c>
      <c r="G29" s="29"/>
    </row>
    <row r="30" spans="2:18" x14ac:dyDescent="0.45">
      <c r="B30" s="26" t="s">
        <v>276</v>
      </c>
      <c r="C30" s="27" t="s">
        <v>126</v>
      </c>
      <c r="D30" s="70" cm="1">
        <f t="array" aca="1" ref="D30" ca="1">IFERROR(_xll.VoseSimMean(Out_Fail_Start)*CostFail,"–")</f>
        <v>89.5608</v>
      </c>
      <c r="E30" s="70" cm="1">
        <f t="array" aca="1" ref="E30" ca="1">IFERROR(_xll.VoseSimMean(Out_Fail_Plan)*CostFail,"–")</f>
        <v>49.536900000000003</v>
      </c>
      <c r="F30" s="71">
        <f ca="1">IFERROR(E30-D30,"–")</f>
        <v>-40.023899999999998</v>
      </c>
      <c r="G30" s="72" t="str">
        <f ca="1">IF(ISNUMBER(F30),IF(F30&lt;0,"✔ better",IF(F30=0,"same","")),"")</f>
        <v>✔ better</v>
      </c>
    </row>
    <row r="31" spans="2:18" x14ac:dyDescent="0.45">
      <c r="B31" s="26" t="s">
        <v>277</v>
      </c>
      <c r="C31" s="27" t="s">
        <v>126</v>
      </c>
      <c r="D31" s="70" cm="1">
        <f t="array" aca="1" ref="D31" ca="1">IFERROR(_xll.VoseSimMean(Out_NoKit_Start)*CostWait,"–")</f>
        <v>0.87479999999999991</v>
      </c>
      <c r="E31" s="70" cm="1">
        <f t="array" aca="1" ref="E31" ca="1">IFERROR(_xll.VoseSimMean(Out_NoKit_Plan)*CostWait,"–")</f>
        <v>6.1199999999999997E-2</v>
      </c>
      <c r="F31" s="71">
        <f ca="1">IFERROR(E31-D31,"–")</f>
        <v>-0.81359999999999988</v>
      </c>
      <c r="G31" s="72" t="str">
        <f ca="1">IF(ISNUMBER(F31),IF(F31&lt;0,"✔ better",IF(F31=0,"same","")),"")</f>
        <v>✔ better</v>
      </c>
    </row>
    <row r="32" spans="2:18" x14ac:dyDescent="0.45">
      <c r="B32" s="26" t="s">
        <v>278</v>
      </c>
      <c r="C32" s="27" t="s">
        <v>126</v>
      </c>
      <c r="D32" s="70">
        <f>Kits_Start*HoldKit</f>
        <v>3.75</v>
      </c>
      <c r="E32" s="70">
        <f>Kits*HoldKit</f>
        <v>3.75</v>
      </c>
      <c r="F32" s="71">
        <f>IFERROR(E32-D32,"–")</f>
        <v>0</v>
      </c>
      <c r="G32" s="29"/>
    </row>
    <row r="33" spans="2:7" x14ac:dyDescent="0.45">
      <c r="B33" s="76" t="s">
        <v>279</v>
      </c>
      <c r="C33" s="77"/>
      <c r="D33" s="78">
        <f ca="1">IF(ISNUMBER(D29),SUM(D29:D32),"–")</f>
        <v>176.91120000000001</v>
      </c>
      <c r="E33" s="78">
        <f ca="1">IF(ISNUMBER(E29),SUM(E29:E32),"–")</f>
        <v>205.0001</v>
      </c>
      <c r="F33" s="79">
        <f ca="1">IFERROR(E33-D33,"–")</f>
        <v>28.088899999999995</v>
      </c>
      <c r="G33" s="77"/>
    </row>
    <row r="34" spans="2:7" x14ac:dyDescent="0.45">
      <c r="B34" s="54" t="s">
        <v>280</v>
      </c>
    </row>
    <row r="35" spans="2:7" ht="8" customHeight="1" x14ac:dyDescent="0.45"/>
    <row r="42" spans="2:7" ht="22.05" customHeight="1" x14ac:dyDescent="0.5">
      <c r="B42" s="7" t="s">
        <v>281</v>
      </c>
      <c r="C42" s="8"/>
      <c r="D42" s="8"/>
      <c r="E42" s="8"/>
      <c r="F42" s="8"/>
      <c r="G42" s="8"/>
    </row>
    <row r="43" spans="2:7" ht="32" customHeight="1" x14ac:dyDescent="0.45">
      <c r="B43" s="85" t="s">
        <v>282</v>
      </c>
      <c r="C43" s="84"/>
      <c r="D43" s="84"/>
      <c r="E43" s="84"/>
      <c r="F43" s="84"/>
      <c r="G43" s="84"/>
    </row>
    <row r="44" spans="2:7" ht="45" customHeight="1" x14ac:dyDescent="0.45">
      <c r="B44" s="85" t="s">
        <v>283</v>
      </c>
      <c r="C44" s="84"/>
      <c r="D44" s="84"/>
      <c r="E44" s="84"/>
      <c r="F44" s="84"/>
      <c r="G44" s="84"/>
    </row>
    <row r="45" spans="2:7" ht="45" customHeight="1" x14ac:dyDescent="0.45">
      <c r="B45" s="85" t="s">
        <v>284</v>
      </c>
      <c r="C45" s="84"/>
      <c r="D45" s="84"/>
      <c r="E45" s="84"/>
      <c r="F45" s="84"/>
      <c r="G45" s="84"/>
    </row>
    <row r="46" spans="2:7" ht="45" customHeight="1" x14ac:dyDescent="0.45">
      <c r="B46" s="85" t="s">
        <v>285</v>
      </c>
      <c r="C46" s="84"/>
      <c r="D46" s="84"/>
      <c r="E46" s="84"/>
      <c r="F46" s="84"/>
      <c r="G46" s="84"/>
    </row>
    <row r="47" spans="2:7" ht="32" customHeight="1" x14ac:dyDescent="0.45">
      <c r="B47" s="85" t="s">
        <v>286</v>
      </c>
      <c r="C47" s="84"/>
      <c r="D47" s="84"/>
      <c r="E47" s="84"/>
      <c r="F47" s="84"/>
      <c r="G47" s="84"/>
    </row>
    <row r="48" spans="2:7" ht="14" customHeight="1" x14ac:dyDescent="0.45"/>
    <row r="49" spans="2:8" ht="14" customHeight="1" x14ac:dyDescent="0.45"/>
    <row r="50" spans="2:8" ht="22.05" customHeight="1" x14ac:dyDescent="0.5">
      <c r="B50" s="7" t="s">
        <v>287</v>
      </c>
      <c r="C50" s="8"/>
      <c r="D50" s="8"/>
      <c r="E50" s="8"/>
      <c r="F50" s="8"/>
      <c r="G50" s="8"/>
    </row>
    <row r="51" spans="2:8" ht="18" customHeight="1" x14ac:dyDescent="0.45">
      <c r="B51" s="13" t="s">
        <v>288</v>
      </c>
    </row>
    <row r="52" spans="2:8" ht="28.05" hidden="1" customHeight="1" outlineLevel="1" x14ac:dyDescent="0.45">
      <c r="B52" s="25" t="s">
        <v>289</v>
      </c>
      <c r="C52" s="25" t="s">
        <v>290</v>
      </c>
      <c r="D52" s="25" t="s">
        <v>291</v>
      </c>
      <c r="E52" s="25" t="s">
        <v>292</v>
      </c>
      <c r="F52" s="25" t="s">
        <v>293</v>
      </c>
      <c r="G52" s="25" t="s">
        <v>294</v>
      </c>
      <c r="H52" s="25" t="s">
        <v>295</v>
      </c>
    </row>
    <row r="53" spans="2:8" hidden="1" outlineLevel="1" x14ac:dyDescent="0.45">
      <c r="B53" s="80">
        <v>0.01</v>
      </c>
      <c r="C53" s="80">
        <f t="shared" ref="C53:C84" si="1">1-B53</f>
        <v>0.99</v>
      </c>
      <c r="D53" s="81" cm="1">
        <f t="array" aca="1" ref="D53" ca="1">IF(ISNUMBER(_xll.VoseSimPercentile(Out_Cost_Start,$B53)),_xll.VoseSimPercentile(Out_Cost_Start,$B53),NA())</f>
        <v>99.75</v>
      </c>
      <c r="E53" s="81" cm="1">
        <f t="array" aca="1" ref="E53" ca="1">IF(ISNUMBER(_xll.VoseSimPercentile(Out_Cost_Plan,$B53)),_xll.VoseSimPercentile(Out_Cost_Plan,$B53),NA())</f>
        <v>163.75</v>
      </c>
      <c r="F53" s="81" cm="1">
        <f t="array" aca="1" ref="F53" ca="1">IF(ISNUMBER(_xll.VoseSimPercentile(Out_Lost_Start,$B53)),_xll.VoseSimPercentile(Out_Lost_Start,$B53),NA())</f>
        <v>0</v>
      </c>
      <c r="G53" s="81" cm="1">
        <f t="array" aca="1" ref="G53" ca="1">IF(ISNUMBER(_xll.VoseSimPercentile(Out_Lost_Plan,$B53)),_xll.VoseSimPercentile(Out_Lost_Plan,$B53),NA())</f>
        <v>0</v>
      </c>
      <c r="H53" s="81">
        <f t="shared" ref="H53:H84" si="2">HoursCap</f>
        <v>48</v>
      </c>
    </row>
    <row r="54" spans="2:8" hidden="1" outlineLevel="1" x14ac:dyDescent="0.45">
      <c r="B54" s="80">
        <v>0.03</v>
      </c>
      <c r="C54" s="80">
        <f t="shared" si="1"/>
        <v>0.97</v>
      </c>
      <c r="D54" s="81" cm="1">
        <f t="array" aca="1" ref="D54" ca="1">IF(ISNUMBER(_xll.VoseSimPercentile(Out_Cost_Start,$B54)),_xll.VoseSimPercentile(Out_Cost_Start,$B54),NA())</f>
        <v>116.75</v>
      </c>
      <c r="E54" s="81" cm="1">
        <f t="array" aca="1" ref="E54" ca="1">IF(ISNUMBER(_xll.VoseSimPercentile(Out_Cost_Plan,$B54)),_xll.VoseSimPercentile(Out_Cost_Plan,$B54),NA())</f>
        <v>163.75</v>
      </c>
      <c r="F54" s="81" cm="1">
        <f t="array" aca="1" ref="F54" ca="1">IF(ISNUMBER(_xll.VoseSimPercentile(Out_Lost_Start,$B54)),_xll.VoseSimPercentile(Out_Lost_Start,$B54),NA())</f>
        <v>12</v>
      </c>
      <c r="G54" s="81" cm="1">
        <f t="array" aca="1" ref="G54" ca="1">IF(ISNUMBER(_xll.VoseSimPercentile(Out_Lost_Plan,$B54)),_xll.VoseSimPercentile(Out_Lost_Plan,$B54),NA())</f>
        <v>0</v>
      </c>
      <c r="H54" s="81">
        <f t="shared" si="2"/>
        <v>48</v>
      </c>
    </row>
    <row r="55" spans="2:8" hidden="1" outlineLevel="1" x14ac:dyDescent="0.45">
      <c r="B55" s="80">
        <v>0.05</v>
      </c>
      <c r="C55" s="80">
        <f t="shared" si="1"/>
        <v>0.95</v>
      </c>
      <c r="D55" s="81" cm="1">
        <f t="array" aca="1" ref="D55" ca="1">IF(ISNUMBER(_xll.VoseSimPercentile(Out_Cost_Start,$B55)),_xll.VoseSimPercentile(Out_Cost_Start,$B55),NA())</f>
        <v>116.75</v>
      </c>
      <c r="E55" s="81" cm="1">
        <f t="array" aca="1" ref="E55" ca="1">IF(ISNUMBER(_xll.VoseSimPercentile(Out_Cost_Plan,$B55)),_xll.VoseSimPercentile(Out_Cost_Plan,$B55),NA())</f>
        <v>163.75</v>
      </c>
      <c r="F55" s="81" cm="1">
        <f t="array" aca="1" ref="F55" ca="1">IF(ISNUMBER(_xll.VoseSimPercentile(Out_Lost_Start,$B55)),_xll.VoseSimPercentile(Out_Lost_Start,$B55),NA())</f>
        <v>12</v>
      </c>
      <c r="G55" s="81" cm="1">
        <f t="array" aca="1" ref="G55" ca="1">IF(ISNUMBER(_xll.VoseSimPercentile(Out_Lost_Plan,$B55)),_xll.VoseSimPercentile(Out_Lost_Plan,$B55),NA())</f>
        <v>0</v>
      </c>
      <c r="H55" s="81">
        <f t="shared" si="2"/>
        <v>48</v>
      </c>
    </row>
    <row r="56" spans="2:8" hidden="1" outlineLevel="1" x14ac:dyDescent="0.45">
      <c r="B56" s="80">
        <v>7.0000000000000007E-2</v>
      </c>
      <c r="C56" s="80">
        <f t="shared" si="1"/>
        <v>0.92999999999999994</v>
      </c>
      <c r="D56" s="81" cm="1">
        <f t="array" aca="1" ref="D56" ca="1">IF(ISNUMBER(_xll.VoseSimPercentile(Out_Cost_Start,$B56)),_xll.VoseSimPercentile(Out_Cost_Start,$B56),NA())</f>
        <v>133.75</v>
      </c>
      <c r="E56" s="81" cm="1">
        <f t="array" aca="1" ref="E56" ca="1">IF(ISNUMBER(_xll.VoseSimPercentile(Out_Cost_Plan,$B56)),_xll.VoseSimPercentile(Out_Cost_Plan,$B56),NA())</f>
        <v>163.75</v>
      </c>
      <c r="F56" s="81" cm="1">
        <f t="array" aca="1" ref="F56" ca="1">IF(ISNUMBER(_xll.VoseSimPercentile(Out_Lost_Start,$B56)),_xll.VoseSimPercentile(Out_Lost_Start,$B56),NA())</f>
        <v>24</v>
      </c>
      <c r="G56" s="81" cm="1">
        <f t="array" aca="1" ref="G56" ca="1">IF(ISNUMBER(_xll.VoseSimPercentile(Out_Lost_Plan,$B56)),_xll.VoseSimPercentile(Out_Lost_Plan,$B56),NA())</f>
        <v>0</v>
      </c>
      <c r="H56" s="81">
        <f t="shared" si="2"/>
        <v>48</v>
      </c>
    </row>
    <row r="57" spans="2:8" hidden="1" outlineLevel="1" x14ac:dyDescent="0.45">
      <c r="B57" s="80">
        <v>0.09</v>
      </c>
      <c r="C57" s="80">
        <f t="shared" si="1"/>
        <v>0.91</v>
      </c>
      <c r="D57" s="81" cm="1">
        <f t="array" aca="1" ref="D57" ca="1">IF(ISNUMBER(_xll.VoseSimPercentile(Out_Cost_Start,$B57)),_xll.VoseSimPercentile(Out_Cost_Start,$B57),NA())</f>
        <v>133.75</v>
      </c>
      <c r="E57" s="81" cm="1">
        <f t="array" aca="1" ref="E57" ca="1">IF(ISNUMBER(_xll.VoseSimPercentile(Out_Cost_Plan,$B57)),_xll.VoseSimPercentile(Out_Cost_Plan,$B57),NA())</f>
        <v>163.75</v>
      </c>
      <c r="F57" s="81" cm="1">
        <f t="array" aca="1" ref="F57" ca="1">IF(ISNUMBER(_xll.VoseSimPercentile(Out_Lost_Start,$B57)),_xll.VoseSimPercentile(Out_Lost_Start,$B57),NA())</f>
        <v>24</v>
      </c>
      <c r="G57" s="81" cm="1">
        <f t="array" aca="1" ref="G57" ca="1">IF(ISNUMBER(_xll.VoseSimPercentile(Out_Lost_Plan,$B57)),_xll.VoseSimPercentile(Out_Lost_Plan,$B57),NA())</f>
        <v>0</v>
      </c>
      <c r="H57" s="81">
        <f t="shared" si="2"/>
        <v>48</v>
      </c>
    </row>
    <row r="58" spans="2:8" hidden="1" outlineLevel="1" x14ac:dyDescent="0.45">
      <c r="B58" s="80">
        <v>0.11</v>
      </c>
      <c r="C58" s="80">
        <f t="shared" si="1"/>
        <v>0.89</v>
      </c>
      <c r="D58" s="81" cm="1">
        <f t="array" aca="1" ref="D58" ca="1">IF(ISNUMBER(_xll.VoseSimPercentile(Out_Cost_Start,$B58)),_xll.VoseSimPercentile(Out_Cost_Start,$B58),NA())</f>
        <v>133.75</v>
      </c>
      <c r="E58" s="81" cm="1">
        <f t="array" aca="1" ref="E58" ca="1">IF(ISNUMBER(_xll.VoseSimPercentile(Out_Cost_Plan,$B58)),_xll.VoseSimPercentile(Out_Cost_Plan,$B58),NA())</f>
        <v>180.75</v>
      </c>
      <c r="F58" s="81" cm="1">
        <f t="array" aca="1" ref="F58" ca="1">IF(ISNUMBER(_xll.VoseSimPercentile(Out_Lost_Start,$B58)),_xll.VoseSimPercentile(Out_Lost_Start,$B58),NA())</f>
        <v>24</v>
      </c>
      <c r="G58" s="81" cm="1">
        <f t="array" aca="1" ref="G58" ca="1">IF(ISNUMBER(_xll.VoseSimPercentile(Out_Lost_Plan,$B58)),_xll.VoseSimPercentile(Out_Lost_Plan,$B58),NA())</f>
        <v>12</v>
      </c>
      <c r="H58" s="81">
        <f t="shared" si="2"/>
        <v>48</v>
      </c>
    </row>
    <row r="59" spans="2:8" hidden="1" outlineLevel="1" x14ac:dyDescent="0.45">
      <c r="B59" s="80">
        <v>0.13</v>
      </c>
      <c r="C59" s="80">
        <f t="shared" si="1"/>
        <v>0.87</v>
      </c>
      <c r="D59" s="81" cm="1">
        <f t="array" aca="1" ref="D59" ca="1">IF(ISNUMBER(_xll.VoseSimPercentile(Out_Cost_Start,$B59)),_xll.VoseSimPercentile(Out_Cost_Start,$B59),NA())</f>
        <v>133.75</v>
      </c>
      <c r="E59" s="81" cm="1">
        <f t="array" aca="1" ref="E59" ca="1">IF(ISNUMBER(_xll.VoseSimPercentile(Out_Cost_Plan,$B59)),_xll.VoseSimPercentile(Out_Cost_Plan,$B59),NA())</f>
        <v>180.75</v>
      </c>
      <c r="F59" s="81" cm="1">
        <f t="array" aca="1" ref="F59" ca="1">IF(ISNUMBER(_xll.VoseSimPercentile(Out_Lost_Start,$B59)),_xll.VoseSimPercentile(Out_Lost_Start,$B59),NA())</f>
        <v>24</v>
      </c>
      <c r="G59" s="81" cm="1">
        <f t="array" aca="1" ref="G59" ca="1">IF(ISNUMBER(_xll.VoseSimPercentile(Out_Lost_Plan,$B59)),_xll.VoseSimPercentile(Out_Lost_Plan,$B59),NA())</f>
        <v>12</v>
      </c>
      <c r="H59" s="81">
        <f t="shared" si="2"/>
        <v>48</v>
      </c>
    </row>
    <row r="60" spans="2:8" hidden="1" outlineLevel="1" x14ac:dyDescent="0.45">
      <c r="B60" s="80">
        <v>0.15</v>
      </c>
      <c r="C60" s="80">
        <f t="shared" si="1"/>
        <v>0.85</v>
      </c>
      <c r="D60" s="81" cm="1">
        <f t="array" aca="1" ref="D60" ca="1">IF(ISNUMBER(_xll.VoseSimPercentile(Out_Cost_Start,$B60)),_xll.VoseSimPercentile(Out_Cost_Start,$B60),NA())</f>
        <v>137.75</v>
      </c>
      <c r="E60" s="81" cm="1">
        <f t="array" aca="1" ref="E60" ca="1">IF(ISNUMBER(_xll.VoseSimPercentile(Out_Cost_Plan,$B60)),_xll.VoseSimPercentile(Out_Cost_Plan,$B60),NA())</f>
        <v>180.75</v>
      </c>
      <c r="F60" s="81" cm="1">
        <f t="array" aca="1" ref="F60" ca="1">IF(ISNUMBER(_xll.VoseSimPercentile(Out_Lost_Start,$B60)),_xll.VoseSimPercentile(Out_Lost_Start,$B60),NA())</f>
        <v>24</v>
      </c>
      <c r="G60" s="81" cm="1">
        <f t="array" aca="1" ref="G60" ca="1">IF(ISNUMBER(_xll.VoseSimPercentile(Out_Lost_Plan,$B60)),_xll.VoseSimPercentile(Out_Lost_Plan,$B60),NA())</f>
        <v>12</v>
      </c>
      <c r="H60" s="81">
        <f t="shared" si="2"/>
        <v>48</v>
      </c>
    </row>
    <row r="61" spans="2:8" hidden="1" outlineLevel="1" x14ac:dyDescent="0.45">
      <c r="B61" s="80">
        <v>0.17</v>
      </c>
      <c r="C61" s="80">
        <f t="shared" si="1"/>
        <v>0.83</v>
      </c>
      <c r="D61" s="81" cm="1">
        <f t="array" aca="1" ref="D61" ca="1">IF(ISNUMBER(_xll.VoseSimPercentile(Out_Cost_Start,$B61)),_xll.VoseSimPercentile(Out_Cost_Start,$B61),NA())</f>
        <v>137.75</v>
      </c>
      <c r="E61" s="81" cm="1">
        <f t="array" aca="1" ref="E61" ca="1">IF(ISNUMBER(_xll.VoseSimPercentile(Out_Cost_Plan,$B61)),_xll.VoseSimPercentile(Out_Cost_Plan,$B61),NA())</f>
        <v>180.75</v>
      </c>
      <c r="F61" s="81" cm="1">
        <f t="array" aca="1" ref="F61" ca="1">IF(ISNUMBER(_xll.VoseSimPercentile(Out_Lost_Start,$B61)),_xll.VoseSimPercentile(Out_Lost_Start,$B61),NA())</f>
        <v>24</v>
      </c>
      <c r="G61" s="81" cm="1">
        <f t="array" aca="1" ref="G61" ca="1">IF(ISNUMBER(_xll.VoseSimPercentile(Out_Lost_Plan,$B61)),_xll.VoseSimPercentile(Out_Lost_Plan,$B61),NA())</f>
        <v>12</v>
      </c>
      <c r="H61" s="81">
        <f t="shared" si="2"/>
        <v>48</v>
      </c>
    </row>
    <row r="62" spans="2:8" hidden="1" outlineLevel="1" x14ac:dyDescent="0.45">
      <c r="B62" s="80">
        <v>0.19</v>
      </c>
      <c r="C62" s="80">
        <f t="shared" si="1"/>
        <v>0.81</v>
      </c>
      <c r="D62" s="81" cm="1">
        <f t="array" aca="1" ref="D62" ca="1">IF(ISNUMBER(_xll.VoseSimPercentile(Out_Cost_Start,$B62)),_xll.VoseSimPercentile(Out_Cost_Start,$B62),NA())</f>
        <v>150.75</v>
      </c>
      <c r="E62" s="81" cm="1">
        <f t="array" aca="1" ref="E62" ca="1">IF(ISNUMBER(_xll.VoseSimPercentile(Out_Cost_Plan,$B62)),_xll.VoseSimPercentile(Out_Cost_Plan,$B62),NA())</f>
        <v>180.75</v>
      </c>
      <c r="F62" s="81" cm="1">
        <f t="array" aca="1" ref="F62" ca="1">IF(ISNUMBER(_xll.VoseSimPercentile(Out_Lost_Start,$B62)),_xll.VoseSimPercentile(Out_Lost_Start,$B62),NA())</f>
        <v>36</v>
      </c>
      <c r="G62" s="81" cm="1">
        <f t="array" aca="1" ref="G62" ca="1">IF(ISNUMBER(_xll.VoseSimPercentile(Out_Lost_Plan,$B62)),_xll.VoseSimPercentile(Out_Lost_Plan,$B62),NA())</f>
        <v>12</v>
      </c>
      <c r="H62" s="81">
        <f t="shared" si="2"/>
        <v>48</v>
      </c>
    </row>
    <row r="63" spans="2:8" hidden="1" outlineLevel="1" x14ac:dyDescent="0.45">
      <c r="B63" s="80">
        <v>0.21</v>
      </c>
      <c r="C63" s="80">
        <f t="shared" si="1"/>
        <v>0.79</v>
      </c>
      <c r="D63" s="81" cm="1">
        <f t="array" aca="1" ref="D63" ca="1">IF(ISNUMBER(_xll.VoseSimPercentile(Out_Cost_Start,$B63)),_xll.VoseSimPercentile(Out_Cost_Start,$B63),NA())</f>
        <v>150.75</v>
      </c>
      <c r="E63" s="81" cm="1">
        <f t="array" aca="1" ref="E63" ca="1">IF(ISNUMBER(_xll.VoseSimPercentile(Out_Cost_Plan,$B63)),_xll.VoseSimPercentile(Out_Cost_Plan,$B63),NA())</f>
        <v>180.75</v>
      </c>
      <c r="F63" s="81" cm="1">
        <f t="array" aca="1" ref="F63" ca="1">IF(ISNUMBER(_xll.VoseSimPercentile(Out_Lost_Start,$B63)),_xll.VoseSimPercentile(Out_Lost_Start,$B63),NA())</f>
        <v>36</v>
      </c>
      <c r="G63" s="81" cm="1">
        <f t="array" aca="1" ref="G63" ca="1">IF(ISNUMBER(_xll.VoseSimPercentile(Out_Lost_Plan,$B63)),_xll.VoseSimPercentile(Out_Lost_Plan,$B63),NA())</f>
        <v>12</v>
      </c>
      <c r="H63" s="81">
        <f t="shared" si="2"/>
        <v>48</v>
      </c>
    </row>
    <row r="64" spans="2:8" hidden="1" outlineLevel="1" x14ac:dyDescent="0.45">
      <c r="B64" s="80">
        <v>0.23</v>
      </c>
      <c r="C64" s="80">
        <f t="shared" si="1"/>
        <v>0.77</v>
      </c>
      <c r="D64" s="81" cm="1">
        <f t="array" aca="1" ref="D64" ca="1">IF(ISNUMBER(_xll.VoseSimPercentile(Out_Cost_Start,$B64)),_xll.VoseSimPercentile(Out_Cost_Start,$B64),NA())</f>
        <v>150.75</v>
      </c>
      <c r="E64" s="81" cm="1">
        <f t="array" aca="1" ref="E64" ca="1">IF(ISNUMBER(_xll.VoseSimPercentile(Out_Cost_Plan,$B64)),_xll.VoseSimPercentile(Out_Cost_Plan,$B64),NA())</f>
        <v>180.75</v>
      </c>
      <c r="F64" s="81" cm="1">
        <f t="array" aca="1" ref="F64" ca="1">IF(ISNUMBER(_xll.VoseSimPercentile(Out_Lost_Start,$B64)),_xll.VoseSimPercentile(Out_Lost_Start,$B64),NA())</f>
        <v>36</v>
      </c>
      <c r="G64" s="81" cm="1">
        <f t="array" aca="1" ref="G64" ca="1">IF(ISNUMBER(_xll.VoseSimPercentile(Out_Lost_Plan,$B64)),_xll.VoseSimPercentile(Out_Lost_Plan,$B64),NA())</f>
        <v>12</v>
      </c>
      <c r="H64" s="81">
        <f t="shared" si="2"/>
        <v>48</v>
      </c>
    </row>
    <row r="65" spans="2:8" hidden="1" outlineLevel="1" x14ac:dyDescent="0.45">
      <c r="B65" s="80">
        <v>0.25</v>
      </c>
      <c r="C65" s="80">
        <f t="shared" si="1"/>
        <v>0.75</v>
      </c>
      <c r="D65" s="81" cm="1">
        <f t="array" aca="1" ref="D65" ca="1">IF(ISNUMBER(_xll.VoseSimPercentile(Out_Cost_Start,$B65)),_xll.VoseSimPercentile(Out_Cost_Start,$B65),NA())</f>
        <v>150.75</v>
      </c>
      <c r="E65" s="81" cm="1">
        <f t="array" aca="1" ref="E65" ca="1">IF(ISNUMBER(_xll.VoseSimPercentile(Out_Cost_Plan,$B65)),_xll.VoseSimPercentile(Out_Cost_Plan,$B65),NA())</f>
        <v>180.75</v>
      </c>
      <c r="F65" s="81" cm="1">
        <f t="array" aca="1" ref="F65" ca="1">IF(ISNUMBER(_xll.VoseSimPercentile(Out_Lost_Start,$B65)),_xll.VoseSimPercentile(Out_Lost_Start,$B65),NA())</f>
        <v>36</v>
      </c>
      <c r="G65" s="81" cm="1">
        <f t="array" aca="1" ref="G65" ca="1">IF(ISNUMBER(_xll.VoseSimPercentile(Out_Lost_Plan,$B65)),_xll.VoseSimPercentile(Out_Lost_Plan,$B65),NA())</f>
        <v>12</v>
      </c>
      <c r="H65" s="81">
        <f t="shared" si="2"/>
        <v>48</v>
      </c>
    </row>
    <row r="66" spans="2:8" hidden="1" outlineLevel="1" x14ac:dyDescent="0.45">
      <c r="B66" s="80">
        <v>0.27</v>
      </c>
      <c r="C66" s="80">
        <f t="shared" si="1"/>
        <v>0.73</v>
      </c>
      <c r="D66" s="81" cm="1">
        <f t="array" aca="1" ref="D66" ca="1">IF(ISNUMBER(_xll.VoseSimPercentile(Out_Cost_Start,$B66)),_xll.VoseSimPercentile(Out_Cost_Start,$B66),NA())</f>
        <v>150.75</v>
      </c>
      <c r="E66" s="81" cm="1">
        <f t="array" aca="1" ref="E66" ca="1">IF(ISNUMBER(_xll.VoseSimPercentile(Out_Cost_Plan,$B66)),_xll.VoseSimPercentile(Out_Cost_Plan,$B66),NA())</f>
        <v>180.75</v>
      </c>
      <c r="F66" s="81" cm="1">
        <f t="array" aca="1" ref="F66" ca="1">IF(ISNUMBER(_xll.VoseSimPercentile(Out_Lost_Start,$B66)),_xll.VoseSimPercentile(Out_Lost_Start,$B66),NA())</f>
        <v>36</v>
      </c>
      <c r="G66" s="81" cm="1">
        <f t="array" aca="1" ref="G66" ca="1">IF(ISNUMBER(_xll.VoseSimPercentile(Out_Lost_Plan,$B66)),_xll.VoseSimPercentile(Out_Lost_Plan,$B66),NA())</f>
        <v>12</v>
      </c>
      <c r="H66" s="81">
        <f t="shared" si="2"/>
        <v>48</v>
      </c>
    </row>
    <row r="67" spans="2:8" hidden="1" outlineLevel="1" x14ac:dyDescent="0.45">
      <c r="B67" s="80">
        <v>0.28999999999999998</v>
      </c>
      <c r="C67" s="80">
        <f t="shared" si="1"/>
        <v>0.71</v>
      </c>
      <c r="D67" s="81" cm="1">
        <f t="array" aca="1" ref="D67" ca="1">IF(ISNUMBER(_xll.VoseSimPercentile(Out_Cost_Start,$B67)),_xll.VoseSimPercentile(Out_Cost_Start,$B67),NA())</f>
        <v>154.75</v>
      </c>
      <c r="E67" s="81" cm="1">
        <f t="array" aca="1" ref="E67" ca="1">IF(ISNUMBER(_xll.VoseSimPercentile(Out_Cost_Plan,$B67)),_xll.VoseSimPercentile(Out_Cost_Plan,$B67),NA())</f>
        <v>180.75</v>
      </c>
      <c r="F67" s="81" cm="1">
        <f t="array" aca="1" ref="F67" ca="1">IF(ISNUMBER(_xll.VoseSimPercentile(Out_Lost_Start,$B67)),_xll.VoseSimPercentile(Out_Lost_Start,$B67),NA())</f>
        <v>36</v>
      </c>
      <c r="G67" s="81" cm="1">
        <f t="array" aca="1" ref="G67" ca="1">IF(ISNUMBER(_xll.VoseSimPercentile(Out_Lost_Plan,$B67)),_xll.VoseSimPercentile(Out_Lost_Plan,$B67),NA())</f>
        <v>12</v>
      </c>
      <c r="H67" s="81">
        <f t="shared" si="2"/>
        <v>48</v>
      </c>
    </row>
    <row r="68" spans="2:8" hidden="1" outlineLevel="1" x14ac:dyDescent="0.45">
      <c r="B68" s="80">
        <v>0.31</v>
      </c>
      <c r="C68" s="80">
        <f t="shared" si="1"/>
        <v>0.69</v>
      </c>
      <c r="D68" s="81" cm="1">
        <f t="array" aca="1" ref="D68" ca="1">IF(ISNUMBER(_xll.VoseSimPercentile(Out_Cost_Start,$B68)),_xll.VoseSimPercentile(Out_Cost_Start,$B68),NA())</f>
        <v>154.75</v>
      </c>
      <c r="E68" s="81" cm="1">
        <f t="array" aca="1" ref="E68" ca="1">IF(ISNUMBER(_xll.VoseSimPercentile(Out_Cost_Plan,$B68)),_xll.VoseSimPercentile(Out_Cost_Plan,$B68),NA())</f>
        <v>184.75</v>
      </c>
      <c r="F68" s="81" cm="1">
        <f t="array" aca="1" ref="F68" ca="1">IF(ISNUMBER(_xll.VoseSimPercentile(Out_Lost_Start,$B68)),_xll.VoseSimPercentile(Out_Lost_Start,$B68),NA())</f>
        <v>36</v>
      </c>
      <c r="G68" s="81" cm="1">
        <f t="array" aca="1" ref="G68" ca="1">IF(ISNUMBER(_xll.VoseSimPercentile(Out_Lost_Plan,$B68)),_xll.VoseSimPercentile(Out_Lost_Plan,$B68),NA())</f>
        <v>12</v>
      </c>
      <c r="H68" s="81">
        <f t="shared" si="2"/>
        <v>48</v>
      </c>
    </row>
    <row r="69" spans="2:8" hidden="1" outlineLevel="1" x14ac:dyDescent="0.45">
      <c r="B69" s="80">
        <v>0.33</v>
      </c>
      <c r="C69" s="80">
        <f t="shared" si="1"/>
        <v>0.66999999999999993</v>
      </c>
      <c r="D69" s="81" cm="1">
        <f t="array" aca="1" ref="D69" ca="1">IF(ISNUMBER(_xll.VoseSimPercentile(Out_Cost_Start,$B69)),_xll.VoseSimPercentile(Out_Cost_Start,$B69),NA())</f>
        <v>154.75</v>
      </c>
      <c r="E69" s="81" cm="1">
        <f t="array" aca="1" ref="E69" ca="1">IF(ISNUMBER(_xll.VoseSimPercentile(Out_Cost_Plan,$B69)),_xll.VoseSimPercentile(Out_Cost_Plan,$B69),NA())</f>
        <v>197.75</v>
      </c>
      <c r="F69" s="81" cm="1">
        <f t="array" aca="1" ref="F69" ca="1">IF(ISNUMBER(_xll.VoseSimPercentile(Out_Lost_Start,$B69)),_xll.VoseSimPercentile(Out_Lost_Start,$B69),NA())</f>
        <v>36</v>
      </c>
      <c r="G69" s="81" cm="1">
        <f t="array" aca="1" ref="G69" ca="1">IF(ISNUMBER(_xll.VoseSimPercentile(Out_Lost_Plan,$B69)),_xll.VoseSimPercentile(Out_Lost_Plan,$B69),NA())</f>
        <v>24</v>
      </c>
      <c r="H69" s="81">
        <f t="shared" si="2"/>
        <v>48</v>
      </c>
    </row>
    <row r="70" spans="2:8" hidden="1" outlineLevel="1" x14ac:dyDescent="0.45">
      <c r="B70" s="80">
        <v>0.35</v>
      </c>
      <c r="C70" s="80">
        <f t="shared" si="1"/>
        <v>0.65</v>
      </c>
      <c r="D70" s="81" cm="1">
        <f t="array" aca="1" ref="D70" ca="1">IF(ISNUMBER(_xll.VoseSimPercentile(Out_Cost_Start,$B70)),_xll.VoseSimPercentile(Out_Cost_Start,$B70),NA())</f>
        <v>154.75</v>
      </c>
      <c r="E70" s="81" cm="1">
        <f t="array" aca="1" ref="E70" ca="1">IF(ISNUMBER(_xll.VoseSimPercentile(Out_Cost_Plan,$B70)),_xll.VoseSimPercentile(Out_Cost_Plan,$B70),NA())</f>
        <v>197.75</v>
      </c>
      <c r="F70" s="81" cm="1">
        <f t="array" aca="1" ref="F70" ca="1">IF(ISNUMBER(_xll.VoseSimPercentile(Out_Lost_Start,$B70)),_xll.VoseSimPercentile(Out_Lost_Start,$B70),NA())</f>
        <v>36</v>
      </c>
      <c r="G70" s="81" cm="1">
        <f t="array" aca="1" ref="G70" ca="1">IF(ISNUMBER(_xll.VoseSimPercentile(Out_Lost_Plan,$B70)),_xll.VoseSimPercentile(Out_Lost_Plan,$B70),NA())</f>
        <v>24</v>
      </c>
      <c r="H70" s="81">
        <f t="shared" si="2"/>
        <v>48</v>
      </c>
    </row>
    <row r="71" spans="2:8" hidden="1" outlineLevel="1" x14ac:dyDescent="0.45">
      <c r="B71" s="80">
        <v>0.37</v>
      </c>
      <c r="C71" s="80">
        <f t="shared" si="1"/>
        <v>0.63</v>
      </c>
      <c r="D71" s="81" cm="1">
        <f t="array" aca="1" ref="D71" ca="1">IF(ISNUMBER(_xll.VoseSimPercentile(Out_Cost_Start,$B71)),_xll.VoseSimPercentile(Out_Cost_Start,$B71),NA())</f>
        <v>158.75</v>
      </c>
      <c r="E71" s="81" cm="1">
        <f t="array" aca="1" ref="E71" ca="1">IF(ISNUMBER(_xll.VoseSimPercentile(Out_Cost_Plan,$B71)),_xll.VoseSimPercentile(Out_Cost_Plan,$B71),NA())</f>
        <v>197.75</v>
      </c>
      <c r="F71" s="81" cm="1">
        <f t="array" aca="1" ref="F71" ca="1">IF(ISNUMBER(_xll.VoseSimPercentile(Out_Lost_Start,$B71)),_xll.VoseSimPercentile(Out_Lost_Start,$B71),NA())</f>
        <v>36</v>
      </c>
      <c r="G71" s="81" cm="1">
        <f t="array" aca="1" ref="G71" ca="1">IF(ISNUMBER(_xll.VoseSimPercentile(Out_Lost_Plan,$B71)),_xll.VoseSimPercentile(Out_Lost_Plan,$B71),NA())</f>
        <v>24</v>
      </c>
      <c r="H71" s="81">
        <f t="shared" si="2"/>
        <v>48</v>
      </c>
    </row>
    <row r="72" spans="2:8" hidden="1" outlineLevel="1" x14ac:dyDescent="0.45">
      <c r="B72" s="80">
        <v>0.39</v>
      </c>
      <c r="C72" s="80">
        <f t="shared" si="1"/>
        <v>0.61</v>
      </c>
      <c r="D72" s="81" cm="1">
        <f t="array" aca="1" ref="D72" ca="1">IF(ISNUMBER(_xll.VoseSimPercentile(Out_Cost_Start,$B72)),_xll.VoseSimPercentile(Out_Cost_Start,$B72),NA())</f>
        <v>167.75</v>
      </c>
      <c r="E72" s="81" cm="1">
        <f t="array" aca="1" ref="E72" ca="1">IF(ISNUMBER(_xll.VoseSimPercentile(Out_Cost_Plan,$B72)),_xll.VoseSimPercentile(Out_Cost_Plan,$B72),NA())</f>
        <v>197.75</v>
      </c>
      <c r="F72" s="81" cm="1">
        <f t="array" aca="1" ref="F72" ca="1">IF(ISNUMBER(_xll.VoseSimPercentile(Out_Lost_Start,$B72)),_xll.VoseSimPercentile(Out_Lost_Start,$B72),NA())</f>
        <v>48</v>
      </c>
      <c r="G72" s="81" cm="1">
        <f t="array" aca="1" ref="G72" ca="1">IF(ISNUMBER(_xll.VoseSimPercentile(Out_Lost_Plan,$B72)),_xll.VoseSimPercentile(Out_Lost_Plan,$B72),NA())</f>
        <v>24</v>
      </c>
      <c r="H72" s="81">
        <f t="shared" si="2"/>
        <v>48</v>
      </c>
    </row>
    <row r="73" spans="2:8" hidden="1" outlineLevel="1" x14ac:dyDescent="0.45">
      <c r="B73" s="80">
        <v>0.41</v>
      </c>
      <c r="C73" s="80">
        <f t="shared" si="1"/>
        <v>0.59000000000000008</v>
      </c>
      <c r="D73" s="81" cm="1">
        <f t="array" aca="1" ref="D73" ca="1">IF(ISNUMBER(_xll.VoseSimPercentile(Out_Cost_Start,$B73)),_xll.VoseSimPercentile(Out_Cost_Start,$B73),NA())</f>
        <v>167.75</v>
      </c>
      <c r="E73" s="81" cm="1">
        <f t="array" aca="1" ref="E73" ca="1">IF(ISNUMBER(_xll.VoseSimPercentile(Out_Cost_Plan,$B73)),_xll.VoseSimPercentile(Out_Cost_Plan,$B73),NA())</f>
        <v>197.75</v>
      </c>
      <c r="F73" s="81" cm="1">
        <f t="array" aca="1" ref="F73" ca="1">IF(ISNUMBER(_xll.VoseSimPercentile(Out_Lost_Start,$B73)),_xll.VoseSimPercentile(Out_Lost_Start,$B73),NA())</f>
        <v>48</v>
      </c>
      <c r="G73" s="81" cm="1">
        <f t="array" aca="1" ref="G73" ca="1">IF(ISNUMBER(_xll.VoseSimPercentile(Out_Lost_Plan,$B73)),_xll.VoseSimPercentile(Out_Lost_Plan,$B73),NA())</f>
        <v>24</v>
      </c>
      <c r="H73" s="81">
        <f t="shared" si="2"/>
        <v>48</v>
      </c>
    </row>
    <row r="74" spans="2:8" hidden="1" outlineLevel="1" x14ac:dyDescent="0.45">
      <c r="B74" s="80">
        <v>0.43</v>
      </c>
      <c r="C74" s="80">
        <f t="shared" si="1"/>
        <v>0.57000000000000006</v>
      </c>
      <c r="D74" s="81" cm="1">
        <f t="array" aca="1" ref="D74" ca="1">IF(ISNUMBER(_xll.VoseSimPercentile(Out_Cost_Start,$B74)),_xll.VoseSimPercentile(Out_Cost_Start,$B74),NA())</f>
        <v>167.75</v>
      </c>
      <c r="E74" s="81" cm="1">
        <f t="array" aca="1" ref="E74" ca="1">IF(ISNUMBER(_xll.VoseSimPercentile(Out_Cost_Plan,$B74)),_xll.VoseSimPercentile(Out_Cost_Plan,$B74),NA())</f>
        <v>197.75</v>
      </c>
      <c r="F74" s="81" cm="1">
        <f t="array" aca="1" ref="F74" ca="1">IF(ISNUMBER(_xll.VoseSimPercentile(Out_Lost_Start,$B74)),_xll.VoseSimPercentile(Out_Lost_Start,$B74),NA())</f>
        <v>48</v>
      </c>
      <c r="G74" s="81" cm="1">
        <f t="array" aca="1" ref="G74" ca="1">IF(ISNUMBER(_xll.VoseSimPercentile(Out_Lost_Plan,$B74)),_xll.VoseSimPercentile(Out_Lost_Plan,$B74),NA())</f>
        <v>24</v>
      </c>
      <c r="H74" s="81">
        <f t="shared" si="2"/>
        <v>48</v>
      </c>
    </row>
    <row r="75" spans="2:8" hidden="1" outlineLevel="1" x14ac:dyDescent="0.45">
      <c r="B75" s="80">
        <v>0.45</v>
      </c>
      <c r="C75" s="80">
        <f t="shared" si="1"/>
        <v>0.55000000000000004</v>
      </c>
      <c r="D75" s="81" cm="1">
        <f t="array" aca="1" ref="D75" ca="1">IF(ISNUMBER(_xll.VoseSimPercentile(Out_Cost_Start,$B75)),_xll.VoseSimPercentile(Out_Cost_Start,$B75),NA())</f>
        <v>171.75</v>
      </c>
      <c r="E75" s="81" cm="1">
        <f t="array" aca="1" ref="E75" ca="1">IF(ISNUMBER(_xll.VoseSimPercentile(Out_Cost_Plan,$B75)),_xll.VoseSimPercentile(Out_Cost_Plan,$B75),NA())</f>
        <v>197.75</v>
      </c>
      <c r="F75" s="81" cm="1">
        <f t="array" aca="1" ref="F75" ca="1">IF(ISNUMBER(_xll.VoseSimPercentile(Out_Lost_Start,$B75)),_xll.VoseSimPercentile(Out_Lost_Start,$B75),NA())</f>
        <v>48</v>
      </c>
      <c r="G75" s="81" cm="1">
        <f t="array" aca="1" ref="G75" ca="1">IF(ISNUMBER(_xll.VoseSimPercentile(Out_Lost_Plan,$B75)),_xll.VoseSimPercentile(Out_Lost_Plan,$B75),NA())</f>
        <v>24</v>
      </c>
      <c r="H75" s="81">
        <f t="shared" si="2"/>
        <v>48</v>
      </c>
    </row>
    <row r="76" spans="2:8" hidden="1" outlineLevel="1" x14ac:dyDescent="0.45">
      <c r="B76" s="80">
        <v>0.47</v>
      </c>
      <c r="C76" s="80">
        <f t="shared" si="1"/>
        <v>0.53</v>
      </c>
      <c r="D76" s="81" cm="1">
        <f t="array" aca="1" ref="D76" ca="1">IF(ISNUMBER(_xll.VoseSimPercentile(Out_Cost_Start,$B76)),_xll.VoseSimPercentile(Out_Cost_Start,$B76),NA())</f>
        <v>171.75</v>
      </c>
      <c r="E76" s="81" cm="1">
        <f t="array" aca="1" ref="E76" ca="1">IF(ISNUMBER(_xll.VoseSimPercentile(Out_Cost_Plan,$B76)),_xll.VoseSimPercentile(Out_Cost_Plan,$B76),NA())</f>
        <v>197.75</v>
      </c>
      <c r="F76" s="81" cm="1">
        <f t="array" aca="1" ref="F76" ca="1">IF(ISNUMBER(_xll.VoseSimPercentile(Out_Lost_Start,$B76)),_xll.VoseSimPercentile(Out_Lost_Start,$B76),NA())</f>
        <v>48</v>
      </c>
      <c r="G76" s="81" cm="1">
        <f t="array" aca="1" ref="G76" ca="1">IF(ISNUMBER(_xll.VoseSimPercentile(Out_Lost_Plan,$B76)),_xll.VoseSimPercentile(Out_Lost_Plan,$B76),NA())</f>
        <v>24</v>
      </c>
      <c r="H76" s="81">
        <f t="shared" si="2"/>
        <v>48</v>
      </c>
    </row>
    <row r="77" spans="2:8" hidden="1" outlineLevel="1" x14ac:dyDescent="0.45">
      <c r="B77" s="80">
        <v>0.49</v>
      </c>
      <c r="C77" s="80">
        <f t="shared" si="1"/>
        <v>0.51</v>
      </c>
      <c r="D77" s="81" cm="1">
        <f t="array" aca="1" ref="D77" ca="1">IF(ISNUMBER(_xll.VoseSimPercentile(Out_Cost_Start,$B77)),_xll.VoseSimPercentile(Out_Cost_Start,$B77),NA())</f>
        <v>171.75</v>
      </c>
      <c r="E77" s="81" cm="1">
        <f t="array" aca="1" ref="E77" ca="1">IF(ISNUMBER(_xll.VoseSimPercentile(Out_Cost_Plan,$B77)),_xll.VoseSimPercentile(Out_Cost_Plan,$B77),NA())</f>
        <v>197.75</v>
      </c>
      <c r="F77" s="81" cm="1">
        <f t="array" aca="1" ref="F77" ca="1">IF(ISNUMBER(_xll.VoseSimPercentile(Out_Lost_Start,$B77)),_xll.VoseSimPercentile(Out_Lost_Start,$B77),NA())</f>
        <v>48</v>
      </c>
      <c r="G77" s="81" cm="1">
        <f t="array" aca="1" ref="G77" ca="1">IF(ISNUMBER(_xll.VoseSimPercentile(Out_Lost_Plan,$B77)),_xll.VoseSimPercentile(Out_Lost_Plan,$B77),NA())</f>
        <v>24</v>
      </c>
      <c r="H77" s="81">
        <f t="shared" si="2"/>
        <v>48</v>
      </c>
    </row>
    <row r="78" spans="2:8" hidden="1" outlineLevel="1" x14ac:dyDescent="0.45">
      <c r="B78" s="80">
        <v>0.51</v>
      </c>
      <c r="C78" s="80">
        <f t="shared" si="1"/>
        <v>0.49</v>
      </c>
      <c r="D78" s="81" cm="1">
        <f t="array" aca="1" ref="D78" ca="1">IF(ISNUMBER(_xll.VoseSimPercentile(Out_Cost_Start,$B78)),_xll.VoseSimPercentile(Out_Cost_Start,$B78),NA())</f>
        <v>171.75</v>
      </c>
      <c r="E78" s="81" cm="1">
        <f t="array" aca="1" ref="E78" ca="1">IF(ISNUMBER(_xll.VoseSimPercentile(Out_Cost_Plan,$B78)),_xll.VoseSimPercentile(Out_Cost_Plan,$B78),NA())</f>
        <v>197.75</v>
      </c>
      <c r="F78" s="81" cm="1">
        <f t="array" aca="1" ref="F78" ca="1">IF(ISNUMBER(_xll.VoseSimPercentile(Out_Lost_Start,$B78)),_xll.VoseSimPercentile(Out_Lost_Start,$B78),NA())</f>
        <v>48</v>
      </c>
      <c r="G78" s="81" cm="1">
        <f t="array" aca="1" ref="G78" ca="1">IF(ISNUMBER(_xll.VoseSimPercentile(Out_Lost_Plan,$B78)),_xll.VoseSimPercentile(Out_Lost_Plan,$B78),NA())</f>
        <v>24</v>
      </c>
      <c r="H78" s="81">
        <f t="shared" si="2"/>
        <v>48</v>
      </c>
    </row>
    <row r="79" spans="2:8" hidden="1" outlineLevel="1" x14ac:dyDescent="0.45">
      <c r="B79" s="80">
        <v>0.53</v>
      </c>
      <c r="C79" s="80">
        <f t="shared" si="1"/>
        <v>0.47</v>
      </c>
      <c r="D79" s="81" cm="1">
        <f t="array" aca="1" ref="D79" ca="1">IF(ISNUMBER(_xll.VoseSimPercentile(Out_Cost_Start,$B79)),_xll.VoseSimPercentile(Out_Cost_Start,$B79),NA())</f>
        <v>171.75</v>
      </c>
      <c r="E79" s="81" cm="1">
        <f t="array" aca="1" ref="E79" ca="1">IF(ISNUMBER(_xll.VoseSimPercentile(Out_Cost_Plan,$B79)),_xll.VoseSimPercentile(Out_Cost_Plan,$B79),NA())</f>
        <v>201.75</v>
      </c>
      <c r="F79" s="81" cm="1">
        <f t="array" aca="1" ref="F79" ca="1">IF(ISNUMBER(_xll.VoseSimPercentile(Out_Lost_Start,$B79)),_xll.VoseSimPercentile(Out_Lost_Start,$B79),NA())</f>
        <v>48</v>
      </c>
      <c r="G79" s="81" cm="1">
        <f t="array" aca="1" ref="G79" ca="1">IF(ISNUMBER(_xll.VoseSimPercentile(Out_Lost_Plan,$B79)),_xll.VoseSimPercentile(Out_Lost_Plan,$B79),NA())</f>
        <v>24</v>
      </c>
      <c r="H79" s="81">
        <f t="shared" si="2"/>
        <v>48</v>
      </c>
    </row>
    <row r="80" spans="2:8" hidden="1" outlineLevel="1" x14ac:dyDescent="0.45">
      <c r="B80" s="80">
        <v>0.55000000000000004</v>
      </c>
      <c r="C80" s="80">
        <f t="shared" si="1"/>
        <v>0.44999999999999996</v>
      </c>
      <c r="D80" s="81" cm="1">
        <f t="array" aca="1" ref="D80" ca="1">IF(ISNUMBER(_xll.VoseSimPercentile(Out_Cost_Start,$B80)),_xll.VoseSimPercentile(Out_Cost_Start,$B80),NA())</f>
        <v>175.75</v>
      </c>
      <c r="E80" s="81" cm="1">
        <f t="array" aca="1" ref="E80" ca="1">IF(ISNUMBER(_xll.VoseSimPercentile(Out_Cost_Plan,$B80)),_xll.VoseSimPercentile(Out_Cost_Plan,$B80),NA())</f>
        <v>201.75</v>
      </c>
      <c r="F80" s="81" cm="1">
        <f t="array" aca="1" ref="F80" ca="1">IF(ISNUMBER(_xll.VoseSimPercentile(Out_Lost_Start,$B80)),_xll.VoseSimPercentile(Out_Lost_Start,$B80),NA())</f>
        <v>48</v>
      </c>
      <c r="G80" s="81" cm="1">
        <f t="array" aca="1" ref="G80" ca="1">IF(ISNUMBER(_xll.VoseSimPercentile(Out_Lost_Plan,$B80)),_xll.VoseSimPercentile(Out_Lost_Plan,$B80),NA())</f>
        <v>24</v>
      </c>
      <c r="H80" s="81">
        <f t="shared" si="2"/>
        <v>48</v>
      </c>
    </row>
    <row r="81" spans="2:8" hidden="1" outlineLevel="1" x14ac:dyDescent="0.45">
      <c r="B81" s="80">
        <v>0.56999999999999995</v>
      </c>
      <c r="C81" s="80">
        <f t="shared" si="1"/>
        <v>0.43000000000000005</v>
      </c>
      <c r="D81" s="81" cm="1">
        <f t="array" aca="1" ref="D81" ca="1">IF(ISNUMBER(_xll.VoseSimPercentile(Out_Cost_Start,$B81)),_xll.VoseSimPercentile(Out_Cost_Start,$B81),NA())</f>
        <v>175.75</v>
      </c>
      <c r="E81" s="81" cm="1">
        <f t="array" aca="1" ref="E81" ca="1">IF(ISNUMBER(_xll.VoseSimPercentile(Out_Cost_Plan,$B81)),_xll.VoseSimPercentile(Out_Cost_Plan,$B81),NA())</f>
        <v>201.75</v>
      </c>
      <c r="F81" s="81" cm="1">
        <f t="array" aca="1" ref="F81" ca="1">IF(ISNUMBER(_xll.VoseSimPercentile(Out_Lost_Start,$B81)),_xll.VoseSimPercentile(Out_Lost_Start,$B81),NA())</f>
        <v>48</v>
      </c>
      <c r="G81" s="81" cm="1">
        <f t="array" aca="1" ref="G81" ca="1">IF(ISNUMBER(_xll.VoseSimPercentile(Out_Lost_Plan,$B81)),_xll.VoseSimPercentile(Out_Lost_Plan,$B81),NA())</f>
        <v>24</v>
      </c>
      <c r="H81" s="81">
        <f t="shared" si="2"/>
        <v>48</v>
      </c>
    </row>
    <row r="82" spans="2:8" hidden="1" outlineLevel="1" x14ac:dyDescent="0.45">
      <c r="B82" s="80">
        <v>0.59</v>
      </c>
      <c r="C82" s="80">
        <f t="shared" si="1"/>
        <v>0.41000000000000003</v>
      </c>
      <c r="D82" s="81" cm="1">
        <f t="array" aca="1" ref="D82" ca="1">IF(ISNUMBER(_xll.VoseSimPercentile(Out_Cost_Start,$B82)),_xll.VoseSimPercentile(Out_Cost_Start,$B82),NA())</f>
        <v>184.75</v>
      </c>
      <c r="E82" s="81" cm="1">
        <f t="array" aca="1" ref="E82" ca="1">IF(ISNUMBER(_xll.VoseSimPercentile(Out_Cost_Plan,$B82)),_xll.VoseSimPercentile(Out_Cost_Plan,$B82),NA())</f>
        <v>214.75</v>
      </c>
      <c r="F82" s="81" cm="1">
        <f t="array" aca="1" ref="F82" ca="1">IF(ISNUMBER(_xll.VoseSimPercentile(Out_Lost_Start,$B82)),_xll.VoseSimPercentile(Out_Lost_Start,$B82),NA())</f>
        <v>60</v>
      </c>
      <c r="G82" s="81" cm="1">
        <f t="array" aca="1" ref="G82" ca="1">IF(ISNUMBER(_xll.VoseSimPercentile(Out_Lost_Plan,$B82)),_xll.VoseSimPercentile(Out_Lost_Plan,$B82),NA())</f>
        <v>36</v>
      </c>
      <c r="H82" s="81">
        <f t="shared" si="2"/>
        <v>48</v>
      </c>
    </row>
    <row r="83" spans="2:8" hidden="1" outlineLevel="1" x14ac:dyDescent="0.45">
      <c r="B83" s="80">
        <v>0.61</v>
      </c>
      <c r="C83" s="80">
        <f t="shared" si="1"/>
        <v>0.39</v>
      </c>
      <c r="D83" s="81" cm="1">
        <f t="array" aca="1" ref="D83" ca="1">IF(ISNUMBER(_xll.VoseSimPercentile(Out_Cost_Start,$B83)),_xll.VoseSimPercentile(Out_Cost_Start,$B83),NA())</f>
        <v>184.75</v>
      </c>
      <c r="E83" s="81" cm="1">
        <f t="array" aca="1" ref="E83" ca="1">IF(ISNUMBER(_xll.VoseSimPercentile(Out_Cost_Plan,$B83)),_xll.VoseSimPercentile(Out_Cost_Plan,$B83),NA())</f>
        <v>214.75</v>
      </c>
      <c r="F83" s="81" cm="1">
        <f t="array" aca="1" ref="F83" ca="1">IF(ISNUMBER(_xll.VoseSimPercentile(Out_Lost_Start,$B83)),_xll.VoseSimPercentile(Out_Lost_Start,$B83),NA())</f>
        <v>60</v>
      </c>
      <c r="G83" s="81" cm="1">
        <f t="array" aca="1" ref="G83" ca="1">IF(ISNUMBER(_xll.VoseSimPercentile(Out_Lost_Plan,$B83)),_xll.VoseSimPercentile(Out_Lost_Plan,$B83),NA())</f>
        <v>36</v>
      </c>
      <c r="H83" s="81">
        <f t="shared" si="2"/>
        <v>48</v>
      </c>
    </row>
    <row r="84" spans="2:8" hidden="1" outlineLevel="1" x14ac:dyDescent="0.45">
      <c r="B84" s="80">
        <v>0.63</v>
      </c>
      <c r="C84" s="80">
        <f t="shared" si="1"/>
        <v>0.37</v>
      </c>
      <c r="D84" s="81" cm="1">
        <f t="array" aca="1" ref="D84" ca="1">IF(ISNUMBER(_xll.VoseSimPercentile(Out_Cost_Start,$B84)),_xll.VoseSimPercentile(Out_Cost_Start,$B84),NA())</f>
        <v>188.75</v>
      </c>
      <c r="E84" s="81" cm="1">
        <f t="array" aca="1" ref="E84" ca="1">IF(ISNUMBER(_xll.VoseSimPercentile(Out_Cost_Plan,$B84)),_xll.VoseSimPercentile(Out_Cost_Plan,$B84),NA())</f>
        <v>214.75</v>
      </c>
      <c r="F84" s="81" cm="1">
        <f t="array" aca="1" ref="F84" ca="1">IF(ISNUMBER(_xll.VoseSimPercentile(Out_Lost_Start,$B84)),_xll.VoseSimPercentile(Out_Lost_Start,$B84),NA())</f>
        <v>60</v>
      </c>
      <c r="G84" s="81" cm="1">
        <f t="array" aca="1" ref="G84" ca="1">IF(ISNUMBER(_xll.VoseSimPercentile(Out_Lost_Plan,$B84)),_xll.VoseSimPercentile(Out_Lost_Plan,$B84),NA())</f>
        <v>36</v>
      </c>
      <c r="H84" s="81">
        <f t="shared" si="2"/>
        <v>48</v>
      </c>
    </row>
    <row r="85" spans="2:8" hidden="1" outlineLevel="1" x14ac:dyDescent="0.45">
      <c r="B85" s="80">
        <v>0.65</v>
      </c>
      <c r="C85" s="80">
        <f t="shared" ref="C85:C116" si="3">1-B85</f>
        <v>0.35</v>
      </c>
      <c r="D85" s="81" cm="1">
        <f t="array" aca="1" ref="D85" ca="1">IF(ISNUMBER(_xll.VoseSimPercentile(Out_Cost_Start,$B85)),_xll.VoseSimPercentile(Out_Cost_Start,$B85),NA())</f>
        <v>188.75</v>
      </c>
      <c r="E85" s="81" cm="1">
        <f t="array" aca="1" ref="E85" ca="1">IF(ISNUMBER(_xll.VoseSimPercentile(Out_Cost_Plan,$B85)),_xll.VoseSimPercentile(Out_Cost_Plan,$B85),NA())</f>
        <v>214.75</v>
      </c>
      <c r="F85" s="81" cm="1">
        <f t="array" aca="1" ref="F85" ca="1">IF(ISNUMBER(_xll.VoseSimPercentile(Out_Lost_Start,$B85)),_xll.VoseSimPercentile(Out_Lost_Start,$B85),NA())</f>
        <v>60</v>
      </c>
      <c r="G85" s="81" cm="1">
        <f t="array" aca="1" ref="G85" ca="1">IF(ISNUMBER(_xll.VoseSimPercentile(Out_Lost_Plan,$B85)),_xll.VoseSimPercentile(Out_Lost_Plan,$B85),NA())</f>
        <v>36</v>
      </c>
      <c r="H85" s="81">
        <f t="shared" ref="H85:H102" si="4">HoursCap</f>
        <v>48</v>
      </c>
    </row>
    <row r="86" spans="2:8" hidden="1" outlineLevel="1" x14ac:dyDescent="0.45">
      <c r="B86" s="80">
        <v>0.67</v>
      </c>
      <c r="C86" s="80">
        <f t="shared" si="3"/>
        <v>0.32999999999999996</v>
      </c>
      <c r="D86" s="81" cm="1">
        <f t="array" aca="1" ref="D86" ca="1">IF(ISNUMBER(_xll.VoseSimPercentile(Out_Cost_Start,$B86)),_xll.VoseSimPercentile(Out_Cost_Start,$B86),NA())</f>
        <v>188.75</v>
      </c>
      <c r="E86" s="81" cm="1">
        <f t="array" aca="1" ref="E86" ca="1">IF(ISNUMBER(_xll.VoseSimPercentile(Out_Cost_Plan,$B86)),_xll.VoseSimPercentile(Out_Cost_Plan,$B86),NA())</f>
        <v>214.75</v>
      </c>
      <c r="F86" s="81" cm="1">
        <f t="array" aca="1" ref="F86" ca="1">IF(ISNUMBER(_xll.VoseSimPercentile(Out_Lost_Start,$B86)),_xll.VoseSimPercentile(Out_Lost_Start,$B86),NA())</f>
        <v>60</v>
      </c>
      <c r="G86" s="81" cm="1">
        <f t="array" aca="1" ref="G86" ca="1">IF(ISNUMBER(_xll.VoseSimPercentile(Out_Lost_Plan,$B86)),_xll.VoseSimPercentile(Out_Lost_Plan,$B86),NA())</f>
        <v>36</v>
      </c>
      <c r="H86" s="81">
        <f t="shared" si="4"/>
        <v>48</v>
      </c>
    </row>
    <row r="87" spans="2:8" hidden="1" outlineLevel="1" x14ac:dyDescent="0.45">
      <c r="B87" s="80">
        <v>0.69</v>
      </c>
      <c r="C87" s="80">
        <f t="shared" si="3"/>
        <v>0.31000000000000005</v>
      </c>
      <c r="D87" s="81" cm="1">
        <f t="array" aca="1" ref="D87" ca="1">IF(ISNUMBER(_xll.VoseSimPercentile(Out_Cost_Start,$B87)),_xll.VoseSimPercentile(Out_Cost_Start,$B87),NA())</f>
        <v>188.75</v>
      </c>
      <c r="E87" s="81" cm="1">
        <f t="array" aca="1" ref="E87" ca="1">IF(ISNUMBER(_xll.VoseSimPercentile(Out_Cost_Plan,$B87)),_xll.VoseSimPercentile(Out_Cost_Plan,$B87),NA())</f>
        <v>214.75</v>
      </c>
      <c r="F87" s="81" cm="1">
        <f t="array" aca="1" ref="F87" ca="1">IF(ISNUMBER(_xll.VoseSimPercentile(Out_Lost_Start,$B87)),_xll.VoseSimPercentile(Out_Lost_Start,$B87),NA())</f>
        <v>60</v>
      </c>
      <c r="G87" s="81" cm="1">
        <f t="array" aca="1" ref="G87" ca="1">IF(ISNUMBER(_xll.VoseSimPercentile(Out_Lost_Plan,$B87)),_xll.VoseSimPercentile(Out_Lost_Plan,$B87),NA())</f>
        <v>36</v>
      </c>
      <c r="H87" s="81">
        <f t="shared" si="4"/>
        <v>48</v>
      </c>
    </row>
    <row r="88" spans="2:8" hidden="1" outlineLevel="1" x14ac:dyDescent="0.45">
      <c r="B88" s="80">
        <v>0.71</v>
      </c>
      <c r="C88" s="80">
        <f t="shared" si="3"/>
        <v>0.29000000000000004</v>
      </c>
      <c r="D88" s="81" cm="1">
        <f t="array" aca="1" ref="D88" ca="1">IF(ISNUMBER(_xll.VoseSimPercentile(Out_Cost_Start,$B88)),_xll.VoseSimPercentile(Out_Cost_Start,$B88),NA())</f>
        <v>192.75</v>
      </c>
      <c r="E88" s="81" cm="1">
        <f t="array" aca="1" ref="E88" ca="1">IF(ISNUMBER(_xll.VoseSimPercentile(Out_Cost_Plan,$B88)),_xll.VoseSimPercentile(Out_Cost_Plan,$B88),NA())</f>
        <v>214.75</v>
      </c>
      <c r="F88" s="81" cm="1">
        <f t="array" aca="1" ref="F88" ca="1">IF(ISNUMBER(_xll.VoseSimPercentile(Out_Lost_Start,$B88)),_xll.VoseSimPercentile(Out_Lost_Start,$B88),NA())</f>
        <v>60</v>
      </c>
      <c r="G88" s="81" cm="1">
        <f t="array" aca="1" ref="G88" ca="1">IF(ISNUMBER(_xll.VoseSimPercentile(Out_Lost_Plan,$B88)),_xll.VoseSimPercentile(Out_Lost_Plan,$B88),NA())</f>
        <v>36</v>
      </c>
      <c r="H88" s="81">
        <f t="shared" si="4"/>
        <v>48</v>
      </c>
    </row>
    <row r="89" spans="2:8" hidden="1" outlineLevel="1" x14ac:dyDescent="0.45">
      <c r="B89" s="80">
        <v>0.73</v>
      </c>
      <c r="C89" s="80">
        <f t="shared" si="3"/>
        <v>0.27</v>
      </c>
      <c r="D89" s="81" cm="1">
        <f t="array" aca="1" ref="D89" ca="1">IF(ISNUMBER(_xll.VoseSimPercentile(Out_Cost_Start,$B89)),_xll.VoseSimPercentile(Out_Cost_Start,$B89),NA())</f>
        <v>192.75</v>
      </c>
      <c r="E89" s="81" cm="1">
        <f t="array" aca="1" ref="E89" ca="1">IF(ISNUMBER(_xll.VoseSimPercentile(Out_Cost_Plan,$B89)),_xll.VoseSimPercentile(Out_Cost_Plan,$B89),NA())</f>
        <v>218.75</v>
      </c>
      <c r="F89" s="81" cm="1">
        <f t="array" aca="1" ref="F89" ca="1">IF(ISNUMBER(_xll.VoseSimPercentile(Out_Lost_Start,$B89)),_xll.VoseSimPercentile(Out_Lost_Start,$B89),NA())</f>
        <v>60</v>
      </c>
      <c r="G89" s="81" cm="1">
        <f t="array" aca="1" ref="G89" ca="1">IF(ISNUMBER(_xll.VoseSimPercentile(Out_Lost_Plan,$B89)),_xll.VoseSimPercentile(Out_Lost_Plan,$B89),NA())</f>
        <v>36</v>
      </c>
      <c r="H89" s="81">
        <f t="shared" si="4"/>
        <v>48</v>
      </c>
    </row>
    <row r="90" spans="2:8" hidden="1" outlineLevel="1" x14ac:dyDescent="0.45">
      <c r="B90" s="80">
        <v>0.75</v>
      </c>
      <c r="C90" s="80">
        <f t="shared" si="3"/>
        <v>0.25</v>
      </c>
      <c r="D90" s="81" cm="1">
        <f t="array" aca="1" ref="D90" ca="1">IF(ISNUMBER(_xll.VoseSimPercentile(Out_Cost_Start,$B90)),_xll.VoseSimPercentile(Out_Cost_Start,$B90),NA())</f>
        <v>201.75</v>
      </c>
      <c r="E90" s="81" cm="1">
        <f t="array" aca="1" ref="E90" ca="1">IF(ISNUMBER(_xll.VoseSimPercentile(Out_Cost_Plan,$B90)),_xll.VoseSimPercentile(Out_Cost_Plan,$B90),NA())</f>
        <v>218.75</v>
      </c>
      <c r="F90" s="81" cm="1">
        <f t="array" aca="1" ref="F90" ca="1">IF(ISNUMBER(_xll.VoseSimPercentile(Out_Lost_Start,$B90)),_xll.VoseSimPercentile(Out_Lost_Start,$B90),NA())</f>
        <v>72</v>
      </c>
      <c r="G90" s="81" cm="1">
        <f t="array" aca="1" ref="G90" ca="1">IF(ISNUMBER(_xll.VoseSimPercentile(Out_Lost_Plan,$B90)),_xll.VoseSimPercentile(Out_Lost_Plan,$B90),NA())</f>
        <v>36</v>
      </c>
      <c r="H90" s="81">
        <f t="shared" si="4"/>
        <v>48</v>
      </c>
    </row>
    <row r="91" spans="2:8" hidden="1" outlineLevel="1" x14ac:dyDescent="0.45">
      <c r="B91" s="80">
        <v>0.77</v>
      </c>
      <c r="C91" s="80">
        <f t="shared" si="3"/>
        <v>0.22999999999999998</v>
      </c>
      <c r="D91" s="81" cm="1">
        <f t="array" aca="1" ref="D91" ca="1">IF(ISNUMBER(_xll.VoseSimPercentile(Out_Cost_Start,$B91)),_xll.VoseSimPercentile(Out_Cost_Start,$B91),NA())</f>
        <v>205.75</v>
      </c>
      <c r="E91" s="81" cm="1">
        <f t="array" aca="1" ref="E91" ca="1">IF(ISNUMBER(_xll.VoseSimPercentile(Out_Cost_Plan,$B91)),_xll.VoseSimPercentile(Out_Cost_Plan,$B91),NA())</f>
        <v>218.75</v>
      </c>
      <c r="F91" s="81" cm="1">
        <f t="array" aca="1" ref="F91" ca="1">IF(ISNUMBER(_xll.VoseSimPercentile(Out_Lost_Start,$B91)),_xll.VoseSimPercentile(Out_Lost_Start,$B91),NA())</f>
        <v>72</v>
      </c>
      <c r="G91" s="81" cm="1">
        <f t="array" aca="1" ref="G91" ca="1">IF(ISNUMBER(_xll.VoseSimPercentile(Out_Lost_Plan,$B91)),_xll.VoseSimPercentile(Out_Lost_Plan,$B91),NA())</f>
        <v>36</v>
      </c>
      <c r="H91" s="81">
        <f t="shared" si="4"/>
        <v>48</v>
      </c>
    </row>
    <row r="92" spans="2:8" hidden="1" outlineLevel="1" x14ac:dyDescent="0.45">
      <c r="B92" s="80">
        <v>0.79</v>
      </c>
      <c r="C92" s="80">
        <f t="shared" si="3"/>
        <v>0.20999999999999996</v>
      </c>
      <c r="D92" s="81" cm="1">
        <f t="array" aca="1" ref="D92" ca="1">IF(ISNUMBER(_xll.VoseSimPercentile(Out_Cost_Start,$B92)),_xll.VoseSimPercentile(Out_Cost_Start,$B92),NA())</f>
        <v>205.75</v>
      </c>
      <c r="E92" s="81" cm="1">
        <f t="array" aca="1" ref="E92" ca="1">IF(ISNUMBER(_xll.VoseSimPercentile(Out_Cost_Plan,$B92)),_xll.VoseSimPercentile(Out_Cost_Plan,$B92),NA())</f>
        <v>231.75</v>
      </c>
      <c r="F92" s="81" cm="1">
        <f t="array" aca="1" ref="F92" ca="1">IF(ISNUMBER(_xll.VoseSimPercentile(Out_Lost_Start,$B92)),_xll.VoseSimPercentile(Out_Lost_Start,$B92),NA())</f>
        <v>72</v>
      </c>
      <c r="G92" s="81" cm="1">
        <f t="array" aca="1" ref="G92" ca="1">IF(ISNUMBER(_xll.VoseSimPercentile(Out_Lost_Plan,$B92)),_xll.VoseSimPercentile(Out_Lost_Plan,$B92),NA())</f>
        <v>48</v>
      </c>
      <c r="H92" s="81">
        <f t="shared" si="4"/>
        <v>48</v>
      </c>
    </row>
    <row r="93" spans="2:8" hidden="1" outlineLevel="1" x14ac:dyDescent="0.45">
      <c r="B93" s="80">
        <v>0.81</v>
      </c>
      <c r="C93" s="80">
        <f t="shared" si="3"/>
        <v>0.18999999999999995</v>
      </c>
      <c r="D93" s="81" cm="1">
        <f t="array" aca="1" ref="D93" ca="1">IF(ISNUMBER(_xll.VoseSimPercentile(Out_Cost_Start,$B93)),_xll.VoseSimPercentile(Out_Cost_Start,$B93),NA())</f>
        <v>205.75</v>
      </c>
      <c r="E93" s="81" cm="1">
        <f t="array" aca="1" ref="E93" ca="1">IF(ISNUMBER(_xll.VoseSimPercentile(Out_Cost_Plan,$B93)),_xll.VoseSimPercentile(Out_Cost_Plan,$B93),NA())</f>
        <v>231.75</v>
      </c>
      <c r="F93" s="81" cm="1">
        <f t="array" aca="1" ref="F93" ca="1">IF(ISNUMBER(_xll.VoseSimPercentile(Out_Lost_Start,$B93)),_xll.VoseSimPercentile(Out_Lost_Start,$B93),NA())</f>
        <v>72</v>
      </c>
      <c r="G93" s="81" cm="1">
        <f t="array" aca="1" ref="G93" ca="1">IF(ISNUMBER(_xll.VoseSimPercentile(Out_Lost_Plan,$B93)),_xll.VoseSimPercentile(Out_Lost_Plan,$B93),NA())</f>
        <v>48</v>
      </c>
      <c r="H93" s="81">
        <f t="shared" si="4"/>
        <v>48</v>
      </c>
    </row>
    <row r="94" spans="2:8" hidden="1" outlineLevel="1" x14ac:dyDescent="0.45">
      <c r="B94" s="80">
        <v>0.83</v>
      </c>
      <c r="C94" s="80">
        <f t="shared" si="3"/>
        <v>0.17000000000000004</v>
      </c>
      <c r="D94" s="81" cm="1">
        <f t="array" aca="1" ref="D94" ca="1">IF(ISNUMBER(_xll.VoseSimPercentile(Out_Cost_Start,$B94)),_xll.VoseSimPercentile(Out_Cost_Start,$B94),NA())</f>
        <v>209.75</v>
      </c>
      <c r="E94" s="81" cm="1">
        <f t="array" aca="1" ref="E94" ca="1">IF(ISNUMBER(_xll.VoseSimPercentile(Out_Cost_Plan,$B94)),_xll.VoseSimPercentile(Out_Cost_Plan,$B94),NA())</f>
        <v>231.75</v>
      </c>
      <c r="F94" s="81" cm="1">
        <f t="array" aca="1" ref="F94" ca="1">IF(ISNUMBER(_xll.VoseSimPercentile(Out_Lost_Start,$B94)),_xll.VoseSimPercentile(Out_Lost_Start,$B94),NA())</f>
        <v>72</v>
      </c>
      <c r="G94" s="81" cm="1">
        <f t="array" aca="1" ref="G94" ca="1">IF(ISNUMBER(_xll.VoseSimPercentile(Out_Lost_Plan,$B94)),_xll.VoseSimPercentile(Out_Lost_Plan,$B94),NA())</f>
        <v>48</v>
      </c>
      <c r="H94" s="81">
        <f t="shared" si="4"/>
        <v>48</v>
      </c>
    </row>
    <row r="95" spans="2:8" hidden="1" outlineLevel="1" x14ac:dyDescent="0.45">
      <c r="B95" s="80">
        <v>0.85</v>
      </c>
      <c r="C95" s="80">
        <f t="shared" si="3"/>
        <v>0.15000000000000002</v>
      </c>
      <c r="D95" s="81" cm="1">
        <f t="array" aca="1" ref="D95" ca="1">IF(ISNUMBER(_xll.VoseSimPercentile(Out_Cost_Start,$B95)),_xll.VoseSimPercentile(Out_Cost_Start,$B95),NA())</f>
        <v>213.75</v>
      </c>
      <c r="E95" s="81" cm="1">
        <f t="array" aca="1" ref="E95" ca="1">IF(ISNUMBER(_xll.VoseSimPercentile(Out_Cost_Plan,$B95)),_xll.VoseSimPercentile(Out_Cost_Plan,$B95),NA())</f>
        <v>231.75</v>
      </c>
      <c r="F95" s="81" cm="1">
        <f t="array" aca="1" ref="F95" ca="1">IF(ISNUMBER(_xll.VoseSimPercentile(Out_Lost_Start,$B95)),_xll.VoseSimPercentile(Out_Lost_Start,$B95),NA())</f>
        <v>72</v>
      </c>
      <c r="G95" s="81" cm="1">
        <f t="array" aca="1" ref="G95" ca="1">IF(ISNUMBER(_xll.VoseSimPercentile(Out_Lost_Plan,$B95)),_xll.VoseSimPercentile(Out_Lost_Plan,$B95),NA())</f>
        <v>48</v>
      </c>
      <c r="H95" s="81">
        <f t="shared" si="4"/>
        <v>48</v>
      </c>
    </row>
    <row r="96" spans="2:8" hidden="1" outlineLevel="1" x14ac:dyDescent="0.45">
      <c r="B96" s="80">
        <v>0.87</v>
      </c>
      <c r="C96" s="80">
        <f t="shared" si="3"/>
        <v>0.13</v>
      </c>
      <c r="D96" s="81" cm="1">
        <f t="array" aca="1" ref="D96" ca="1">IF(ISNUMBER(_xll.VoseSimPercentile(Out_Cost_Start,$B96)),_xll.VoseSimPercentile(Out_Cost_Start,$B96),NA())</f>
        <v>222.75</v>
      </c>
      <c r="E96" s="81" cm="1">
        <f t="array" aca="1" ref="E96" ca="1">IF(ISNUMBER(_xll.VoseSimPercentile(Out_Cost_Plan,$B96)),_xll.VoseSimPercentile(Out_Cost_Plan,$B96),NA())</f>
        <v>235.75</v>
      </c>
      <c r="F96" s="81" cm="1">
        <f t="array" aca="1" ref="F96" ca="1">IF(ISNUMBER(_xll.VoseSimPercentile(Out_Lost_Start,$B96)),_xll.VoseSimPercentile(Out_Lost_Start,$B96),NA())</f>
        <v>84</v>
      </c>
      <c r="G96" s="81" cm="1">
        <f t="array" aca="1" ref="G96" ca="1">IF(ISNUMBER(_xll.VoseSimPercentile(Out_Lost_Plan,$B96)),_xll.VoseSimPercentile(Out_Lost_Plan,$B96),NA())</f>
        <v>48</v>
      </c>
      <c r="H96" s="81">
        <f t="shared" si="4"/>
        <v>48</v>
      </c>
    </row>
    <row r="97" spans="2:8" hidden="1" outlineLevel="1" x14ac:dyDescent="0.45">
      <c r="B97" s="80">
        <v>0.89</v>
      </c>
      <c r="C97" s="80">
        <f t="shared" si="3"/>
        <v>0.10999999999999999</v>
      </c>
      <c r="D97" s="81" cm="1">
        <f t="array" aca="1" ref="D97" ca="1">IF(ISNUMBER(_xll.VoseSimPercentile(Out_Cost_Start,$B97)),_xll.VoseSimPercentile(Out_Cost_Start,$B97),NA())</f>
        <v>226.75</v>
      </c>
      <c r="E97" s="81" cm="1">
        <f t="array" aca="1" ref="E97" ca="1">IF(ISNUMBER(_xll.VoseSimPercentile(Out_Cost_Plan,$B97)),_xll.VoseSimPercentile(Out_Cost_Plan,$B97),NA())</f>
        <v>235.75</v>
      </c>
      <c r="F97" s="81" cm="1">
        <f t="array" aca="1" ref="F97" ca="1">IF(ISNUMBER(_xll.VoseSimPercentile(Out_Lost_Start,$B97)),_xll.VoseSimPercentile(Out_Lost_Start,$B97),NA())</f>
        <v>84</v>
      </c>
      <c r="G97" s="81" cm="1">
        <f t="array" aca="1" ref="G97" ca="1">IF(ISNUMBER(_xll.VoseSimPercentile(Out_Lost_Plan,$B97)),_xll.VoseSimPercentile(Out_Lost_Plan,$B97),NA())</f>
        <v>48</v>
      </c>
      <c r="H97" s="81">
        <f t="shared" si="4"/>
        <v>48</v>
      </c>
    </row>
    <row r="98" spans="2:8" hidden="1" outlineLevel="1" x14ac:dyDescent="0.45">
      <c r="B98" s="80">
        <v>0.91</v>
      </c>
      <c r="C98" s="80">
        <f t="shared" si="3"/>
        <v>8.9999999999999969E-2</v>
      </c>
      <c r="D98" s="81" cm="1">
        <f t="array" aca="1" ref="D98" ca="1">IF(ISNUMBER(_xll.VoseSimPercentile(Out_Cost_Start,$B98)),_xll.VoseSimPercentile(Out_Cost_Start,$B98),NA())</f>
        <v>226.75</v>
      </c>
      <c r="E98" s="81" cm="1">
        <f t="array" aca="1" ref="E98" ca="1">IF(ISNUMBER(_xll.VoseSimPercentile(Out_Cost_Plan,$B98)),_xll.VoseSimPercentile(Out_Cost_Plan,$B98),NA())</f>
        <v>239.75</v>
      </c>
      <c r="F98" s="81" cm="1">
        <f t="array" aca="1" ref="F98" ca="1">IF(ISNUMBER(_xll.VoseSimPercentile(Out_Lost_Start,$B98)),_xll.VoseSimPercentile(Out_Lost_Start,$B98),NA())</f>
        <v>84</v>
      </c>
      <c r="G98" s="81" cm="1">
        <f t="array" aca="1" ref="G98" ca="1">IF(ISNUMBER(_xll.VoseSimPercentile(Out_Lost_Plan,$B98)),_xll.VoseSimPercentile(Out_Lost_Plan,$B98),NA())</f>
        <v>48</v>
      </c>
      <c r="H98" s="81">
        <f t="shared" si="4"/>
        <v>48</v>
      </c>
    </row>
    <row r="99" spans="2:8" hidden="1" outlineLevel="1" x14ac:dyDescent="0.45">
      <c r="B99" s="80">
        <v>0.93</v>
      </c>
      <c r="C99" s="80">
        <f t="shared" si="3"/>
        <v>6.9999999999999951E-2</v>
      </c>
      <c r="D99" s="81" cm="1">
        <f t="array" aca="1" ref="D99" ca="1">IF(ISNUMBER(_xll.VoseSimPercentile(Out_Cost_Start,$B99)),_xll.VoseSimPercentile(Out_Cost_Start,$B99),NA())</f>
        <v>237.75</v>
      </c>
      <c r="E99" s="81" cm="1">
        <f t="array" aca="1" ref="E99" ca="1">IF(ISNUMBER(_xll.VoseSimPercentile(Out_Cost_Plan,$B99)),_xll.VoseSimPercentile(Out_Cost_Plan,$B99),NA())</f>
        <v>248.75</v>
      </c>
      <c r="F99" s="81" cm="1">
        <f t="array" aca="1" ref="F99" ca="1">IF(ISNUMBER(_xll.VoseSimPercentile(Out_Lost_Start,$B99)),_xll.VoseSimPercentile(Out_Lost_Start,$B99),NA())</f>
        <v>96</v>
      </c>
      <c r="G99" s="81" cm="1">
        <f t="array" aca="1" ref="G99" ca="1">IF(ISNUMBER(_xll.VoseSimPercentile(Out_Lost_Plan,$B99)),_xll.VoseSimPercentile(Out_Lost_Plan,$B99),NA())</f>
        <v>60</v>
      </c>
      <c r="H99" s="81">
        <f t="shared" si="4"/>
        <v>48</v>
      </c>
    </row>
    <row r="100" spans="2:8" hidden="1" outlineLevel="1" x14ac:dyDescent="0.45">
      <c r="B100" s="80">
        <v>0.95</v>
      </c>
      <c r="C100" s="80">
        <f t="shared" si="3"/>
        <v>5.0000000000000044E-2</v>
      </c>
      <c r="D100" s="81" cm="1">
        <f t="array" aca="1" ref="D100" ca="1">IF(ISNUMBER(_xll.VoseSimPercentile(Out_Cost_Start,$B100)),_xll.VoseSimPercentile(Out_Cost_Start,$B100),NA())</f>
        <v>243.75</v>
      </c>
      <c r="E100" s="81" cm="1">
        <f t="array" aca="1" ref="E100" ca="1">IF(ISNUMBER(_xll.VoseSimPercentile(Out_Cost_Plan,$B100)),_xll.VoseSimPercentile(Out_Cost_Plan,$B100),NA())</f>
        <v>252.75</v>
      </c>
      <c r="F100" s="81" cm="1">
        <f t="array" aca="1" ref="F100" ca="1">IF(ISNUMBER(_xll.VoseSimPercentile(Out_Lost_Start,$B100)),_xll.VoseSimPercentile(Out_Lost_Start,$B100),NA())</f>
        <v>96</v>
      </c>
      <c r="G100" s="81" cm="1">
        <f t="array" aca="1" ref="G100" ca="1">IF(ISNUMBER(_xll.VoseSimPercentile(Out_Lost_Plan,$B100)),_xll.VoseSimPercentile(Out_Lost_Plan,$B100),NA())</f>
        <v>60</v>
      </c>
      <c r="H100" s="81">
        <f t="shared" si="4"/>
        <v>48</v>
      </c>
    </row>
    <row r="101" spans="2:8" hidden="1" outlineLevel="1" x14ac:dyDescent="0.45">
      <c r="B101" s="80">
        <v>0.97</v>
      </c>
      <c r="C101" s="80">
        <f t="shared" si="3"/>
        <v>3.0000000000000027E-2</v>
      </c>
      <c r="D101" s="81" cm="1">
        <f t="array" aca="1" ref="D101" ca="1">IF(ISNUMBER(_xll.VoseSimPercentile(Out_Cost_Start,$B101)),_xll.VoseSimPercentile(Out_Cost_Start,$B101),NA())</f>
        <v>260.75</v>
      </c>
      <c r="E101" s="81" cm="1">
        <f t="array" aca="1" ref="E101" ca="1">IF(ISNUMBER(_xll.VoseSimPercentile(Out_Cost_Plan,$B101)),_xll.VoseSimPercentile(Out_Cost_Plan,$B101),NA())</f>
        <v>265.75</v>
      </c>
      <c r="F101" s="81" cm="1">
        <f t="array" aca="1" ref="F101" ca="1">IF(ISNUMBER(_xll.VoseSimPercentile(Out_Lost_Start,$B101)),_xll.VoseSimPercentile(Out_Lost_Start,$B101),NA())</f>
        <v>108</v>
      </c>
      <c r="G101" s="81" cm="1">
        <f t="array" aca="1" ref="G101" ca="1">IF(ISNUMBER(_xll.VoseSimPercentile(Out_Lost_Plan,$B101)),_xll.VoseSimPercentile(Out_Lost_Plan,$B101),NA())</f>
        <v>72</v>
      </c>
      <c r="H101" s="81">
        <f t="shared" si="4"/>
        <v>48</v>
      </c>
    </row>
    <row r="102" spans="2:8" hidden="1" outlineLevel="1" x14ac:dyDescent="0.45">
      <c r="B102" s="80">
        <v>0.99</v>
      </c>
      <c r="C102" s="80">
        <f t="shared" si="3"/>
        <v>1.0000000000000009E-2</v>
      </c>
      <c r="D102" s="81" cm="1">
        <f t="array" aca="1" ref="D102" ca="1">IF(ISNUMBER(_xll.VoseSimPercentile(Out_Cost_Start,$B102)),_xll.VoseSimPercentile(Out_Cost_Start,$B102),NA())</f>
        <v>285.75</v>
      </c>
      <c r="E102" s="81" cm="1">
        <f t="array" aca="1" ref="E102" ca="1">IF(ISNUMBER(_xll.VoseSimPercentile(Out_Cost_Plan,$B102)),_xll.VoseSimPercentile(Out_Cost_Plan,$B102),NA())</f>
        <v>282.75</v>
      </c>
      <c r="F102" s="81" cm="1">
        <f t="array" aca="1" ref="F102" ca="1">IF(ISNUMBER(_xll.VoseSimPercentile(Out_Lost_Start,$B102)),_xll.VoseSimPercentile(Out_Lost_Start,$B102),NA())</f>
        <v>132</v>
      </c>
      <c r="G102" s="81" cm="1">
        <f t="array" aca="1" ref="G102" ca="1">IF(ISNUMBER(_xll.VoseSimPercentile(Out_Lost_Plan,$B102)),_xll.VoseSimPercentile(Out_Lost_Plan,$B102),NA())</f>
        <v>84</v>
      </c>
      <c r="H102" s="81">
        <f t="shared" si="4"/>
        <v>48</v>
      </c>
    </row>
  </sheetData>
  <mergeCells count="5">
    <mergeCell ref="B47:G47"/>
    <mergeCell ref="B46:G46"/>
    <mergeCell ref="B45:G45"/>
    <mergeCell ref="B43:G43"/>
    <mergeCell ref="B44:G44"/>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53:H102">
    <cfRule type="expression" dxfId="0" priority="3">
      <formula>ISNA(D53)</formula>
    </cfRule>
  </conditionalFormatting>
  <hyperlinks>
    <hyperlink ref="B4" location="'Spindles'!A1" display="◂  Spindles" xr:uid="{00000000-0004-0000-04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1"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heetViews>
  <sheetFormatPr defaultRowHeight="14.25" x14ac:dyDescent="0.45"/>
  <sheetData>
    <row r="1" spans="1:5" x14ac:dyDescent="0.45">
      <c r="A1" s="82" t="s">
        <v>296</v>
      </c>
      <c r="B1">
        <v>0</v>
      </c>
      <c r="C1">
        <v>1</v>
      </c>
      <c r="D1">
        <v>1</v>
      </c>
      <c r="E1" s="82" t="s">
        <v>297</v>
      </c>
    </row>
    <row r="2" spans="1:5" x14ac:dyDescent="0.45">
      <c r="A2">
        <v>1</v>
      </c>
      <c r="B2" s="82" t="s">
        <v>298</v>
      </c>
      <c r="C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D408-3D0A-4608-8517-DA0F2047A3BC}">
  <dimension ref="A1:B1"/>
  <sheetViews>
    <sheetView workbookViewId="0"/>
  </sheetViews>
  <sheetFormatPr defaultRowHeight="14.25" x14ac:dyDescent="0.45"/>
  <sheetData>
    <row r="1" spans="1:2" x14ac:dyDescent="0.45">
      <c r="A1" s="90" t="s">
        <v>303</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C1217-D5EB-4DF0-A91F-F89CE4DD69A7}">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8707-E79F-4CBF-B948-E247A21A5287}">
  <dimension ref="B3:B122"/>
  <sheetViews>
    <sheetView workbookViewId="0"/>
  </sheetViews>
  <sheetFormatPr defaultRowHeight="14.25" x14ac:dyDescent="0.45"/>
  <sheetData>
    <row r="3" spans="2:2" x14ac:dyDescent="0.45">
      <c r="B3">
        <v>130</v>
      </c>
    </row>
    <row r="4" spans="2:2" x14ac:dyDescent="0.45">
      <c r="B4">
        <v>257</v>
      </c>
    </row>
    <row r="5" spans="2:2" x14ac:dyDescent="0.45">
      <c r="B5">
        <v>378</v>
      </c>
    </row>
    <row r="6" spans="2:2" x14ac:dyDescent="0.45">
      <c r="B6">
        <v>754</v>
      </c>
    </row>
    <row r="7" spans="2:2" x14ac:dyDescent="0.45">
      <c r="B7">
        <v>219</v>
      </c>
    </row>
    <row r="8" spans="2:2" x14ac:dyDescent="0.45">
      <c r="B8">
        <v>140</v>
      </c>
    </row>
    <row r="9" spans="2:2" x14ac:dyDescent="0.45">
      <c r="B9">
        <v>103</v>
      </c>
    </row>
    <row r="10" spans="2:2" x14ac:dyDescent="0.45">
      <c r="B10">
        <v>12</v>
      </c>
    </row>
    <row r="11" spans="2:2" x14ac:dyDescent="0.45">
      <c r="B11">
        <v>4</v>
      </c>
    </row>
    <row r="12" spans="2:2" x14ac:dyDescent="0.45">
      <c r="B12">
        <v>3</v>
      </c>
    </row>
    <row r="13" spans="2:2" x14ac:dyDescent="0.45">
      <c r="B13">
        <v>5</v>
      </c>
    </row>
    <row r="14" spans="2:2" x14ac:dyDescent="0.45">
      <c r="B14">
        <v>14</v>
      </c>
    </row>
    <row r="15" spans="2:2" x14ac:dyDescent="0.45">
      <c r="B15">
        <v>51</v>
      </c>
    </row>
    <row r="16" spans="2:2" x14ac:dyDescent="0.45">
      <c r="B16">
        <v>135</v>
      </c>
    </row>
    <row r="17" spans="2:2" x14ac:dyDescent="0.45">
      <c r="B17">
        <v>233</v>
      </c>
    </row>
    <row r="18" spans="2:2" x14ac:dyDescent="0.45">
      <c r="B18">
        <v>424</v>
      </c>
    </row>
    <row r="19" spans="2:2" x14ac:dyDescent="0.45">
      <c r="B19">
        <v>464</v>
      </c>
    </row>
    <row r="20" spans="2:2" x14ac:dyDescent="0.45">
      <c r="B20">
        <v>433</v>
      </c>
    </row>
    <row r="21" spans="2:2" x14ac:dyDescent="0.45">
      <c r="B21">
        <v>197</v>
      </c>
    </row>
    <row r="22" spans="2:2" x14ac:dyDescent="0.45">
      <c r="B22">
        <v>44</v>
      </c>
    </row>
    <row r="23" spans="2:2" x14ac:dyDescent="0.45">
      <c r="B23">
        <v>1954</v>
      </c>
    </row>
    <row r="24" spans="2:2" x14ac:dyDescent="0.45">
      <c r="B24">
        <v>0</v>
      </c>
    </row>
    <row r="25" spans="2:2" x14ac:dyDescent="0.45">
      <c r="B25">
        <v>0</v>
      </c>
    </row>
    <row r="26" spans="2:2" x14ac:dyDescent="0.45">
      <c r="B26">
        <v>41</v>
      </c>
    </row>
    <row r="27" spans="2:2" x14ac:dyDescent="0.45">
      <c r="B27">
        <v>0</v>
      </c>
    </row>
    <row r="28" spans="2:2" x14ac:dyDescent="0.45">
      <c r="B28">
        <v>0</v>
      </c>
    </row>
    <row r="29" spans="2:2" x14ac:dyDescent="0.45">
      <c r="B29">
        <v>4</v>
      </c>
    </row>
    <row r="30" spans="2:2" x14ac:dyDescent="0.45">
      <c r="B30">
        <v>0</v>
      </c>
    </row>
    <row r="31" spans="2:2" x14ac:dyDescent="0.45">
      <c r="B31">
        <v>0</v>
      </c>
    </row>
    <row r="32" spans="2:2" x14ac:dyDescent="0.45">
      <c r="B32">
        <v>1</v>
      </c>
    </row>
    <row r="33" spans="2:2" x14ac:dyDescent="0.45">
      <c r="B33">
        <v>387</v>
      </c>
    </row>
    <row r="34" spans="2:2" x14ac:dyDescent="0.45">
      <c r="B34">
        <v>790</v>
      </c>
    </row>
    <row r="35" spans="2:2" x14ac:dyDescent="0.45">
      <c r="B35">
        <v>548</v>
      </c>
    </row>
    <row r="36" spans="2:2" x14ac:dyDescent="0.45">
      <c r="B36">
        <v>189</v>
      </c>
    </row>
    <row r="37" spans="2:2" x14ac:dyDescent="0.45">
      <c r="B37">
        <v>61</v>
      </c>
    </row>
    <row r="38" spans="2:2" x14ac:dyDescent="0.45">
      <c r="B38">
        <v>15</v>
      </c>
    </row>
    <row r="39" spans="2:2" x14ac:dyDescent="0.45">
      <c r="B39">
        <v>7</v>
      </c>
    </row>
    <row r="40" spans="2:2" x14ac:dyDescent="0.45">
      <c r="B40">
        <v>2</v>
      </c>
    </row>
    <row r="41" spans="2:2" x14ac:dyDescent="0.45">
      <c r="B41">
        <v>0</v>
      </c>
    </row>
    <row r="42" spans="2:2" x14ac:dyDescent="0.45">
      <c r="B42">
        <v>1</v>
      </c>
    </row>
    <row r="43" spans="2:2" x14ac:dyDescent="0.45">
      <c r="B43">
        <v>1177</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823</v>
      </c>
    </row>
    <row r="53" spans="2:2" x14ac:dyDescent="0.45">
      <c r="B53">
        <v>130</v>
      </c>
    </row>
    <row r="54" spans="2:2" x14ac:dyDescent="0.45">
      <c r="B54">
        <v>635</v>
      </c>
    </row>
    <row r="55" spans="2:2" x14ac:dyDescent="0.45">
      <c r="B55">
        <v>735</v>
      </c>
    </row>
    <row r="56" spans="2:2" x14ac:dyDescent="0.45">
      <c r="B56">
        <v>326</v>
      </c>
    </row>
    <row r="57" spans="2:2" x14ac:dyDescent="0.45">
      <c r="B57">
        <v>112</v>
      </c>
    </row>
    <row r="58" spans="2:2" x14ac:dyDescent="0.45">
      <c r="B58">
        <v>49</v>
      </c>
    </row>
    <row r="59" spans="2:2" x14ac:dyDescent="0.45">
      <c r="B59">
        <v>8</v>
      </c>
    </row>
    <row r="60" spans="2:2" x14ac:dyDescent="0.45">
      <c r="B60">
        <v>3</v>
      </c>
    </row>
    <row r="61" spans="2:2" x14ac:dyDescent="0.45">
      <c r="B61">
        <v>1</v>
      </c>
    </row>
    <row r="62" spans="2:2" x14ac:dyDescent="0.45">
      <c r="B62">
        <v>1</v>
      </c>
    </row>
    <row r="63" spans="2:2" x14ac:dyDescent="0.45">
      <c r="B63">
        <v>194</v>
      </c>
    </row>
    <row r="64" spans="2:2" x14ac:dyDescent="0.45">
      <c r="B64">
        <v>442</v>
      </c>
    </row>
    <row r="65" spans="2:2" x14ac:dyDescent="0.45">
      <c r="B65">
        <v>541</v>
      </c>
    </row>
    <row r="66" spans="2:2" x14ac:dyDescent="0.45">
      <c r="B66">
        <v>394</v>
      </c>
    </row>
    <row r="67" spans="2:2" x14ac:dyDescent="0.45">
      <c r="B67">
        <v>247</v>
      </c>
    </row>
    <row r="68" spans="2:2" x14ac:dyDescent="0.45">
      <c r="B68">
        <v>120</v>
      </c>
    </row>
    <row r="69" spans="2:2" x14ac:dyDescent="0.45">
      <c r="B69">
        <v>47</v>
      </c>
    </row>
    <row r="70" spans="2:2" x14ac:dyDescent="0.45">
      <c r="B70">
        <v>11</v>
      </c>
    </row>
    <row r="71" spans="2:2" x14ac:dyDescent="0.45">
      <c r="B71">
        <v>3</v>
      </c>
    </row>
    <row r="72" spans="2:2" x14ac:dyDescent="0.45">
      <c r="B72">
        <v>1</v>
      </c>
    </row>
    <row r="73" spans="2:2" x14ac:dyDescent="0.45">
      <c r="B73">
        <v>1</v>
      </c>
    </row>
    <row r="74" spans="2:2" x14ac:dyDescent="0.45">
      <c r="B74">
        <v>4</v>
      </c>
    </row>
    <row r="75" spans="2:2" x14ac:dyDescent="0.45">
      <c r="B75">
        <v>22</v>
      </c>
    </row>
    <row r="76" spans="2:2" x14ac:dyDescent="0.45">
      <c r="B76">
        <v>80</v>
      </c>
    </row>
    <row r="77" spans="2:2" x14ac:dyDescent="0.45">
      <c r="B77">
        <v>202</v>
      </c>
    </row>
    <row r="78" spans="2:2" x14ac:dyDescent="0.45">
      <c r="B78">
        <v>0</v>
      </c>
    </row>
    <row r="79" spans="2:2" x14ac:dyDescent="0.45">
      <c r="B79">
        <v>368</v>
      </c>
    </row>
    <row r="80" spans="2:2" x14ac:dyDescent="0.45">
      <c r="B80">
        <v>569</v>
      </c>
    </row>
    <row r="81" spans="2:2" x14ac:dyDescent="0.45">
      <c r="B81">
        <v>530</v>
      </c>
    </row>
    <row r="82" spans="2:2" x14ac:dyDescent="0.45">
      <c r="B82">
        <v>224</v>
      </c>
    </row>
    <row r="83" spans="2:2" x14ac:dyDescent="0.45">
      <c r="B83">
        <v>1997</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3</v>
      </c>
    </row>
    <row r="93" spans="2:2" x14ac:dyDescent="0.45">
      <c r="B93">
        <v>636</v>
      </c>
    </row>
    <row r="94" spans="2:2" x14ac:dyDescent="0.45">
      <c r="B94">
        <v>541</v>
      </c>
    </row>
    <row r="95" spans="2:2" x14ac:dyDescent="0.45">
      <c r="B95">
        <v>394</v>
      </c>
    </row>
    <row r="96" spans="2:2" x14ac:dyDescent="0.45">
      <c r="B96">
        <v>247</v>
      </c>
    </row>
    <row r="97" spans="2:2" x14ac:dyDescent="0.45">
      <c r="B97">
        <v>120</v>
      </c>
    </row>
    <row r="98" spans="2:2" x14ac:dyDescent="0.45">
      <c r="B98">
        <v>46</v>
      </c>
    </row>
    <row r="99" spans="2:2" x14ac:dyDescent="0.45">
      <c r="B99">
        <v>9</v>
      </c>
    </row>
    <row r="100" spans="2:2" x14ac:dyDescent="0.45">
      <c r="B100">
        <v>3</v>
      </c>
    </row>
    <row r="101" spans="2:2" x14ac:dyDescent="0.45">
      <c r="B101">
        <v>2</v>
      </c>
    </row>
    <row r="102" spans="2:2" x14ac:dyDescent="0.45">
      <c r="B102">
        <v>2</v>
      </c>
    </row>
    <row r="103" spans="2:2" x14ac:dyDescent="0.45">
      <c r="B103">
        <v>1818</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182</v>
      </c>
    </row>
    <row r="113" spans="2:2" x14ac:dyDescent="0.45">
      <c r="B113">
        <v>194</v>
      </c>
    </row>
    <row r="114" spans="2:2" x14ac:dyDescent="0.45">
      <c r="B114">
        <v>442</v>
      </c>
    </row>
    <row r="115" spans="2:2" x14ac:dyDescent="0.45">
      <c r="B115">
        <v>541</v>
      </c>
    </row>
    <row r="116" spans="2:2" x14ac:dyDescent="0.45">
      <c r="B116">
        <v>394</v>
      </c>
    </row>
    <row r="117" spans="2:2" x14ac:dyDescent="0.45">
      <c r="B117">
        <v>247</v>
      </c>
    </row>
    <row r="118" spans="2:2" x14ac:dyDescent="0.45">
      <c r="B118">
        <v>120</v>
      </c>
    </row>
    <row r="119" spans="2:2" x14ac:dyDescent="0.45">
      <c r="B119">
        <v>46</v>
      </c>
    </row>
    <row r="120" spans="2:2" x14ac:dyDescent="0.45">
      <c r="B120">
        <v>9</v>
      </c>
    </row>
    <row r="121" spans="2:2" x14ac:dyDescent="0.45">
      <c r="B121">
        <v>4</v>
      </c>
    </row>
    <row r="122" spans="2:2" x14ac:dyDescent="0.45">
      <c r="B12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D6302D57-4AA9-43BA-BEE4-C0AD65E93CDF}">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61</vt:i4>
      </vt:variant>
    </vt:vector>
  </HeadingPairs>
  <TitlesOfParts>
    <vt:vector size="69" baseType="lpstr">
      <vt:lpstr>About</vt:lpstr>
      <vt:lpstr>Inputs</vt:lpstr>
      <vt:lpstr>Decisions</vt:lpstr>
      <vt:lpstr>Spindles</vt:lpstr>
      <vt:lpstr>Results</vt:lpstr>
      <vt:lpstr>ModelRiskDSN</vt:lpstr>
      <vt:lpstr>ModelRiskSYS1</vt:lpstr>
      <vt:lpstr>ModelRiskCharts</vt:lpstr>
      <vt:lpstr>Checks</vt:lpstr>
      <vt:lpstr>CostFail</vt:lpstr>
      <vt:lpstr>CostPlan</vt:lpstr>
      <vt:lpstr>CostWait</vt:lpstr>
      <vt:lpstr>Damage</vt:lpstr>
      <vt:lpstr>DownCost</vt:lpstr>
      <vt:lpstr>DownFail</vt:lpstr>
      <vt:lpstr>E_Plan</vt:lpstr>
      <vt:lpstr>E_Start</vt:lpstr>
      <vt:lpstr>HLead</vt:lpstr>
      <vt:lpstr>HoldKit</vt:lpstr>
      <vt:lpstr>HoldRate</vt:lpstr>
      <vt:lpstr>Horizon</vt:lpstr>
      <vt:lpstr>HoursCap</vt:lpstr>
      <vt:lpstr>HoursYear</vt:lpstr>
      <vt:lpstr>KitPrice</vt:lpstr>
      <vt:lpstr>Kits</vt:lpstr>
      <vt:lpstr>Kits_Hi</vt:lpstr>
      <vt:lpstr>Kits_Lo</vt:lpstr>
      <vt:lpstr>Kits_Start</vt:lpstr>
      <vt:lpstr>Labour</vt:lpstr>
      <vt:lpstr>LeadWeeks</vt:lpstr>
      <vt:lpstr>Life</vt:lpstr>
      <vt:lpstr>NFail_Plan</vt:lpstr>
      <vt:lpstr>NFail_Start</vt:lpstr>
      <vt:lpstr>NPlan_Plan</vt:lpstr>
      <vt:lpstr>NPlan_Start</vt:lpstr>
      <vt:lpstr>OptRun_Best</vt:lpstr>
      <vt:lpstr>OptRun_Date</vt:lpstr>
      <vt:lpstr>OptRun_Engine</vt:lpstr>
      <vt:lpstr>OptRun_Feasible</vt:lpstr>
      <vt:lpstr>OptRun_Samples</vt:lpstr>
      <vt:lpstr>OptRun_Seconds</vt:lpstr>
      <vt:lpstr>OptRun_Stop</vt:lpstr>
      <vt:lpstr>OptRun_Trials</vt:lpstr>
      <vt:lpstr>Out_Cost_Plan</vt:lpstr>
      <vt:lpstr>Out_Cost_Start</vt:lpstr>
      <vt:lpstr>Out_Fail_Plan</vt:lpstr>
      <vt:lpstr>Out_Fail_Start</vt:lpstr>
      <vt:lpstr>Out_Lost_Plan</vt:lpstr>
      <vt:lpstr>Out_Lost_Start</vt:lpstr>
      <vt:lpstr>Out_NoKit_Plan</vt:lpstr>
      <vt:lpstr>Out_NoKit_Start</vt:lpstr>
      <vt:lpstr>Out_Over_Plan</vt:lpstr>
      <vt:lpstr>Out_Over_Start</vt:lpstr>
      <vt:lpstr>Out_Repl_Plan</vt:lpstr>
      <vt:lpstr>Out_Repl_Start</vt:lpstr>
      <vt:lpstr>Results!Print_Area</vt:lpstr>
      <vt:lpstr>Decisions!Print_Titles</vt:lpstr>
      <vt:lpstr>Inputs!Print_Titles</vt:lpstr>
      <vt:lpstr>Results!Print_Titles</vt:lpstr>
      <vt:lpstr>ReplAge</vt:lpstr>
      <vt:lpstr>ReplAge_Hi</vt:lpstr>
      <vt:lpstr>ReplAge_Lo</vt:lpstr>
      <vt:lpstr>ReplAge_Start</vt:lpstr>
      <vt:lpstr>RiskMax</vt:lpstr>
      <vt:lpstr>Scale</vt:lpstr>
      <vt:lpstr>Shape</vt:lpstr>
      <vt:lpstr>W_Plan</vt:lpstr>
      <vt:lpstr>W_Start</vt:lpstr>
      <vt:lpstr>WaitHours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MF-10 Spare Parts and Maintenance Strategy Chosen by the Optimizer</dc:title>
  <dc:subject>ModelRisk industry example library — Manufacturing</dc:subject>
  <dc:creator>Vose Software</dc:creator>
  <cp:keywords>ModelRisk; Monte Carlo; Manufacturing</cp:keywords>
  <dc:description>The bearing replacement age and the spare kits chosen together by the ModelRisk Optimizer: least two-year cost while keeping a promise on machine-hours lost, against MF-08's best fixed option.</dc:description>
  <cp:lastModifiedBy>Timour Koupeev</cp:lastModifiedBy>
  <dcterms:created xsi:type="dcterms:W3CDTF">2026-10-13T13:16:59Z</dcterms:created>
  <dcterms:modified xsi:type="dcterms:W3CDTF">2026-10-13T13:20:41Z</dcterms:modified>
</cp:coreProperties>
</file>