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TimourKoupeev\source\repos\ModelRisk-Examples-opt\models\Manufacturing\"/>
    </mc:Choice>
  </mc:AlternateContent>
  <xr:revisionPtr revIDLastSave="0" documentId="8_{4BC54BF5-EB5D-443F-85D2-DA127E1E57C9}"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Decisions" sheetId="3" r:id="rId3"/>
    <sheet name="Inventory" sheetId="4" r:id="rId4"/>
    <sheet name="Results" sheetId="5" r:id="rId5"/>
    <sheet name="ModelRiskOptimizer" sheetId="6" state="veryHidden" r:id="rId6"/>
    <sheet name="ModelRiskDSN" sheetId="8" state="hidden" r:id="rId7"/>
    <sheet name="ModelRiskSYS1" sheetId="9" state="hidden" r:id="rId8"/>
    <sheet name="ModelRiskCharts" sheetId="10" state="hidden" r:id="rId9"/>
  </sheets>
  <definedNames>
    <definedName name="AnnDem">Inventory!$D$8</definedName>
    <definedName name="Checks">Inventory!$D$38:$D$40</definedName>
    <definedName name="DayDem">Inventory!$D$19</definedName>
    <definedName name="DDLT">Inventory!$D$20</definedName>
    <definedName name="DDLT_Mean">Inventory!$D$11</definedName>
    <definedName name="DelayProb">Inputs!$D$18</definedName>
    <definedName name="DemMean">Inputs!$D$10</definedName>
    <definedName name="DemSD">Inputs!$D$11</definedName>
    <definedName name="EOQ">Inventory!$D$10</definedName>
    <definedName name="GamScale">Inventory!$D$18</definedName>
    <definedName name="GamShape">Inventory!$D$17</definedName>
    <definedName name="HoldCost">Inventory!$D$9</definedName>
    <definedName name="HoldRate">Inputs!$D$24</definedName>
    <definedName name="InputMeans">Inputs!$I$17:$I$19</definedName>
    <definedName name="LeadTime">Inventory!$D$16</definedName>
    <definedName name="LTDelay">Inputs!$D$19</definedName>
    <definedName name="LTDelay_Hi">Inputs!$H$19</definedName>
    <definedName name="LTDelay_Lo">Inputs!$F$19</definedName>
    <definedName name="LTDelay_Mean">Inputs!$I$19</definedName>
    <definedName name="LTDelay_ML">Inputs!$G$19</definedName>
    <definedName name="LTNormal">Inputs!$D$17</definedName>
    <definedName name="LTNormal_Hi">Inputs!$H$17</definedName>
    <definedName name="LTNormal_Lo">Inputs!$F$17</definedName>
    <definedName name="LTNormal_Mean">Inputs!$I$17</definedName>
    <definedName name="LTNormal_ML">Inputs!$G$17</definedName>
    <definedName name="M0_c0_cell" hidden="1">Inventory!$E$27</definedName>
    <definedName name="M0_c0_rhsA" hidden="1">Inputs!$D$31</definedName>
    <definedName name="M0_c1_cell" hidden="1">Inventory!$G$27</definedName>
    <definedName name="M0_c1_fml" hidden="1">Inventory!$G$27</definedName>
    <definedName name="M0_o0_cell" hidden="1">Inventory!$F$27</definedName>
    <definedName name="M0_v0_cell" hidden="1">Decisions!$D$11</definedName>
    <definedName name="M0_v0_max" hidden="1">Decisions!$G$11</definedName>
    <definedName name="M0_v0_min" hidden="1">Decisions!$F$11</definedName>
    <definedName name="M0_v1_cell" hidden="1">Decisions!$D$12</definedName>
    <definedName name="M0_v1_max" hidden="1">Decisions!$G$12</definedName>
    <definedName name="M0_v1_min" hidden="1">Decisions!$F$12</definedName>
    <definedName name="OneOrder_Plan">Inventory!$G$27</definedName>
    <definedName name="OneOrder_Start">Inventory!$G$26</definedName>
    <definedName name="OptRun_Best">Decisions!$D$30</definedName>
    <definedName name="OptRun_Date">Decisions!$D$23</definedName>
    <definedName name="OptRun_Engine">Decisions!$D$24</definedName>
    <definedName name="OptRun_Feasible">Decisions!$D$29</definedName>
    <definedName name="OptRun_Samples">Decisions!$D$26</definedName>
    <definedName name="OptRun_Seconds">Decisions!$D$27</definedName>
    <definedName name="OptRun_Stop">Decisions!$D$28</definedName>
    <definedName name="OptRun_Trials">Decisions!$D$25</definedName>
    <definedName name="OrderCost">Inputs!$D$25</definedName>
    <definedName name="OrderQty">Decisions!$D$12</definedName>
    <definedName name="OrderQty_Hi">Decisions!$G$12</definedName>
    <definedName name="OrderQty_Lo">Decisions!$F$12</definedName>
    <definedName name="OrderQty_Start">Decisions!$E$12</definedName>
    <definedName name="Out_Cost_Plan">Inventory!$F$27</definedName>
    <definedName name="Out_Cost_Start">Inventory!$F$26</definedName>
    <definedName name="Out_DDLT">Inventory!$D$34</definedName>
    <definedName name="Out_Short_Plan">Inventory!$E$27</definedName>
    <definedName name="Out_Short_Start">Inventory!$E$26</definedName>
    <definedName name="_xlnm.Print_Area" localSheetId="4">Results!$A$1:$R$44</definedName>
    <definedName name="_xlnm.Print_Titles" localSheetId="2">Decisions!$1:$4</definedName>
    <definedName name="_xlnm.Print_Titles" localSheetId="1">Inputs!$1:$4</definedName>
    <definedName name="_xlnm.Print_Titles" localSheetId="4">Results!$1:$4</definedName>
    <definedName name="ReorderPt">Decisions!$D$11</definedName>
    <definedName name="ReorderPt_Hi">Decisions!$G$11</definedName>
    <definedName name="ReorderPt_Lo">Decisions!$F$11</definedName>
    <definedName name="ReorderPt_Start">Decisions!$E$11</definedName>
    <definedName name="SellDays">Inputs!$D$12</definedName>
    <definedName name="ShortCost">Inputs!$D$26</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vcTarget">Inputs!$D$31</definedName>
    <definedName name="UnitCost">Inputs!$D$23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9" i="5" l="1"/>
  <c r="E99" i="5"/>
  <c r="C99" i="5"/>
  <c r="F98" i="5"/>
  <c r="E98" i="5"/>
  <c r="C98" i="5"/>
  <c r="F97" i="5"/>
  <c r="E97" i="5"/>
  <c r="C97" i="5"/>
  <c r="F96" i="5"/>
  <c r="E96" i="5"/>
  <c r="C96" i="5"/>
  <c r="F95" i="5"/>
  <c r="E95" i="5"/>
  <c r="C95" i="5"/>
  <c r="F94" i="5"/>
  <c r="E94" i="5"/>
  <c r="C94" i="5"/>
  <c r="F93" i="5"/>
  <c r="E93" i="5"/>
  <c r="C93" i="5"/>
  <c r="F92" i="5"/>
  <c r="E92" i="5"/>
  <c r="C92" i="5"/>
  <c r="F91" i="5"/>
  <c r="E91" i="5"/>
  <c r="C91" i="5"/>
  <c r="F90" i="5"/>
  <c r="E90" i="5"/>
  <c r="C90" i="5"/>
  <c r="F89" i="5"/>
  <c r="E89" i="5"/>
  <c r="C89" i="5"/>
  <c r="F88" i="5"/>
  <c r="E88" i="5"/>
  <c r="C88" i="5"/>
  <c r="F87" i="5"/>
  <c r="E87" i="5"/>
  <c r="C87" i="5"/>
  <c r="F86" i="5"/>
  <c r="E86" i="5"/>
  <c r="C86" i="5"/>
  <c r="F85" i="5"/>
  <c r="E85" i="5"/>
  <c r="C85" i="5"/>
  <c r="F84" i="5"/>
  <c r="E84" i="5"/>
  <c r="C84" i="5"/>
  <c r="F83" i="5"/>
  <c r="E83" i="5"/>
  <c r="C83" i="5"/>
  <c r="F82" i="5"/>
  <c r="E82" i="5"/>
  <c r="C82" i="5"/>
  <c r="F81" i="5"/>
  <c r="E81" i="5"/>
  <c r="C81" i="5"/>
  <c r="F80" i="5"/>
  <c r="E80" i="5"/>
  <c r="C80" i="5"/>
  <c r="F79" i="5"/>
  <c r="E79" i="5"/>
  <c r="C79" i="5"/>
  <c r="F78" i="5"/>
  <c r="E78" i="5"/>
  <c r="C78" i="5"/>
  <c r="F77" i="5"/>
  <c r="E77" i="5"/>
  <c r="C77" i="5"/>
  <c r="F76" i="5"/>
  <c r="E76" i="5"/>
  <c r="C76" i="5"/>
  <c r="F75" i="5"/>
  <c r="E75" i="5"/>
  <c r="C75" i="5"/>
  <c r="F74" i="5"/>
  <c r="E74" i="5"/>
  <c r="C74" i="5"/>
  <c r="F73" i="5"/>
  <c r="E73" i="5"/>
  <c r="C73" i="5"/>
  <c r="F72" i="5"/>
  <c r="E72" i="5"/>
  <c r="C72" i="5"/>
  <c r="F71" i="5"/>
  <c r="E71" i="5"/>
  <c r="C71" i="5"/>
  <c r="F70" i="5"/>
  <c r="E70" i="5"/>
  <c r="C70" i="5"/>
  <c r="F69" i="5"/>
  <c r="E69" i="5"/>
  <c r="C69" i="5"/>
  <c r="F68" i="5"/>
  <c r="E68" i="5"/>
  <c r="C68" i="5"/>
  <c r="F67" i="5"/>
  <c r="E67" i="5"/>
  <c r="C67" i="5"/>
  <c r="F66" i="5"/>
  <c r="E66" i="5"/>
  <c r="C66" i="5"/>
  <c r="F65" i="5"/>
  <c r="E65" i="5"/>
  <c r="C65" i="5"/>
  <c r="F64" i="5"/>
  <c r="E64" i="5"/>
  <c r="C64" i="5"/>
  <c r="F63" i="5"/>
  <c r="E63" i="5"/>
  <c r="C63" i="5"/>
  <c r="F62" i="5"/>
  <c r="E62" i="5"/>
  <c r="C62" i="5"/>
  <c r="F61" i="5"/>
  <c r="E61" i="5"/>
  <c r="C61" i="5"/>
  <c r="F60" i="5"/>
  <c r="E60" i="5"/>
  <c r="C60" i="5"/>
  <c r="F59" i="5"/>
  <c r="E59" i="5"/>
  <c r="C59" i="5"/>
  <c r="F58" i="5"/>
  <c r="E58" i="5"/>
  <c r="C58" i="5"/>
  <c r="F57" i="5"/>
  <c r="E57" i="5"/>
  <c r="C57" i="5"/>
  <c r="F56" i="5"/>
  <c r="E56" i="5"/>
  <c r="C56" i="5"/>
  <c r="F55" i="5"/>
  <c r="E55" i="5"/>
  <c r="C55" i="5"/>
  <c r="F54" i="5"/>
  <c r="E54" i="5"/>
  <c r="C54" i="5"/>
  <c r="F53" i="5"/>
  <c r="E53" i="5"/>
  <c r="C53" i="5"/>
  <c r="F52" i="5"/>
  <c r="E52" i="5"/>
  <c r="C52" i="5"/>
  <c r="F51" i="5"/>
  <c r="E51" i="5"/>
  <c r="C51" i="5"/>
  <c r="F50" i="5"/>
  <c r="E50" i="5"/>
  <c r="C50" i="5"/>
  <c r="E22" i="5"/>
  <c r="D22" i="5"/>
  <c r="E13" i="5"/>
  <c r="D13" i="5"/>
  <c r="E12" i="5"/>
  <c r="D12" i="5"/>
  <c r="D40" i="4"/>
  <c r="D39" i="4"/>
  <c r="D27" i="4"/>
  <c r="C27" i="4"/>
  <c r="G27" i="4" s="1"/>
  <c r="D38" i="4" s="1"/>
  <c r="B7" i="5" s="1"/>
  <c r="D26" i="4"/>
  <c r="C26" i="4"/>
  <c r="D18" i="4"/>
  <c r="D17" i="4"/>
  <c r="D19" i="4" a="1"/>
  <c r="D19" i="4" s="1"/>
  <c r="D9" i="4"/>
  <c r="D8" i="4"/>
  <c r="D10" i="4" s="1"/>
  <c r="E18" i="5"/>
  <c r="F18" i="5" s="1"/>
  <c r="G18" i="3"/>
  <c r="G26" i="4"/>
  <c r="F13" i="5"/>
  <c r="D18" i="5"/>
  <c r="I19" i="2" a="1"/>
  <c r="D17" i="2" a="1"/>
  <c r="I17" i="2" a="1"/>
  <c r="D19" i="2" a="1"/>
  <c r="F12" i="5" l="1"/>
  <c r="G19" i="3"/>
  <c r="D19" i="2"/>
  <c r="I17" i="2"/>
  <c r="D11" i="4" s="1"/>
  <c r="D17" i="2"/>
  <c r="I19" i="2"/>
  <c r="D17" i="5" l="1"/>
  <c r="E17" i="5"/>
  <c r="F17" i="5" s="1"/>
  <c r="D16" i="4"/>
  <c r="D20" i="4" a="1"/>
  <c r="D20" i="4" l="1"/>
  <c r="D34" i="4" l="1" a="1"/>
  <c r="D34" i="4" s="1"/>
  <c r="E26" i="4" a="1"/>
  <c r="E26" i="4" s="1"/>
  <c r="E27" i="4" a="1"/>
  <c r="E27" i="4" s="1"/>
  <c r="D55" i="5" a="1"/>
  <c r="D77" i="5" a="1"/>
  <c r="C113" i="5" a="1"/>
  <c r="C134" i="5" a="1"/>
  <c r="C145" i="5" a="1"/>
  <c r="C177" i="5" a="1"/>
  <c r="C146" i="5" a="1"/>
  <c r="C199" i="5" a="1"/>
  <c r="C186" i="5" a="1"/>
  <c r="D56" i="5" a="1"/>
  <c r="D92" i="5" a="1"/>
  <c r="D63" i="5" a="1"/>
  <c r="C108" i="5" a="1"/>
  <c r="C192" i="5" a="1"/>
  <c r="C144" i="5" a="1"/>
  <c r="C104" i="5" a="1"/>
  <c r="D50" i="5" a="1"/>
  <c r="C163" i="5" a="1"/>
  <c r="C111" i="5" a="1"/>
  <c r="D65" i="5" a="1"/>
  <c r="C130" i="5" a="1"/>
  <c r="D88" i="5" a="1"/>
  <c r="C173" i="5" a="1"/>
  <c r="C140" i="5" a="1"/>
  <c r="C155" i="5" a="1"/>
  <c r="C187" i="5" a="1"/>
  <c r="D69" i="5" a="1"/>
  <c r="C170" i="5" a="1"/>
  <c r="C126" i="5" a="1"/>
  <c r="F28" i="5" a="1"/>
  <c r="C118" i="5" a="1"/>
  <c r="D84" i="5" a="1"/>
  <c r="C129" i="5" a="1"/>
  <c r="C201" i="5" a="1"/>
  <c r="C165" i="5" a="1"/>
  <c r="D91" i="5" a="1"/>
  <c r="D51" i="5" a="1"/>
  <c r="D90" i="5" a="1"/>
  <c r="C180" i="5" a="1"/>
  <c r="C136" i="5" a="1"/>
  <c r="D78" i="5" a="1"/>
  <c r="C191" i="5" a="1"/>
  <c r="C147" i="5" a="1"/>
  <c r="C103" i="5" a="1"/>
  <c r="G28" i="5" a="1"/>
  <c r="C141" i="5" a="1"/>
  <c r="D28" i="5" a="1"/>
  <c r="C159" i="5" a="1"/>
  <c r="D57" i="5" a="1"/>
  <c r="C162" i="5" a="1"/>
  <c r="D80" i="5" a="1"/>
  <c r="C198" i="5" a="1"/>
  <c r="C114" i="5" a="1"/>
  <c r="D64" i="5" a="1"/>
  <c r="C121" i="5" a="1"/>
  <c r="C197" i="5" a="1"/>
  <c r="C157" i="5" a="1"/>
  <c r="D87" i="5" a="1"/>
  <c r="C188" i="5" a="1"/>
  <c r="D86" i="5" a="1"/>
  <c r="C176" i="5" a="1"/>
  <c r="C132" i="5" a="1"/>
  <c r="D74" i="5" a="1"/>
  <c r="C183" i="5" a="1"/>
  <c r="C143" i="5" a="1"/>
  <c r="D97" i="5" a="1"/>
  <c r="E28" i="5" a="1"/>
  <c r="D98" i="5" a="1"/>
  <c r="D61" i="5" a="1"/>
  <c r="C151" i="5" a="1"/>
  <c r="D53" i="5" a="1"/>
  <c r="C158" i="5" a="1"/>
  <c r="D76" i="5" a="1"/>
  <c r="C178" i="5" a="1"/>
  <c r="C110" i="5" a="1"/>
  <c r="C169" i="5" a="1"/>
  <c r="C109" i="5" a="1"/>
  <c r="C193" i="5" a="1"/>
  <c r="C137" i="5" a="1"/>
  <c r="D83" i="5" a="1"/>
  <c r="C172" i="5" a="1"/>
  <c r="D82" i="5" a="1"/>
  <c r="C160" i="5" a="1"/>
  <c r="C128" i="5" a="1"/>
  <c r="D70" i="5" a="1"/>
  <c r="C179" i="5" a="1"/>
  <c r="C139" i="5" a="1"/>
  <c r="D93" i="5" a="1"/>
  <c r="C122" i="5" a="1"/>
  <c r="D99" i="5" a="1"/>
  <c r="C184" i="5" a="1"/>
  <c r="C107" i="5" a="1"/>
  <c r="C123" i="5" a="1"/>
  <c r="C202" i="5" a="1"/>
  <c r="C154" i="5" a="1"/>
  <c r="D72" i="5" a="1"/>
  <c r="C174" i="5" a="1"/>
  <c r="C106" i="5" a="1"/>
  <c r="C161" i="5" a="1"/>
  <c r="C105" i="5" a="1"/>
  <c r="C189" i="5" a="1"/>
  <c r="C133" i="5" a="1"/>
  <c r="D79" i="5" a="1"/>
  <c r="C168" i="5" a="1"/>
  <c r="D54" i="5" a="1"/>
  <c r="C156" i="5" a="1"/>
  <c r="C124" i="5" a="1"/>
  <c r="D66" i="5" a="1"/>
  <c r="C175" i="5" a="1"/>
  <c r="C135" i="5" a="1"/>
  <c r="D89" i="5" a="1"/>
  <c r="D59" i="5" a="1"/>
  <c r="C119" i="5" a="1"/>
  <c r="C194" i="5" a="1"/>
  <c r="C142" i="5" a="1"/>
  <c r="D68" i="5" a="1"/>
  <c r="C166" i="5" a="1"/>
  <c r="C102" i="5" a="1"/>
  <c r="C153" i="5" a="1"/>
  <c r="D95" i="5" a="1"/>
  <c r="C185" i="5" a="1"/>
  <c r="C125" i="5" a="1"/>
  <c r="D75" i="5" a="1"/>
  <c r="C164" i="5" a="1"/>
  <c r="C200" i="5" a="1"/>
  <c r="C152" i="5" a="1"/>
  <c r="C120" i="5" a="1"/>
  <c r="D62" i="5" a="1"/>
  <c r="C171" i="5" a="1"/>
  <c r="C131" i="5" a="1"/>
  <c r="D85" i="5" a="1"/>
  <c r="C195" i="5" a="1"/>
  <c r="D73" i="5" a="1"/>
  <c r="C182" i="5" a="1"/>
  <c r="D52" i="5" a="1"/>
  <c r="D94" i="5" a="1"/>
  <c r="C115" i="5" a="1"/>
  <c r="C190" i="5" a="1"/>
  <c r="C138" i="5" a="1"/>
  <c r="D60" i="5" a="1"/>
  <c r="C150" i="5" a="1"/>
  <c r="D96" i="5" a="1"/>
  <c r="C149" i="5" a="1"/>
  <c r="D67" i="5" a="1"/>
  <c r="C181" i="5" a="1"/>
  <c r="C117" i="5" a="1"/>
  <c r="D71" i="5" a="1"/>
  <c r="C116" i="5" a="1"/>
  <c r="C196" i="5" a="1"/>
  <c r="C148" i="5" a="1"/>
  <c r="C112" i="5" a="1"/>
  <c r="D58" i="5" a="1"/>
  <c r="C167" i="5" a="1"/>
  <c r="C127" i="5" a="1"/>
  <c r="D81" i="5" a="1"/>
  <c r="E21" i="5" a="1"/>
  <c r="E19" i="5" a="1"/>
  <c r="E20" i="5" a="1"/>
  <c r="D21" i="5" a="1"/>
  <c r="D19" i="5" a="1"/>
  <c r="D20" i="5" a="1"/>
  <c r="D20" i="5" l="1"/>
  <c r="D19" i="5"/>
  <c r="D21" i="5"/>
  <c r="E20" i="5"/>
  <c r="E19" i="5"/>
  <c r="E21" i="5"/>
  <c r="D81" i="5"/>
  <c r="C127" i="5"/>
  <c r="C167" i="5"/>
  <c r="D58" i="5"/>
  <c r="C112" i="5"/>
  <c r="C148" i="5"/>
  <c r="C196" i="5"/>
  <c r="C116" i="5"/>
  <c r="D71" i="5"/>
  <c r="C117" i="5"/>
  <c r="C181" i="5"/>
  <c r="D67" i="5"/>
  <c r="C149" i="5"/>
  <c r="D96" i="5"/>
  <c r="C150" i="5"/>
  <c r="D60" i="5"/>
  <c r="C138" i="5"/>
  <c r="C190" i="5"/>
  <c r="C115" i="5"/>
  <c r="D94" i="5"/>
  <c r="D52" i="5"/>
  <c r="C182" i="5"/>
  <c r="D73" i="5"/>
  <c r="C195" i="5"/>
  <c r="D85" i="5"/>
  <c r="C131" i="5"/>
  <c r="C171" i="5"/>
  <c r="D62" i="5"/>
  <c r="C120" i="5"/>
  <c r="C152" i="5"/>
  <c r="C200" i="5"/>
  <c r="C164" i="5"/>
  <c r="D75" i="5"/>
  <c r="C125" i="5"/>
  <c r="C185" i="5"/>
  <c r="D95" i="5"/>
  <c r="C153" i="5"/>
  <c r="C102" i="5"/>
  <c r="C166" i="5"/>
  <c r="D68" i="5"/>
  <c r="C142" i="5"/>
  <c r="C194" i="5"/>
  <c r="C119" i="5"/>
  <c r="D59" i="5"/>
  <c r="D89" i="5"/>
  <c r="C135" i="5"/>
  <c r="C175" i="5"/>
  <c r="D66" i="5"/>
  <c r="C124" i="5"/>
  <c r="C156" i="5"/>
  <c r="D54" i="5"/>
  <c r="C168" i="5"/>
  <c r="D79" i="5"/>
  <c r="C133" i="5"/>
  <c r="C189" i="5"/>
  <c r="C105" i="5"/>
  <c r="C161" i="5"/>
  <c r="C106" i="5"/>
  <c r="C174" i="5"/>
  <c r="D72" i="5"/>
  <c r="C154" i="5"/>
  <c r="C202" i="5"/>
  <c r="C123" i="5"/>
  <c r="C107" i="5"/>
  <c r="C184" i="5"/>
  <c r="D99" i="5"/>
  <c r="C122" i="5"/>
  <c r="D93" i="5"/>
  <c r="C139" i="5"/>
  <c r="C179" i="5"/>
  <c r="D70" i="5"/>
  <c r="C128" i="5"/>
  <c r="C160" i="5"/>
  <c r="D82" i="5"/>
  <c r="C172" i="5"/>
  <c r="D83" i="5"/>
  <c r="C137" i="5"/>
  <c r="C193" i="5"/>
  <c r="C109" i="5"/>
  <c r="C169" i="5"/>
  <c r="C110" i="5"/>
  <c r="C178" i="5"/>
  <c r="D76" i="5"/>
  <c r="C158" i="5"/>
  <c r="D53" i="5"/>
  <c r="C151" i="5"/>
  <c r="D61" i="5"/>
  <c r="D98" i="5"/>
  <c r="E28" i="5"/>
  <c r="D97" i="5"/>
  <c r="C143" i="5"/>
  <c r="C183" i="5"/>
  <c r="D74" i="5"/>
  <c r="C132" i="5"/>
  <c r="C176" i="5"/>
  <c r="D86" i="5"/>
  <c r="C188" i="5"/>
  <c r="D87" i="5"/>
  <c r="C157" i="5"/>
  <c r="C197" i="5"/>
  <c r="C121" i="5"/>
  <c r="D64" i="5"/>
  <c r="C114" i="5"/>
  <c r="C198" i="5"/>
  <c r="D80" i="5"/>
  <c r="C162" i="5"/>
  <c r="D57" i="5"/>
  <c r="C159" i="5"/>
  <c r="D28" i="5"/>
  <c r="C141" i="5"/>
  <c r="G28" i="5"/>
  <c r="C103" i="5"/>
  <c r="C147" i="5"/>
  <c r="C191" i="5"/>
  <c r="D78" i="5"/>
  <c r="C136" i="5"/>
  <c r="C180" i="5"/>
  <c r="D90" i="5"/>
  <c r="D51" i="5"/>
  <c r="D91" i="5"/>
  <c r="C165" i="5"/>
  <c r="C201" i="5"/>
  <c r="C129" i="5"/>
  <c r="D84" i="5"/>
  <c r="C118" i="5"/>
  <c r="F28" i="5"/>
  <c r="C126" i="5"/>
  <c r="C170" i="5"/>
  <c r="D69" i="5"/>
  <c r="C187" i="5"/>
  <c r="C155" i="5"/>
  <c r="C140" i="5"/>
  <c r="C173" i="5"/>
  <c r="D88" i="5"/>
  <c r="C130" i="5"/>
  <c r="D65" i="5"/>
  <c r="C111" i="5"/>
  <c r="C163" i="5"/>
  <c r="D50" i="5"/>
  <c r="C104" i="5"/>
  <c r="C144" i="5"/>
  <c r="C192" i="5"/>
  <c r="C108" i="5"/>
  <c r="D63" i="5"/>
  <c r="D92" i="5"/>
  <c r="D56" i="5"/>
  <c r="C186" i="5"/>
  <c r="C199" i="5"/>
  <c r="C146" i="5"/>
  <c r="C177" i="5"/>
  <c r="C145" i="5"/>
  <c r="C134" i="5"/>
  <c r="C113" i="5"/>
  <c r="D77" i="5"/>
  <c r="D55" i="5"/>
  <c r="F26" i="4" a="1"/>
  <c r="F26" i="4" s="1"/>
  <c r="F27" i="4" a="1"/>
  <c r="F27" i="4" s="1"/>
  <c r="D16" i="5" a="1"/>
  <c r="E16" i="5" a="1"/>
  <c r="B6" i="5" a="1"/>
  <c r="F20" i="5" l="1"/>
  <c r="G20" i="5" s="1"/>
  <c r="F21" i="5"/>
  <c r="G21" i="5" s="1"/>
  <c r="B6" i="5"/>
  <c r="E16" i="5"/>
  <c r="D16" i="5"/>
  <c r="F19" i="5"/>
  <c r="G19" i="5" s="1"/>
  <c r="C218" i="5"/>
  <c r="C225" i="5"/>
  <c r="C223" i="5"/>
  <c r="C221" i="5"/>
  <c r="C228" i="5"/>
  <c r="C215" i="5"/>
  <c r="C205" i="5"/>
  <c r="C220" i="5"/>
  <c r="C212" i="5"/>
  <c r="C211" i="5"/>
  <c r="C214" i="5"/>
  <c r="C208" i="5"/>
  <c r="C227" i="5"/>
  <c r="C210" i="5"/>
  <c r="C217" i="5"/>
  <c r="C209" i="5"/>
  <c r="C224" i="5"/>
  <c r="C229" i="5"/>
  <c r="D229" i="5" s="1"/>
  <c r="G229" i="5" s="1" a="1"/>
  <c r="G229" i="5" s="1"/>
  <c r="C219" i="5"/>
  <c r="C206" i="5"/>
  <c r="C226" i="5"/>
  <c r="C207" i="5"/>
  <c r="C213" i="5"/>
  <c r="C216" i="5"/>
  <c r="C222" i="5"/>
  <c r="F16" i="5" l="1"/>
  <c r="G16" i="5" s="1"/>
  <c r="E211" i="5"/>
  <c r="D211" i="5"/>
  <c r="G211" i="5" s="1" a="1"/>
  <c r="G211" i="5" s="1"/>
  <c r="D225" i="5"/>
  <c r="G225" i="5" s="1" a="1"/>
  <c r="G225" i="5" s="1"/>
  <c r="E225" i="5"/>
  <c r="D212" i="5"/>
  <c r="G212" i="5" s="1" a="1"/>
  <c r="G212" i="5" s="1"/>
  <c r="E212" i="5"/>
  <c r="E206" i="5"/>
  <c r="D206" i="5"/>
  <c r="G206" i="5" s="1" a="1"/>
  <c r="G206" i="5" s="1"/>
  <c r="E222" i="5"/>
  <c r="D222" i="5"/>
  <c r="G222" i="5" s="1" a="1"/>
  <c r="G222" i="5" s="1"/>
  <c r="E217" i="5"/>
  <c r="D217" i="5"/>
  <c r="G217" i="5" s="1" a="1"/>
  <c r="G217" i="5" s="1"/>
  <c r="D221" i="5"/>
  <c r="G221" i="5" s="1" a="1"/>
  <c r="G221" i="5" s="1"/>
  <c r="E221" i="5"/>
  <c r="E208" i="5"/>
  <c r="D208" i="5"/>
  <c r="G208" i="5" s="1" a="1"/>
  <c r="G208" i="5" s="1"/>
  <c r="E219" i="5"/>
  <c r="D219" i="5"/>
  <c r="G219" i="5" s="1" a="1"/>
  <c r="G219" i="5" s="1"/>
  <c r="D214" i="5"/>
  <c r="G214" i="5" s="1" a="1"/>
  <c r="G214" i="5" s="1"/>
  <c r="E214" i="5"/>
  <c r="D223" i="5"/>
  <c r="G223" i="5" s="1" a="1"/>
  <c r="G223" i="5" s="1"/>
  <c r="E223" i="5"/>
  <c r="E224" i="5"/>
  <c r="D224" i="5"/>
  <c r="G224" i="5" s="1" a="1"/>
  <c r="G224" i="5" s="1"/>
  <c r="E218" i="5"/>
  <c r="D218" i="5"/>
  <c r="G218" i="5" s="1" a="1"/>
  <c r="G218" i="5" s="1"/>
  <c r="E216" i="5"/>
  <c r="D216" i="5"/>
  <c r="G216" i="5" s="1" a="1"/>
  <c r="G216" i="5" s="1"/>
  <c r="D209" i="5"/>
  <c r="G209" i="5" s="1" a="1"/>
  <c r="G209" i="5" s="1"/>
  <c r="E209" i="5"/>
  <c r="E220" i="5"/>
  <c r="D220" i="5"/>
  <c r="G220" i="5" s="1" a="1"/>
  <c r="G220" i="5" s="1"/>
  <c r="E213" i="5"/>
  <c r="D213" i="5"/>
  <c r="G213" i="5" s="1" a="1"/>
  <c r="G213" i="5" s="1"/>
  <c r="E205" i="5"/>
  <c r="D205" i="5"/>
  <c r="G205" i="5" s="1" a="1"/>
  <c r="G205" i="5" s="1"/>
  <c r="D207" i="5"/>
  <c r="G207" i="5" s="1" a="1"/>
  <c r="G207" i="5" s="1"/>
  <c r="E207" i="5"/>
  <c r="D210" i="5"/>
  <c r="G210" i="5" s="1" a="1"/>
  <c r="G210" i="5" s="1"/>
  <c r="E210" i="5"/>
  <c r="D215" i="5"/>
  <c r="G215" i="5" s="1" a="1"/>
  <c r="G215" i="5" s="1"/>
  <c r="E215" i="5"/>
  <c r="D226" i="5"/>
  <c r="G226" i="5" s="1" a="1"/>
  <c r="G226" i="5" s="1"/>
  <c r="E226" i="5"/>
  <c r="E227" i="5"/>
  <c r="D227" i="5"/>
  <c r="G227" i="5" s="1" a="1"/>
  <c r="G227" i="5" s="1"/>
  <c r="D228" i="5"/>
  <c r="G228" i="5" s="1" a="1"/>
  <c r="G228" i="5" s="1"/>
  <c r="F227" i="5" s="1"/>
  <c r="E228" i="5"/>
  <c r="F215" i="5" l="1"/>
  <c r="F209" i="5"/>
  <c r="F226" i="5"/>
  <c r="F217" i="5"/>
  <c r="F221" i="5"/>
  <c r="F225" i="5"/>
  <c r="F212" i="5"/>
  <c r="F219" i="5"/>
  <c r="F223" i="5"/>
  <c r="F207" i="5"/>
  <c r="F205" i="5"/>
  <c r="F206" i="5"/>
  <c r="F208" i="5"/>
  <c r="F222" i="5"/>
  <c r="F220" i="5"/>
  <c r="F211" i="5"/>
  <c r="F216" i="5"/>
  <c r="F213" i="5"/>
  <c r="F224" i="5"/>
  <c r="F210" i="5"/>
  <c r="F218" i="5"/>
  <c r="F214" i="5"/>
  <c r="F228"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<sst xmlns="http://schemas.openxmlformats.org/spreadsheetml/2006/main" count="373" uniqueCount="284">
  <si>
    <t>Inventory Policy Chosen by the Optimizer</t>
  </si>
  <si>
    <t>ModelRisk example  ·  Manufacturing  ·  MF-09</t>
  </si>
  <si>
    <t>Which reorder point and order quantity cost least while keeping the service the customers were promised?</t>
  </si>
  <si>
    <t>Next:  Inputs  ▸</t>
  </si>
  <si>
    <t>Model card</t>
  </si>
  <si>
    <t>Industry</t>
  </si>
  <si>
    <t>Manufacturing</t>
  </si>
  <si>
    <t>Difficulty</t>
  </si>
  <si>
    <t>★★★☆☆   Demand during a random lead time as an aggregate; the reorder point and the order quantity chosen together by the ModelRisk Optimizer, at least cost, for a service target.</t>
  </si>
  <si>
    <t>Business question</t>
  </si>
  <si>
    <t>A distributor sells about 40 units of a component a day and reorders from a supplier who usually delivers in about a week — but about one order in ten is held up for one to three weeks more. It has promised its customers that 97.5% of replenishment cycles end without running out. Which reorder point and order quantity keep that promise at the lowest cost a year?</t>
  </si>
  <si>
    <t>Who it is for</t>
  </si>
  <si>
    <t>Supply-chain and inventory planners, operations managers, buyers.</t>
  </si>
  <si>
    <t>Main outputs</t>
  </si>
  <si>
    <t>The Optimizer's reorder point and order quantity against a starting plan (MF-04's cheapest reorder point with the economic order quantity) · for both plans: the annual cost, the cycle service level, the fill rate and the units short a year · the demand during a lead time against both reorder points.</t>
  </si>
  <si>
    <t>ModelRisk techniques</t>
  </si>
  <si>
    <t>The ModelRisk Optimizer: two whole-number decisions, the mean annual cost minimised, a probability constraint (the cycle service level) and a formula constraint (one order at a time) · the lead time as a PERT plus a disruption risk event (VoseRiskEvent) · demand during the lead time as the sum of a random number of daily demands (VoseAggregateMC) · both plans on the same simulated cycles.</t>
  </si>
  <si>
    <t>File</t>
  </si>
  <si>
    <t>MF-09 Inventory policy chosen by the Optimizer  ·  Version 1.0  ·  October 2026  ·  built with ModelRisk 10</t>
  </si>
  <si>
    <t>The business question</t>
  </si>
  <si>
    <t>A distributor stocks a fast-moving component: about 40 units a day, but some days 20 and some days 70. When its stock falls to a reorder point it orders a fixed quantity, which the supplier usually delivers in five to ten days. About one order in ten is held up for another one to three weeks. MF-04 compared six reorder points with the economic order quantity and found the cheapest. But the customers have now been promised that 97.5% of cycles end without running out, and the reorder point and the order quantity interact: a larger order means fewer cycles a year, so fewer chances to run out, but more stock on the shelf. Here the ModelRisk Optimizer chooses both together.</t>
  </si>
  <si>
    <t>How the model works</t>
  </si>
  <si>
    <t>Four sheets after this one, read from left to right. Each one feeds the next.</t>
  </si>
  <si>
    <t>1  Inputs</t>
  </si>
  <si>
    <t>The average and spread of daily demand; the supplier's normal lead time (PERT) and the chance and length of a disruption (risk event); the unit cost, holding cost, ordering cost and the cost of a unit short; the cycle service level promised to customers.</t>
  </si>
  <si>
    <t>2  Decisions</t>
  </si>
  <si>
    <t>The two cells the Optimizer changes — the reorder point and the order quantity — with their bounds, the starting plan they are compared with, the goal (the least mean annual cost) and the limits (the service target, and one order at a time).</t>
  </si>
  <si>
    <t>3  Inventory</t>
  </si>
  <si>
    <t>Each iteration draws one lead time — the normal time plus any disruption, in whole days — and adds up that many daily demands (VoseAggregateMC). For each plan, the units short before the order arrives and the cost of a year of such cycles are recorded as outputs.</t>
  </si>
  <si>
    <t>4  Results</t>
  </si>
  <si>
    <t>Both plans on the same simulated cycles: the mean and 90th percentile of the annual cost, the cycle service level, the fill rate and the units short a year, and the demand during a lead time against both reorder points.</t>
  </si>
  <si>
    <t>How to use it</t>
  </si>
  <si>
    <t>Step 1</t>
  </si>
  <si>
    <t>Enter your demand, your supplier's lead times, your costs and your service target on the Inputs sheet.</t>
  </si>
  <si>
    <t>Step 2</t>
  </si>
  <si>
    <t>On the ModelRisk ribbon, open the Optimizer: the task is saved in this workbook. Press Start. When it finishes, apply the best solution: the reorder point and order quantity on the Decisions sheet change.</t>
  </si>
  <si>
    <t>Step 3</t>
  </si>
  <si>
    <t>Run a simulation from the ModelRisk ribbon (10,000 samples with a fixed seed are set) to compare the new plan with the starting plan on the Results sheet.</t>
  </si>
  <si>
    <t>Step 4</t>
  </si>
  <si>
    <t>To watch the search from the beginning, copy the starting plan onto the plan in use first.</t>
  </si>
  <si>
    <t>Workbook map</t>
  </si>
  <si>
    <t>Inputs</t>
  </si>
  <si>
    <t>Demand, lead time, costs, the service target.</t>
  </si>
  <si>
    <t>Decisions</t>
  </si>
  <si>
    <t>The plan in use, the starting plan, the bounds, the goal and limits, and the Optimizer's last run.</t>
  </si>
  <si>
    <t>Inventory</t>
  </si>
  <si>
    <t>Lead time and lead-time demand; shortage and cost of both plans; outputs and checks.</t>
  </si>
  <si>
    <t>Results</t>
  </si>
  <si>
    <t>The plan in use against the starting plan; lead-time demand against both reorder points.</t>
  </si>
  <si>
    <t>Colour key</t>
  </si>
  <si>
    <t>Input</t>
  </si>
  <si>
    <t>An assumption you may change. Only these cells are inputs.</t>
  </si>
  <si>
    <t>Uncertain variable</t>
  </si>
  <si>
    <t>A ModelRisk distribution: a new random value is drawn at every recalculation (F9) and every simulation sample.</t>
  </si>
  <si>
    <t>Decision</t>
  </si>
  <si>
    <t>A cell the ModelRisk Optimizer changes: it tries values within the bounds and keeps the best plan found.</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</si>
  <si>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</si>
  <si>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</si>
  <si>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</si>
  <si>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</si>
  <si>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</si>
  <si>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</si>
  <si>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</si>
  <si>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Units</t>
  </si>
  <si>
    <t>Units of the component; money in US$.</t>
  </si>
  <si>
    <t>Reorder point</t>
  </si>
  <si>
    <t>The stock level (on hand plus on order) at which a new order is placed.</t>
  </si>
  <si>
    <t>Order quantity</t>
  </si>
  <si>
    <t>The units ordered each time; annual demand ÷ order quantity = orders (cycles) a year.</t>
  </si>
  <si>
    <t>Cycle service level</t>
  </si>
  <si>
    <t>The chance that stock does not run out before an order arrives.</t>
  </si>
  <si>
    <t>Fill rate</t>
  </si>
  <si>
    <t>The share of demand served from stock: 1 − units short ÷ order quantity.</t>
  </si>
  <si>
    <t>Key assumptions and limitations</t>
  </si>
  <si>
    <t>Policy</t>
  </si>
  <si>
    <t>Continuous review: an order of a fixed quantity whenever stock reaches the reorder point; one order outstanding at a time, which the Optimizer is told to keep (order quantity above the reorder point).</t>
  </si>
  <si>
    <t>Demand</t>
  </si>
  <si>
    <t>Daily demands are independent Gamma variables; unmet demand is lost.</t>
  </si>
  <si>
    <t>Lead time</t>
  </si>
  <si>
    <t>Independent of demand; disruptions affect whole orders.</t>
  </si>
  <si>
    <t>Optimizer</t>
  </si>
  <si>
    <t>Each plan the Optimizer tries is judged on the same 10,000 simulated cycles (common random numbers, seed 1) as the simulation on the Results sheet, so plans are compared fairly and the limit the Optimizer met holds on the Results sheet too.</t>
  </si>
  <si>
    <t>Data</t>
  </si>
  <si>
    <t>The product and all figures are invented for this example.</t>
  </si>
  <si>
    <t>ModelRisk functions used</t>
  </si>
  <si>
    <t>ModelRisk Optimizer</t>
  </si>
  <si>
    <t>Chooses the reorder point and order quantity: least mean annual cost, cycle service level at least the target, order quantity above the reorder point.</t>
  </si>
  <si>
    <t>VosePERT, VoseRiskEvent</t>
  </si>
  <si>
    <t>The normal lead time and the disruption delay.</t>
  </si>
  <si>
    <t>VoseAggregateMC, VoseGammaObject</t>
  </si>
  <si>
    <t>The demand during the lead time: a random number of days, each with a Gamma demand.</t>
  </si>
  <si>
    <t>VoseSimProbability, VoseSimMean, VoseSimPercentile</t>
  </si>
  <si>
    <t>Service levels, expected shortages and costs of both plans.</t>
  </si>
  <si>
    <t>Further reading</t>
  </si>
  <si>
    <t>Inventory management</t>
  </si>
  <si>
    <t>Silver, E. A., Pyke, D. F. &amp; Thomas, D. J. (2017). Inventory and Production Management in Supply Chains, 4th edition. CRC Press — the joint choice of reorder point and order quantity.</t>
  </si>
  <si>
    <t>Companion model</t>
  </si>
  <si>
    <t>MF-04 Inventory policy under uncertain demand and lead time: the same distributor, with six reorder points compared side by side.</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</si>
  <si>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</si>
  <si>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</si>
  <si>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</si>
  <si>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Decisions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</si>
  <si>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</si>
  <si>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Demand</t>
  </si>
  <si>
    <t>Assumption</t>
  </si>
  <si>
    <t>Unit</t>
  </si>
  <si>
    <t>Value in model</t>
  </si>
  <si>
    <t>Uncertainty</t>
  </si>
  <si>
    <t>Basis / source (illustrative)</t>
  </si>
  <si>
    <t>Average daily demand</t>
  </si>
  <si>
    <t>units a day</t>
  </si>
  <si>
    <t>Fixed</t>
  </si>
  <si>
    <t>Last year's sales ÷ selling days.</t>
  </si>
  <si>
    <t>Standard deviation of daily demand</t>
  </si>
  <si>
    <t>From daily sales records.</t>
  </si>
  <si>
    <t>Selling days a year</t>
  </si>
  <si>
    <t>days</t>
  </si>
  <si>
    <t>2   Lead time</t>
  </si>
  <si>
    <t>Days from placing an order to receiving it.</t>
  </si>
  <si>
    <t>Low</t>
  </si>
  <si>
    <t>Most likely</t>
  </si>
  <si>
    <t>High</t>
  </si>
  <si>
    <t>Mean</t>
  </si>
  <si>
    <t>Normal lead time</t>
  </si>
  <si>
    <t>PERT</t>
  </si>
  <si>
    <t>The supplier's usual delivery.</t>
  </si>
  <si>
    <t>Chance of a disruption</t>
  </si>
  <si>
    <t>of orders</t>
  </si>
  <si>
    <t>About one order in ten is held up.</t>
  </si>
  <si>
    <t>Disruption delay</t>
  </si>
  <si>
    <t>Risk event  · PERT</t>
  </si>
  <si>
    <t>A missed sailing or a customs check: one to three extra weeks.</t>
  </si>
  <si>
    <t>3   Costs</t>
  </si>
  <si>
    <t>Unit cost</t>
  </si>
  <si>
    <t>US$</t>
  </si>
  <si>
    <t>Holding cost</t>
  </si>
  <si>
    <t>of unit cost a year</t>
  </si>
  <si>
    <t>Capital, storage, obsolescence.</t>
  </si>
  <si>
    <t>Cost of placing an order</t>
  </si>
  <si>
    <t>Purchasing, freight booking, receiving.</t>
  </si>
  <si>
    <t>Cost of a unit short</t>
  </si>
  <si>
    <t>Lost margin and goodwill.</t>
  </si>
  <si>
    <t>4   Service promised</t>
  </si>
  <si>
    <t>The limit the Optimizer must respect.</t>
  </si>
  <si>
    <t>Cycle service level promised</t>
  </si>
  <si>
    <t>of cycles</t>
  </si>
  <si>
    <t>The share of replenishment cycles that must end without running out.</t>
  </si>
  <si>
    <t>DECISIONS   ·   The cells the ModelRisk Optimizer changes, the plan they are compared with, and what the Optimizer is asked to do.</t>
  </si>
  <si>
    <t>◂  Inputs</t>
  </si>
  <si>
    <t>Next:  Inventory  ▸</t>
  </si>
  <si>
    <t>How to read this sheet:  the blue cells are the plan in use — the cells the Optimizer changes. The yellow Starting plan is the plan it is compared with on the Results sheet; Lowest and Highest bound the search.  To watch the Optimizer search from the starting plan, copy the Starting plan column onto Plan in use (Paste Values), then ModelRisk ▸ Optimizer ▸ Start.</t>
  </si>
  <si>
    <t>1   The inventory policy</t>
  </si>
  <si>
    <t>The Optimizer changes the blue cells. The starting plan is MF-04's cheapest reorder point with the economic order quantity.</t>
  </si>
  <si>
    <t>Plan in use</t>
  </si>
  <si>
    <t>Starting plan</t>
  </si>
  <si>
    <t>Lowest</t>
  </si>
  <si>
    <t>Highest</t>
  </si>
  <si>
    <t>Kind</t>
  </si>
  <si>
    <t>Notes</t>
  </si>
  <si>
    <t>units</t>
  </si>
  <si>
    <t>Whole number</t>
  </si>
  <si>
    <t>Stock on hand plus on order at which an order is placed.</t>
  </si>
  <si>
    <t>Units ordered each time. 940 is the economic order quantity (Inventory sheet).</t>
  </si>
  <si>
    <t>2   Goal and limits</t>
  </si>
  <si>
    <t>What the Optimizer is asked to do. It judges every plan it tries by these statistics of a simulation of that plan.</t>
  </si>
  <si>
    <t>Statistic</t>
  </si>
  <si>
    <t>Limit</t>
  </si>
  <si>
    <t>Output cell</t>
  </si>
  <si>
    <t>Minimise:  Annual cost of the plan in use</t>
  </si>
  <si>
    <t>the mean</t>
  </si>
  <si>
    <t>Inventory!F27</t>
  </si>
  <si>
    <t>Keep:  Cycle service level  at least</t>
  </si>
  <si>
    <t>the chance of no shortage in a cycle  ·  the input Cycle service level promised</t>
  </si>
  <si>
    <t>Inventory!E27</t>
  </si>
  <si>
    <t>Keep:  One order at a time</t>
  </si>
  <si>
    <t>true in every plan tried:  order quantity above the reorder point</t>
  </si>
  <si>
    <t>Inventory!G27</t>
  </si>
  <si>
    <t>3   The Optimizer's run</t>
  </si>
  <si>
    <t>Recorded when this workbook was built: the run that chose the plan in use. A run of your own shows its results in the Optimizer window instead.</t>
  </si>
  <si>
    <t>Run on</t>
  </si>
  <si>
    <t>Method the Optimizer chose</t>
  </si>
  <si>
    <t>Plans tried  (one simulation each)</t>
  </si>
  <si>
    <t>Samples in each trial</t>
  </si>
  <si>
    <t>Run time, seconds</t>
  </si>
  <si>
    <t>Why it stopped</t>
  </si>
  <si>
    <t>Every limit met by the best plan</t>
  </si>
  <si>
    <t>Goal at the best plan, during the run</t>
  </si>
  <si>
    <t>INVENTORY   ·   This iteration's lead time and the demand during it, and the shortage and cost of both plans.</t>
  </si>
  <si>
    <t>◂  Decisions</t>
  </si>
  <si>
    <t>Next:  Results  ▸</t>
  </si>
  <si>
    <t>1   Demand and order cost</t>
  </si>
  <si>
    <t>Quantity</t>
  </si>
  <si>
    <t>Value</t>
  </si>
  <si>
    <t>How it is calculated</t>
  </si>
  <si>
    <t>Annual demand</t>
  </si>
  <si>
    <t>Daily demand × selling days</t>
  </si>
  <si>
    <t>Holding cost per unit</t>
  </si>
  <si>
    <t>US$ a year</t>
  </si>
  <si>
    <t>Economic order quantity</t>
  </si>
  <si>
    <t>√(2 × annual demand × ordering cost ÷ holding cost), rounded: the starting plan's order quantity</t>
  </si>
  <si>
    <t>Mean demand during a lead time</t>
  </si>
  <si>
    <t>Mean lead time (normal + expected delay) × mean daily demand</t>
  </si>
  <si>
    <t>2   Demand during the lead time</t>
  </si>
  <si>
    <t>Press F9 for another replenishment cycle.</t>
  </si>
  <si>
    <t>Lead time in this cycle</t>
  </si>
  <si>
    <t>Normal lead time + any disruption, in whole days</t>
  </si>
  <si>
    <t>Daily demand: Gamma shape α</t>
  </si>
  <si>
    <t>(mean ÷ standard deviation)²</t>
  </si>
  <si>
    <t>Daily demand: Gamma scale β</t>
  </si>
  <si>
    <t>Variance ÷ mean, so that α × β is the mean</t>
  </si>
  <si>
    <t>Daily demand</t>
  </si>
  <si>
    <t>object</t>
  </si>
  <si>
    <t>Gamma with the demand's mean and standard deviation</t>
  </si>
  <si>
    <t>Demand during the lead time</t>
  </si>
  <si>
    <t>VoseAggregateMC(days, daily demand): the sum of that many days</t>
  </si>
  <si>
    <t>3   Shortage and cost of each plan in this cycle</t>
  </si>
  <si>
    <t>Both plans meet the same lead time and the same demand. The units short and the annual cost are outputs.</t>
  </si>
  <si>
    <t>Plan</t>
  </si>
  <si>
    <t>Order qty</t>
  </si>
  <si>
    <t>Short</t>
  </si>
  <si>
    <t>Cost</t>
  </si>
  <si>
    <t>One order</t>
  </si>
  <si>
    <t>at a time</t>
  </si>
  <si>
    <t>Short = MAX(0, lead-time demand − reorder point)</t>
  </si>
  <si>
    <t>Cost = holding cost × (half an order + reorder point − mean lead-time demand)</t>
  </si>
  <si>
    <t xml:space="preserve">   + ordering cost × orders a year + cost of a unit short × short × orders a year</t>
  </si>
  <si>
    <t>One order = TRUE when the order quantity is above the reorder point</t>
  </si>
  <si>
    <t>4   Value in this iteration</t>
  </si>
  <si>
    <t>Key outputs, recorded by ModelRisk at every sample (VoseOutput). Their statistics appear on the Results sheet.</t>
  </si>
  <si>
    <t>Output</t>
  </si>
  <si>
    <t>Meaning</t>
  </si>
  <si>
    <t>5   Model checks</t>
  </si>
  <si>
    <t>Should all read OK. A CHECK means an input has been set outside the range the model is built for.</t>
  </si>
  <si>
    <t>One order at a time in both plans: order quantity above the reorder point</t>
  </si>
  <si>
    <t>The plan in use is within the bounds on the Decisions sheet</t>
  </si>
  <si>
    <t>Demand varies  (standard deviation above zero)</t>
  </si>
  <si>
    <t>RESULTS   ·   Filled in automatically from the last simulation. Run a simulation after changing any input.</t>
  </si>
  <si>
    <t>◂  Inventory</t>
  </si>
  <si>
    <t>1   The plan in use against the starting plan</t>
  </si>
  <si>
    <t>Demand while an order is on its way, against the two reorder points</t>
  </si>
  <si>
    <t>The two policies, and how each performs on the same simulated replenishment cycles.</t>
  </si>
  <si>
    <t>Change</t>
  </si>
  <si>
    <t>Measure</t>
  </si>
  <si>
    <t>Annual cost, mean</t>
  </si>
  <si>
    <t>Stock held on average</t>
  </si>
  <si>
    <t>Orders a year</t>
  </si>
  <si>
    <t>orders</t>
  </si>
  <si>
    <t>of demand</t>
  </si>
  <si>
    <t>Units short a year</t>
  </si>
  <si>
    <t>Fill rate = 1 − units short in a cycle ÷ order quantity; short a year = short in a cycle × orders a year.</t>
  </si>
  <si>
    <t>2   Demand while an order is on its way</t>
  </si>
  <si>
    <t>Demand during the lead time — distribution</t>
  </si>
  <si>
    <t>Units demanded during one lead time.</t>
  </si>
  <si>
    <t>5th pct</t>
  </si>
  <si>
    <t>Median</t>
  </si>
  <si>
    <t>95th pct</t>
  </si>
  <si>
    <t>Lead-time demand</t>
  </si>
  <si>
    <t>3   How to read these results</t>
  </si>
  <si>
    <t>•  The starting plan — a reorder point of 750 units, MF-04's cheapest, with the economic order quantity of 940 — runs out in about 4% of cycles, so it misses the 97.5% service promised.</t>
  </si>
  <si>
    <t>•  The Optimizer raises the reorder point just far enough to keep the promise and orders a little more than the economic order quantity: fewer orders a year mean fewer chances to run out, which is worth more than the extra stock on the shelf.</t>
  </si>
  <si>
    <t>•  Keeping the promise costs only a little more a year than the starting plan, and the units short a year fall by almost two-thirds.</t>
  </si>
  <si>
    <t>•  Try a 99% promise on the Inputs sheet and run the Optimizer again: the reorder point needed rises steeply, because the disrupted orders decide the safety stock.</t>
  </si>
  <si>
    <t>Chart data</t>
  </si>
  <si>
    <t>Statistics of the last simulation behind the charts and the ranking above. Grouped: click + in the left margin to show them.</t>
  </si>
  <si>
    <t>Cumulative probability</t>
  </si>
  <si>
    <t>Exceedance</t>
  </si>
  <si>
    <t>Out_DDLT</t>
  </si>
  <si>
    <t>line at ReorderPt_Start</t>
  </si>
  <si>
    <t>line at ReorderPt</t>
  </si>
  <si>
    <t>Percentiles: Out_DDLT</t>
  </si>
  <si>
    <t>Histogram: Out_DDLT</t>
  </si>
  <si>
    <t>Edge</t>
  </si>
  <si>
    <t>Index</t>
  </si>
  <si>
    <t>Mid-point</t>
  </si>
  <si>
    <t>Probability</t>
  </si>
  <si>
    <t>Below edge</t>
  </si>
  <si>
    <t>MROPTREPO/2.0</t>
  </si>
  <si>
    <t>{"format_version":"1.0","model":"Inventory policy: reorder point and order quantity","settings":{"engineKind":0,"optimizationType":0,"useTurboSimulation":true,"gaPopulation":0,"gaProbCrossover":0.8,"gaProbMutation":0.1,"gaSelection":0,"gaTournamentSize":3,"gaElitism":2,"cmaSigma":0.3,"cmaPopulation":0,"cmaUseIPOP":true,"cmaPolishDampStart":0.7,"cmaPolishDampGrowth":0.15,"nelderMeadTol":1e-06,"nelderMeadInitStep":0.05,"bfgsGradH":1e-06,"bfgsStepConvergence":true,"brentTol":1e-13,"projGradConvergenceTol":0.0001,"projGradConvergenceWindow":5,"useCRN":true,"crnSeed":1,"useRandomSeed":false,"useFixedTwister":false,"finalFullMcConfirm":false,"gaProjectLinearConstraints":false,"pathfinderRobust":false,"pathfinderSurrogate":true,"pathfinderGradient":true,"pathfinderCheapExplore":false,"pathfinderFeasGate":true,"pathfinderLeanDescent":true,"pathfinderSoftConstraint":false,"adaptScheme":2,"repMin":200,"repMax":5000,"repFinalTopN":5,"varianceTrancheEpsPct":0.02,"varianceTrancheThreshold":0.8,"varianceTrancheMinK":5,"preFlightEnabled":true,"deterministicSamples":1,"samplingType":3,"userSamples":10000,"conDefType":0,"conDefPenaltyKind":0,"conDefWeight":1.0,"conDefEvalTime":0,"conDefPrecision":0.0,"macroAtOptStart":"","macroBeforeTrial":"","macroAfterTrial":"","macroAtOptEnd":"","useMacroAtOptStart":false,"useMacroBeforeTrial":false,"useMacroAfterTrial":false,"useMacroAtOptEnd":false},"stop":{"maxIterations":300,"maxTimeSeconds":900.0,"parameterTolerance":1.0,"toleranceUnit":1,"stagnationTrials":100,"stagnationDeviation":1e-06,"stagnationUnit":0,"stopOnError":false,"stopFormulaEnabled":false,"stopFormulaRef":""},"adj":{"variables":[{"cell":{"sheet":"Decisions","row":10,"col":3},"type":1,"min":300.0,"max":1500.0,"groupIndex":-1,"label":"Reorder point","discreteSet":[],"minCell":{"sheet":"Decisions","row":10,"col":5},"maxCell":{"sheet":"Decisions","row":10,"col":6}},{"cell":{"sheet":"Decisions","row":11,"col":3},"type":1,"min":400.0,"max":3000.0,"groupIndex":-1,"label":"Order quantity","discreteSet":[],"minCell":{"sheet":"Decisions","row":11,"col":5},"maxCell":{"sheet":"Decisions","row":11,"col":6}}],"groups":[]},"objectives":[{"name":"Annual cost of the plan in use","cell":{"sheet":"Inventory","row":26,"col":5},"stat":{"kind":0,"param1":0.0,"param2":0.0},"mode":1,"targetValue":0.0}],"constraints":[{"name":"Cycle service level","cell":{"sheet":"Inventory","row":26,"col":4},"type":0,"softWeight":1.0,"penaltyKind":0,"sixSigma":0,"precision":0.0,"stat":{"kind":21,"param1":0.5,"param2":0.0},"op":1,"rhsA":0.975,"rhsB":0.0,"formulaCellRef":"","evalTime":2,"rhsACell":{"sheet":"Inputs","row":30,"col":3}},{"name":"One order at a time","cell":{"sheet":"Inventory","row":26,"col":6},"type":0,"softWeight":1.0,"penaltyKind":0,"sixSigma":0,"precision":0.0,"stat":{"kind":0,"param1":0.0,"param2":0.0},"op":7,"rhsA":0.0,"rhsB":0.0,"formulaCellRef":"Inventory!$G$27","evalTime":2}],"frontier":{"sweptIndex":-1,"lo":0.0,"hi":0.0,"nPoints":5}}</t>
  </si>
  <si>
    <t>Base scenario</t>
  </si>
  <si>
    <t>no further improvement</t>
  </si>
  <si>
    <t>Yes</t>
  </si>
  <si>
    <t>Vertex Detector</t>
  </si>
  <si>
    <t>2026-10-13</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</si>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</sst>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_);\(#,##0\);&quot;–&quot;_)"/>
    <numFmt numFmtId="165" formatCode="#,##0.0_);\(#,##0.0\);&quot;–&quot;_)"/>
    <numFmt numFmtId="166" formatCode="0.0%"/>
    <numFmt numFmtId="167" formatCode="#,##0.0"/>
    <numFmt numFmtId="168" formatCode="#,##0.00_);\(#,##0.00\);&quot;–&quot;_)"/>
    <numFmt numFmtId="169" formatCode="#,##0_);\(#,##0\);&quot;–&quot;_);&quot;–&quot;"/>
    <numFmt numFmtId="170" formatCode="#,##0.0_);\(#,##0.0\);&quot;–&quot;_);&quot;–&quot;"/>
    <numFmt numFmtId="171" formatCode="0.0%;\-0.0%;0.0%;&quot;–&quot;"/>
    <numFmt numFmtId="172" formatCode="0.00%;\-0.00%;0.00%;&quot;–&quot;"/>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0"/>
      <color rgb="FF0E4F92"/>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b/>
      <sz val="9"/>
      <color rgb="FF15803D"/>
      <name val="Calibri"/>
    </font>
    <font>
      <sz val="9"/>
      <color rgb="FF8AA0BA"/>
      <name val="Calibri"/>
    </font>
    <font>
      <b/>
      <sz val="11"/>
      <color rgb="FF0E4F92"/>
      <name val="Calibri"/>
    </font>
  </fonts>
  <fills count="9">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DBEAFE"/>
        <bgColor rgb="FFDBEAFE"/>
      </patternFill>
    </fill>
    <fill>
      <patternFill patternType="solid">
        <fgColor rgb="FF0E4F92"/>
        <bgColor rgb="FF0E4F92"/>
      </patternFill>
    </fill>
    <fill>
      <patternFill patternType="solid">
        <fgColor rgb="FFEEF1F5"/>
        <bgColor rgb="FFEEF1F5"/>
      </patternFill>
    </fill>
  </fills>
  <borders count="13">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style="thin">
        <color rgb="FF0E4F92"/>
      </left>
      <right style="thin">
        <color rgb="FF0E4F92"/>
      </right>
      <top style="thin">
        <color rgb="FF0E4F92"/>
      </top>
      <bottom style="thin">
        <color rgb="FF0E4F92"/>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0E4F92"/>
      </left>
      <right style="thin">
        <color rgb="FF0E4F92"/>
      </right>
      <top style="thin">
        <color rgb="FF0E4F92"/>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7">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xf numFmtId="0" fontId="5" fillId="6" borderId="4">
      <alignment horizontal="right" vertical="center"/>
    </xf>
  </cellStyleXfs>
  <cellXfs count="84">
    <xf numFmtId="0" fontId="0" fillId="0" borderId="0" xfId="0"/>
    <xf numFmtId="0" fontId="0" fillId="7" borderId="0" xfId="0" applyFill="1"/>
    <xf numFmtId="0" fontId="10" fillId="7" borderId="0" xfId="0" applyFont="1" applyFill="1" applyAlignment="1">
      <alignment vertical="center"/>
    </xf>
    <xf numFmtId="0" fontId="8" fillId="7" borderId="0" xfId="0" applyFont="1" applyFill="1" applyAlignment="1">
      <alignment horizontal="right" vertical="center"/>
    </xf>
    <xf numFmtId="0" fontId="7" fillId="7" borderId="0" xfId="0" applyFont="1" applyFill="1" applyAlignment="1">
      <alignment vertical="center"/>
    </xf>
    <xf numFmtId="0" fontId="0" fillId="8" borderId="5" xfId="0" applyFill="1" applyBorder="1"/>
    <xf numFmtId="0" fontId="9" fillId="8" borderId="5" xfId="0" applyFont="1" applyFill="1" applyBorder="1" applyAlignment="1">
      <alignment horizontal="right" vertical="center"/>
    </xf>
    <xf numFmtId="0" fontId="11" fillId="0" borderId="6" xfId="0" applyFont="1" applyBorder="1"/>
    <xf numFmtId="0" fontId="0" fillId="0" borderId="6" xfId="0" applyBorder="1"/>
    <xf numFmtId="0" fontId="12" fillId="0" borderId="7" xfId="0" applyFont="1" applyBorder="1" applyAlignment="1">
      <alignment horizontal="left" vertical="top" indent="1"/>
    </xf>
    <xf numFmtId="0" fontId="3" fillId="0" borderId="7" xfId="0" applyFont="1" applyBorder="1" applyAlignment="1">
      <alignment horizontal="left" vertical="top" wrapText="1" indent="1"/>
    </xf>
    <xf numFmtId="0" fontId="13" fillId="0" borderId="7" xfId="0" applyFont="1" applyBorder="1" applyAlignment="1">
      <alignment horizontal="left" vertical="top" wrapText="1" indent="1"/>
    </xf>
    <xf numFmtId="0" fontId="3" fillId="0" borderId="0" xfId="0" applyFont="1" applyAlignment="1">
      <alignment horizontal="left" vertical="top" wrapText="1" indent="1"/>
    </xf>
    <xf numFmtId="0" fontId="14" fillId="0" borderId="0" xfId="0" applyFont="1" applyAlignment="1">
      <alignment vertical="center"/>
    </xf>
    <xf numFmtId="0" fontId="15" fillId="0" borderId="7"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5" fillId="6" borderId="4" xfId="6"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5" fillId="0" borderId="7" xfId="0" applyFont="1" applyBorder="1" applyAlignment="1">
      <alignment horizontal="left" vertical="top" wrapText="1" indent="1"/>
    </xf>
    <xf numFmtId="0" fontId="6" fillId="7" borderId="0" xfId="0" applyFont="1" applyFill="1" applyAlignment="1">
      <alignment vertical="center"/>
    </xf>
    <xf numFmtId="0" fontId="9" fillId="8" borderId="5" xfId="0" applyFont="1" applyFill="1" applyBorder="1" applyAlignment="1">
      <alignment vertical="center"/>
    </xf>
    <xf numFmtId="0" fontId="17" fillId="8" borderId="5" xfId="0" applyFont="1" applyFill="1" applyBorder="1" applyAlignment="1">
      <alignment horizontal="left" vertical="center" wrapText="1" indent="1"/>
    </xf>
    <xf numFmtId="0" fontId="17" fillId="8" borderId="5" xfId="0" applyFont="1" applyFill="1" applyBorder="1" applyAlignment="1">
      <alignment horizontal="right" vertical="center" wrapText="1"/>
    </xf>
    <xf numFmtId="0" fontId="3" fillId="0" borderId="7" xfId="0" applyFont="1" applyBorder="1" applyAlignment="1">
      <alignment horizontal="left" vertical="center" indent="1"/>
    </xf>
    <xf numFmtId="0" fontId="18" fillId="0" borderId="7" xfId="0" applyFont="1" applyBorder="1" applyAlignment="1">
      <alignment horizontal="left" vertical="center" indent="1"/>
    </xf>
    <xf numFmtId="164" fontId="1" fillId="2" borderId="8" xfId="1" applyNumberFormat="1" applyBorder="1">
      <alignment horizontal="right" vertical="center"/>
    </xf>
    <xf numFmtId="0" fontId="0" fillId="0" borderId="7" xfId="0" applyBorder="1"/>
    <xf numFmtId="0" fontId="18" fillId="0" borderId="7" xfId="0" applyFont="1" applyBorder="1" applyAlignment="1">
      <alignment horizontal="left" vertical="center" wrapText="1" indent="1"/>
    </xf>
    <xf numFmtId="165" fontId="2" fillId="3" borderId="8" xfId="2" applyNumberFormat="1" applyBorder="1">
      <alignment horizontal="right" vertical="center"/>
    </xf>
    <xf numFmtId="165" fontId="1" fillId="2" borderId="8" xfId="1" applyNumberFormat="1" applyBorder="1">
      <alignment horizontal="right" vertical="center"/>
    </xf>
    <xf numFmtId="165" fontId="3" fillId="0" borderId="9" xfId="3" applyNumberFormat="1" applyBorder="1">
      <alignment horizontal="right" vertical="center"/>
    </xf>
    <xf numFmtId="9" fontId="1" fillId="2" borderId="8" xfId="1" applyNumberFormat="1" applyBorder="1">
      <alignment horizontal="right" vertical="center"/>
    </xf>
    <xf numFmtId="166" fontId="1" fillId="2" borderId="8" xfId="1" applyNumberFormat="1" applyBorder="1">
      <alignment horizontal="right" vertical="center"/>
    </xf>
    <xf numFmtId="0" fontId="17" fillId="8" borderId="5" xfId="0" applyFont="1" applyFill="1" applyBorder="1" applyAlignment="1">
      <alignment horizontal="left" vertical="center" indent="1"/>
    </xf>
    <xf numFmtId="0" fontId="17" fillId="8" borderId="5" xfId="0" applyFont="1" applyFill="1" applyBorder="1" applyAlignment="1">
      <alignment horizontal="right" vertical="center"/>
    </xf>
    <xf numFmtId="164" fontId="5" fillId="6" borderId="10" xfId="6" applyNumberFormat="1" applyBorder="1">
      <alignment horizontal="right" vertical="center"/>
    </xf>
    <xf numFmtId="0" fontId="13" fillId="0" borderId="7" xfId="0" applyFont="1" applyBorder="1" applyAlignment="1">
      <alignment horizontal="left" vertical="center" indent="1"/>
    </xf>
    <xf numFmtId="166" fontId="3" fillId="0" borderId="9" xfId="3" applyNumberFormat="1" applyBorder="1">
      <alignment horizontal="right" vertical="center"/>
    </xf>
    <xf numFmtId="0" fontId="13" fillId="0" borderId="7" xfId="0" applyFont="1" applyBorder="1" applyAlignment="1">
      <alignment horizontal="right" vertical="center"/>
    </xf>
    <xf numFmtId="0" fontId="3" fillId="0" borderId="9" xfId="3" applyBorder="1">
      <alignment horizontal="right" vertical="center"/>
    </xf>
    <xf numFmtId="3" fontId="3" fillId="0" borderId="9" xfId="3" applyNumberFormat="1" applyBorder="1">
      <alignment horizontal="right" vertical="center"/>
    </xf>
    <xf numFmtId="167" fontId="3" fillId="0" borderId="9" xfId="3" applyNumberFormat="1" applyBorder="1">
      <alignment horizontal="right" vertical="center"/>
    </xf>
    <xf numFmtId="4" fontId="3" fillId="0" borderId="9" xfId="3" applyNumberFormat="1" applyBorder="1">
      <alignment horizontal="right" vertical="center"/>
    </xf>
    <xf numFmtId="164" fontId="3" fillId="0" borderId="9" xfId="3" applyNumberFormat="1" applyBorder="1">
      <alignment horizontal="right" vertical="center"/>
    </xf>
    <xf numFmtId="168" fontId="3" fillId="0" borderId="9" xfId="3" applyNumberFormat="1" applyBorder="1">
      <alignment horizontal="right" vertical="center"/>
    </xf>
    <xf numFmtId="0" fontId="3" fillId="0" borderId="9" xfId="3" applyBorder="1" applyAlignment="1">
      <alignment horizontal="left" vertical="center" indent="1"/>
    </xf>
    <xf numFmtId="164" fontId="2" fillId="3" borderId="8" xfId="2" applyNumberFormat="1" applyBorder="1">
      <alignment horizontal="right" vertical="center"/>
    </xf>
    <xf numFmtId="0" fontId="17" fillId="8" borderId="2" xfId="0" applyFont="1" applyFill="1" applyBorder="1" applyAlignment="1">
      <alignment horizontal="left" vertical="center" indent="1"/>
    </xf>
    <xf numFmtId="0" fontId="17" fillId="8" borderId="2" xfId="0" applyFont="1" applyFill="1" applyBorder="1" applyAlignment="1">
      <alignment horizontal="right" vertical="center"/>
    </xf>
    <xf numFmtId="0" fontId="19" fillId="8" borderId="5" xfId="0" applyFont="1" applyFill="1" applyBorder="1" applyAlignment="1">
      <alignment horizontal="right" vertical="center"/>
    </xf>
    <xf numFmtId="164" fontId="4" fillId="4" borderId="11" xfId="4" applyNumberFormat="1" applyBorder="1">
      <alignment horizontal="right" vertical="center"/>
    </xf>
    <xf numFmtId="0" fontId="0" fillId="0" borderId="7" xfId="0" applyBorder="1" applyAlignment="1">
      <alignment horizontal="right" vertical="center"/>
    </xf>
    <xf numFmtId="0" fontId="18" fillId="0" borderId="0" xfId="0" applyFont="1" applyAlignment="1">
      <alignment horizontal="left" vertical="center" indent="1"/>
    </xf>
    <xf numFmtId="0" fontId="20" fillId="0" borderId="7" xfId="0" applyFont="1" applyBorder="1" applyAlignment="1">
      <alignment horizontal="center" vertical="center"/>
    </xf>
    <xf numFmtId="0" fontId="5" fillId="5" borderId="12" xfId="0" applyFont="1" applyFill="1" applyBorder="1" applyAlignment="1">
      <alignment horizontal="left" vertical="center" indent="1"/>
    </xf>
    <xf numFmtId="0" fontId="0" fillId="5" borderId="12" xfId="0" applyFill="1" applyBorder="1"/>
    <xf numFmtId="0" fontId="23" fillId="0" borderId="6" xfId="0" applyFont="1" applyBorder="1"/>
    <xf numFmtId="164" fontId="5" fillId="0" borderId="9" xfId="3" applyNumberFormat="1" applyFont="1" applyBorder="1">
      <alignment horizontal="right" vertical="center"/>
    </xf>
    <xf numFmtId="169" fontId="3" fillId="0" borderId="9" xfId="3" applyNumberFormat="1" applyBorder="1">
      <alignment horizontal="right" vertical="center"/>
    </xf>
    <xf numFmtId="169" fontId="1" fillId="5" borderId="8" xfId="5" applyNumberFormat="1" applyBorder="1">
      <alignment horizontal="right" vertical="center"/>
    </xf>
    <xf numFmtId="0" fontId="21" fillId="0" borderId="7" xfId="0" applyFont="1" applyBorder="1" applyAlignment="1">
      <alignment horizontal="right" vertical="center"/>
    </xf>
    <xf numFmtId="170" fontId="1" fillId="5" borderId="8" xfId="5" applyNumberFormat="1" applyBorder="1">
      <alignment horizontal="right" vertical="center"/>
    </xf>
    <xf numFmtId="170" fontId="3" fillId="0" borderId="9" xfId="3" applyNumberFormat="1" applyBorder="1">
      <alignment horizontal="right" vertical="center"/>
    </xf>
    <xf numFmtId="171" fontId="1" fillId="5" borderId="8" xfId="5" applyNumberFormat="1" applyBorder="1">
      <alignment horizontal="right" vertical="center"/>
    </xf>
    <xf numFmtId="171" fontId="3" fillId="0" borderId="9" xfId="3" applyNumberFormat="1" applyBorder="1">
      <alignment horizontal="right" vertical="center"/>
    </xf>
    <xf numFmtId="172" fontId="1" fillId="5" borderId="8" xfId="5" applyNumberFormat="1" applyBorder="1">
      <alignment horizontal="right" vertical="center"/>
    </xf>
    <xf numFmtId="0" fontId="14" fillId="0" borderId="0" xfId="0" applyFont="1" applyAlignment="1">
      <alignment horizontal="left" vertical="center" indent="1"/>
    </xf>
    <xf numFmtId="9" fontId="3" fillId="0" borderId="2" xfId="3" applyNumberFormat="1">
      <alignment horizontal="right" vertical="center"/>
    </xf>
    <xf numFmtId="4" fontId="3" fillId="0" borderId="2" xfId="3" applyNumberFormat="1">
      <alignment horizontal="right" vertical="center"/>
    </xf>
    <xf numFmtId="166" fontId="3" fillId="0" borderId="2" xfId="3" applyNumberFormat="1">
      <alignment horizontal="right" vertical="center"/>
    </xf>
    <xf numFmtId="0" fontId="22" fillId="0" borderId="0" xfId="0" applyFont="1"/>
    <xf numFmtId="1" fontId="3" fillId="0" borderId="2" xfId="3" applyNumberFormat="1">
      <alignment horizontal="right" vertical="center"/>
    </xf>
    <xf numFmtId="49" fontId="0" fillId="0" borderId="0" xfId="0" applyNumberFormat="1"/>
    <xf numFmtId="0" fontId="16" fillId="0" borderId="0" xfId="0" applyFont="1"/>
    <xf numFmtId="0" fontId="0" fillId="0" borderId="0" xfId="0"/>
    <xf numFmtId="0" fontId="3" fillId="0" borderId="0" xfId="0" applyFont="1" applyAlignment="1">
      <alignment horizontal="left" vertical="top" wrapText="1" indent="1"/>
    </xf>
    <xf numFmtId="0" fontId="14" fillId="0" borderId="0" xfId="0" applyFont="1" applyAlignment="1">
      <alignment horizontal="left" vertical="center" wrapText="1" indent="1"/>
    </xf>
    <xf numFmtId="0" fontId="18" fillId="0" borderId="7" xfId="0" applyFont="1" applyBorder="1" applyAlignment="1">
      <alignment horizontal="left" vertical="center" indent="1"/>
    </xf>
    <xf numFmtId="0" fontId="0" fillId="0" borderId="7" xfId="0" applyBorder="1"/>
    <xf numFmtId="0" fontId="3" fillId="0" borderId="9" xfId="3" quotePrefix="1" applyBorder="1">
      <alignment horizontal="right" vertical="center"/>
    </xf>
    <xf numFmtId="0" fontId="0" fillId="0" borderId="0" xfId="0" applyAlignment="1"/>
  </cellXfs>
  <cellStyles count="7">
    <cellStyle name="Normal" xfId="0" builtinId="0"/>
    <cellStyle name="Vose Calculation" xfId="3" xr:uid="{00000000-0005-0000-0000-000003000000}"/>
    <cellStyle name="Vose Decision" xfId="6" xr:uid="{00000000-0005-0000-0000-000006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7">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Lead-time demand</c:v>
          </c:tx>
          <c:spPr>
            <a:ln w="25400">
              <a:solidFill>
                <a:srgbClr val="0E4F92"/>
              </a:solidFill>
              <a:prstDash val="solid"/>
            </a:ln>
          </c:spPr>
          <c:marker>
            <c:symbol val="none"/>
          </c:marker>
          <c:xVal>
            <c:numRef>
              <c:f>Results!$D$50:$D$99</c:f>
              <c:numCache>
                <c:formatCode>#,##0.00</c:formatCode>
                <c:ptCount val="50"/>
                <c:pt idx="0">
                  <c:v>175.37014160287714</c:v>
                </c:pt>
                <c:pt idx="1">
                  <c:v>192.99305483118496</c:v>
                </c:pt>
                <c:pt idx="2">
                  <c:v>202.31379703711133</c:v>
                </c:pt>
                <c:pt idx="3">
                  <c:v>210.3325486830926</c:v>
                </c:pt>
                <c:pt idx="4">
                  <c:v>216.29818187959154</c:v>
                </c:pt>
                <c:pt idx="5">
                  <c:v>221.24108168509517</c:v>
                </c:pt>
                <c:pt idx="6">
                  <c:v>226.37519858719557</c:v>
                </c:pt>
                <c:pt idx="7">
                  <c:v>231.17581330596693</c:v>
                </c:pt>
                <c:pt idx="8">
                  <c:v>235.39560547540592</c:v>
                </c:pt>
                <c:pt idx="9">
                  <c:v>238.87258454285526</c:v>
                </c:pt>
                <c:pt idx="10">
                  <c:v>243.06710528295181</c:v>
                </c:pt>
                <c:pt idx="11">
                  <c:v>247.09866764263205</c:v>
                </c:pt>
                <c:pt idx="12">
                  <c:v>250.27297720871263</c:v>
                </c:pt>
                <c:pt idx="13">
                  <c:v>253.82665848995521</c:v>
                </c:pt>
                <c:pt idx="14">
                  <c:v>257.1140728125319</c:v>
                </c:pt>
                <c:pt idx="15">
                  <c:v>260.83194090665086</c:v>
                </c:pt>
                <c:pt idx="16">
                  <c:v>263.97180642606378</c:v>
                </c:pt>
                <c:pt idx="17">
                  <c:v>267.22438870928056</c:v>
                </c:pt>
                <c:pt idx="18">
                  <c:v>271.02669932630283</c:v>
                </c:pt>
                <c:pt idx="19">
                  <c:v>274.09480162077239</c:v>
                </c:pt>
                <c:pt idx="20">
                  <c:v>277.18253604108992</c:v>
                </c:pt>
                <c:pt idx="21">
                  <c:v>279.926326361755</c:v>
                </c:pt>
                <c:pt idx="22">
                  <c:v>282.98243376189657</c:v>
                </c:pt>
                <c:pt idx="23">
                  <c:v>285.96606859353886</c:v>
                </c:pt>
                <c:pt idx="24">
                  <c:v>289.05626774460876</c:v>
                </c:pt>
                <c:pt idx="25">
                  <c:v>292.36434871116853</c:v>
                </c:pt>
                <c:pt idx="26">
                  <c:v>295.80513587593725</c:v>
                </c:pt>
                <c:pt idx="27">
                  <c:v>298.91018512035413</c:v>
                </c:pt>
                <c:pt idx="28">
                  <c:v>302.43956693022875</c:v>
                </c:pt>
                <c:pt idx="29">
                  <c:v>305.85005424135471</c:v>
                </c:pt>
                <c:pt idx="30">
                  <c:v>309.36878592307676</c:v>
                </c:pt>
                <c:pt idx="31">
                  <c:v>313.5286342772261</c:v>
                </c:pt>
                <c:pt idx="32">
                  <c:v>317.35252498521476</c:v>
                </c:pt>
                <c:pt idx="33">
                  <c:v>321.86640636176901</c:v>
                </c:pt>
                <c:pt idx="34">
                  <c:v>326.15857829098746</c:v>
                </c:pt>
                <c:pt idx="35">
                  <c:v>330.62745386504196</c:v>
                </c:pt>
                <c:pt idx="36">
                  <c:v>335.4027747175233</c:v>
                </c:pt>
                <c:pt idx="37">
                  <c:v>340.6101806771477</c:v>
                </c:pt>
                <c:pt idx="38">
                  <c:v>346.3199411605591</c:v>
                </c:pt>
                <c:pt idx="39">
                  <c:v>352.09362824059286</c:v>
                </c:pt>
                <c:pt idx="40">
                  <c:v>359.63806447505181</c:v>
                </c:pt>
                <c:pt idx="41">
                  <c:v>368.56587143919609</c:v>
                </c:pt>
                <c:pt idx="42">
                  <c:v>379.05056787269979</c:v>
                </c:pt>
                <c:pt idx="43">
                  <c:v>393.04217441187694</c:v>
                </c:pt>
                <c:pt idx="44">
                  <c:v>418.81291275989543</c:v>
                </c:pt>
                <c:pt idx="45">
                  <c:v>544.7291812108125</c:v>
                </c:pt>
                <c:pt idx="46">
                  <c:v>637.82490823415014</c:v>
                </c:pt>
                <c:pt idx="47">
                  <c:v>720.15290761385711</c:v>
                </c:pt>
                <c:pt idx="48">
                  <c:v>782.928322235574</c:v>
                </c:pt>
                <c:pt idx="49">
                  <c:v>892.69972850706813</c:v>
                </c:pt>
              </c:numCache>
            </c:numRef>
          </c:xVal>
          <c:yVal>
            <c:numRef>
              <c:f>Results!$B$50:$B$99</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AA56-4EAF-AF50-703BC942C84B}"/>
            </c:ext>
          </c:extLst>
        </c:ser>
        <c:ser>
          <c:idx val="1"/>
          <c:order val="1"/>
          <c:tx>
            <c:v>Starting plan's reorder point</c:v>
          </c:tx>
          <c:spPr>
            <a:ln w="19050">
              <a:solidFill>
                <a:srgbClr val="B91C1C"/>
              </a:solidFill>
              <a:prstDash val="sysDash"/>
            </a:ln>
          </c:spPr>
          <c:marker>
            <c:symbol val="none"/>
          </c:marker>
          <c:xVal>
            <c:numRef>
              <c:f>Results!$E$50:$E$99</c:f>
              <c:numCache>
                <c:formatCode>#,##0.00</c:formatCode>
                <c:ptCount val="50"/>
                <c:pt idx="0">
                  <c:v>750</c:v>
                </c:pt>
                <c:pt idx="1">
                  <c:v>750</c:v>
                </c:pt>
                <c:pt idx="2">
                  <c:v>750</c:v>
                </c:pt>
                <c:pt idx="3">
                  <c:v>750</c:v>
                </c:pt>
                <c:pt idx="4">
                  <c:v>750</c:v>
                </c:pt>
                <c:pt idx="5">
                  <c:v>750</c:v>
                </c:pt>
                <c:pt idx="6">
                  <c:v>750</c:v>
                </c:pt>
                <c:pt idx="7">
                  <c:v>750</c:v>
                </c:pt>
                <c:pt idx="8">
                  <c:v>750</c:v>
                </c:pt>
                <c:pt idx="9">
                  <c:v>750</c:v>
                </c:pt>
                <c:pt idx="10">
                  <c:v>750</c:v>
                </c:pt>
                <c:pt idx="11">
                  <c:v>750</c:v>
                </c:pt>
                <c:pt idx="12">
                  <c:v>750</c:v>
                </c:pt>
                <c:pt idx="13">
                  <c:v>750</c:v>
                </c:pt>
                <c:pt idx="14">
                  <c:v>750</c:v>
                </c:pt>
                <c:pt idx="15">
                  <c:v>750</c:v>
                </c:pt>
                <c:pt idx="16">
                  <c:v>750</c:v>
                </c:pt>
                <c:pt idx="17">
                  <c:v>750</c:v>
                </c:pt>
                <c:pt idx="18">
                  <c:v>750</c:v>
                </c:pt>
                <c:pt idx="19">
                  <c:v>750</c:v>
                </c:pt>
                <c:pt idx="20">
                  <c:v>750</c:v>
                </c:pt>
                <c:pt idx="21">
                  <c:v>750</c:v>
                </c:pt>
                <c:pt idx="22">
                  <c:v>750</c:v>
                </c:pt>
                <c:pt idx="23">
                  <c:v>750</c:v>
                </c:pt>
                <c:pt idx="24">
                  <c:v>750</c:v>
                </c:pt>
                <c:pt idx="25">
                  <c:v>750</c:v>
                </c:pt>
                <c:pt idx="26">
                  <c:v>750</c:v>
                </c:pt>
                <c:pt idx="27">
                  <c:v>750</c:v>
                </c:pt>
                <c:pt idx="28">
                  <c:v>750</c:v>
                </c:pt>
                <c:pt idx="29">
                  <c:v>750</c:v>
                </c:pt>
                <c:pt idx="30">
                  <c:v>750</c:v>
                </c:pt>
                <c:pt idx="31">
                  <c:v>750</c:v>
                </c:pt>
                <c:pt idx="32">
                  <c:v>750</c:v>
                </c:pt>
                <c:pt idx="33">
                  <c:v>750</c:v>
                </c:pt>
                <c:pt idx="34">
                  <c:v>750</c:v>
                </c:pt>
                <c:pt idx="35">
                  <c:v>750</c:v>
                </c:pt>
                <c:pt idx="36">
                  <c:v>750</c:v>
                </c:pt>
                <c:pt idx="37">
                  <c:v>750</c:v>
                </c:pt>
                <c:pt idx="38">
                  <c:v>750</c:v>
                </c:pt>
                <c:pt idx="39">
                  <c:v>750</c:v>
                </c:pt>
                <c:pt idx="40">
                  <c:v>750</c:v>
                </c:pt>
                <c:pt idx="41">
                  <c:v>750</c:v>
                </c:pt>
                <c:pt idx="42">
                  <c:v>750</c:v>
                </c:pt>
                <c:pt idx="43">
                  <c:v>750</c:v>
                </c:pt>
                <c:pt idx="44">
                  <c:v>750</c:v>
                </c:pt>
                <c:pt idx="45">
                  <c:v>750</c:v>
                </c:pt>
                <c:pt idx="46">
                  <c:v>750</c:v>
                </c:pt>
                <c:pt idx="47">
                  <c:v>750</c:v>
                </c:pt>
                <c:pt idx="48">
                  <c:v>750</c:v>
                </c:pt>
                <c:pt idx="49">
                  <c:v>750</c:v>
                </c:pt>
              </c:numCache>
            </c:numRef>
          </c:xVal>
          <c:yVal>
            <c:numRef>
              <c:f>Results!$B$50:$B$99</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AA56-4EAF-AF50-703BC942C84B}"/>
            </c:ext>
          </c:extLst>
        </c:ser>
        <c:ser>
          <c:idx val="2"/>
          <c:order val="2"/>
          <c:tx>
            <c:v>Reorder point in use</c:v>
          </c:tx>
          <c:spPr>
            <a:ln w="19050">
              <a:solidFill>
                <a:srgbClr val="B91C1C"/>
              </a:solidFill>
              <a:prstDash val="sysDash"/>
            </a:ln>
          </c:spPr>
          <c:marker>
            <c:symbol val="none"/>
          </c:marker>
          <c:xVal>
            <c:numRef>
              <c:f>Results!$F$50:$F$99</c:f>
              <c:numCache>
                <c:formatCode>#,##0.00</c:formatCode>
                <c:ptCount val="50"/>
                <c:pt idx="0">
                  <c:v>832</c:v>
                </c:pt>
                <c:pt idx="1">
                  <c:v>832</c:v>
                </c:pt>
                <c:pt idx="2">
                  <c:v>832</c:v>
                </c:pt>
                <c:pt idx="3">
                  <c:v>832</c:v>
                </c:pt>
                <c:pt idx="4">
                  <c:v>832</c:v>
                </c:pt>
                <c:pt idx="5">
                  <c:v>832</c:v>
                </c:pt>
                <c:pt idx="6">
                  <c:v>832</c:v>
                </c:pt>
                <c:pt idx="7">
                  <c:v>832</c:v>
                </c:pt>
                <c:pt idx="8">
                  <c:v>832</c:v>
                </c:pt>
                <c:pt idx="9">
                  <c:v>832</c:v>
                </c:pt>
                <c:pt idx="10">
                  <c:v>832</c:v>
                </c:pt>
                <c:pt idx="11">
                  <c:v>832</c:v>
                </c:pt>
                <c:pt idx="12">
                  <c:v>832</c:v>
                </c:pt>
                <c:pt idx="13">
                  <c:v>832</c:v>
                </c:pt>
                <c:pt idx="14">
                  <c:v>832</c:v>
                </c:pt>
                <c:pt idx="15">
                  <c:v>832</c:v>
                </c:pt>
                <c:pt idx="16">
                  <c:v>832</c:v>
                </c:pt>
                <c:pt idx="17">
                  <c:v>832</c:v>
                </c:pt>
                <c:pt idx="18">
                  <c:v>832</c:v>
                </c:pt>
                <c:pt idx="19">
                  <c:v>832</c:v>
                </c:pt>
                <c:pt idx="20">
                  <c:v>832</c:v>
                </c:pt>
                <c:pt idx="21">
                  <c:v>832</c:v>
                </c:pt>
                <c:pt idx="22">
                  <c:v>832</c:v>
                </c:pt>
                <c:pt idx="23">
                  <c:v>832</c:v>
                </c:pt>
                <c:pt idx="24">
                  <c:v>832</c:v>
                </c:pt>
                <c:pt idx="25">
                  <c:v>832</c:v>
                </c:pt>
                <c:pt idx="26">
                  <c:v>832</c:v>
                </c:pt>
                <c:pt idx="27">
                  <c:v>832</c:v>
                </c:pt>
                <c:pt idx="28">
                  <c:v>832</c:v>
                </c:pt>
                <c:pt idx="29">
                  <c:v>832</c:v>
                </c:pt>
                <c:pt idx="30">
                  <c:v>832</c:v>
                </c:pt>
                <c:pt idx="31">
                  <c:v>832</c:v>
                </c:pt>
                <c:pt idx="32">
                  <c:v>832</c:v>
                </c:pt>
                <c:pt idx="33">
                  <c:v>832</c:v>
                </c:pt>
                <c:pt idx="34">
                  <c:v>832</c:v>
                </c:pt>
                <c:pt idx="35">
                  <c:v>832</c:v>
                </c:pt>
                <c:pt idx="36">
                  <c:v>832</c:v>
                </c:pt>
                <c:pt idx="37">
                  <c:v>832</c:v>
                </c:pt>
                <c:pt idx="38">
                  <c:v>832</c:v>
                </c:pt>
                <c:pt idx="39">
                  <c:v>832</c:v>
                </c:pt>
                <c:pt idx="40">
                  <c:v>832</c:v>
                </c:pt>
                <c:pt idx="41">
                  <c:v>832</c:v>
                </c:pt>
                <c:pt idx="42">
                  <c:v>832</c:v>
                </c:pt>
                <c:pt idx="43">
                  <c:v>832</c:v>
                </c:pt>
                <c:pt idx="44">
                  <c:v>832</c:v>
                </c:pt>
                <c:pt idx="45">
                  <c:v>832</c:v>
                </c:pt>
                <c:pt idx="46">
                  <c:v>832</c:v>
                </c:pt>
                <c:pt idx="47">
                  <c:v>832</c:v>
                </c:pt>
                <c:pt idx="48">
                  <c:v>832</c:v>
                </c:pt>
                <c:pt idx="49">
                  <c:v>832</c:v>
                </c:pt>
              </c:numCache>
            </c:numRef>
          </c:xVal>
          <c:yVal>
            <c:numRef>
              <c:f>Results!$B$50:$B$99</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AA56-4EAF-AF50-703BC942C84B}"/>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Units demanded during the lead time</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Lead-time demand</c:v>
          </c:tx>
          <c:spPr>
            <a:solidFill>
              <a:srgbClr val="0E4F92"/>
            </a:solidFill>
            <a:ln>
              <a:noFill/>
              <a:prstDash val="solid"/>
            </a:ln>
          </c:spPr>
          <c:invertIfNegative val="1"/>
          <c:cat>
            <c:numRef>
              <c:f>Results!$E$205:$E$228</c:f>
              <c:numCache>
                <c:formatCode>#,##0.00</c:formatCode>
                <c:ptCount val="24"/>
                <c:pt idx="0">
                  <c:v>183.15879251920916</c:v>
                </c:pt>
                <c:pt idx="1">
                  <c:v>215.32953974267502</c:v>
                </c:pt>
                <c:pt idx="2">
                  <c:v>247.50028696614092</c:v>
                </c:pt>
                <c:pt idx="3">
                  <c:v>279.67103418960676</c:v>
                </c:pt>
                <c:pt idx="4">
                  <c:v>311.84178141307268</c:v>
                </c:pt>
                <c:pt idx="5">
                  <c:v>344.0125286365386</c:v>
                </c:pt>
                <c:pt idx="6">
                  <c:v>376.18327586000441</c:v>
                </c:pt>
                <c:pt idx="7">
                  <c:v>408.35402308347034</c:v>
                </c:pt>
                <c:pt idx="8">
                  <c:v>440.52477030693626</c:v>
                </c:pt>
                <c:pt idx="9">
                  <c:v>472.69551753040207</c:v>
                </c:pt>
                <c:pt idx="10">
                  <c:v>504.86626475386799</c:v>
                </c:pt>
                <c:pt idx="11">
                  <c:v>537.03701197733392</c:v>
                </c:pt>
                <c:pt idx="12">
                  <c:v>569.20775920079973</c:v>
                </c:pt>
                <c:pt idx="13">
                  <c:v>601.37850642426565</c:v>
                </c:pt>
                <c:pt idx="14">
                  <c:v>633.54925364773158</c:v>
                </c:pt>
                <c:pt idx="15">
                  <c:v>665.7200008711975</c:v>
                </c:pt>
                <c:pt idx="16">
                  <c:v>697.89074809466331</c:v>
                </c:pt>
                <c:pt idx="17">
                  <c:v>730.06149531812923</c:v>
                </c:pt>
                <c:pt idx="18">
                  <c:v>762.23224254159516</c:v>
                </c:pt>
                <c:pt idx="19">
                  <c:v>794.40298976506097</c:v>
                </c:pt>
                <c:pt idx="20">
                  <c:v>826.57373698852678</c:v>
                </c:pt>
                <c:pt idx="21">
                  <c:v>858.7444842119927</c:v>
                </c:pt>
                <c:pt idx="22">
                  <c:v>890.91523143545862</c:v>
                </c:pt>
                <c:pt idx="23">
                  <c:v>923.08597865892455</c:v>
                </c:pt>
              </c:numCache>
            </c:numRef>
          </c:cat>
          <c:val>
            <c:numRef>
              <c:f>Results!$F$205:$F$228</c:f>
              <c:numCache>
                <c:formatCode>0.0%</c:formatCode>
                <c:ptCount val="24"/>
                <c:pt idx="0">
                  <c:v>3.7367945968340081E-2</c:v>
                </c:pt>
                <c:pt idx="1">
                  <c:v>0.10864247643579637</c:v>
                </c:pt>
                <c:pt idx="2">
                  <c:v>0.17641198530481819</c:v>
                </c:pt>
                <c:pt idx="3">
                  <c:v>0.20227856879798617</c:v>
                </c:pt>
                <c:pt idx="4">
                  <c:v>0.16753974948176864</c:v>
                </c:pt>
                <c:pt idx="5">
                  <c:v>0.1138724182908103</c:v>
                </c:pt>
                <c:pt idx="6">
                  <c:v>5.7936208250220389E-2</c:v>
                </c:pt>
                <c:pt idx="7">
                  <c:v>2.2915759822165649E-2</c:v>
                </c:pt>
                <c:pt idx="8">
                  <c:v>8.9770080955637876E-3</c:v>
                </c:pt>
                <c:pt idx="9">
                  <c:v>3.3068762712304967E-3</c:v>
                </c:pt>
                <c:pt idx="10">
                  <c:v>3.3068762712303856E-3</c:v>
                </c:pt>
                <c:pt idx="11">
                  <c:v>4.0538771243041616E-3</c:v>
                </c:pt>
                <c:pt idx="12">
                  <c:v>6.1700944816925896E-3</c:v>
                </c:pt>
                <c:pt idx="13">
                  <c:v>7.2487072975950806E-3</c:v>
                </c:pt>
                <c:pt idx="14">
                  <c:v>7.6331706961332291E-3</c:v>
                </c:pt>
                <c:pt idx="15">
                  <c:v>7.250774080843736E-3</c:v>
                </c:pt>
                <c:pt idx="16">
                  <c:v>8.4602901876558168E-3</c:v>
                </c:pt>
                <c:pt idx="17">
                  <c:v>9.339966867205507E-3</c:v>
                </c:pt>
                <c:pt idx="18">
                  <c:v>1.0701331324157626E-2</c:v>
                </c:pt>
                <c:pt idx="19">
                  <c:v>7.6844156327154911E-3</c:v>
                </c:pt>
                <c:pt idx="20">
                  <c:v>6.1528630837628384E-3</c:v>
                </c:pt>
                <c:pt idx="21">
                  <c:v>4.9815415564002929E-3</c:v>
                </c:pt>
                <c:pt idx="22">
                  <c:v>4.3057622968878384E-3</c:v>
                </c:pt>
                <c:pt idx="23">
                  <c:v>3.4613323807153318E-3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C426-43F9-B4EF-979D81E1ECB9}"/>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units</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376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E4F92"/>
    <pageSetUpPr fitToPage="1"/>
  </sheetPr>
  <dimension ref="A1:D77"/>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5"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78" t="s">
        <v>20</v>
      </c>
      <c r="C16" s="77"/>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26.25" x14ac:dyDescent="0.45">
      <c r="B29" s="9" t="s">
        <v>25</v>
      </c>
      <c r="C29" s="10" t="s">
        <v>26</v>
      </c>
    </row>
    <row r="30" spans="2:3" ht="26.25" x14ac:dyDescent="0.45">
      <c r="B30" s="9" t="s">
        <v>27</v>
      </c>
      <c r="C30" s="10" t="s">
        <v>28</v>
      </c>
    </row>
    <row r="31" spans="2:3" ht="26.25" x14ac:dyDescent="0.45">
      <c r="B31" s="9" t="s">
        <v>29</v>
      </c>
      <c r="C31" s="10" t="s">
        <v>30</v>
      </c>
    </row>
    <row r="32" spans="2:3" ht="12" customHeight="1" x14ac:dyDescent="0.45"/>
    <row r="33" spans="2:3" ht="22.05" customHeight="1" x14ac:dyDescent="0.5">
      <c r="B33" s="7" t="s">
        <v>31</v>
      </c>
      <c r="C33" s="8"/>
    </row>
    <row r="34" spans="2:3" x14ac:dyDescent="0.45">
      <c r="B34" s="9" t="s">
        <v>32</v>
      </c>
      <c r="C34" s="10" t="s">
        <v>33</v>
      </c>
    </row>
    <row r="35" spans="2:3" ht="26.25" x14ac:dyDescent="0.45">
      <c r="B35" s="9" t="s">
        <v>34</v>
      </c>
      <c r="C35" s="10" t="s">
        <v>35</v>
      </c>
    </row>
    <row r="36" spans="2:3" ht="26.25" x14ac:dyDescent="0.45">
      <c r="B36" s="9" t="s">
        <v>36</v>
      </c>
      <c r="C36" s="10" t="s">
        <v>37</v>
      </c>
    </row>
    <row r="37" spans="2:3" x14ac:dyDescent="0.45">
      <c r="B37" s="9" t="s">
        <v>38</v>
      </c>
      <c r="C37" s="10" t="s">
        <v>39</v>
      </c>
    </row>
    <row r="38" spans="2:3" ht="12" customHeight="1" x14ac:dyDescent="0.45"/>
    <row r="39" spans="2:3" ht="22.05" customHeight="1" x14ac:dyDescent="0.5">
      <c r="B39" s="7" t="s">
        <v>40</v>
      </c>
      <c r="C39" s="8"/>
    </row>
    <row r="40" spans="2:3" x14ac:dyDescent="0.45">
      <c r="B40" s="14" t="s">
        <v>41</v>
      </c>
      <c r="C40" s="10" t="s">
        <v>42</v>
      </c>
    </row>
    <row r="41" spans="2:3" x14ac:dyDescent="0.45">
      <c r="B41" s="14" t="s">
        <v>43</v>
      </c>
      <c r="C41" s="10" t="s">
        <v>44</v>
      </c>
    </row>
    <row r="42" spans="2:3" x14ac:dyDescent="0.45">
      <c r="B42" s="14" t="s">
        <v>45</v>
      </c>
      <c r="C42" s="10" t="s">
        <v>46</v>
      </c>
    </row>
    <row r="43" spans="2:3" x14ac:dyDescent="0.45">
      <c r="B43" s="14" t="s">
        <v>47</v>
      </c>
      <c r="C43" s="10" t="s">
        <v>48</v>
      </c>
    </row>
    <row r="44" spans="2:3" ht="12" customHeight="1" x14ac:dyDescent="0.45"/>
    <row r="45" spans="2:3" ht="22.05" customHeight="1" x14ac:dyDescent="0.5">
      <c r="B45" s="7" t="s">
        <v>49</v>
      </c>
      <c r="C45" s="8"/>
    </row>
    <row r="46" spans="2:3" x14ac:dyDescent="0.45">
      <c r="B46" s="15" t="s">
        <v>50</v>
      </c>
      <c r="C46" s="12" t="s">
        <v>51</v>
      </c>
    </row>
    <row r="47" spans="2:3" x14ac:dyDescent="0.45">
      <c r="B47" s="16" t="s">
        <v>52</v>
      </c>
      <c r="C47" s="12" t="s">
        <v>53</v>
      </c>
    </row>
    <row r="48" spans="2:3" x14ac:dyDescent="0.45">
      <c r="B48" s="17" t="s">
        <v>54</v>
      </c>
      <c r="C48" s="12" t="s">
        <v>55</v>
      </c>
    </row>
    <row r="49" spans="2:3" x14ac:dyDescent="0.45">
      <c r="B49" s="18" t="s">
        <v>56</v>
      </c>
      <c r="C49" s="12" t="s">
        <v>57</v>
      </c>
    </row>
    <row r="50" spans="2:3" x14ac:dyDescent="0.45">
      <c r="B50" s="19" t="s">
        <v>58</v>
      </c>
      <c r="C50" s="12" t="s">
        <v>59</v>
      </c>
    </row>
    <row r="51" spans="2:3" x14ac:dyDescent="0.45">
      <c r="B51" s="20" t="s">
        <v>60</v>
      </c>
      <c r="C51" s="12" t="s">
        <v>61</v>
      </c>
    </row>
    <row r="52" spans="2:3" ht="12" customHeight="1" x14ac:dyDescent="0.45"/>
    <row r="53" spans="2:3" ht="22.05" customHeight="1" x14ac:dyDescent="0.5">
      <c r="B53" s="7" t="s">
        <v>62</v>
      </c>
      <c r="C53" s="8"/>
    </row>
    <row r="54" spans="2:3" x14ac:dyDescent="0.45">
      <c r="B54" s="9" t="s">
        <v>63</v>
      </c>
      <c r="C54" s="10" t="s">
        <v>64</v>
      </c>
    </row>
    <row r="55" spans="2:3" x14ac:dyDescent="0.45">
      <c r="B55" s="9" t="s">
        <v>65</v>
      </c>
      <c r="C55" s="10" t="s">
        <v>66</v>
      </c>
    </row>
    <row r="56" spans="2:3" x14ac:dyDescent="0.45">
      <c r="B56" s="9" t="s">
        <v>67</v>
      </c>
      <c r="C56" s="10" t="s">
        <v>68</v>
      </c>
    </row>
    <row r="57" spans="2:3" x14ac:dyDescent="0.45">
      <c r="B57" s="9" t="s">
        <v>69</v>
      </c>
      <c r="C57" s="10" t="s">
        <v>70</v>
      </c>
    </row>
    <row r="58" spans="2:3" x14ac:dyDescent="0.45">
      <c r="B58" s="9" t="s">
        <v>71</v>
      </c>
      <c r="C58" s="10" t="s">
        <v>72</v>
      </c>
    </row>
    <row r="59" spans="2:3" ht="12" customHeight="1" x14ac:dyDescent="0.45"/>
    <row r="60" spans="2:3" ht="22.05" customHeight="1" x14ac:dyDescent="0.5">
      <c r="B60" s="7" t="s">
        <v>73</v>
      </c>
      <c r="C60" s="8"/>
    </row>
    <row r="61" spans="2:3" ht="26.25" x14ac:dyDescent="0.45">
      <c r="B61" s="9" t="s">
        <v>74</v>
      </c>
      <c r="C61" s="10" t="s">
        <v>75</v>
      </c>
    </row>
    <row r="62" spans="2:3" x14ac:dyDescent="0.45">
      <c r="B62" s="9" t="s">
        <v>76</v>
      </c>
      <c r="C62" s="10" t="s">
        <v>77</v>
      </c>
    </row>
    <row r="63" spans="2:3" x14ac:dyDescent="0.45">
      <c r="B63" s="9" t="s">
        <v>78</v>
      </c>
      <c r="C63" s="10" t="s">
        <v>79</v>
      </c>
    </row>
    <row r="64" spans="2:3" ht="26.25" x14ac:dyDescent="0.45">
      <c r="B64" s="9" t="s">
        <v>80</v>
      </c>
      <c r="C64" s="10" t="s">
        <v>81</v>
      </c>
    </row>
    <row r="65" spans="2:3" x14ac:dyDescent="0.45">
      <c r="B65" s="9" t="s">
        <v>82</v>
      </c>
      <c r="C65" s="10" t="s">
        <v>83</v>
      </c>
    </row>
    <row r="66" spans="2:3" ht="12" customHeight="1" x14ac:dyDescent="0.45"/>
    <row r="67" spans="2:3" ht="22.05" customHeight="1" x14ac:dyDescent="0.5">
      <c r="B67" s="7" t="s">
        <v>84</v>
      </c>
      <c r="C67" s="8"/>
    </row>
    <row r="68" spans="2:3" x14ac:dyDescent="0.45">
      <c r="B68" s="21" t="s">
        <v>85</v>
      </c>
      <c r="C68" s="10" t="s">
        <v>86</v>
      </c>
    </row>
    <row r="69" spans="2:3" x14ac:dyDescent="0.45">
      <c r="B69" s="21" t="s">
        <v>87</v>
      </c>
      <c r="C69" s="10" t="s">
        <v>88</v>
      </c>
    </row>
    <row r="70" spans="2:3" ht="26.25" x14ac:dyDescent="0.45">
      <c r="B70" s="21" t="s">
        <v>89</v>
      </c>
      <c r="C70" s="10" t="s">
        <v>90</v>
      </c>
    </row>
    <row r="71" spans="2:3" ht="39.4" x14ac:dyDescent="0.45">
      <c r="B71" s="21" t="s">
        <v>91</v>
      </c>
      <c r="C71" s="10" t="s">
        <v>92</v>
      </c>
    </row>
    <row r="72" spans="2:3" ht="12" customHeight="1" x14ac:dyDescent="0.45"/>
    <row r="73" spans="2:3" ht="22.05" customHeight="1" x14ac:dyDescent="0.5">
      <c r="B73" s="7" t="s">
        <v>93</v>
      </c>
      <c r="C73" s="8"/>
    </row>
    <row r="74" spans="2:3" ht="26.25" x14ac:dyDescent="0.45">
      <c r="B74" s="9" t="s">
        <v>94</v>
      </c>
      <c r="C74" s="10" t="s">
        <v>95</v>
      </c>
    </row>
    <row r="75" spans="2:3" x14ac:dyDescent="0.45">
      <c r="B75" s="9" t="s">
        <v>96</v>
      </c>
      <c r="C75" s="10" t="s">
        <v>97</v>
      </c>
    </row>
    <row r="76" spans="2:3" ht="16.05" customHeight="1" x14ac:dyDescent="0.45"/>
    <row r="77" spans="2:3" x14ac:dyDescent="0.45">
      <c r="B77" s="76" t="s">
        <v>98</v>
      </c>
      <c r="C77" s="77"/>
    </row>
  </sheetData>
  <mergeCells count="2">
    <mergeCell ref="B77:C77"/>
    <mergeCell ref="B16:C16"/>
  </mergeCells>
  <hyperlinks>
    <hyperlink ref="D4" location="'Inputs'!A1" display="Next:  Inputs  ▸" xr:uid="{00000000-0004-0000-0000-000000000000}"/>
    <hyperlink ref="B40" location="'Inputs'!A1" display="Inputs" xr:uid="{00000000-0004-0000-0000-000001000000}"/>
    <hyperlink ref="B41" location="'Decisions'!A1" display="Decisions" xr:uid="{00000000-0004-0000-0000-000002000000}"/>
    <hyperlink ref="B42" location="'Inventory'!A1" display="Inventory" xr:uid="{00000000-0004-0000-0000-000003000000}"/>
    <hyperlink ref="B43" location="'Results'!A1" display="Results" xr:uid="{00000000-0004-0000-0000-000004000000}"/>
  </hyperlinks>
  <printOptions horizontalCentered="1"/>
  <pageMargins left="0.4" right="0.4" top="0.5" bottom="0.6" header="0.25" footer="0.25"/>
  <pageSetup paperSize="9" fitToHeight="0" orientation="portrait"/>
  <headerFooter>
    <oddFooter>&amp;L&amp;K3F5876&amp;8&amp;F · &amp;A&amp;R&amp;K3F5876&amp;8Page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E0A800"/>
    <pageSetUpPr fitToPage="1"/>
  </sheetPr>
  <dimension ref="A1:J32"/>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2" t="s">
        <v>0</v>
      </c>
      <c r="C2" s="1"/>
      <c r="D2" s="1"/>
      <c r="E2" s="1"/>
      <c r="F2" s="1"/>
      <c r="G2" s="1"/>
      <c r="H2" s="1"/>
      <c r="I2" s="1"/>
      <c r="J2" s="3" t="s">
        <v>1</v>
      </c>
    </row>
    <row r="3" spans="1:10" ht="20" customHeight="1" x14ac:dyDescent="0.45">
      <c r="A3" s="1"/>
      <c r="B3" s="4" t="s">
        <v>99</v>
      </c>
      <c r="C3" s="1"/>
      <c r="D3" s="1"/>
      <c r="E3" s="1"/>
      <c r="F3" s="1"/>
      <c r="G3" s="1"/>
      <c r="H3" s="1"/>
      <c r="I3" s="1"/>
      <c r="J3" s="1"/>
    </row>
    <row r="4" spans="1:10" ht="20" customHeight="1" x14ac:dyDescent="0.45">
      <c r="A4" s="5"/>
      <c r="B4" s="23" t="s">
        <v>100</v>
      </c>
      <c r="C4" s="5"/>
      <c r="D4" s="5"/>
      <c r="E4" s="5"/>
      <c r="F4" s="5"/>
      <c r="G4" s="5"/>
      <c r="H4" s="5"/>
      <c r="I4" s="5"/>
      <c r="J4" s="6" t="s">
        <v>101</v>
      </c>
    </row>
    <row r="5" spans="1:10" ht="8" customHeight="1" x14ac:dyDescent="0.45"/>
    <row r="6" spans="1:10" ht="30" customHeight="1" x14ac:dyDescent="0.45">
      <c r="B6" s="79" t="s">
        <v>102</v>
      </c>
      <c r="C6" s="77"/>
      <c r="D6" s="77"/>
      <c r="E6" s="77"/>
      <c r="F6" s="77"/>
      <c r="G6" s="77"/>
      <c r="H6" s="77"/>
      <c r="I6" s="77"/>
      <c r="J6" s="77"/>
    </row>
    <row r="7" spans="1:10" ht="6" customHeight="1" x14ac:dyDescent="0.45"/>
    <row r="8" spans="1:10" ht="22.05" customHeight="1" x14ac:dyDescent="0.5">
      <c r="B8" s="7" t="s">
        <v>103</v>
      </c>
      <c r="C8" s="8"/>
      <c r="D8" s="8"/>
      <c r="E8" s="8"/>
      <c r="F8" s="8"/>
      <c r="G8" s="8"/>
      <c r="H8" s="8"/>
      <c r="I8" s="8"/>
      <c r="J8" s="8"/>
    </row>
    <row r="9" spans="1:10" ht="18" customHeight="1" x14ac:dyDescent="0.45">
      <c r="B9" s="24" t="s">
        <v>104</v>
      </c>
      <c r="C9" s="24" t="s">
        <v>105</v>
      </c>
      <c r="D9" s="25" t="s">
        <v>106</v>
      </c>
      <c r="E9" s="24" t="s">
        <v>107</v>
      </c>
      <c r="F9" s="5"/>
      <c r="G9" s="5"/>
      <c r="H9" s="5"/>
      <c r="I9" s="5"/>
      <c r="J9" s="24" t="s">
        <v>108</v>
      </c>
    </row>
    <row r="10" spans="1:10" x14ac:dyDescent="0.45">
      <c r="B10" s="26" t="s">
        <v>109</v>
      </c>
      <c r="C10" s="27" t="s">
        <v>110</v>
      </c>
      <c r="D10" s="28">
        <v>40</v>
      </c>
      <c r="E10" s="27" t="s">
        <v>111</v>
      </c>
      <c r="F10" s="29"/>
      <c r="G10" s="29"/>
      <c r="H10" s="29"/>
      <c r="I10" s="29"/>
      <c r="J10" s="30" t="s">
        <v>112</v>
      </c>
    </row>
    <row r="11" spans="1:10" x14ac:dyDescent="0.45">
      <c r="B11" s="26" t="s">
        <v>113</v>
      </c>
      <c r="C11" s="27" t="s">
        <v>110</v>
      </c>
      <c r="D11" s="28">
        <v>15</v>
      </c>
      <c r="E11" s="27" t="s">
        <v>111</v>
      </c>
      <c r="F11" s="29"/>
      <c r="G11" s="29"/>
      <c r="H11" s="29"/>
      <c r="I11" s="29"/>
      <c r="J11" s="30" t="s">
        <v>114</v>
      </c>
    </row>
    <row r="12" spans="1:10" x14ac:dyDescent="0.45">
      <c r="B12" s="26" t="s">
        <v>115</v>
      </c>
      <c r="C12" s="27" t="s">
        <v>116</v>
      </c>
      <c r="D12" s="28">
        <v>365</v>
      </c>
      <c r="E12" s="27" t="s">
        <v>111</v>
      </c>
      <c r="F12" s="29"/>
      <c r="G12" s="29"/>
      <c r="H12" s="29"/>
      <c r="I12" s="29"/>
      <c r="J12" s="30"/>
    </row>
    <row r="13" spans="1:10" ht="8" customHeight="1" x14ac:dyDescent="0.45"/>
    <row r="14" spans="1:10" ht="22.05" customHeight="1" x14ac:dyDescent="0.5">
      <c r="B14" s="7" t="s">
        <v>117</v>
      </c>
      <c r="C14" s="8"/>
      <c r="D14" s="8"/>
      <c r="E14" s="8"/>
      <c r="F14" s="8"/>
      <c r="G14" s="8"/>
      <c r="H14" s="8"/>
      <c r="I14" s="8"/>
      <c r="J14" s="8"/>
    </row>
    <row r="15" spans="1:10" ht="18" customHeight="1" x14ac:dyDescent="0.45">
      <c r="B15" s="13" t="s">
        <v>118</v>
      </c>
    </row>
    <row r="16" spans="1:10" ht="18" customHeight="1" x14ac:dyDescent="0.45">
      <c r="B16" s="24" t="s">
        <v>104</v>
      </c>
      <c r="C16" s="24" t="s">
        <v>105</v>
      </c>
      <c r="D16" s="25" t="s">
        <v>106</v>
      </c>
      <c r="E16" s="24" t="s">
        <v>107</v>
      </c>
      <c r="F16" s="25" t="s">
        <v>119</v>
      </c>
      <c r="G16" s="25" t="s">
        <v>120</v>
      </c>
      <c r="H16" s="25" t="s">
        <v>121</v>
      </c>
      <c r="I16" s="25" t="s">
        <v>122</v>
      </c>
      <c r="J16" s="24" t="s">
        <v>108</v>
      </c>
    </row>
    <row r="17" spans="2:10" x14ac:dyDescent="0.45">
      <c r="B17" s="26" t="s">
        <v>123</v>
      </c>
      <c r="C17" s="27" t="s">
        <v>116</v>
      </c>
      <c r="D17" s="31" cm="1">
        <f t="array" aca="1" ref="D17" ca="1">_xll.VoseInput("Normal lead time","days")+_xll.VosePERT(F17,G17,H17)</f>
        <v>6.5818625170399772</v>
      </c>
      <c r="E17" s="27" t="s">
        <v>124</v>
      </c>
      <c r="F17" s="32">
        <v>5</v>
      </c>
      <c r="G17" s="32">
        <v>7</v>
      </c>
      <c r="H17" s="32">
        <v>10</v>
      </c>
      <c r="I17" s="33" cm="1">
        <f t="array" ref="I17">IF(AND(F17&lt;=G17,G17&lt;=H17,F17&lt;H17),_xll.VoseMean(_xll.VosePERTObject(F17,G17,H17)),"✗ range")</f>
        <v>7.166666666666667</v>
      </c>
      <c r="J17" s="30" t="s">
        <v>125</v>
      </c>
    </row>
    <row r="18" spans="2:10" x14ac:dyDescent="0.45">
      <c r="B18" s="26" t="s">
        <v>126</v>
      </c>
      <c r="C18" s="27" t="s">
        <v>127</v>
      </c>
      <c r="D18" s="34">
        <v>0.1</v>
      </c>
      <c r="E18" s="27" t="s">
        <v>111</v>
      </c>
      <c r="F18" s="29"/>
      <c r="G18" s="29"/>
      <c r="H18" s="29"/>
      <c r="I18" s="29"/>
      <c r="J18" s="30" t="s">
        <v>128</v>
      </c>
    </row>
    <row r="19" spans="2:10" x14ac:dyDescent="0.45">
      <c r="B19" s="26" t="s">
        <v>129</v>
      </c>
      <c r="C19" s="27" t="s">
        <v>116</v>
      </c>
      <c r="D19" s="31" cm="1">
        <f t="array" aca="1" ref="D19" ca="1">_xll.VoseInput("Disruption delay","days")+_xll.VoseRiskEvent(DelayProb,_xll.VosePERTObject(F19,G19,H19))</f>
        <v>0</v>
      </c>
      <c r="E19" s="27" t="s">
        <v>130</v>
      </c>
      <c r="F19" s="32">
        <v>5</v>
      </c>
      <c r="G19" s="32">
        <v>10</v>
      </c>
      <c r="H19" s="32">
        <v>20</v>
      </c>
      <c r="I19" s="33" cm="1">
        <f t="array" ref="I19">IF(AND(F19&lt;=G19,G19&lt;=H19,F19&lt;H19),_xll.VoseMean(_xll.VoseRiskEventObject(DelayProb,_xll.VosePERTObject(F19,G19,H19))),"✗ range")</f>
        <v>1.0833333333333335</v>
      </c>
      <c r="J19" s="30" t="s">
        <v>131</v>
      </c>
    </row>
    <row r="20" spans="2:10" ht="8" customHeight="1" x14ac:dyDescent="0.45"/>
    <row r="21" spans="2:10" ht="22.05" customHeight="1" x14ac:dyDescent="0.5">
      <c r="B21" s="7" t="s">
        <v>132</v>
      </c>
      <c r="C21" s="8"/>
      <c r="D21" s="8"/>
      <c r="E21" s="8"/>
      <c r="F21" s="8"/>
      <c r="G21" s="8"/>
      <c r="H21" s="8"/>
      <c r="I21" s="8"/>
      <c r="J21" s="8"/>
    </row>
    <row r="22" spans="2:10" ht="18" customHeight="1" x14ac:dyDescent="0.45">
      <c r="B22" s="24" t="s">
        <v>104</v>
      </c>
      <c r="C22" s="24" t="s">
        <v>105</v>
      </c>
      <c r="D22" s="25" t="s">
        <v>106</v>
      </c>
      <c r="E22" s="24" t="s">
        <v>107</v>
      </c>
      <c r="F22" s="5"/>
      <c r="G22" s="5"/>
      <c r="H22" s="5"/>
      <c r="I22" s="5"/>
      <c r="J22" s="24" t="s">
        <v>108</v>
      </c>
    </row>
    <row r="23" spans="2:10" x14ac:dyDescent="0.45">
      <c r="B23" s="26" t="s">
        <v>133</v>
      </c>
      <c r="C23" s="27" t="s">
        <v>134</v>
      </c>
      <c r="D23" s="28">
        <v>20</v>
      </c>
      <c r="E23" s="27" t="s">
        <v>111</v>
      </c>
      <c r="F23" s="29"/>
      <c r="G23" s="29"/>
      <c r="H23" s="29"/>
      <c r="I23" s="29"/>
      <c r="J23" s="30"/>
    </row>
    <row r="24" spans="2:10" x14ac:dyDescent="0.45">
      <c r="B24" s="26" t="s">
        <v>135</v>
      </c>
      <c r="C24" s="27" t="s">
        <v>136</v>
      </c>
      <c r="D24" s="34">
        <v>0.25</v>
      </c>
      <c r="E24" s="27" t="s">
        <v>111</v>
      </c>
      <c r="F24" s="29"/>
      <c r="G24" s="29"/>
      <c r="H24" s="29"/>
      <c r="I24" s="29"/>
      <c r="J24" s="30" t="s">
        <v>137</v>
      </c>
    </row>
    <row r="25" spans="2:10" x14ac:dyDescent="0.45">
      <c r="B25" s="26" t="s">
        <v>138</v>
      </c>
      <c r="C25" s="27" t="s">
        <v>134</v>
      </c>
      <c r="D25" s="28">
        <v>150</v>
      </c>
      <c r="E25" s="27" t="s">
        <v>111</v>
      </c>
      <c r="F25" s="29"/>
      <c r="G25" s="29"/>
      <c r="H25" s="29"/>
      <c r="I25" s="29"/>
      <c r="J25" s="30" t="s">
        <v>139</v>
      </c>
    </row>
    <row r="26" spans="2:10" x14ac:dyDescent="0.45">
      <c r="B26" s="26" t="s">
        <v>140</v>
      </c>
      <c r="C26" s="27" t="s">
        <v>134</v>
      </c>
      <c r="D26" s="28">
        <v>8</v>
      </c>
      <c r="E26" s="27" t="s">
        <v>111</v>
      </c>
      <c r="F26" s="29"/>
      <c r="G26" s="29"/>
      <c r="H26" s="29"/>
      <c r="I26" s="29"/>
      <c r="J26" s="30" t="s">
        <v>141</v>
      </c>
    </row>
    <row r="27" spans="2:10" ht="8" customHeight="1" x14ac:dyDescent="0.45"/>
    <row r="28" spans="2:10" ht="22.05" customHeight="1" x14ac:dyDescent="0.5">
      <c r="B28" s="7" t="s">
        <v>142</v>
      </c>
      <c r="C28" s="8"/>
      <c r="D28" s="8"/>
      <c r="E28" s="8"/>
      <c r="F28" s="8"/>
      <c r="G28" s="8"/>
      <c r="H28" s="8"/>
      <c r="I28" s="8"/>
      <c r="J28" s="8"/>
    </row>
    <row r="29" spans="2:10" ht="18" customHeight="1" x14ac:dyDescent="0.45">
      <c r="B29" s="13" t="s">
        <v>143</v>
      </c>
    </row>
    <row r="30" spans="2:10" ht="18" customHeight="1" x14ac:dyDescent="0.45">
      <c r="B30" s="24" t="s">
        <v>104</v>
      </c>
      <c r="C30" s="24" t="s">
        <v>105</v>
      </c>
      <c r="D30" s="25" t="s">
        <v>106</v>
      </c>
      <c r="E30" s="24" t="s">
        <v>107</v>
      </c>
      <c r="F30" s="5"/>
      <c r="G30" s="5"/>
      <c r="H30" s="5"/>
      <c r="I30" s="5"/>
      <c r="J30" s="24" t="s">
        <v>108</v>
      </c>
    </row>
    <row r="31" spans="2:10" x14ac:dyDescent="0.45">
      <c r="B31" s="26" t="s">
        <v>144</v>
      </c>
      <c r="C31" s="27" t="s">
        <v>145</v>
      </c>
      <c r="D31" s="35">
        <v>0.97499999999999998</v>
      </c>
      <c r="E31" s="27" t="s">
        <v>111</v>
      </c>
      <c r="F31" s="29"/>
      <c r="G31" s="29"/>
      <c r="H31" s="29"/>
      <c r="I31" s="29"/>
      <c r="J31" s="30" t="s">
        <v>146</v>
      </c>
    </row>
    <row r="32" spans="2:10" ht="8" customHeight="1" x14ac:dyDescent="0.45"/>
  </sheetData>
  <mergeCells count="1">
    <mergeCell ref="B6:J6"/>
  </mergeCells>
  <conditionalFormatting sqref="I17">
    <cfRule type="expression" dxfId="6" priority="1">
      <formula>LEFT($I17,1)="✗"</formula>
    </cfRule>
  </conditionalFormatting>
  <conditionalFormatting sqref="I19">
    <cfRule type="expression" dxfId="5" priority="2">
      <formula>LEFT($I19,1)="✗"</formula>
    </cfRule>
  </conditionalFormatting>
  <dataValidations count="3">
    <dataValidation type="decimal" operator="greaterThan" showErrorMessage="1" errorTitle="Positive value" error="Enter a value greater than zero." sqref="D25:D26 D23 D10:D12" xr:uid="{00000000-0002-0000-0100-000000000000}">
      <formula1>0</formula1>
    </dataValidation>
    <dataValidation type="custom" showErrorMessage="1" errorTitle="PERT range" error="Low must be below High, with Most likely between them." sqref="F17:H17 F19:H19" xr:uid="{00000000-0002-0000-0100-000003000000}">
      <formula1>AND($F17&lt;=$G17,$G17&lt;=$H17,$F17&lt;$H17)</formula1>
    </dataValidation>
    <dataValidation type="decimal" showErrorMessage="1" errorTitle="Probability" error="Enter a value between 0% and 100%." sqref="D18 D31 D24" xr:uid="{00000000-0002-0000-0100-000004000000}">
      <formula1>0</formula1>
      <formula2>1</formula2>
    </dataValidation>
  </dataValidations>
  <hyperlinks>
    <hyperlink ref="B4" location="'About'!A1" display="◂  About" xr:uid="{00000000-0004-0000-0100-000000000000}"/>
    <hyperlink ref="J4" location="'Decisions'!A1" display="Next:  Decisions  ▸" xr:uid="{00000000-0004-0000-01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E0A800"/>
    <pageSetUpPr fitToPage="1"/>
  </sheetPr>
  <dimension ref="A1:I31"/>
  <sheetViews>
    <sheetView showGridLines="0" workbookViewId="0">
      <pane ySplit="5" topLeftCell="A6" activePane="bottomLeft" state="frozen"/>
      <selection pane="bottomLeft"/>
    </sheetView>
  </sheetViews>
  <sheetFormatPr defaultRowHeight="14.25" x14ac:dyDescent="0.45"/>
  <cols>
    <col min="1" max="1" width="2" customWidth="1"/>
    <col min="2" max="2" width="42" customWidth="1"/>
    <col min="3" max="3" width="16" customWidth="1"/>
    <col min="4" max="5" width="13" customWidth="1"/>
    <col min="6" max="7" width="11" customWidth="1"/>
    <col min="8" max="8" width="15" customWidth="1"/>
    <col min="9" max="9" width="52" customWidth="1"/>
    <col min="11" max="11" width="9.06640625" customWidth="1"/>
  </cols>
  <sheetData>
    <row r="1" spans="1:9" ht="6" customHeight="1" x14ac:dyDescent="0.45"/>
    <row r="2" spans="1:9" ht="30" customHeight="1" x14ac:dyDescent="0.45">
      <c r="A2" s="1"/>
      <c r="B2" s="22" t="s">
        <v>0</v>
      </c>
      <c r="C2" s="1"/>
      <c r="D2" s="1"/>
      <c r="E2" s="1"/>
      <c r="F2" s="1"/>
      <c r="G2" s="1"/>
      <c r="H2" s="1"/>
      <c r="I2" s="3" t="s">
        <v>1</v>
      </c>
    </row>
    <row r="3" spans="1:9" ht="20" customHeight="1" x14ac:dyDescent="0.45">
      <c r="A3" s="1"/>
      <c r="B3" s="4" t="s">
        <v>147</v>
      </c>
      <c r="C3" s="1"/>
      <c r="D3" s="1"/>
      <c r="E3" s="1"/>
      <c r="F3" s="1"/>
      <c r="G3" s="1"/>
      <c r="H3" s="1"/>
      <c r="I3" s="1"/>
    </row>
    <row r="4" spans="1:9" ht="20" customHeight="1" x14ac:dyDescent="0.45">
      <c r="A4" s="5"/>
      <c r="B4" s="23" t="s">
        <v>148</v>
      </c>
      <c r="C4" s="5"/>
      <c r="D4" s="5"/>
      <c r="E4" s="5"/>
      <c r="F4" s="5"/>
      <c r="G4" s="5"/>
      <c r="H4" s="5"/>
      <c r="I4" s="6" t="s">
        <v>149</v>
      </c>
    </row>
    <row r="5" spans="1:9" ht="8" customHeight="1" x14ac:dyDescent="0.45"/>
    <row r="6" spans="1:9" ht="30" customHeight="1" x14ac:dyDescent="0.45">
      <c r="B6" s="79" t="s">
        <v>150</v>
      </c>
      <c r="C6" s="77"/>
      <c r="D6" s="77"/>
      <c r="E6" s="77"/>
      <c r="F6" s="77"/>
      <c r="G6" s="77"/>
      <c r="H6" s="77"/>
      <c r="I6" s="77"/>
    </row>
    <row r="7" spans="1:9" ht="6" customHeight="1" x14ac:dyDescent="0.45"/>
    <row r="8" spans="1:9" ht="22.05" customHeight="1" x14ac:dyDescent="0.5">
      <c r="B8" s="7" t="s">
        <v>151</v>
      </c>
      <c r="C8" s="8"/>
      <c r="D8" s="8"/>
      <c r="E8" s="8"/>
      <c r="F8" s="8"/>
      <c r="G8" s="8"/>
      <c r="H8" s="8"/>
      <c r="I8" s="8"/>
    </row>
    <row r="9" spans="1:9" ht="18" customHeight="1" x14ac:dyDescent="0.45">
      <c r="B9" s="13" t="s">
        <v>152</v>
      </c>
    </row>
    <row r="10" spans="1:9" ht="18" customHeight="1" x14ac:dyDescent="0.45">
      <c r="B10" s="36" t="s">
        <v>54</v>
      </c>
      <c r="C10" s="36" t="s">
        <v>105</v>
      </c>
      <c r="D10" s="37" t="s">
        <v>153</v>
      </c>
      <c r="E10" s="37" t="s">
        <v>154</v>
      </c>
      <c r="F10" s="37" t="s">
        <v>155</v>
      </c>
      <c r="G10" s="37" t="s">
        <v>156</v>
      </c>
      <c r="H10" s="36" t="s">
        <v>157</v>
      </c>
      <c r="I10" s="36" t="s">
        <v>158</v>
      </c>
    </row>
    <row r="11" spans="1:9" x14ac:dyDescent="0.45">
      <c r="B11" s="26" t="s">
        <v>65</v>
      </c>
      <c r="C11" s="27" t="s">
        <v>159</v>
      </c>
      <c r="D11" s="38">
        <v>832</v>
      </c>
      <c r="E11" s="28">
        <v>750</v>
      </c>
      <c r="F11" s="28">
        <v>300</v>
      </c>
      <c r="G11" s="28">
        <v>1500</v>
      </c>
      <c r="H11" s="27" t="s">
        <v>160</v>
      </c>
      <c r="I11" s="27" t="s">
        <v>161</v>
      </c>
    </row>
    <row r="12" spans="1:9" x14ac:dyDescent="0.45">
      <c r="B12" s="26" t="s">
        <v>67</v>
      </c>
      <c r="C12" s="27" t="s">
        <v>159</v>
      </c>
      <c r="D12" s="38">
        <v>997</v>
      </c>
      <c r="E12" s="28">
        <v>940</v>
      </c>
      <c r="F12" s="28">
        <v>400</v>
      </c>
      <c r="G12" s="28">
        <v>3000</v>
      </c>
      <c r="H12" s="27" t="s">
        <v>160</v>
      </c>
      <c r="I12" s="27" t="s">
        <v>162</v>
      </c>
    </row>
    <row r="13" spans="1:9" ht="8" customHeight="1" x14ac:dyDescent="0.45"/>
    <row r="14" spans="1:9" ht="22.05" customHeight="1" x14ac:dyDescent="0.5">
      <c r="B14" s="7" t="s">
        <v>163</v>
      </c>
      <c r="C14" s="8"/>
      <c r="D14" s="8"/>
      <c r="E14" s="8"/>
      <c r="F14" s="8"/>
      <c r="G14" s="8"/>
      <c r="H14" s="8"/>
      <c r="I14" s="8"/>
    </row>
    <row r="15" spans="1:9" ht="18" customHeight="1" x14ac:dyDescent="0.45">
      <c r="B15" s="13" t="s">
        <v>164</v>
      </c>
    </row>
    <row r="16" spans="1:9" ht="18" customHeight="1" x14ac:dyDescent="0.45">
      <c r="B16" s="36"/>
      <c r="C16" s="36" t="s">
        <v>165</v>
      </c>
      <c r="D16" s="5"/>
      <c r="E16" s="5"/>
      <c r="F16" s="5"/>
      <c r="G16" s="37" t="s">
        <v>166</v>
      </c>
      <c r="H16" s="5"/>
      <c r="I16" s="36" t="s">
        <v>167</v>
      </c>
    </row>
    <row r="17" spans="2:9" x14ac:dyDescent="0.45">
      <c r="B17" s="39" t="s">
        <v>168</v>
      </c>
      <c r="C17" s="80" t="s">
        <v>169</v>
      </c>
      <c r="D17" s="81"/>
      <c r="E17" s="81"/>
      <c r="F17" s="81"/>
      <c r="G17" s="29"/>
      <c r="H17" s="29"/>
      <c r="I17" s="27" t="s">
        <v>170</v>
      </c>
    </row>
    <row r="18" spans="2:9" x14ac:dyDescent="0.45">
      <c r="B18" s="26" t="s">
        <v>171</v>
      </c>
      <c r="C18" s="80" t="s">
        <v>172</v>
      </c>
      <c r="D18" s="81"/>
      <c r="E18" s="81"/>
      <c r="F18" s="81"/>
      <c r="G18" s="40">
        <f>SvcTarget</f>
        <v>0.97499999999999998</v>
      </c>
      <c r="H18" s="29"/>
      <c r="I18" s="27" t="s">
        <v>173</v>
      </c>
    </row>
    <row r="19" spans="2:9" x14ac:dyDescent="0.45">
      <c r="B19" s="26" t="s">
        <v>174</v>
      </c>
      <c r="C19" s="80" t="s">
        <v>175</v>
      </c>
      <c r="D19" s="81"/>
      <c r="E19" s="81"/>
      <c r="F19" s="81"/>
      <c r="G19" s="41" t="str">
        <f>IF(OneOrder_Plan,"✔  yes","✗  no")</f>
        <v>✔  yes</v>
      </c>
      <c r="H19" s="29"/>
      <c r="I19" s="27" t="s">
        <v>176</v>
      </c>
    </row>
    <row r="20" spans="2:9" ht="8" customHeight="1" x14ac:dyDescent="0.45"/>
    <row r="21" spans="2:9" ht="22.05" customHeight="1" x14ac:dyDescent="0.5">
      <c r="B21" s="7" t="s">
        <v>177</v>
      </c>
      <c r="C21" s="8"/>
      <c r="D21" s="8"/>
      <c r="E21" s="8"/>
      <c r="F21" s="8"/>
      <c r="G21" s="8"/>
      <c r="H21" s="8"/>
      <c r="I21" s="8"/>
    </row>
    <row r="22" spans="2:9" ht="18" customHeight="1" x14ac:dyDescent="0.45">
      <c r="B22" s="13" t="s">
        <v>178</v>
      </c>
    </row>
    <row r="23" spans="2:9" x14ac:dyDescent="0.45">
      <c r="B23" s="26" t="s">
        <v>179</v>
      </c>
      <c r="C23" s="29"/>
      <c r="D23" s="82" t="s">
        <v>282</v>
      </c>
      <c r="E23" s="29"/>
      <c r="F23" s="29"/>
      <c r="G23" s="29"/>
      <c r="H23" s="29"/>
      <c r="I23" s="29"/>
    </row>
    <row r="24" spans="2:9" x14ac:dyDescent="0.45">
      <c r="B24" s="26" t="s">
        <v>180</v>
      </c>
      <c r="C24" s="29"/>
      <c r="D24" s="42" t="s">
        <v>281</v>
      </c>
      <c r="E24" s="29"/>
      <c r="F24" s="29"/>
      <c r="G24" s="29"/>
      <c r="H24" s="29"/>
      <c r="I24" s="29"/>
    </row>
    <row r="25" spans="2:9" x14ac:dyDescent="0.45">
      <c r="B25" s="26" t="s">
        <v>181</v>
      </c>
      <c r="C25" s="29"/>
      <c r="D25" s="43">
        <v>109</v>
      </c>
      <c r="E25" s="29"/>
      <c r="F25" s="29"/>
      <c r="G25" s="29"/>
      <c r="H25" s="29"/>
      <c r="I25" s="29"/>
    </row>
    <row r="26" spans="2:9" x14ac:dyDescent="0.45">
      <c r="B26" s="26" t="s">
        <v>182</v>
      </c>
      <c r="C26" s="29"/>
      <c r="D26" s="43">
        <v>10000</v>
      </c>
      <c r="E26" s="29"/>
      <c r="F26" s="29"/>
      <c r="G26" s="29"/>
      <c r="H26" s="29"/>
      <c r="I26" s="29"/>
    </row>
    <row r="27" spans="2:9" x14ac:dyDescent="0.45">
      <c r="B27" s="26" t="s">
        <v>183</v>
      </c>
      <c r="C27" s="29"/>
      <c r="D27" s="44">
        <v>6.3</v>
      </c>
      <c r="E27" s="29"/>
      <c r="F27" s="29"/>
      <c r="G27" s="29"/>
      <c r="H27" s="29"/>
      <c r="I27" s="29"/>
    </row>
    <row r="28" spans="2:9" x14ac:dyDescent="0.45">
      <c r="B28" s="26" t="s">
        <v>184</v>
      </c>
      <c r="C28" s="29"/>
      <c r="D28" s="42" t="s">
        <v>279</v>
      </c>
      <c r="E28" s="29"/>
      <c r="F28" s="29"/>
      <c r="G28" s="29"/>
      <c r="H28" s="29"/>
      <c r="I28" s="29"/>
    </row>
    <row r="29" spans="2:9" x14ac:dyDescent="0.45">
      <c r="B29" s="26" t="s">
        <v>185</v>
      </c>
      <c r="C29" s="29"/>
      <c r="D29" s="42" t="s">
        <v>280</v>
      </c>
      <c r="E29" s="29"/>
      <c r="F29" s="29"/>
      <c r="G29" s="29"/>
      <c r="H29" s="29"/>
      <c r="I29" s="29"/>
    </row>
    <row r="30" spans="2:9" x14ac:dyDescent="0.45">
      <c r="B30" s="26" t="s">
        <v>186</v>
      </c>
      <c r="C30" s="29"/>
      <c r="D30" s="45">
        <v>7419.9110540000001</v>
      </c>
      <c r="E30" s="29"/>
      <c r="F30" s="29"/>
      <c r="G30" s="29"/>
      <c r="H30" s="29"/>
      <c r="I30" s="29"/>
    </row>
    <row r="31" spans="2:9" ht="14" customHeight="1" x14ac:dyDescent="0.45"/>
  </sheetData>
  <mergeCells count="4">
    <mergeCell ref="C19:F19"/>
    <mergeCell ref="B6:I6"/>
    <mergeCell ref="C18:F18"/>
    <mergeCell ref="C17:F17"/>
  </mergeCells>
  <dataValidations count="2">
    <dataValidation type="whole" showErrorMessage="1" errorTitle="Decision" error="Enter a whole number from 300 to 1500." sqref="D11:E11" xr:uid="{00000000-0002-0000-0200-000000000000}">
      <formula1>300</formula1>
      <formula2>1500</formula2>
    </dataValidation>
    <dataValidation type="whole" showErrorMessage="1" errorTitle="Decision" error="Enter a whole number from 400 to 3000." sqref="D12:E12" xr:uid="{00000000-0002-0000-0200-000001000000}">
      <formula1>400</formula1>
      <formula2>3000</formula2>
    </dataValidation>
  </dataValidations>
  <hyperlinks>
    <hyperlink ref="B4" location="'Inputs'!A1" display="◂  Inputs" xr:uid="{00000000-0004-0000-0200-000000000000}"/>
    <hyperlink ref="I4" location="'Inventory'!A1" display="Next:  Inventory  ▸" xr:uid="{00000000-0004-0000-02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AA0BA"/>
    <pageSetUpPr fitToPage="1"/>
  </sheetPr>
  <dimension ref="A1:I41"/>
  <sheetViews>
    <sheetView showGridLines="0" workbookViewId="0"/>
  </sheetViews>
  <sheetFormatPr defaultRowHeight="14.25" x14ac:dyDescent="0.45"/>
  <cols>
    <col min="1" max="1" width="2" customWidth="1"/>
    <col min="2" max="2" width="44" customWidth="1"/>
    <col min="3" max="7" width="13" customWidth="1"/>
    <col min="8" max="8" width="3" customWidth="1"/>
    <col min="9" max="9" width="52" customWidth="1"/>
  </cols>
  <sheetData>
    <row r="1" spans="1:9" ht="6" customHeight="1" x14ac:dyDescent="0.45"/>
    <row r="2" spans="1:9" ht="30" customHeight="1" x14ac:dyDescent="0.45">
      <c r="A2" s="1"/>
      <c r="B2" s="22" t="s">
        <v>0</v>
      </c>
      <c r="C2" s="1"/>
      <c r="D2" s="1"/>
      <c r="E2" s="1"/>
      <c r="F2" s="1"/>
      <c r="G2" s="1"/>
      <c r="H2" s="1"/>
      <c r="I2" s="3" t="s">
        <v>1</v>
      </c>
    </row>
    <row r="3" spans="1:9" ht="20" customHeight="1" x14ac:dyDescent="0.45">
      <c r="A3" s="1"/>
      <c r="B3" s="4" t="s">
        <v>187</v>
      </c>
      <c r="C3" s="1"/>
      <c r="D3" s="1"/>
      <c r="E3" s="1"/>
      <c r="F3" s="1"/>
      <c r="G3" s="1"/>
      <c r="H3" s="1"/>
      <c r="I3" s="1"/>
    </row>
    <row r="4" spans="1:9" ht="20" customHeight="1" x14ac:dyDescent="0.45">
      <c r="A4" s="5"/>
      <c r="B4" s="23" t="s">
        <v>188</v>
      </c>
      <c r="C4" s="5"/>
      <c r="D4" s="5"/>
      <c r="E4" s="5"/>
      <c r="F4" s="5"/>
      <c r="G4" s="5"/>
      <c r="H4" s="5"/>
      <c r="I4" s="6" t="s">
        <v>189</v>
      </c>
    </row>
    <row r="5" spans="1:9" ht="8" customHeight="1" x14ac:dyDescent="0.45"/>
    <row r="6" spans="1:9" ht="22.05" customHeight="1" x14ac:dyDescent="0.5">
      <c r="B6" s="7" t="s">
        <v>190</v>
      </c>
      <c r="C6" s="8"/>
      <c r="D6" s="8"/>
      <c r="E6" s="8"/>
      <c r="F6" s="8"/>
      <c r="G6" s="8"/>
      <c r="H6" s="8"/>
      <c r="I6" s="8"/>
    </row>
    <row r="7" spans="1:9" ht="18" customHeight="1" x14ac:dyDescent="0.45">
      <c r="B7" s="36" t="s">
        <v>191</v>
      </c>
      <c r="C7" s="36" t="s">
        <v>105</v>
      </c>
      <c r="D7" s="37" t="s">
        <v>192</v>
      </c>
      <c r="E7" s="5"/>
      <c r="F7" s="5"/>
      <c r="G7" s="5"/>
      <c r="H7" s="5"/>
      <c r="I7" s="36" t="s">
        <v>193</v>
      </c>
    </row>
    <row r="8" spans="1:9" x14ac:dyDescent="0.45">
      <c r="B8" s="26" t="s">
        <v>194</v>
      </c>
      <c r="C8" s="27" t="s">
        <v>159</v>
      </c>
      <c r="D8" s="46">
        <f>DemMean*SellDays</f>
        <v>14600</v>
      </c>
      <c r="E8" s="29"/>
      <c r="F8" s="29"/>
      <c r="G8" s="29"/>
      <c r="H8" s="29"/>
      <c r="I8" s="27" t="s">
        <v>195</v>
      </c>
    </row>
    <row r="9" spans="1:9" x14ac:dyDescent="0.45">
      <c r="B9" s="26" t="s">
        <v>196</v>
      </c>
      <c r="C9" s="27" t="s">
        <v>197</v>
      </c>
      <c r="D9" s="47">
        <f>UnitCost*HoldRate</f>
        <v>5</v>
      </c>
      <c r="E9" s="29"/>
      <c r="F9" s="29"/>
      <c r="G9" s="29"/>
      <c r="H9" s="29"/>
      <c r="I9" s="29"/>
    </row>
    <row r="10" spans="1:9" x14ac:dyDescent="0.45">
      <c r="B10" s="26" t="s">
        <v>198</v>
      </c>
      <c r="C10" s="27" t="s">
        <v>159</v>
      </c>
      <c r="D10" s="46">
        <f>ROUND(SQRT(2*AnnDem*OrderCost/HoldCost),-1)</f>
        <v>940</v>
      </c>
      <c r="E10" s="29"/>
      <c r="F10" s="29"/>
      <c r="G10" s="29"/>
      <c r="H10" s="29"/>
      <c r="I10" s="27" t="s">
        <v>199</v>
      </c>
    </row>
    <row r="11" spans="1:9" x14ac:dyDescent="0.45">
      <c r="B11" s="26" t="s">
        <v>200</v>
      </c>
      <c r="C11" s="27" t="s">
        <v>159</v>
      </c>
      <c r="D11" s="46">
        <f>(LTNormal_Mean+LTDelay_Mean)*DemMean</f>
        <v>330</v>
      </c>
      <c r="E11" s="29"/>
      <c r="F11" s="29"/>
      <c r="G11" s="29"/>
      <c r="H11" s="29"/>
      <c r="I11" s="27" t="s">
        <v>201</v>
      </c>
    </row>
    <row r="12" spans="1:9" ht="8" customHeight="1" x14ac:dyDescent="0.45"/>
    <row r="13" spans="1:9" ht="22.05" customHeight="1" x14ac:dyDescent="0.5">
      <c r="B13" s="7" t="s">
        <v>202</v>
      </c>
      <c r="C13" s="8"/>
      <c r="D13" s="8"/>
      <c r="E13" s="8"/>
      <c r="F13" s="8"/>
      <c r="G13" s="8"/>
      <c r="H13" s="8"/>
      <c r="I13" s="8"/>
    </row>
    <row r="14" spans="1:9" ht="18" customHeight="1" x14ac:dyDescent="0.45">
      <c r="B14" s="13" t="s">
        <v>203</v>
      </c>
    </row>
    <row r="15" spans="1:9" ht="18" customHeight="1" x14ac:dyDescent="0.45">
      <c r="B15" s="36" t="s">
        <v>191</v>
      </c>
      <c r="C15" s="36" t="s">
        <v>105</v>
      </c>
      <c r="D15" s="37" t="s">
        <v>192</v>
      </c>
      <c r="E15" s="5"/>
      <c r="F15" s="5"/>
      <c r="G15" s="5"/>
      <c r="H15" s="5"/>
      <c r="I15" s="36" t="s">
        <v>193</v>
      </c>
    </row>
    <row r="16" spans="1:9" x14ac:dyDescent="0.45">
      <c r="B16" s="26" t="s">
        <v>204</v>
      </c>
      <c r="C16" s="27" t="s">
        <v>116</v>
      </c>
      <c r="D16" s="46">
        <f ca="1">MAX(1,ROUND(LTNormal+LTDelay,0))</f>
        <v>7</v>
      </c>
      <c r="E16" s="29"/>
      <c r="F16" s="29"/>
      <c r="G16" s="29"/>
      <c r="H16" s="29"/>
      <c r="I16" s="27" t="s">
        <v>205</v>
      </c>
    </row>
    <row r="17" spans="2:9" x14ac:dyDescent="0.45">
      <c r="B17" s="26" t="s">
        <v>206</v>
      </c>
      <c r="C17" s="27"/>
      <c r="D17" s="47">
        <f>(DemMean/DemSD)^2</f>
        <v>7.1111111111111107</v>
      </c>
      <c r="E17" s="29"/>
      <c r="F17" s="29"/>
      <c r="G17" s="29"/>
      <c r="H17" s="29"/>
      <c r="I17" s="27" t="s">
        <v>207</v>
      </c>
    </row>
    <row r="18" spans="2:9" x14ac:dyDescent="0.45">
      <c r="B18" s="26" t="s">
        <v>208</v>
      </c>
      <c r="C18" s="27" t="s">
        <v>159</v>
      </c>
      <c r="D18" s="47">
        <f>DemSD^2/DemMean</f>
        <v>5.625</v>
      </c>
      <c r="E18" s="29"/>
      <c r="F18" s="29"/>
      <c r="G18" s="29"/>
      <c r="H18" s="29"/>
      <c r="I18" s="27" t="s">
        <v>209</v>
      </c>
    </row>
    <row r="19" spans="2:9" x14ac:dyDescent="0.45">
      <c r="B19" s="26" t="s">
        <v>210</v>
      </c>
      <c r="C19" s="27" t="s">
        <v>211</v>
      </c>
      <c r="D19" s="48" t="str" cm="1">
        <f t="array" ref="D19">_xll.VoseGammaObject(GamShape,GamScale)</f>
        <v>VoseGamma(7.11111111111111,5.625)</v>
      </c>
      <c r="E19" s="29"/>
      <c r="F19" s="29"/>
      <c r="G19" s="29"/>
      <c r="H19" s="29"/>
      <c r="I19" s="27" t="s">
        <v>212</v>
      </c>
    </row>
    <row r="20" spans="2:9" x14ac:dyDescent="0.45">
      <c r="B20" s="26" t="s">
        <v>213</v>
      </c>
      <c r="C20" s="27" t="s">
        <v>159</v>
      </c>
      <c r="D20" s="49" cm="1">
        <f t="array" aca="1" ref="D20" ca="1">_xll.VoseAggregateMC(LeadTime,DayDem)</f>
        <v>255.05311754684769</v>
      </c>
      <c r="E20" s="29"/>
      <c r="F20" s="29"/>
      <c r="G20" s="29"/>
      <c r="H20" s="29"/>
      <c r="I20" s="27" t="s">
        <v>214</v>
      </c>
    </row>
    <row r="21" spans="2:9" ht="8" customHeight="1" x14ac:dyDescent="0.45"/>
    <row r="22" spans="2:9" ht="22.05" customHeight="1" x14ac:dyDescent="0.5">
      <c r="B22" s="7" t="s">
        <v>215</v>
      </c>
      <c r="C22" s="8"/>
      <c r="D22" s="8"/>
      <c r="E22" s="8"/>
      <c r="F22" s="8"/>
      <c r="G22" s="8"/>
      <c r="H22" s="8"/>
      <c r="I22" s="8"/>
    </row>
    <row r="23" spans="2:9" ht="18" customHeight="1" x14ac:dyDescent="0.45">
      <c r="B23" s="13" t="s">
        <v>216</v>
      </c>
    </row>
    <row r="24" spans="2:9" ht="18" customHeight="1" x14ac:dyDescent="0.45">
      <c r="B24" s="50" t="s">
        <v>217</v>
      </c>
      <c r="C24" s="51" t="s">
        <v>65</v>
      </c>
      <c r="D24" s="51" t="s">
        <v>218</v>
      </c>
      <c r="E24" s="51" t="s">
        <v>219</v>
      </c>
      <c r="F24" s="51" t="s">
        <v>220</v>
      </c>
      <c r="G24" s="51" t="s">
        <v>221</v>
      </c>
      <c r="H24" s="5"/>
      <c r="I24" s="36"/>
    </row>
    <row r="25" spans="2:9" x14ac:dyDescent="0.45">
      <c r="B25" s="52"/>
      <c r="C25" s="52" t="s">
        <v>159</v>
      </c>
      <c r="D25" s="52" t="s">
        <v>159</v>
      </c>
      <c r="E25" s="52" t="s">
        <v>159</v>
      </c>
      <c r="F25" s="52" t="s">
        <v>197</v>
      </c>
      <c r="G25" s="52" t="s">
        <v>222</v>
      </c>
    </row>
    <row r="26" spans="2:9" x14ac:dyDescent="0.45">
      <c r="B26" s="26" t="s">
        <v>154</v>
      </c>
      <c r="C26" s="46">
        <f>ReorderPt_Start</f>
        <v>750</v>
      </c>
      <c r="D26" s="46">
        <f>OrderQty_Start</f>
        <v>940</v>
      </c>
      <c r="E26" s="53" cm="1">
        <f t="array" aca="1" ref="E26" ca="1">_xll.VoseOutput("Units short, starting plan","units")+MAX(0,DDLT-C26)</f>
        <v>0</v>
      </c>
      <c r="F26" s="53" cm="1">
        <f t="array" aca="1" ref="F26" ca="1">_xll.VoseOutput("Annual cost, starting plan","US$ a year")+HoldCost*(D26/2+MAX(0,C26-DDLT_Mean))+OrderCost*AnnDem/D26+ShortCost*E26*AnnDem/D26</f>
        <v>6779.7872340425529</v>
      </c>
      <c r="G26" s="54" t="b">
        <f>D26&gt;C26</f>
        <v>1</v>
      </c>
      <c r="H26" s="29"/>
      <c r="I26" s="27" t="s">
        <v>223</v>
      </c>
    </row>
    <row r="27" spans="2:9" x14ac:dyDescent="0.45">
      <c r="B27" s="26" t="s">
        <v>153</v>
      </c>
      <c r="C27" s="46">
        <f>ReorderPt</f>
        <v>832</v>
      </c>
      <c r="D27" s="46">
        <f>OrderQty</f>
        <v>997</v>
      </c>
      <c r="E27" s="53" cm="1">
        <f t="array" aca="1" ref="E27" ca="1">_xll.VoseOutput("Units short, plan in use","units")+MAX(0,DDLT-C27)</f>
        <v>0</v>
      </c>
      <c r="F27" s="53" cm="1">
        <f t="array" aca="1" ref="F27" ca="1">_xll.VoseOutput("Annual cost, plan in use","US$ a year")+HoldCost*(D27/2+MAX(0,C27-DDLT_Mean))+OrderCost*AnnDem/D27+ShortCost*E27*AnnDem/D27</f>
        <v>7199.0897693079241</v>
      </c>
      <c r="G27" s="54" t="b">
        <f>D27&gt;C27</f>
        <v>1</v>
      </c>
      <c r="H27" s="29"/>
      <c r="I27" s="27" t="s">
        <v>224</v>
      </c>
    </row>
    <row r="28" spans="2:9" x14ac:dyDescent="0.45">
      <c r="I28" s="55" t="s">
        <v>225</v>
      </c>
    </row>
    <row r="29" spans="2:9" x14ac:dyDescent="0.45">
      <c r="I29" s="55" t="s">
        <v>226</v>
      </c>
    </row>
    <row r="30" spans="2:9" ht="8" customHeight="1" x14ac:dyDescent="0.45"/>
    <row r="31" spans="2:9" ht="22.05" customHeight="1" x14ac:dyDescent="0.5">
      <c r="B31" s="7" t="s">
        <v>227</v>
      </c>
      <c r="C31" s="8"/>
      <c r="D31" s="8"/>
      <c r="E31" s="8"/>
      <c r="F31" s="8"/>
      <c r="G31" s="8"/>
      <c r="H31" s="8"/>
      <c r="I31" s="8"/>
    </row>
    <row r="32" spans="2:9" ht="18" customHeight="1" x14ac:dyDescent="0.45">
      <c r="B32" s="13" t="s">
        <v>228</v>
      </c>
    </row>
    <row r="33" spans="2:9" ht="18" customHeight="1" x14ac:dyDescent="0.45">
      <c r="B33" s="36" t="s">
        <v>229</v>
      </c>
      <c r="C33" s="36" t="s">
        <v>105</v>
      </c>
      <c r="D33" s="37" t="s">
        <v>192</v>
      </c>
      <c r="E33" s="5"/>
      <c r="F33" s="5"/>
      <c r="G33" s="5"/>
      <c r="H33" s="5"/>
      <c r="I33" s="36" t="s">
        <v>230</v>
      </c>
    </row>
    <row r="34" spans="2:9" x14ac:dyDescent="0.45">
      <c r="B34" s="26" t="s">
        <v>213</v>
      </c>
      <c r="C34" s="27" t="s">
        <v>159</v>
      </c>
      <c r="D34" s="53" cm="1">
        <f t="array" aca="1" ref="D34" ca="1">_xll.VoseOutput("Lead-time demand","units")+DDLT</f>
        <v>255.05311754684769</v>
      </c>
      <c r="E34" s="29"/>
      <c r="F34" s="29"/>
      <c r="G34" s="29"/>
      <c r="H34" s="29"/>
      <c r="I34" s="27"/>
    </row>
    <row r="35" spans="2:9" ht="8" customHeight="1" x14ac:dyDescent="0.45"/>
    <row r="36" spans="2:9" ht="22.05" customHeight="1" x14ac:dyDescent="0.5">
      <c r="B36" s="7" t="s">
        <v>231</v>
      </c>
      <c r="C36" s="8"/>
      <c r="D36" s="8"/>
      <c r="E36" s="8"/>
      <c r="F36" s="8"/>
      <c r="G36" s="8"/>
      <c r="H36" s="8"/>
      <c r="I36" s="8"/>
    </row>
    <row r="37" spans="2:9" ht="18" customHeight="1" x14ac:dyDescent="0.45">
      <c r="B37" s="13" t="s">
        <v>232</v>
      </c>
    </row>
    <row r="38" spans="2:9" x14ac:dyDescent="0.45">
      <c r="B38" s="26" t="s">
        <v>233</v>
      </c>
      <c r="C38" s="29"/>
      <c r="D38" s="56" t="str">
        <f>IF(AND(OneOrder_Start,OneOrder_Plan),"OK","CHECK")</f>
        <v>OK</v>
      </c>
      <c r="E38" s="29"/>
      <c r="F38" s="29"/>
      <c r="G38" s="29"/>
      <c r="H38" s="29"/>
      <c r="I38" s="29"/>
    </row>
    <row r="39" spans="2:9" x14ac:dyDescent="0.45">
      <c r="B39" s="26" t="s">
        <v>234</v>
      </c>
      <c r="C39" s="29"/>
      <c r="D39" s="56" t="str">
        <f>IF(AND(ReorderPt&gt;=ReorderPt_Lo,ReorderPt&lt;=ReorderPt_Hi,OrderQty&gt;=OrderQty_Lo,OrderQty&lt;=OrderQty_Hi),"OK","CHECK")</f>
        <v>OK</v>
      </c>
      <c r="E39" s="29"/>
      <c r="F39" s="29"/>
      <c r="G39" s="29"/>
      <c r="H39" s="29"/>
      <c r="I39" s="29"/>
    </row>
    <row r="40" spans="2:9" x14ac:dyDescent="0.45">
      <c r="B40" s="26" t="s">
        <v>235</v>
      </c>
      <c r="C40" s="29"/>
      <c r="D40" s="56" t="str">
        <f>IF(DemSD&gt;0,"OK","CHECK")</f>
        <v>OK</v>
      </c>
      <c r="E40" s="29"/>
      <c r="F40" s="29"/>
      <c r="G40" s="29"/>
      <c r="H40" s="29"/>
      <c r="I40" s="29"/>
    </row>
    <row r="41" spans="2:9" ht="14" customHeight="1" x14ac:dyDescent="0.45"/>
  </sheetData>
  <conditionalFormatting sqref="D38:D40">
    <cfRule type="expression" dxfId="4" priority="1">
      <formula>D38="CHECK"</formula>
    </cfRule>
  </conditionalFormatting>
  <hyperlinks>
    <hyperlink ref="B4" location="'Decisions'!A1" display="◂  Decisions" xr:uid="{00000000-0004-0000-0300-000000000000}"/>
    <hyperlink ref="I4" location="'Results'!A1" display="Next:  Results  ▸" xr:uid="{00000000-0004-0000-03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15803D"/>
    <outlinePr summaryBelow="0"/>
    <pageSetUpPr fitToPage="1"/>
  </sheetPr>
  <dimension ref="A1:R229"/>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2" t="s">
        <v>0</v>
      </c>
      <c r="C2" s="1"/>
      <c r="D2" s="1"/>
      <c r="E2" s="1"/>
      <c r="F2" s="1"/>
      <c r="G2" s="1"/>
      <c r="H2" s="1"/>
      <c r="I2" s="1"/>
      <c r="J2" s="1"/>
      <c r="K2" s="1"/>
      <c r="L2" s="1"/>
      <c r="M2" s="1"/>
      <c r="N2" s="1"/>
      <c r="O2" s="1"/>
      <c r="P2" s="1"/>
      <c r="Q2" s="1"/>
      <c r="R2" s="3" t="s">
        <v>1</v>
      </c>
    </row>
    <row r="3" spans="1:18" ht="20" customHeight="1" x14ac:dyDescent="0.45">
      <c r="A3" s="1"/>
      <c r="B3" s="4" t="s">
        <v>236</v>
      </c>
      <c r="C3" s="1"/>
      <c r="D3" s="1"/>
      <c r="E3" s="1"/>
      <c r="F3" s="1"/>
      <c r="G3" s="1"/>
      <c r="H3" s="1"/>
      <c r="I3" s="1"/>
      <c r="J3" s="1"/>
      <c r="K3" s="1"/>
      <c r="L3" s="1"/>
      <c r="M3" s="1"/>
      <c r="N3" s="1"/>
      <c r="O3" s="1"/>
      <c r="P3" s="1"/>
      <c r="Q3" s="1"/>
      <c r="R3" s="1"/>
    </row>
    <row r="4" spans="1:18" ht="20" customHeight="1" x14ac:dyDescent="0.45">
      <c r="A4" s="5"/>
      <c r="B4" s="23" t="s">
        <v>237</v>
      </c>
      <c r="C4" s="5"/>
      <c r="D4" s="5"/>
      <c r="E4" s="5"/>
      <c r="F4" s="5"/>
      <c r="G4" s="5"/>
      <c r="H4" s="5"/>
      <c r="I4" s="5"/>
      <c r="J4" s="5"/>
      <c r="K4" s="5"/>
      <c r="L4" s="5"/>
      <c r="M4" s="5"/>
      <c r="N4" s="5"/>
      <c r="O4" s="5"/>
      <c r="P4" s="5"/>
      <c r="Q4" s="5"/>
      <c r="R4" s="5"/>
    </row>
    <row r="5" spans="1:18" ht="8" customHeight="1" x14ac:dyDescent="0.45"/>
    <row r="6" spans="1:18" ht="26" customHeight="1" x14ac:dyDescent="0.45">
      <c r="B6" s="57" t="str" cm="1">
        <f t="array" aca="1" ref="B6" ca="1">IF(ISNUMBER(_xll.VoseSimMean(Out_Cost_Plan)),"✔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8"/>
      <c r="D6" s="58"/>
      <c r="E6" s="58"/>
      <c r="F6" s="58"/>
      <c r="G6" s="58"/>
    </row>
    <row r="7" spans="1:18" x14ac:dyDescent="0.45">
      <c r="B7" s="55"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238</v>
      </c>
      <c r="C9" s="8"/>
      <c r="D9" s="8"/>
      <c r="E9" s="8"/>
      <c r="F9" s="8"/>
      <c r="G9" s="8"/>
      <c r="I9" s="59" t="s">
        <v>239</v>
      </c>
      <c r="J9" s="8"/>
      <c r="K9" s="8"/>
      <c r="L9" s="8"/>
      <c r="M9" s="8"/>
      <c r="N9" s="8"/>
      <c r="O9" s="8"/>
      <c r="P9" s="8"/>
      <c r="Q9" s="8"/>
      <c r="R9" s="8"/>
    </row>
    <row r="10" spans="1:18" ht="18" customHeight="1" x14ac:dyDescent="0.45">
      <c r="B10" s="13" t="s">
        <v>240</v>
      </c>
    </row>
    <row r="11" spans="1:18" ht="18" customHeight="1" x14ac:dyDescent="0.45">
      <c r="B11" s="24" t="s">
        <v>54</v>
      </c>
      <c r="C11" s="24" t="s">
        <v>105</v>
      </c>
      <c r="D11" s="25" t="s">
        <v>154</v>
      </c>
      <c r="E11" s="25" t="s">
        <v>153</v>
      </c>
      <c r="F11" s="25" t="s">
        <v>241</v>
      </c>
      <c r="G11" s="5"/>
    </row>
    <row r="12" spans="1:18" x14ac:dyDescent="0.45">
      <c r="B12" s="26" t="s">
        <v>65</v>
      </c>
      <c r="C12" s="27" t="s">
        <v>159</v>
      </c>
      <c r="D12" s="46">
        <f>ReorderPt_Start</f>
        <v>750</v>
      </c>
      <c r="E12" s="60">
        <f>ReorderPt</f>
        <v>832</v>
      </c>
      <c r="F12" s="61">
        <f>E12-D12</f>
        <v>82</v>
      </c>
      <c r="G12" s="29"/>
    </row>
    <row r="13" spans="1:18" x14ac:dyDescent="0.45">
      <c r="B13" s="26" t="s">
        <v>67</v>
      </c>
      <c r="C13" s="27" t="s">
        <v>159</v>
      </c>
      <c r="D13" s="46">
        <f>OrderQty_Start</f>
        <v>940</v>
      </c>
      <c r="E13" s="60">
        <f>OrderQty</f>
        <v>997</v>
      </c>
      <c r="F13" s="61">
        <f>E13-D13</f>
        <v>57</v>
      </c>
      <c r="G13" s="29"/>
    </row>
    <row r="14" spans="1:18" ht="6" customHeight="1" x14ac:dyDescent="0.45"/>
    <row r="15" spans="1:18" ht="28.05" customHeight="1" x14ac:dyDescent="0.45">
      <c r="B15" s="24" t="s">
        <v>242</v>
      </c>
      <c r="C15" s="24" t="s">
        <v>105</v>
      </c>
      <c r="D15" s="25" t="s">
        <v>154</v>
      </c>
      <c r="E15" s="25" t="s">
        <v>153</v>
      </c>
      <c r="F15" s="25" t="s">
        <v>241</v>
      </c>
      <c r="G15" s="25"/>
    </row>
    <row r="16" spans="1:18" x14ac:dyDescent="0.45">
      <c r="B16" s="26" t="s">
        <v>243</v>
      </c>
      <c r="C16" s="27" t="s">
        <v>197</v>
      </c>
      <c r="D16" s="62" cm="1">
        <f t="array" aca="1" ref="D16" ca="1">_xll.VoseSimMean(Out_Cost_Start)</f>
        <v>7263.021960782532</v>
      </c>
      <c r="E16" s="62" cm="1">
        <f t="array" aca="1" ref="E16" ca="1">_xll.VoseSimMean(Out_Cost_Plan)</f>
        <v>7374.1029778136772</v>
      </c>
      <c r="F16" s="61">
        <f t="shared" ref="F16:F21" ca="1" si="0">IFERROR(E16-D16,"–")</f>
        <v>111.08101703114517</v>
      </c>
      <c r="G16" s="63" t="str">
        <f ca="1">IF(ISNUMBER(F16),IF(F16&lt;0,"✔ better",IF(F16=0,"same","")),"")</f>
        <v/>
      </c>
    </row>
    <row r="17" spans="2:18" x14ac:dyDescent="0.45">
      <c r="B17" s="26" t="s">
        <v>244</v>
      </c>
      <c r="C17" s="27" t="s">
        <v>159</v>
      </c>
      <c r="D17" s="62">
        <f>OrderQty_Start/2+MAX(0,ReorderPt_Start-DDLT_Mean)</f>
        <v>890</v>
      </c>
      <c r="E17" s="62">
        <f>OrderQty/2+MAX(0,ReorderPt-DDLT_Mean)</f>
        <v>1000.5</v>
      </c>
      <c r="F17" s="61">
        <f t="shared" si="0"/>
        <v>110.5</v>
      </c>
      <c r="G17" s="29"/>
    </row>
    <row r="18" spans="2:18" x14ac:dyDescent="0.45">
      <c r="B18" s="26" t="s">
        <v>245</v>
      </c>
      <c r="C18" s="27" t="s">
        <v>246</v>
      </c>
      <c r="D18" s="64">
        <f>AnnDem/OrderQty_Start</f>
        <v>15.531914893617021</v>
      </c>
      <c r="E18" s="64">
        <f>AnnDem/OrderQty</f>
        <v>14.643931795386159</v>
      </c>
      <c r="F18" s="65">
        <f t="shared" si="0"/>
        <v>-0.88798309823086186</v>
      </c>
      <c r="G18" s="29"/>
    </row>
    <row r="19" spans="2:18" x14ac:dyDescent="0.45">
      <c r="B19" s="26" t="s">
        <v>69</v>
      </c>
      <c r="C19" s="27" t="s">
        <v>145</v>
      </c>
      <c r="D19" s="66" cm="1">
        <f t="array" aca="1" ref="D19" ca="1">_xll.VoseSimProbability(Out_Short_Start,0.5)</f>
        <v>0.9586041395860414</v>
      </c>
      <c r="E19" s="66" cm="1">
        <f t="array" aca="1" ref="E19" ca="1">_xll.VoseSimProbability(Out_Short_Plan,0.5)</f>
        <v>0.98090190980901915</v>
      </c>
      <c r="F19" s="67">
        <f t="shared" ca="1" si="0"/>
        <v>2.2297770222977742E-2</v>
      </c>
      <c r="G19" s="63" t="str">
        <f ca="1">IF(ISNUMBER(F19),IF(F19&gt;0,"✔ better",IF(F19=0,"same","")),"")</f>
        <v>✔ better</v>
      </c>
    </row>
    <row r="20" spans="2:18" x14ac:dyDescent="0.45">
      <c r="B20" s="26" t="s">
        <v>71</v>
      </c>
      <c r="C20" s="27" t="s">
        <v>247</v>
      </c>
      <c r="D20" s="68" cm="1">
        <f t="array" aca="1" ref="D20" ca="1">IFERROR(1-_xll.VoseSimMean(Out_Short_Start)/OrderQty_Start,"–")</f>
        <v>0.99586271638065749</v>
      </c>
      <c r="E20" s="68" cm="1">
        <f t="array" aca="1" ref="E20" ca="1">IFERROR(1-_xll.VoseSimMean(Out_Short_Plan)/OrderQty,"–")</f>
        <v>0.99850159924225346</v>
      </c>
      <c r="F20" s="67">
        <f t="shared" ca="1" si="0"/>
        <v>2.6388828615959703E-3</v>
      </c>
      <c r="G20" s="63" t="str">
        <f ca="1">IF(ISNUMBER(F20),IF(F20&gt;0,"✔ better",IF(F20=0,"same","")),"")</f>
        <v>✔ better</v>
      </c>
    </row>
    <row r="21" spans="2:18" x14ac:dyDescent="0.45">
      <c r="B21" s="26" t="s">
        <v>248</v>
      </c>
      <c r="C21" s="27" t="s">
        <v>159</v>
      </c>
      <c r="D21" s="62" cm="1">
        <f t="array" aca="1" ref="D21" ca="1">IFERROR(_xll.VoseSimMean(Out_Short_Start)*AnnDem/OrderQty_Start,"–")</f>
        <v>60.404340842400927</v>
      </c>
      <c r="E21" s="62" cm="1">
        <f t="array" aca="1" ref="E21" ca="1">IFERROR(_xll.VoseSimMean(Out_Short_Plan)*AnnDem/OrderQty,"–")</f>
        <v>21.876651063099551</v>
      </c>
      <c r="F21" s="61">
        <f t="shared" ca="1" si="0"/>
        <v>-38.527689779301376</v>
      </c>
      <c r="G21" s="63" t="str">
        <f ca="1">IF(ISNUMBER(F21),IF(F21&lt;0,"✔ better",IF(F21=0,"same","")),"")</f>
        <v>✔ better</v>
      </c>
    </row>
    <row r="22" spans="2:18" x14ac:dyDescent="0.45">
      <c r="B22" s="26" t="s">
        <v>144</v>
      </c>
      <c r="C22" s="27" t="s">
        <v>145</v>
      </c>
      <c r="D22" s="40">
        <f>SvcTarget</f>
        <v>0.97499999999999998</v>
      </c>
      <c r="E22" s="40">
        <f>SvcTarget</f>
        <v>0.97499999999999998</v>
      </c>
      <c r="F22" s="29"/>
      <c r="G22" s="29"/>
    </row>
    <row r="23" spans="2:18" x14ac:dyDescent="0.45">
      <c r="B23" s="69" t="s">
        <v>249</v>
      </c>
    </row>
    <row r="24" spans="2:18" ht="8" customHeight="1" x14ac:dyDescent="0.45"/>
    <row r="25" spans="2:18" ht="22.05" customHeight="1" x14ac:dyDescent="0.5">
      <c r="B25" s="7" t="s">
        <v>250</v>
      </c>
      <c r="C25" s="8"/>
      <c r="D25" s="8"/>
      <c r="E25" s="8"/>
      <c r="F25" s="8"/>
      <c r="G25" s="8"/>
      <c r="I25" s="59" t="s">
        <v>251</v>
      </c>
      <c r="J25" s="8"/>
      <c r="K25" s="8"/>
      <c r="L25" s="8"/>
      <c r="M25" s="8"/>
      <c r="N25" s="8"/>
      <c r="O25" s="8"/>
      <c r="P25" s="8"/>
      <c r="Q25" s="8"/>
      <c r="R25" s="8"/>
    </row>
    <row r="26" spans="2:18" ht="18" customHeight="1" x14ac:dyDescent="0.45">
      <c r="B26" s="13" t="s">
        <v>252</v>
      </c>
    </row>
    <row r="27" spans="2:18" ht="18" customHeight="1" x14ac:dyDescent="0.45">
      <c r="B27" s="24" t="s">
        <v>242</v>
      </c>
      <c r="C27" s="24" t="s">
        <v>105</v>
      </c>
      <c r="D27" s="25" t="s">
        <v>253</v>
      </c>
      <c r="E27" s="25" t="s">
        <v>254</v>
      </c>
      <c r="F27" s="25" t="s">
        <v>255</v>
      </c>
      <c r="G27" s="25" t="s">
        <v>122</v>
      </c>
    </row>
    <row r="28" spans="2:18" x14ac:dyDescent="0.45">
      <c r="B28" s="26" t="s">
        <v>256</v>
      </c>
      <c r="C28" s="27" t="s">
        <v>159</v>
      </c>
      <c r="D28" s="62" cm="1">
        <f t="array" aca="1" ref="D28" ca="1">_xll.VoseSimPercentile(Out_DDLT,0.05)</f>
        <v>202.31379703711133</v>
      </c>
      <c r="E28" s="62" cm="1">
        <f t="array" aca="1" ref="E28" ca="1">_xll.VoseSimPercentile(Out_DDLT,0.5)</f>
        <v>290.89660009566683</v>
      </c>
      <c r="F28" s="62" cm="1">
        <f t="array" aca="1" ref="F28" ca="1">_xll.VoseSimPercentile(Out_DDLT,0.95)</f>
        <v>720.15290761385711</v>
      </c>
      <c r="G28" s="62" cm="1">
        <f t="array" aca="1" ref="G28" ca="1">_xll.VoseSimMean(Out_DDLT)</f>
        <v>328.94676989734381</v>
      </c>
    </row>
    <row r="29" spans="2:18" ht="8" customHeight="1" x14ac:dyDescent="0.45"/>
    <row r="40" spans="2:7" ht="22.05" customHeight="1" x14ac:dyDescent="0.5">
      <c r="B40" s="7" t="s">
        <v>257</v>
      </c>
      <c r="C40" s="8"/>
      <c r="D40" s="8"/>
      <c r="E40" s="8"/>
      <c r="F40" s="8"/>
      <c r="G40" s="8"/>
    </row>
    <row r="41" spans="2:7" ht="32" customHeight="1" x14ac:dyDescent="0.45">
      <c r="B41" s="78" t="s">
        <v>258</v>
      </c>
      <c r="C41" s="77"/>
      <c r="D41" s="77"/>
      <c r="E41" s="77"/>
      <c r="F41" s="77"/>
      <c r="G41" s="77"/>
    </row>
    <row r="42" spans="2:7" ht="32" customHeight="1" x14ac:dyDescent="0.45">
      <c r="B42" s="78" t="s">
        <v>259</v>
      </c>
      <c r="C42" s="77"/>
      <c r="D42" s="77"/>
      <c r="E42" s="77"/>
      <c r="F42" s="77"/>
      <c r="G42" s="77"/>
    </row>
    <row r="43" spans="2:7" ht="19.05" customHeight="1" x14ac:dyDescent="0.45">
      <c r="B43" s="78" t="s">
        <v>260</v>
      </c>
      <c r="C43" s="77"/>
      <c r="D43" s="77"/>
      <c r="E43" s="77"/>
      <c r="F43" s="77"/>
      <c r="G43" s="77"/>
    </row>
    <row r="44" spans="2:7" ht="32" customHeight="1" x14ac:dyDescent="0.45">
      <c r="B44" s="78" t="s">
        <v>261</v>
      </c>
      <c r="C44" s="77"/>
      <c r="D44" s="77"/>
      <c r="E44" s="77"/>
      <c r="F44" s="77"/>
      <c r="G44" s="77"/>
    </row>
    <row r="45" spans="2:7" ht="14" customHeight="1" x14ac:dyDescent="0.45"/>
    <row r="46" spans="2:7" ht="14" customHeight="1" x14ac:dyDescent="0.45"/>
    <row r="47" spans="2:7" ht="22.05" customHeight="1" x14ac:dyDescent="0.5">
      <c r="B47" s="7" t="s">
        <v>262</v>
      </c>
      <c r="C47" s="8"/>
      <c r="D47" s="8"/>
      <c r="E47" s="8"/>
      <c r="F47" s="8"/>
      <c r="G47" s="8"/>
    </row>
    <row r="48" spans="2:7" ht="18" customHeight="1" x14ac:dyDescent="0.45">
      <c r="B48" s="13" t="s">
        <v>263</v>
      </c>
    </row>
    <row r="49" spans="2:7" ht="28.05" hidden="1" customHeight="1" outlineLevel="1" x14ac:dyDescent="0.45">
      <c r="B49" s="25" t="s">
        <v>264</v>
      </c>
      <c r="C49" s="25" t="s">
        <v>265</v>
      </c>
      <c r="D49" s="25" t="s">
        <v>266</v>
      </c>
      <c r="E49" s="25" t="s">
        <v>267</v>
      </c>
      <c r="F49" s="25" t="s">
        <v>268</v>
      </c>
      <c r="G49" s="5"/>
    </row>
    <row r="50" spans="2:7" hidden="1" outlineLevel="1" x14ac:dyDescent="0.45">
      <c r="B50" s="70">
        <v>0.01</v>
      </c>
      <c r="C50" s="70">
        <f t="shared" ref="C50:C81" si="1">1-B50</f>
        <v>0.99</v>
      </c>
      <c r="D50" s="71" cm="1">
        <f t="array" aca="1" ref="D50" ca="1">IF(ISNUMBER(_xll.VoseSimPercentile(Out_DDLT,$B50)),_xll.VoseSimPercentile(Out_DDLT,$B50),NA())</f>
        <v>175.37014160287714</v>
      </c>
      <c r="E50" s="71">
        <f t="shared" ref="E50:E81" si="2">ReorderPt_Start</f>
        <v>750</v>
      </c>
      <c r="F50" s="71">
        <f t="shared" ref="F50:F81" si="3">ReorderPt</f>
        <v>832</v>
      </c>
    </row>
    <row r="51" spans="2:7" hidden="1" outlineLevel="1" x14ac:dyDescent="0.45">
      <c r="B51" s="70">
        <v>0.03</v>
      </c>
      <c r="C51" s="70">
        <f t="shared" si="1"/>
        <v>0.97</v>
      </c>
      <c r="D51" s="71" cm="1">
        <f t="array" aca="1" ref="D51" ca="1">IF(ISNUMBER(_xll.VoseSimPercentile(Out_DDLT,$B51)),_xll.VoseSimPercentile(Out_DDLT,$B51),NA())</f>
        <v>192.99305483118496</v>
      </c>
      <c r="E51" s="71">
        <f t="shared" si="2"/>
        <v>750</v>
      </c>
      <c r="F51" s="71">
        <f t="shared" si="3"/>
        <v>832</v>
      </c>
    </row>
    <row r="52" spans="2:7" hidden="1" outlineLevel="1" x14ac:dyDescent="0.45">
      <c r="B52" s="70">
        <v>0.05</v>
      </c>
      <c r="C52" s="70">
        <f t="shared" si="1"/>
        <v>0.95</v>
      </c>
      <c r="D52" s="71" cm="1">
        <f t="array" aca="1" ref="D52" ca="1">IF(ISNUMBER(_xll.VoseSimPercentile(Out_DDLT,$B52)),_xll.VoseSimPercentile(Out_DDLT,$B52),NA())</f>
        <v>202.31379703711133</v>
      </c>
      <c r="E52" s="71">
        <f t="shared" si="2"/>
        <v>750</v>
      </c>
      <c r="F52" s="71">
        <f t="shared" si="3"/>
        <v>832</v>
      </c>
    </row>
    <row r="53" spans="2:7" hidden="1" outlineLevel="1" x14ac:dyDescent="0.45">
      <c r="B53" s="70">
        <v>7.0000000000000007E-2</v>
      </c>
      <c r="C53" s="70">
        <f t="shared" si="1"/>
        <v>0.92999999999999994</v>
      </c>
      <c r="D53" s="71" cm="1">
        <f t="array" aca="1" ref="D53" ca="1">IF(ISNUMBER(_xll.VoseSimPercentile(Out_DDLT,$B53)),_xll.VoseSimPercentile(Out_DDLT,$B53),NA())</f>
        <v>210.3325486830926</v>
      </c>
      <c r="E53" s="71">
        <f t="shared" si="2"/>
        <v>750</v>
      </c>
      <c r="F53" s="71">
        <f t="shared" si="3"/>
        <v>832</v>
      </c>
    </row>
    <row r="54" spans="2:7" hidden="1" outlineLevel="1" x14ac:dyDescent="0.45">
      <c r="B54" s="70">
        <v>0.09</v>
      </c>
      <c r="C54" s="70">
        <f t="shared" si="1"/>
        <v>0.91</v>
      </c>
      <c r="D54" s="71" cm="1">
        <f t="array" aca="1" ref="D54" ca="1">IF(ISNUMBER(_xll.VoseSimPercentile(Out_DDLT,$B54)),_xll.VoseSimPercentile(Out_DDLT,$B54),NA())</f>
        <v>216.29818187959154</v>
      </c>
      <c r="E54" s="71">
        <f t="shared" si="2"/>
        <v>750</v>
      </c>
      <c r="F54" s="71">
        <f t="shared" si="3"/>
        <v>832</v>
      </c>
    </row>
    <row r="55" spans="2:7" hidden="1" outlineLevel="1" x14ac:dyDescent="0.45">
      <c r="B55" s="70">
        <v>0.11</v>
      </c>
      <c r="C55" s="70">
        <f t="shared" si="1"/>
        <v>0.89</v>
      </c>
      <c r="D55" s="71" cm="1">
        <f t="array" aca="1" ref="D55" ca="1">IF(ISNUMBER(_xll.VoseSimPercentile(Out_DDLT,$B55)),_xll.VoseSimPercentile(Out_DDLT,$B55),NA())</f>
        <v>221.24108168509517</v>
      </c>
      <c r="E55" s="71">
        <f t="shared" si="2"/>
        <v>750</v>
      </c>
      <c r="F55" s="71">
        <f t="shared" si="3"/>
        <v>832</v>
      </c>
    </row>
    <row r="56" spans="2:7" hidden="1" outlineLevel="1" x14ac:dyDescent="0.45">
      <c r="B56" s="70">
        <v>0.13</v>
      </c>
      <c r="C56" s="70">
        <f t="shared" si="1"/>
        <v>0.87</v>
      </c>
      <c r="D56" s="71" cm="1">
        <f t="array" aca="1" ref="D56" ca="1">IF(ISNUMBER(_xll.VoseSimPercentile(Out_DDLT,$B56)),_xll.VoseSimPercentile(Out_DDLT,$B56),NA())</f>
        <v>226.37519858719557</v>
      </c>
      <c r="E56" s="71">
        <f t="shared" si="2"/>
        <v>750</v>
      </c>
      <c r="F56" s="71">
        <f t="shared" si="3"/>
        <v>832</v>
      </c>
    </row>
    <row r="57" spans="2:7" hidden="1" outlineLevel="1" x14ac:dyDescent="0.45">
      <c r="B57" s="70">
        <v>0.15</v>
      </c>
      <c r="C57" s="70">
        <f t="shared" si="1"/>
        <v>0.85</v>
      </c>
      <c r="D57" s="71" cm="1">
        <f t="array" aca="1" ref="D57" ca="1">IF(ISNUMBER(_xll.VoseSimPercentile(Out_DDLT,$B57)),_xll.VoseSimPercentile(Out_DDLT,$B57),NA())</f>
        <v>231.17581330596693</v>
      </c>
      <c r="E57" s="71">
        <f t="shared" si="2"/>
        <v>750</v>
      </c>
      <c r="F57" s="71">
        <f t="shared" si="3"/>
        <v>832</v>
      </c>
    </row>
    <row r="58" spans="2:7" hidden="1" outlineLevel="1" x14ac:dyDescent="0.45">
      <c r="B58" s="70">
        <v>0.17</v>
      </c>
      <c r="C58" s="70">
        <f t="shared" si="1"/>
        <v>0.83</v>
      </c>
      <c r="D58" s="71" cm="1">
        <f t="array" aca="1" ref="D58" ca="1">IF(ISNUMBER(_xll.VoseSimPercentile(Out_DDLT,$B58)),_xll.VoseSimPercentile(Out_DDLT,$B58),NA())</f>
        <v>235.39560547540592</v>
      </c>
      <c r="E58" s="71">
        <f t="shared" si="2"/>
        <v>750</v>
      </c>
      <c r="F58" s="71">
        <f t="shared" si="3"/>
        <v>832</v>
      </c>
    </row>
    <row r="59" spans="2:7" hidden="1" outlineLevel="1" x14ac:dyDescent="0.45">
      <c r="B59" s="70">
        <v>0.19</v>
      </c>
      <c r="C59" s="70">
        <f t="shared" si="1"/>
        <v>0.81</v>
      </c>
      <c r="D59" s="71" cm="1">
        <f t="array" aca="1" ref="D59" ca="1">IF(ISNUMBER(_xll.VoseSimPercentile(Out_DDLT,$B59)),_xll.VoseSimPercentile(Out_DDLT,$B59),NA())</f>
        <v>238.87258454285526</v>
      </c>
      <c r="E59" s="71">
        <f t="shared" si="2"/>
        <v>750</v>
      </c>
      <c r="F59" s="71">
        <f t="shared" si="3"/>
        <v>832</v>
      </c>
    </row>
    <row r="60" spans="2:7" hidden="1" outlineLevel="1" x14ac:dyDescent="0.45">
      <c r="B60" s="70">
        <v>0.21</v>
      </c>
      <c r="C60" s="70">
        <f t="shared" si="1"/>
        <v>0.79</v>
      </c>
      <c r="D60" s="71" cm="1">
        <f t="array" aca="1" ref="D60" ca="1">IF(ISNUMBER(_xll.VoseSimPercentile(Out_DDLT,$B60)),_xll.VoseSimPercentile(Out_DDLT,$B60),NA())</f>
        <v>243.06710528295181</v>
      </c>
      <c r="E60" s="71">
        <f t="shared" si="2"/>
        <v>750</v>
      </c>
      <c r="F60" s="71">
        <f t="shared" si="3"/>
        <v>832</v>
      </c>
    </row>
    <row r="61" spans="2:7" hidden="1" outlineLevel="1" x14ac:dyDescent="0.45">
      <c r="B61" s="70">
        <v>0.23</v>
      </c>
      <c r="C61" s="70">
        <f t="shared" si="1"/>
        <v>0.77</v>
      </c>
      <c r="D61" s="71" cm="1">
        <f t="array" aca="1" ref="D61" ca="1">IF(ISNUMBER(_xll.VoseSimPercentile(Out_DDLT,$B61)),_xll.VoseSimPercentile(Out_DDLT,$B61),NA())</f>
        <v>247.09866764263205</v>
      </c>
      <c r="E61" s="71">
        <f t="shared" si="2"/>
        <v>750</v>
      </c>
      <c r="F61" s="71">
        <f t="shared" si="3"/>
        <v>832</v>
      </c>
    </row>
    <row r="62" spans="2:7" hidden="1" outlineLevel="1" x14ac:dyDescent="0.45">
      <c r="B62" s="70">
        <v>0.25</v>
      </c>
      <c r="C62" s="70">
        <f t="shared" si="1"/>
        <v>0.75</v>
      </c>
      <c r="D62" s="71" cm="1">
        <f t="array" aca="1" ref="D62" ca="1">IF(ISNUMBER(_xll.VoseSimPercentile(Out_DDLT,$B62)),_xll.VoseSimPercentile(Out_DDLT,$B62),NA())</f>
        <v>250.27297720871263</v>
      </c>
      <c r="E62" s="71">
        <f t="shared" si="2"/>
        <v>750</v>
      </c>
      <c r="F62" s="71">
        <f t="shared" si="3"/>
        <v>832</v>
      </c>
    </row>
    <row r="63" spans="2:7" hidden="1" outlineLevel="1" x14ac:dyDescent="0.45">
      <c r="B63" s="70">
        <v>0.27</v>
      </c>
      <c r="C63" s="70">
        <f t="shared" si="1"/>
        <v>0.73</v>
      </c>
      <c r="D63" s="71" cm="1">
        <f t="array" aca="1" ref="D63" ca="1">IF(ISNUMBER(_xll.VoseSimPercentile(Out_DDLT,$B63)),_xll.VoseSimPercentile(Out_DDLT,$B63),NA())</f>
        <v>253.82665848995521</v>
      </c>
      <c r="E63" s="71">
        <f t="shared" si="2"/>
        <v>750</v>
      </c>
      <c r="F63" s="71">
        <f t="shared" si="3"/>
        <v>832</v>
      </c>
    </row>
    <row r="64" spans="2:7" hidden="1" outlineLevel="1" x14ac:dyDescent="0.45">
      <c r="B64" s="70">
        <v>0.28999999999999998</v>
      </c>
      <c r="C64" s="70">
        <f t="shared" si="1"/>
        <v>0.71</v>
      </c>
      <c r="D64" s="71" cm="1">
        <f t="array" aca="1" ref="D64" ca="1">IF(ISNUMBER(_xll.VoseSimPercentile(Out_DDLT,$B64)),_xll.VoseSimPercentile(Out_DDLT,$B64),NA())</f>
        <v>257.1140728125319</v>
      </c>
      <c r="E64" s="71">
        <f t="shared" si="2"/>
        <v>750</v>
      </c>
      <c r="F64" s="71">
        <f t="shared" si="3"/>
        <v>832</v>
      </c>
    </row>
    <row r="65" spans="2:6" hidden="1" outlineLevel="1" x14ac:dyDescent="0.45">
      <c r="B65" s="70">
        <v>0.31</v>
      </c>
      <c r="C65" s="70">
        <f t="shared" si="1"/>
        <v>0.69</v>
      </c>
      <c r="D65" s="71" cm="1">
        <f t="array" aca="1" ref="D65" ca="1">IF(ISNUMBER(_xll.VoseSimPercentile(Out_DDLT,$B65)),_xll.VoseSimPercentile(Out_DDLT,$B65),NA())</f>
        <v>260.83194090665086</v>
      </c>
      <c r="E65" s="71">
        <f t="shared" si="2"/>
        <v>750</v>
      </c>
      <c r="F65" s="71">
        <f t="shared" si="3"/>
        <v>832</v>
      </c>
    </row>
    <row r="66" spans="2:6" hidden="1" outlineLevel="1" x14ac:dyDescent="0.45">
      <c r="B66" s="70">
        <v>0.33</v>
      </c>
      <c r="C66" s="70">
        <f t="shared" si="1"/>
        <v>0.66999999999999993</v>
      </c>
      <c r="D66" s="71" cm="1">
        <f t="array" aca="1" ref="D66" ca="1">IF(ISNUMBER(_xll.VoseSimPercentile(Out_DDLT,$B66)),_xll.VoseSimPercentile(Out_DDLT,$B66),NA())</f>
        <v>263.97180642606378</v>
      </c>
      <c r="E66" s="71">
        <f t="shared" si="2"/>
        <v>750</v>
      </c>
      <c r="F66" s="71">
        <f t="shared" si="3"/>
        <v>832</v>
      </c>
    </row>
    <row r="67" spans="2:6" hidden="1" outlineLevel="1" x14ac:dyDescent="0.45">
      <c r="B67" s="70">
        <v>0.35</v>
      </c>
      <c r="C67" s="70">
        <f t="shared" si="1"/>
        <v>0.65</v>
      </c>
      <c r="D67" s="71" cm="1">
        <f t="array" aca="1" ref="D67" ca="1">IF(ISNUMBER(_xll.VoseSimPercentile(Out_DDLT,$B67)),_xll.VoseSimPercentile(Out_DDLT,$B67),NA())</f>
        <v>267.22438870928056</v>
      </c>
      <c r="E67" s="71">
        <f t="shared" si="2"/>
        <v>750</v>
      </c>
      <c r="F67" s="71">
        <f t="shared" si="3"/>
        <v>832</v>
      </c>
    </row>
    <row r="68" spans="2:6" hidden="1" outlineLevel="1" x14ac:dyDescent="0.45">
      <c r="B68" s="70">
        <v>0.37</v>
      </c>
      <c r="C68" s="70">
        <f t="shared" si="1"/>
        <v>0.63</v>
      </c>
      <c r="D68" s="71" cm="1">
        <f t="array" aca="1" ref="D68" ca="1">IF(ISNUMBER(_xll.VoseSimPercentile(Out_DDLT,$B68)),_xll.VoseSimPercentile(Out_DDLT,$B68),NA())</f>
        <v>271.02669932630283</v>
      </c>
      <c r="E68" s="71">
        <f t="shared" si="2"/>
        <v>750</v>
      </c>
      <c r="F68" s="71">
        <f t="shared" si="3"/>
        <v>832</v>
      </c>
    </row>
    <row r="69" spans="2:6" hidden="1" outlineLevel="1" x14ac:dyDescent="0.45">
      <c r="B69" s="70">
        <v>0.39</v>
      </c>
      <c r="C69" s="70">
        <f t="shared" si="1"/>
        <v>0.61</v>
      </c>
      <c r="D69" s="71" cm="1">
        <f t="array" aca="1" ref="D69" ca="1">IF(ISNUMBER(_xll.VoseSimPercentile(Out_DDLT,$B69)),_xll.VoseSimPercentile(Out_DDLT,$B69),NA())</f>
        <v>274.09480162077239</v>
      </c>
      <c r="E69" s="71">
        <f t="shared" si="2"/>
        <v>750</v>
      </c>
      <c r="F69" s="71">
        <f t="shared" si="3"/>
        <v>832</v>
      </c>
    </row>
    <row r="70" spans="2:6" hidden="1" outlineLevel="1" x14ac:dyDescent="0.45">
      <c r="B70" s="70">
        <v>0.41</v>
      </c>
      <c r="C70" s="70">
        <f t="shared" si="1"/>
        <v>0.59000000000000008</v>
      </c>
      <c r="D70" s="71" cm="1">
        <f t="array" aca="1" ref="D70" ca="1">IF(ISNUMBER(_xll.VoseSimPercentile(Out_DDLT,$B70)),_xll.VoseSimPercentile(Out_DDLT,$B70),NA())</f>
        <v>277.18253604108992</v>
      </c>
      <c r="E70" s="71">
        <f t="shared" si="2"/>
        <v>750</v>
      </c>
      <c r="F70" s="71">
        <f t="shared" si="3"/>
        <v>832</v>
      </c>
    </row>
    <row r="71" spans="2:6" hidden="1" outlineLevel="1" x14ac:dyDescent="0.45">
      <c r="B71" s="70">
        <v>0.43</v>
      </c>
      <c r="C71" s="70">
        <f t="shared" si="1"/>
        <v>0.57000000000000006</v>
      </c>
      <c r="D71" s="71" cm="1">
        <f t="array" aca="1" ref="D71" ca="1">IF(ISNUMBER(_xll.VoseSimPercentile(Out_DDLT,$B71)),_xll.VoseSimPercentile(Out_DDLT,$B71),NA())</f>
        <v>279.926326361755</v>
      </c>
      <c r="E71" s="71">
        <f t="shared" si="2"/>
        <v>750</v>
      </c>
      <c r="F71" s="71">
        <f t="shared" si="3"/>
        <v>832</v>
      </c>
    </row>
    <row r="72" spans="2:6" hidden="1" outlineLevel="1" x14ac:dyDescent="0.45">
      <c r="B72" s="70">
        <v>0.45</v>
      </c>
      <c r="C72" s="70">
        <f t="shared" si="1"/>
        <v>0.55000000000000004</v>
      </c>
      <c r="D72" s="71" cm="1">
        <f t="array" aca="1" ref="D72" ca="1">IF(ISNUMBER(_xll.VoseSimPercentile(Out_DDLT,$B72)),_xll.VoseSimPercentile(Out_DDLT,$B72),NA())</f>
        <v>282.98243376189657</v>
      </c>
      <c r="E72" s="71">
        <f t="shared" si="2"/>
        <v>750</v>
      </c>
      <c r="F72" s="71">
        <f t="shared" si="3"/>
        <v>832</v>
      </c>
    </row>
    <row r="73" spans="2:6" hidden="1" outlineLevel="1" x14ac:dyDescent="0.45">
      <c r="B73" s="70">
        <v>0.47</v>
      </c>
      <c r="C73" s="70">
        <f t="shared" si="1"/>
        <v>0.53</v>
      </c>
      <c r="D73" s="71" cm="1">
        <f t="array" aca="1" ref="D73" ca="1">IF(ISNUMBER(_xll.VoseSimPercentile(Out_DDLT,$B73)),_xll.VoseSimPercentile(Out_DDLT,$B73),NA())</f>
        <v>285.96606859353886</v>
      </c>
      <c r="E73" s="71">
        <f t="shared" si="2"/>
        <v>750</v>
      </c>
      <c r="F73" s="71">
        <f t="shared" si="3"/>
        <v>832</v>
      </c>
    </row>
    <row r="74" spans="2:6" hidden="1" outlineLevel="1" x14ac:dyDescent="0.45">
      <c r="B74" s="70">
        <v>0.49</v>
      </c>
      <c r="C74" s="70">
        <f t="shared" si="1"/>
        <v>0.51</v>
      </c>
      <c r="D74" s="71" cm="1">
        <f t="array" aca="1" ref="D74" ca="1">IF(ISNUMBER(_xll.VoseSimPercentile(Out_DDLT,$B74)),_xll.VoseSimPercentile(Out_DDLT,$B74),NA())</f>
        <v>289.05626774460876</v>
      </c>
      <c r="E74" s="71">
        <f t="shared" si="2"/>
        <v>750</v>
      </c>
      <c r="F74" s="71">
        <f t="shared" si="3"/>
        <v>832</v>
      </c>
    </row>
    <row r="75" spans="2:6" hidden="1" outlineLevel="1" x14ac:dyDescent="0.45">
      <c r="B75" s="70">
        <v>0.51</v>
      </c>
      <c r="C75" s="70">
        <f t="shared" si="1"/>
        <v>0.49</v>
      </c>
      <c r="D75" s="71" cm="1">
        <f t="array" aca="1" ref="D75" ca="1">IF(ISNUMBER(_xll.VoseSimPercentile(Out_DDLT,$B75)),_xll.VoseSimPercentile(Out_DDLT,$B75),NA())</f>
        <v>292.36434871116853</v>
      </c>
      <c r="E75" s="71">
        <f t="shared" si="2"/>
        <v>750</v>
      </c>
      <c r="F75" s="71">
        <f t="shared" si="3"/>
        <v>832</v>
      </c>
    </row>
    <row r="76" spans="2:6" hidden="1" outlineLevel="1" x14ac:dyDescent="0.45">
      <c r="B76" s="70">
        <v>0.53</v>
      </c>
      <c r="C76" s="70">
        <f t="shared" si="1"/>
        <v>0.47</v>
      </c>
      <c r="D76" s="71" cm="1">
        <f t="array" aca="1" ref="D76" ca="1">IF(ISNUMBER(_xll.VoseSimPercentile(Out_DDLT,$B76)),_xll.VoseSimPercentile(Out_DDLT,$B76),NA())</f>
        <v>295.80513587593725</v>
      </c>
      <c r="E76" s="71">
        <f t="shared" si="2"/>
        <v>750</v>
      </c>
      <c r="F76" s="71">
        <f t="shared" si="3"/>
        <v>832</v>
      </c>
    </row>
    <row r="77" spans="2:6" hidden="1" outlineLevel="1" x14ac:dyDescent="0.45">
      <c r="B77" s="70">
        <v>0.55000000000000004</v>
      </c>
      <c r="C77" s="70">
        <f t="shared" si="1"/>
        <v>0.44999999999999996</v>
      </c>
      <c r="D77" s="71" cm="1">
        <f t="array" aca="1" ref="D77" ca="1">IF(ISNUMBER(_xll.VoseSimPercentile(Out_DDLT,$B77)),_xll.VoseSimPercentile(Out_DDLT,$B77),NA())</f>
        <v>298.91018512035413</v>
      </c>
      <c r="E77" s="71">
        <f t="shared" si="2"/>
        <v>750</v>
      </c>
      <c r="F77" s="71">
        <f t="shared" si="3"/>
        <v>832</v>
      </c>
    </row>
    <row r="78" spans="2:6" hidden="1" outlineLevel="1" x14ac:dyDescent="0.45">
      <c r="B78" s="70">
        <v>0.56999999999999995</v>
      </c>
      <c r="C78" s="70">
        <f t="shared" si="1"/>
        <v>0.43000000000000005</v>
      </c>
      <c r="D78" s="71" cm="1">
        <f t="array" aca="1" ref="D78" ca="1">IF(ISNUMBER(_xll.VoseSimPercentile(Out_DDLT,$B78)),_xll.VoseSimPercentile(Out_DDLT,$B78),NA())</f>
        <v>302.43956693022875</v>
      </c>
      <c r="E78" s="71">
        <f t="shared" si="2"/>
        <v>750</v>
      </c>
      <c r="F78" s="71">
        <f t="shared" si="3"/>
        <v>832</v>
      </c>
    </row>
    <row r="79" spans="2:6" hidden="1" outlineLevel="1" x14ac:dyDescent="0.45">
      <c r="B79" s="70">
        <v>0.59</v>
      </c>
      <c r="C79" s="70">
        <f t="shared" si="1"/>
        <v>0.41000000000000003</v>
      </c>
      <c r="D79" s="71" cm="1">
        <f t="array" aca="1" ref="D79" ca="1">IF(ISNUMBER(_xll.VoseSimPercentile(Out_DDLT,$B79)),_xll.VoseSimPercentile(Out_DDLT,$B79),NA())</f>
        <v>305.85005424135471</v>
      </c>
      <c r="E79" s="71">
        <f t="shared" si="2"/>
        <v>750</v>
      </c>
      <c r="F79" s="71">
        <f t="shared" si="3"/>
        <v>832</v>
      </c>
    </row>
    <row r="80" spans="2:6" hidden="1" outlineLevel="1" x14ac:dyDescent="0.45">
      <c r="B80" s="70">
        <v>0.61</v>
      </c>
      <c r="C80" s="70">
        <f t="shared" si="1"/>
        <v>0.39</v>
      </c>
      <c r="D80" s="71" cm="1">
        <f t="array" aca="1" ref="D80" ca="1">IF(ISNUMBER(_xll.VoseSimPercentile(Out_DDLT,$B80)),_xll.VoseSimPercentile(Out_DDLT,$B80),NA())</f>
        <v>309.36878592307676</v>
      </c>
      <c r="E80" s="71">
        <f t="shared" si="2"/>
        <v>750</v>
      </c>
      <c r="F80" s="71">
        <f t="shared" si="3"/>
        <v>832</v>
      </c>
    </row>
    <row r="81" spans="2:6" hidden="1" outlineLevel="1" x14ac:dyDescent="0.45">
      <c r="B81" s="70">
        <v>0.63</v>
      </c>
      <c r="C81" s="70">
        <f t="shared" si="1"/>
        <v>0.37</v>
      </c>
      <c r="D81" s="71" cm="1">
        <f t="array" aca="1" ref="D81" ca="1">IF(ISNUMBER(_xll.VoseSimPercentile(Out_DDLT,$B81)),_xll.VoseSimPercentile(Out_DDLT,$B81),NA())</f>
        <v>313.5286342772261</v>
      </c>
      <c r="E81" s="71">
        <f t="shared" si="2"/>
        <v>750</v>
      </c>
      <c r="F81" s="71">
        <f t="shared" si="3"/>
        <v>832</v>
      </c>
    </row>
    <row r="82" spans="2:6" hidden="1" outlineLevel="1" x14ac:dyDescent="0.45">
      <c r="B82" s="70">
        <v>0.65</v>
      </c>
      <c r="C82" s="70">
        <f t="shared" ref="C82:C113" si="4">1-B82</f>
        <v>0.35</v>
      </c>
      <c r="D82" s="71" cm="1">
        <f t="array" aca="1" ref="D82" ca="1">IF(ISNUMBER(_xll.VoseSimPercentile(Out_DDLT,$B82)),_xll.VoseSimPercentile(Out_DDLT,$B82),NA())</f>
        <v>317.35252498521476</v>
      </c>
      <c r="E82" s="71">
        <f t="shared" ref="E82:E99" si="5">ReorderPt_Start</f>
        <v>750</v>
      </c>
      <c r="F82" s="71">
        <f t="shared" ref="F82:F99" si="6">ReorderPt</f>
        <v>832</v>
      </c>
    </row>
    <row r="83" spans="2:6" hidden="1" outlineLevel="1" x14ac:dyDescent="0.45">
      <c r="B83" s="70">
        <v>0.67</v>
      </c>
      <c r="C83" s="70">
        <f t="shared" si="4"/>
        <v>0.32999999999999996</v>
      </c>
      <c r="D83" s="71" cm="1">
        <f t="array" aca="1" ref="D83" ca="1">IF(ISNUMBER(_xll.VoseSimPercentile(Out_DDLT,$B83)),_xll.VoseSimPercentile(Out_DDLT,$B83),NA())</f>
        <v>321.86640636176901</v>
      </c>
      <c r="E83" s="71">
        <f t="shared" si="5"/>
        <v>750</v>
      </c>
      <c r="F83" s="71">
        <f t="shared" si="6"/>
        <v>832</v>
      </c>
    </row>
    <row r="84" spans="2:6" hidden="1" outlineLevel="1" x14ac:dyDescent="0.45">
      <c r="B84" s="70">
        <v>0.69</v>
      </c>
      <c r="C84" s="70">
        <f t="shared" si="4"/>
        <v>0.31000000000000005</v>
      </c>
      <c r="D84" s="71" cm="1">
        <f t="array" aca="1" ref="D84" ca="1">IF(ISNUMBER(_xll.VoseSimPercentile(Out_DDLT,$B84)),_xll.VoseSimPercentile(Out_DDLT,$B84),NA())</f>
        <v>326.15857829098746</v>
      </c>
      <c r="E84" s="71">
        <f t="shared" si="5"/>
        <v>750</v>
      </c>
      <c r="F84" s="71">
        <f t="shared" si="6"/>
        <v>832</v>
      </c>
    </row>
    <row r="85" spans="2:6" hidden="1" outlineLevel="1" x14ac:dyDescent="0.45">
      <c r="B85" s="70">
        <v>0.71</v>
      </c>
      <c r="C85" s="70">
        <f t="shared" si="4"/>
        <v>0.29000000000000004</v>
      </c>
      <c r="D85" s="71" cm="1">
        <f t="array" aca="1" ref="D85" ca="1">IF(ISNUMBER(_xll.VoseSimPercentile(Out_DDLT,$B85)),_xll.VoseSimPercentile(Out_DDLT,$B85),NA())</f>
        <v>330.62745386504196</v>
      </c>
      <c r="E85" s="71">
        <f t="shared" si="5"/>
        <v>750</v>
      </c>
      <c r="F85" s="71">
        <f t="shared" si="6"/>
        <v>832</v>
      </c>
    </row>
    <row r="86" spans="2:6" hidden="1" outlineLevel="1" x14ac:dyDescent="0.45">
      <c r="B86" s="70">
        <v>0.73</v>
      </c>
      <c r="C86" s="70">
        <f t="shared" si="4"/>
        <v>0.27</v>
      </c>
      <c r="D86" s="71" cm="1">
        <f t="array" aca="1" ref="D86" ca="1">IF(ISNUMBER(_xll.VoseSimPercentile(Out_DDLT,$B86)),_xll.VoseSimPercentile(Out_DDLT,$B86),NA())</f>
        <v>335.4027747175233</v>
      </c>
      <c r="E86" s="71">
        <f t="shared" si="5"/>
        <v>750</v>
      </c>
      <c r="F86" s="71">
        <f t="shared" si="6"/>
        <v>832</v>
      </c>
    </row>
    <row r="87" spans="2:6" hidden="1" outlineLevel="1" x14ac:dyDescent="0.45">
      <c r="B87" s="70">
        <v>0.75</v>
      </c>
      <c r="C87" s="70">
        <f t="shared" si="4"/>
        <v>0.25</v>
      </c>
      <c r="D87" s="71" cm="1">
        <f t="array" aca="1" ref="D87" ca="1">IF(ISNUMBER(_xll.VoseSimPercentile(Out_DDLT,$B87)),_xll.VoseSimPercentile(Out_DDLT,$B87),NA())</f>
        <v>340.6101806771477</v>
      </c>
      <c r="E87" s="71">
        <f t="shared" si="5"/>
        <v>750</v>
      </c>
      <c r="F87" s="71">
        <f t="shared" si="6"/>
        <v>832</v>
      </c>
    </row>
    <row r="88" spans="2:6" hidden="1" outlineLevel="1" x14ac:dyDescent="0.45">
      <c r="B88" s="70">
        <v>0.77</v>
      </c>
      <c r="C88" s="70">
        <f t="shared" si="4"/>
        <v>0.22999999999999998</v>
      </c>
      <c r="D88" s="71" cm="1">
        <f t="array" aca="1" ref="D88" ca="1">IF(ISNUMBER(_xll.VoseSimPercentile(Out_DDLT,$B88)),_xll.VoseSimPercentile(Out_DDLT,$B88),NA())</f>
        <v>346.3199411605591</v>
      </c>
      <c r="E88" s="71">
        <f t="shared" si="5"/>
        <v>750</v>
      </c>
      <c r="F88" s="71">
        <f t="shared" si="6"/>
        <v>832</v>
      </c>
    </row>
    <row r="89" spans="2:6" hidden="1" outlineLevel="1" x14ac:dyDescent="0.45">
      <c r="B89" s="70">
        <v>0.79</v>
      </c>
      <c r="C89" s="70">
        <f t="shared" si="4"/>
        <v>0.20999999999999996</v>
      </c>
      <c r="D89" s="71" cm="1">
        <f t="array" aca="1" ref="D89" ca="1">IF(ISNUMBER(_xll.VoseSimPercentile(Out_DDLT,$B89)),_xll.VoseSimPercentile(Out_DDLT,$B89),NA())</f>
        <v>352.09362824059286</v>
      </c>
      <c r="E89" s="71">
        <f t="shared" si="5"/>
        <v>750</v>
      </c>
      <c r="F89" s="71">
        <f t="shared" si="6"/>
        <v>832</v>
      </c>
    </row>
    <row r="90" spans="2:6" hidden="1" outlineLevel="1" x14ac:dyDescent="0.45">
      <c r="B90" s="70">
        <v>0.81</v>
      </c>
      <c r="C90" s="70">
        <f t="shared" si="4"/>
        <v>0.18999999999999995</v>
      </c>
      <c r="D90" s="71" cm="1">
        <f t="array" aca="1" ref="D90" ca="1">IF(ISNUMBER(_xll.VoseSimPercentile(Out_DDLT,$B90)),_xll.VoseSimPercentile(Out_DDLT,$B90),NA())</f>
        <v>359.63806447505181</v>
      </c>
      <c r="E90" s="71">
        <f t="shared" si="5"/>
        <v>750</v>
      </c>
      <c r="F90" s="71">
        <f t="shared" si="6"/>
        <v>832</v>
      </c>
    </row>
    <row r="91" spans="2:6" hidden="1" outlineLevel="1" x14ac:dyDescent="0.45">
      <c r="B91" s="70">
        <v>0.83</v>
      </c>
      <c r="C91" s="70">
        <f t="shared" si="4"/>
        <v>0.17000000000000004</v>
      </c>
      <c r="D91" s="71" cm="1">
        <f t="array" aca="1" ref="D91" ca="1">IF(ISNUMBER(_xll.VoseSimPercentile(Out_DDLT,$B91)),_xll.VoseSimPercentile(Out_DDLT,$B91),NA())</f>
        <v>368.56587143919609</v>
      </c>
      <c r="E91" s="71">
        <f t="shared" si="5"/>
        <v>750</v>
      </c>
      <c r="F91" s="71">
        <f t="shared" si="6"/>
        <v>832</v>
      </c>
    </row>
    <row r="92" spans="2:6" hidden="1" outlineLevel="1" x14ac:dyDescent="0.45">
      <c r="B92" s="70">
        <v>0.85</v>
      </c>
      <c r="C92" s="70">
        <f t="shared" si="4"/>
        <v>0.15000000000000002</v>
      </c>
      <c r="D92" s="71" cm="1">
        <f t="array" aca="1" ref="D92" ca="1">IF(ISNUMBER(_xll.VoseSimPercentile(Out_DDLT,$B92)),_xll.VoseSimPercentile(Out_DDLT,$B92),NA())</f>
        <v>379.05056787269979</v>
      </c>
      <c r="E92" s="71">
        <f t="shared" si="5"/>
        <v>750</v>
      </c>
      <c r="F92" s="71">
        <f t="shared" si="6"/>
        <v>832</v>
      </c>
    </row>
    <row r="93" spans="2:6" hidden="1" outlineLevel="1" x14ac:dyDescent="0.45">
      <c r="B93" s="70">
        <v>0.87</v>
      </c>
      <c r="C93" s="70">
        <f t="shared" si="4"/>
        <v>0.13</v>
      </c>
      <c r="D93" s="71" cm="1">
        <f t="array" aca="1" ref="D93" ca="1">IF(ISNUMBER(_xll.VoseSimPercentile(Out_DDLT,$B93)),_xll.VoseSimPercentile(Out_DDLT,$B93),NA())</f>
        <v>393.04217441187694</v>
      </c>
      <c r="E93" s="71">
        <f t="shared" si="5"/>
        <v>750</v>
      </c>
      <c r="F93" s="71">
        <f t="shared" si="6"/>
        <v>832</v>
      </c>
    </row>
    <row r="94" spans="2:6" hidden="1" outlineLevel="1" x14ac:dyDescent="0.45">
      <c r="B94" s="70">
        <v>0.89</v>
      </c>
      <c r="C94" s="70">
        <f t="shared" si="4"/>
        <v>0.10999999999999999</v>
      </c>
      <c r="D94" s="71" cm="1">
        <f t="array" aca="1" ref="D94" ca="1">IF(ISNUMBER(_xll.VoseSimPercentile(Out_DDLT,$B94)),_xll.VoseSimPercentile(Out_DDLT,$B94),NA())</f>
        <v>418.81291275989543</v>
      </c>
      <c r="E94" s="71">
        <f t="shared" si="5"/>
        <v>750</v>
      </c>
      <c r="F94" s="71">
        <f t="shared" si="6"/>
        <v>832</v>
      </c>
    </row>
    <row r="95" spans="2:6" hidden="1" outlineLevel="1" x14ac:dyDescent="0.45">
      <c r="B95" s="70">
        <v>0.91</v>
      </c>
      <c r="C95" s="70">
        <f t="shared" si="4"/>
        <v>8.9999999999999969E-2</v>
      </c>
      <c r="D95" s="71" cm="1">
        <f t="array" aca="1" ref="D95" ca="1">IF(ISNUMBER(_xll.VoseSimPercentile(Out_DDLT,$B95)),_xll.VoseSimPercentile(Out_DDLT,$B95),NA())</f>
        <v>544.7291812108125</v>
      </c>
      <c r="E95" s="71">
        <f t="shared" si="5"/>
        <v>750</v>
      </c>
      <c r="F95" s="71">
        <f t="shared" si="6"/>
        <v>832</v>
      </c>
    </row>
    <row r="96" spans="2:6" hidden="1" outlineLevel="1" x14ac:dyDescent="0.45">
      <c r="B96" s="70">
        <v>0.93</v>
      </c>
      <c r="C96" s="70">
        <f t="shared" si="4"/>
        <v>6.9999999999999951E-2</v>
      </c>
      <c r="D96" s="71" cm="1">
        <f t="array" aca="1" ref="D96" ca="1">IF(ISNUMBER(_xll.VoseSimPercentile(Out_DDLT,$B96)),_xll.VoseSimPercentile(Out_DDLT,$B96),NA())</f>
        <v>637.82490823415014</v>
      </c>
      <c r="E96" s="71">
        <f t="shared" si="5"/>
        <v>750</v>
      </c>
      <c r="F96" s="71">
        <f t="shared" si="6"/>
        <v>832</v>
      </c>
    </row>
    <row r="97" spans="2:7" hidden="1" outlineLevel="1" x14ac:dyDescent="0.45">
      <c r="B97" s="70">
        <v>0.95</v>
      </c>
      <c r="C97" s="70">
        <f t="shared" si="4"/>
        <v>5.0000000000000044E-2</v>
      </c>
      <c r="D97" s="71" cm="1">
        <f t="array" aca="1" ref="D97" ca="1">IF(ISNUMBER(_xll.VoseSimPercentile(Out_DDLT,$B97)),_xll.VoseSimPercentile(Out_DDLT,$B97),NA())</f>
        <v>720.15290761385711</v>
      </c>
      <c r="E97" s="71">
        <f t="shared" si="5"/>
        <v>750</v>
      </c>
      <c r="F97" s="71">
        <f t="shared" si="6"/>
        <v>832</v>
      </c>
    </row>
    <row r="98" spans="2:7" hidden="1" outlineLevel="1" x14ac:dyDescent="0.45">
      <c r="B98" s="70">
        <v>0.97</v>
      </c>
      <c r="C98" s="70">
        <f t="shared" si="4"/>
        <v>3.0000000000000027E-2</v>
      </c>
      <c r="D98" s="71" cm="1">
        <f t="array" aca="1" ref="D98" ca="1">IF(ISNUMBER(_xll.VoseSimPercentile(Out_DDLT,$B98)),_xll.VoseSimPercentile(Out_DDLT,$B98),NA())</f>
        <v>782.928322235574</v>
      </c>
      <c r="E98" s="71">
        <f t="shared" si="5"/>
        <v>750</v>
      </c>
      <c r="F98" s="71">
        <f t="shared" si="6"/>
        <v>832</v>
      </c>
    </row>
    <row r="99" spans="2:7" hidden="1" outlineLevel="1" x14ac:dyDescent="0.45">
      <c r="B99" s="70">
        <v>0.99</v>
      </c>
      <c r="C99" s="70">
        <f t="shared" si="4"/>
        <v>1.0000000000000009E-2</v>
      </c>
      <c r="D99" s="71" cm="1">
        <f t="array" aca="1" ref="D99" ca="1">IF(ISNUMBER(_xll.VoseSimPercentile(Out_DDLT,$B99)),_xll.VoseSimPercentile(Out_DDLT,$B99),NA())</f>
        <v>892.69972850706813</v>
      </c>
      <c r="E99" s="71">
        <f t="shared" si="5"/>
        <v>750</v>
      </c>
      <c r="F99" s="71">
        <f t="shared" si="6"/>
        <v>832</v>
      </c>
    </row>
    <row r="100" spans="2:7" hidden="1" outlineLevel="1" x14ac:dyDescent="0.45"/>
    <row r="101" spans="2:7" ht="18" hidden="1" customHeight="1" outlineLevel="1" x14ac:dyDescent="0.45">
      <c r="B101" s="24" t="s">
        <v>269</v>
      </c>
      <c r="C101" s="25" t="s">
        <v>192</v>
      </c>
      <c r="D101" s="5"/>
      <c r="E101" s="5"/>
      <c r="F101" s="5"/>
      <c r="G101" s="5"/>
    </row>
    <row r="102" spans="2:7" hidden="1" outlineLevel="1" x14ac:dyDescent="0.45">
      <c r="B102" s="72">
        <v>5.0000000000000001E-3</v>
      </c>
      <c r="C102" s="71" cm="1">
        <f t="array" aca="1" ref="C102" ca="1">IF(ISNUMBER(_xll.VoseSimPercentile(Out_DDLT,0.005)),_xll.VoseSimPercentile(Out_DDLT,0.005),NA())</f>
        <v>167.0734189074762</v>
      </c>
    </row>
    <row r="103" spans="2:7" hidden="1" outlineLevel="1" x14ac:dyDescent="0.45">
      <c r="B103" s="72">
        <v>0.01</v>
      </c>
      <c r="C103" s="71" cm="1">
        <f t="array" aca="1" ref="C103" ca="1">IF(ISNUMBER(_xll.VoseSimPercentile(Out_DDLT,0.01)),_xll.VoseSimPercentile(Out_DDLT,0.01),NA())</f>
        <v>175.37014160287714</v>
      </c>
    </row>
    <row r="104" spans="2:7" hidden="1" outlineLevel="1" x14ac:dyDescent="0.45">
      <c r="B104" s="72">
        <v>0.02</v>
      </c>
      <c r="C104" s="71" cm="1">
        <f t="array" aca="1" ref="C104" ca="1">IF(ISNUMBER(_xll.VoseSimPercentile(Out_DDLT,0.02)),_xll.VoseSimPercentile(Out_DDLT,0.02),NA())</f>
        <v>185.36309437096972</v>
      </c>
    </row>
    <row r="105" spans="2:7" hidden="1" outlineLevel="1" x14ac:dyDescent="0.45">
      <c r="B105" s="72">
        <v>0.03</v>
      </c>
      <c r="C105" s="71" cm="1">
        <f t="array" aca="1" ref="C105" ca="1">IF(ISNUMBER(_xll.VoseSimPercentile(Out_DDLT,0.03)),_xll.VoseSimPercentile(Out_DDLT,0.03),NA())</f>
        <v>192.99305483118496</v>
      </c>
    </row>
    <row r="106" spans="2:7" hidden="1" outlineLevel="1" x14ac:dyDescent="0.45">
      <c r="B106" s="72">
        <v>0.04</v>
      </c>
      <c r="C106" s="71" cm="1">
        <f t="array" aca="1" ref="C106" ca="1">IF(ISNUMBER(_xll.VoseSimPercentile(Out_DDLT,0.04)),_xll.VoseSimPercentile(Out_DDLT,0.04),NA())</f>
        <v>198.29177243739605</v>
      </c>
    </row>
    <row r="107" spans="2:7" hidden="1" outlineLevel="1" x14ac:dyDescent="0.45">
      <c r="B107" s="72">
        <v>0.05</v>
      </c>
      <c r="C107" s="71" cm="1">
        <f t="array" aca="1" ref="C107" ca="1">IF(ISNUMBER(_xll.VoseSimPercentile(Out_DDLT,0.05)),_xll.VoseSimPercentile(Out_DDLT,0.05),NA())</f>
        <v>202.31379703711133</v>
      </c>
    </row>
    <row r="108" spans="2:7" hidden="1" outlineLevel="1" x14ac:dyDescent="0.45">
      <c r="B108" s="72">
        <v>0.06</v>
      </c>
      <c r="C108" s="71" cm="1">
        <f t="array" aca="1" ref="C108" ca="1">IF(ISNUMBER(_xll.VoseSimPercentile(Out_DDLT,0.06)),_xll.VoseSimPercentile(Out_DDLT,0.06),NA())</f>
        <v>206.46719814465601</v>
      </c>
    </row>
    <row r="109" spans="2:7" hidden="1" outlineLevel="1" x14ac:dyDescent="0.45">
      <c r="B109" s="72">
        <v>7.0000000000000007E-2</v>
      </c>
      <c r="C109" s="71" cm="1">
        <f t="array" aca="1" ref="C109" ca="1">IF(ISNUMBER(_xll.VoseSimPercentile(Out_DDLT,0.07)),_xll.VoseSimPercentile(Out_DDLT,0.07),NA())</f>
        <v>210.3325486830926</v>
      </c>
    </row>
    <row r="110" spans="2:7" hidden="1" outlineLevel="1" x14ac:dyDescent="0.45">
      <c r="B110" s="72">
        <v>0.08</v>
      </c>
      <c r="C110" s="71" cm="1">
        <f t="array" aca="1" ref="C110" ca="1">IF(ISNUMBER(_xll.VoseSimPercentile(Out_DDLT,0.08)),_xll.VoseSimPercentile(Out_DDLT,0.08),NA())</f>
        <v>213.32908535677217</v>
      </c>
    </row>
    <row r="111" spans="2:7" hidden="1" outlineLevel="1" x14ac:dyDescent="0.45">
      <c r="B111" s="72">
        <v>0.09</v>
      </c>
      <c r="C111" s="71" cm="1">
        <f t="array" aca="1" ref="C111" ca="1">IF(ISNUMBER(_xll.VoseSimPercentile(Out_DDLT,0.09)),_xll.VoseSimPercentile(Out_DDLT,0.09),NA())</f>
        <v>216.29818187959154</v>
      </c>
    </row>
    <row r="112" spans="2:7" hidden="1" outlineLevel="1" x14ac:dyDescent="0.45">
      <c r="B112" s="72">
        <v>0.1</v>
      </c>
      <c r="C112" s="71" cm="1">
        <f t="array" aca="1" ref="C112" ca="1">IF(ISNUMBER(_xll.VoseSimPercentile(Out_DDLT,0.1)),_xll.VoseSimPercentile(Out_DDLT,0.1),NA())</f>
        <v>218.58574389825665</v>
      </c>
    </row>
    <row r="113" spans="2:3" hidden="1" outlineLevel="1" x14ac:dyDescent="0.45">
      <c r="B113" s="72">
        <v>0.11</v>
      </c>
      <c r="C113" s="71" cm="1">
        <f t="array" aca="1" ref="C113" ca="1">IF(ISNUMBER(_xll.VoseSimPercentile(Out_DDLT,0.11)),_xll.VoseSimPercentile(Out_DDLT,0.11),NA())</f>
        <v>221.24108168509517</v>
      </c>
    </row>
    <row r="114" spans="2:3" hidden="1" outlineLevel="1" x14ac:dyDescent="0.45">
      <c r="B114" s="72">
        <v>0.12</v>
      </c>
      <c r="C114" s="71" cm="1">
        <f t="array" aca="1" ref="C114" ca="1">IF(ISNUMBER(_xll.VoseSimPercentile(Out_DDLT,0.12)),_xll.VoseSimPercentile(Out_DDLT,0.12),NA())</f>
        <v>223.61312844220609</v>
      </c>
    </row>
    <row r="115" spans="2:3" hidden="1" outlineLevel="1" x14ac:dyDescent="0.45">
      <c r="B115" s="72">
        <v>0.13</v>
      </c>
      <c r="C115" s="71" cm="1">
        <f t="array" aca="1" ref="C115" ca="1">IF(ISNUMBER(_xll.VoseSimPercentile(Out_DDLT,0.13)),_xll.VoseSimPercentile(Out_DDLT,0.13),NA())</f>
        <v>226.37519858719557</v>
      </c>
    </row>
    <row r="116" spans="2:3" hidden="1" outlineLevel="1" x14ac:dyDescent="0.45">
      <c r="B116" s="72">
        <v>0.14000000000000001</v>
      </c>
      <c r="C116" s="71" cm="1">
        <f t="array" aca="1" ref="C116" ca="1">IF(ISNUMBER(_xll.VoseSimPercentile(Out_DDLT,0.14)),_xll.VoseSimPercentile(Out_DDLT,0.14),NA())</f>
        <v>228.75027603174325</v>
      </c>
    </row>
    <row r="117" spans="2:3" hidden="1" outlineLevel="1" x14ac:dyDescent="0.45">
      <c r="B117" s="72">
        <v>0.15</v>
      </c>
      <c r="C117" s="71" cm="1">
        <f t="array" aca="1" ref="C117" ca="1">IF(ISNUMBER(_xll.VoseSimPercentile(Out_DDLT,0.15)),_xll.VoseSimPercentile(Out_DDLT,0.15),NA())</f>
        <v>231.17581330596693</v>
      </c>
    </row>
    <row r="118" spans="2:3" hidden="1" outlineLevel="1" x14ac:dyDescent="0.45">
      <c r="B118" s="72">
        <v>0.16</v>
      </c>
      <c r="C118" s="71" cm="1">
        <f t="array" aca="1" ref="C118" ca="1">IF(ISNUMBER(_xll.VoseSimPercentile(Out_DDLT,0.16)),_xll.VoseSimPercentile(Out_DDLT,0.16),NA())</f>
        <v>233.54215086402417</v>
      </c>
    </row>
    <row r="119" spans="2:3" hidden="1" outlineLevel="1" x14ac:dyDescent="0.45">
      <c r="B119" s="72">
        <v>0.17</v>
      </c>
      <c r="C119" s="71" cm="1">
        <f t="array" aca="1" ref="C119" ca="1">IF(ISNUMBER(_xll.VoseSimPercentile(Out_DDLT,0.17)),_xll.VoseSimPercentile(Out_DDLT,0.17),NA())</f>
        <v>235.39560547540592</v>
      </c>
    </row>
    <row r="120" spans="2:3" hidden="1" outlineLevel="1" x14ac:dyDescent="0.45">
      <c r="B120" s="72">
        <v>0.18</v>
      </c>
      <c r="C120" s="71" cm="1">
        <f t="array" aca="1" ref="C120" ca="1">IF(ISNUMBER(_xll.VoseSimPercentile(Out_DDLT,0.18)),_xll.VoseSimPercentile(Out_DDLT,0.18),NA())</f>
        <v>237.2444513524708</v>
      </c>
    </row>
    <row r="121" spans="2:3" hidden="1" outlineLevel="1" x14ac:dyDescent="0.45">
      <c r="B121" s="72">
        <v>0.19</v>
      </c>
      <c r="C121" s="71" cm="1">
        <f t="array" aca="1" ref="C121" ca="1">IF(ISNUMBER(_xll.VoseSimPercentile(Out_DDLT,0.19)),_xll.VoseSimPercentile(Out_DDLT,0.19),NA())</f>
        <v>238.87258454285526</v>
      </c>
    </row>
    <row r="122" spans="2:3" hidden="1" outlineLevel="1" x14ac:dyDescent="0.45">
      <c r="B122" s="72">
        <v>0.2</v>
      </c>
      <c r="C122" s="71" cm="1">
        <f t="array" aca="1" ref="C122" ca="1">IF(ISNUMBER(_xll.VoseSimPercentile(Out_DDLT,0.2)),_xll.VoseSimPercentile(Out_DDLT,0.2),NA())</f>
        <v>240.83481607145134</v>
      </c>
    </row>
    <row r="123" spans="2:3" hidden="1" outlineLevel="1" x14ac:dyDescent="0.45">
      <c r="B123" s="72">
        <v>0.21</v>
      </c>
      <c r="C123" s="71" cm="1">
        <f t="array" aca="1" ref="C123" ca="1">IF(ISNUMBER(_xll.VoseSimPercentile(Out_DDLT,0.21)),_xll.VoseSimPercentile(Out_DDLT,0.21),NA())</f>
        <v>243.06710528295181</v>
      </c>
    </row>
    <row r="124" spans="2:3" hidden="1" outlineLevel="1" x14ac:dyDescent="0.45">
      <c r="B124" s="72">
        <v>0.22</v>
      </c>
      <c r="C124" s="71" cm="1">
        <f t="array" aca="1" ref="C124" ca="1">IF(ISNUMBER(_xll.VoseSimPercentile(Out_DDLT,0.22)),_xll.VoseSimPercentile(Out_DDLT,0.22),NA())</f>
        <v>244.91134118951663</v>
      </c>
    </row>
    <row r="125" spans="2:3" hidden="1" outlineLevel="1" x14ac:dyDescent="0.45">
      <c r="B125" s="72">
        <v>0.23</v>
      </c>
      <c r="C125" s="71" cm="1">
        <f t="array" aca="1" ref="C125" ca="1">IF(ISNUMBER(_xll.VoseSimPercentile(Out_DDLT,0.23)),_xll.VoseSimPercentile(Out_DDLT,0.23),NA())</f>
        <v>247.09866764263205</v>
      </c>
    </row>
    <row r="126" spans="2:3" hidden="1" outlineLevel="1" x14ac:dyDescent="0.45">
      <c r="B126" s="72">
        <v>0.24</v>
      </c>
      <c r="C126" s="71" cm="1">
        <f t="array" aca="1" ref="C126" ca="1">IF(ISNUMBER(_xll.VoseSimPercentile(Out_DDLT,0.24)),_xll.VoseSimPercentile(Out_DDLT,0.24),NA())</f>
        <v>249.02866245860346</v>
      </c>
    </row>
    <row r="127" spans="2:3" hidden="1" outlineLevel="1" x14ac:dyDescent="0.45">
      <c r="B127" s="72">
        <v>0.25</v>
      </c>
      <c r="C127" s="71" cm="1">
        <f t="array" aca="1" ref="C127" ca="1">IF(ISNUMBER(_xll.VoseSimPercentile(Out_DDLT,0.25)),_xll.VoseSimPercentile(Out_DDLT,0.25),NA())</f>
        <v>250.27297720871263</v>
      </c>
    </row>
    <row r="128" spans="2:3" hidden="1" outlineLevel="1" x14ac:dyDescent="0.45">
      <c r="B128" s="72">
        <v>0.26</v>
      </c>
      <c r="C128" s="71" cm="1">
        <f t="array" aca="1" ref="C128" ca="1">IF(ISNUMBER(_xll.VoseSimPercentile(Out_DDLT,0.26)),_xll.VoseSimPercentile(Out_DDLT,0.26),NA())</f>
        <v>252.00943076663057</v>
      </c>
    </row>
    <row r="129" spans="2:3" hidden="1" outlineLevel="1" x14ac:dyDescent="0.45">
      <c r="B129" s="72">
        <v>0.27</v>
      </c>
      <c r="C129" s="71" cm="1">
        <f t="array" aca="1" ref="C129" ca="1">IF(ISNUMBER(_xll.VoseSimPercentile(Out_DDLT,0.27)),_xll.VoseSimPercentile(Out_DDLT,0.27),NA())</f>
        <v>253.82665848995521</v>
      </c>
    </row>
    <row r="130" spans="2:3" hidden="1" outlineLevel="1" x14ac:dyDescent="0.45">
      <c r="B130" s="72">
        <v>0.28000000000000003</v>
      </c>
      <c r="C130" s="71" cm="1">
        <f t="array" aca="1" ref="C130" ca="1">IF(ISNUMBER(_xll.VoseSimPercentile(Out_DDLT,0.28)),_xll.VoseSimPercentile(Out_DDLT,0.28),NA())</f>
        <v>255.38992678586797</v>
      </c>
    </row>
    <row r="131" spans="2:3" hidden="1" outlineLevel="1" x14ac:dyDescent="0.45">
      <c r="B131" s="72">
        <v>0.28999999999999998</v>
      </c>
      <c r="C131" s="71" cm="1">
        <f t="array" aca="1" ref="C131" ca="1">IF(ISNUMBER(_xll.VoseSimPercentile(Out_DDLT,0.29)),_xll.VoseSimPercentile(Out_DDLT,0.29),NA())</f>
        <v>257.1140728125319</v>
      </c>
    </row>
    <row r="132" spans="2:3" hidden="1" outlineLevel="1" x14ac:dyDescent="0.45">
      <c r="B132" s="72">
        <v>0.3</v>
      </c>
      <c r="C132" s="71" cm="1">
        <f t="array" aca="1" ref="C132" ca="1">IF(ISNUMBER(_xll.VoseSimPercentile(Out_DDLT,0.3)),_xll.VoseSimPercentile(Out_DDLT,0.3),NA())</f>
        <v>258.94200377523504</v>
      </c>
    </row>
    <row r="133" spans="2:3" hidden="1" outlineLevel="1" x14ac:dyDescent="0.45">
      <c r="B133" s="72">
        <v>0.31</v>
      </c>
      <c r="C133" s="71" cm="1">
        <f t="array" aca="1" ref="C133" ca="1">IF(ISNUMBER(_xll.VoseSimPercentile(Out_DDLT,0.31)),_xll.VoseSimPercentile(Out_DDLT,0.31),NA())</f>
        <v>260.83194090665086</v>
      </c>
    </row>
    <row r="134" spans="2:3" hidden="1" outlineLevel="1" x14ac:dyDescent="0.45">
      <c r="B134" s="72">
        <v>0.32</v>
      </c>
      <c r="C134" s="71" cm="1">
        <f t="array" aca="1" ref="C134" ca="1">IF(ISNUMBER(_xll.VoseSimPercentile(Out_DDLT,0.32)),_xll.VoseSimPercentile(Out_DDLT,0.32),NA())</f>
        <v>262.47371904610299</v>
      </c>
    </row>
    <row r="135" spans="2:3" hidden="1" outlineLevel="1" x14ac:dyDescent="0.45">
      <c r="B135" s="72">
        <v>0.33</v>
      </c>
      <c r="C135" s="71" cm="1">
        <f t="array" aca="1" ref="C135" ca="1">IF(ISNUMBER(_xll.VoseSimPercentile(Out_DDLT,0.33)),_xll.VoseSimPercentile(Out_DDLT,0.33),NA())</f>
        <v>263.97180642606378</v>
      </c>
    </row>
    <row r="136" spans="2:3" hidden="1" outlineLevel="1" x14ac:dyDescent="0.45">
      <c r="B136" s="72">
        <v>0.34</v>
      </c>
      <c r="C136" s="71" cm="1">
        <f t="array" aca="1" ref="C136" ca="1">IF(ISNUMBER(_xll.VoseSimPercentile(Out_DDLT,0.34)),_xll.VoseSimPercentile(Out_DDLT,0.34),NA())</f>
        <v>265.74590847495978</v>
      </c>
    </row>
    <row r="137" spans="2:3" hidden="1" outlineLevel="1" x14ac:dyDescent="0.45">
      <c r="B137" s="72">
        <v>0.35</v>
      </c>
      <c r="C137" s="71" cm="1">
        <f t="array" aca="1" ref="C137" ca="1">IF(ISNUMBER(_xll.VoseSimPercentile(Out_DDLT,0.35)),_xll.VoseSimPercentile(Out_DDLT,0.35),NA())</f>
        <v>267.22438870928056</v>
      </c>
    </row>
    <row r="138" spans="2:3" hidden="1" outlineLevel="1" x14ac:dyDescent="0.45">
      <c r="B138" s="72">
        <v>0.36</v>
      </c>
      <c r="C138" s="71" cm="1">
        <f t="array" aca="1" ref="C138" ca="1">IF(ISNUMBER(_xll.VoseSimPercentile(Out_DDLT,0.36)),_xll.VoseSimPercentile(Out_DDLT,0.36),NA())</f>
        <v>269.05451285096029</v>
      </c>
    </row>
    <row r="139" spans="2:3" hidden="1" outlineLevel="1" x14ac:dyDescent="0.45">
      <c r="B139" s="72">
        <v>0.37</v>
      </c>
      <c r="C139" s="71" cm="1">
        <f t="array" aca="1" ref="C139" ca="1">IF(ISNUMBER(_xll.VoseSimPercentile(Out_DDLT,0.37)),_xll.VoseSimPercentile(Out_DDLT,0.37),NA())</f>
        <v>271.02669932630283</v>
      </c>
    </row>
    <row r="140" spans="2:3" hidden="1" outlineLevel="1" x14ac:dyDescent="0.45">
      <c r="B140" s="72">
        <v>0.38</v>
      </c>
      <c r="C140" s="71" cm="1">
        <f t="array" aca="1" ref="C140" ca="1">IF(ISNUMBER(_xll.VoseSimPercentile(Out_DDLT,0.38)),_xll.VoseSimPercentile(Out_DDLT,0.38),NA())</f>
        <v>272.75665589522669</v>
      </c>
    </row>
    <row r="141" spans="2:3" hidden="1" outlineLevel="1" x14ac:dyDescent="0.45">
      <c r="B141" s="72">
        <v>0.39</v>
      </c>
      <c r="C141" s="71" cm="1">
        <f t="array" aca="1" ref="C141" ca="1">IF(ISNUMBER(_xll.VoseSimPercentile(Out_DDLT,0.39)),_xll.VoseSimPercentile(Out_DDLT,0.39),NA())</f>
        <v>274.09480162077239</v>
      </c>
    </row>
    <row r="142" spans="2:3" hidden="1" outlineLevel="1" x14ac:dyDescent="0.45">
      <c r="B142" s="72">
        <v>0.4</v>
      </c>
      <c r="C142" s="71" cm="1">
        <f t="array" aca="1" ref="C142" ca="1">IF(ISNUMBER(_xll.VoseSimPercentile(Out_DDLT,0.4)),_xll.VoseSimPercentile(Out_DDLT,0.4),NA())</f>
        <v>275.54631873461</v>
      </c>
    </row>
    <row r="143" spans="2:3" hidden="1" outlineLevel="1" x14ac:dyDescent="0.45">
      <c r="B143" s="72">
        <v>0.41</v>
      </c>
      <c r="C143" s="71" cm="1">
        <f t="array" aca="1" ref="C143" ca="1">IF(ISNUMBER(_xll.VoseSimPercentile(Out_DDLT,0.41)),_xll.VoseSimPercentile(Out_DDLT,0.41),NA())</f>
        <v>277.18253604108992</v>
      </c>
    </row>
    <row r="144" spans="2:3" hidden="1" outlineLevel="1" x14ac:dyDescent="0.45">
      <c r="B144" s="72">
        <v>0.42</v>
      </c>
      <c r="C144" s="71" cm="1">
        <f t="array" aca="1" ref="C144" ca="1">IF(ISNUMBER(_xll.VoseSimPercentile(Out_DDLT,0.42)),_xll.VoseSimPercentile(Out_DDLT,0.42),NA())</f>
        <v>278.52607054050162</v>
      </c>
    </row>
    <row r="145" spans="2:3" hidden="1" outlineLevel="1" x14ac:dyDescent="0.45">
      <c r="B145" s="72">
        <v>0.43</v>
      </c>
      <c r="C145" s="71" cm="1">
        <f t="array" aca="1" ref="C145" ca="1">IF(ISNUMBER(_xll.VoseSimPercentile(Out_DDLT,0.43)),_xll.VoseSimPercentile(Out_DDLT,0.43),NA())</f>
        <v>279.926326361755</v>
      </c>
    </row>
    <row r="146" spans="2:3" hidden="1" outlineLevel="1" x14ac:dyDescent="0.45">
      <c r="B146" s="72">
        <v>0.44</v>
      </c>
      <c r="C146" s="71" cm="1">
        <f t="array" aca="1" ref="C146" ca="1">IF(ISNUMBER(_xll.VoseSimPercentile(Out_DDLT,0.44)),_xll.VoseSimPercentile(Out_DDLT,0.44),NA())</f>
        <v>281.43620459053767</v>
      </c>
    </row>
    <row r="147" spans="2:3" hidden="1" outlineLevel="1" x14ac:dyDescent="0.45">
      <c r="B147" s="72">
        <v>0.45</v>
      </c>
      <c r="C147" s="71" cm="1">
        <f t="array" aca="1" ref="C147" ca="1">IF(ISNUMBER(_xll.VoseSimPercentile(Out_DDLT,0.45)),_xll.VoseSimPercentile(Out_DDLT,0.45),NA())</f>
        <v>282.98243376189657</v>
      </c>
    </row>
    <row r="148" spans="2:3" hidden="1" outlineLevel="1" x14ac:dyDescent="0.45">
      <c r="B148" s="72">
        <v>0.46</v>
      </c>
      <c r="C148" s="71" cm="1">
        <f t="array" aca="1" ref="C148" ca="1">IF(ISNUMBER(_xll.VoseSimPercentile(Out_DDLT,0.46)),_xll.VoseSimPercentile(Out_DDLT,0.46),NA())</f>
        <v>284.53725412307472</v>
      </c>
    </row>
    <row r="149" spans="2:3" hidden="1" outlineLevel="1" x14ac:dyDescent="0.45">
      <c r="B149" s="72">
        <v>0.47</v>
      </c>
      <c r="C149" s="71" cm="1">
        <f t="array" aca="1" ref="C149" ca="1">IF(ISNUMBER(_xll.VoseSimPercentile(Out_DDLT,0.47)),_xll.VoseSimPercentile(Out_DDLT,0.47),NA())</f>
        <v>285.96606859353886</v>
      </c>
    </row>
    <row r="150" spans="2:3" hidden="1" outlineLevel="1" x14ac:dyDescent="0.45">
      <c r="B150" s="72">
        <v>0.48</v>
      </c>
      <c r="C150" s="71" cm="1">
        <f t="array" aca="1" ref="C150" ca="1">IF(ISNUMBER(_xll.VoseSimPercentile(Out_DDLT,0.48)),_xll.VoseSimPercentile(Out_DDLT,0.48),NA())</f>
        <v>287.58747556411242</v>
      </c>
    </row>
    <row r="151" spans="2:3" hidden="1" outlineLevel="1" x14ac:dyDescent="0.45">
      <c r="B151" s="72">
        <v>0.49</v>
      </c>
      <c r="C151" s="71" cm="1">
        <f t="array" aca="1" ref="C151" ca="1">IF(ISNUMBER(_xll.VoseSimPercentile(Out_DDLT,0.49)),_xll.VoseSimPercentile(Out_DDLT,0.49),NA())</f>
        <v>289.05626774460876</v>
      </c>
    </row>
    <row r="152" spans="2:3" hidden="1" outlineLevel="1" x14ac:dyDescent="0.45">
      <c r="B152" s="72">
        <v>0.5</v>
      </c>
      <c r="C152" s="71" cm="1">
        <f t="array" aca="1" ref="C152" ca="1">IF(ISNUMBER(_xll.VoseSimPercentile(Out_DDLT,0.5)),_xll.VoseSimPercentile(Out_DDLT,0.5),NA())</f>
        <v>290.89660009566683</v>
      </c>
    </row>
    <row r="153" spans="2:3" hidden="1" outlineLevel="1" x14ac:dyDescent="0.45">
      <c r="B153" s="72">
        <v>0.51</v>
      </c>
      <c r="C153" s="71" cm="1">
        <f t="array" aca="1" ref="C153" ca="1">IF(ISNUMBER(_xll.VoseSimPercentile(Out_DDLT,0.51)),_xll.VoseSimPercentile(Out_DDLT,0.51),NA())</f>
        <v>292.36434871116853</v>
      </c>
    </row>
    <row r="154" spans="2:3" hidden="1" outlineLevel="1" x14ac:dyDescent="0.45">
      <c r="B154" s="72">
        <v>0.52</v>
      </c>
      <c r="C154" s="71" cm="1">
        <f t="array" aca="1" ref="C154" ca="1">IF(ISNUMBER(_xll.VoseSimPercentile(Out_DDLT,0.52)),_xll.VoseSimPercentile(Out_DDLT,0.52),NA())</f>
        <v>294.17556242339651</v>
      </c>
    </row>
    <row r="155" spans="2:3" hidden="1" outlineLevel="1" x14ac:dyDescent="0.45">
      <c r="B155" s="72">
        <v>0.53</v>
      </c>
      <c r="C155" s="71" cm="1">
        <f t="array" aca="1" ref="C155" ca="1">IF(ISNUMBER(_xll.VoseSimPercentile(Out_DDLT,0.53)),_xll.VoseSimPercentile(Out_DDLT,0.53),NA())</f>
        <v>295.80513587593725</v>
      </c>
    </row>
    <row r="156" spans="2:3" hidden="1" outlineLevel="1" x14ac:dyDescent="0.45">
      <c r="B156" s="72">
        <v>0.54</v>
      </c>
      <c r="C156" s="71" cm="1">
        <f t="array" aca="1" ref="C156" ca="1">IF(ISNUMBER(_xll.VoseSimPercentile(Out_DDLT,0.54)),_xll.VoseSimPercentile(Out_DDLT,0.54),NA())</f>
        <v>297.34871453166932</v>
      </c>
    </row>
    <row r="157" spans="2:3" hidden="1" outlineLevel="1" x14ac:dyDescent="0.45">
      <c r="B157" s="72">
        <v>0.55000000000000004</v>
      </c>
      <c r="C157" s="71" cm="1">
        <f t="array" aca="1" ref="C157" ca="1">IF(ISNUMBER(_xll.VoseSimPercentile(Out_DDLT,0.55)),_xll.VoseSimPercentile(Out_DDLT,0.55),NA())</f>
        <v>298.91018512035413</v>
      </c>
    </row>
    <row r="158" spans="2:3" hidden="1" outlineLevel="1" x14ac:dyDescent="0.45">
      <c r="B158" s="72">
        <v>0.56000000000000005</v>
      </c>
      <c r="C158" s="71" cm="1">
        <f t="array" aca="1" ref="C158" ca="1">IF(ISNUMBER(_xll.VoseSimPercentile(Out_DDLT,0.56)),_xll.VoseSimPercentile(Out_DDLT,0.56),NA())</f>
        <v>300.67670009275719</v>
      </c>
    </row>
    <row r="159" spans="2:3" hidden="1" outlineLevel="1" x14ac:dyDescent="0.45">
      <c r="B159" s="72">
        <v>0.56999999999999995</v>
      </c>
      <c r="C159" s="71" cm="1">
        <f t="array" aca="1" ref="C159" ca="1">IF(ISNUMBER(_xll.VoseSimPercentile(Out_DDLT,0.57)),_xll.VoseSimPercentile(Out_DDLT,0.57),NA())</f>
        <v>302.43956693022875</v>
      </c>
    </row>
    <row r="160" spans="2:3" hidden="1" outlineLevel="1" x14ac:dyDescent="0.45">
      <c r="B160" s="72">
        <v>0.57999999999999996</v>
      </c>
      <c r="C160" s="71" cm="1">
        <f t="array" aca="1" ref="C160" ca="1">IF(ISNUMBER(_xll.VoseSimPercentile(Out_DDLT,0.58)),_xll.VoseSimPercentile(Out_DDLT,0.58),NA())</f>
        <v>303.90776711160657</v>
      </c>
    </row>
    <row r="161" spans="2:3" hidden="1" outlineLevel="1" x14ac:dyDescent="0.45">
      <c r="B161" s="72">
        <v>0.59</v>
      </c>
      <c r="C161" s="71" cm="1">
        <f t="array" aca="1" ref="C161" ca="1">IF(ISNUMBER(_xll.VoseSimPercentile(Out_DDLT,0.59)),_xll.VoseSimPercentile(Out_DDLT,0.59),NA())</f>
        <v>305.85005424135471</v>
      </c>
    </row>
    <row r="162" spans="2:3" hidden="1" outlineLevel="1" x14ac:dyDescent="0.45">
      <c r="B162" s="72">
        <v>0.6</v>
      </c>
      <c r="C162" s="71" cm="1">
        <f t="array" aca="1" ref="C162" ca="1">IF(ISNUMBER(_xll.VoseSimPercentile(Out_DDLT,0.6)),_xll.VoseSimPercentile(Out_DDLT,0.6),NA())</f>
        <v>307.52628395521049</v>
      </c>
    </row>
    <row r="163" spans="2:3" hidden="1" outlineLevel="1" x14ac:dyDescent="0.45">
      <c r="B163" s="72">
        <v>0.61</v>
      </c>
      <c r="C163" s="71" cm="1">
        <f t="array" aca="1" ref="C163" ca="1">IF(ISNUMBER(_xll.VoseSimPercentile(Out_DDLT,0.61)),_xll.VoseSimPercentile(Out_DDLT,0.61),NA())</f>
        <v>309.36878592307676</v>
      </c>
    </row>
    <row r="164" spans="2:3" hidden="1" outlineLevel="1" x14ac:dyDescent="0.45">
      <c r="B164" s="72">
        <v>0.62</v>
      </c>
      <c r="C164" s="71" cm="1">
        <f t="array" aca="1" ref="C164" ca="1">IF(ISNUMBER(_xll.VoseSimPercentile(Out_DDLT,0.62)),_xll.VoseSimPercentile(Out_DDLT,0.62),NA())</f>
        <v>311.42683037950525</v>
      </c>
    </row>
    <row r="165" spans="2:3" hidden="1" outlineLevel="1" x14ac:dyDescent="0.45">
      <c r="B165" s="72">
        <v>0.63</v>
      </c>
      <c r="C165" s="71" cm="1">
        <f t="array" aca="1" ref="C165" ca="1">IF(ISNUMBER(_xll.VoseSimPercentile(Out_DDLT,0.63)),_xll.VoseSimPercentile(Out_DDLT,0.63),NA())</f>
        <v>313.5286342772261</v>
      </c>
    </row>
    <row r="166" spans="2:3" hidden="1" outlineLevel="1" x14ac:dyDescent="0.45">
      <c r="B166" s="72">
        <v>0.64</v>
      </c>
      <c r="C166" s="71" cm="1">
        <f t="array" aca="1" ref="C166" ca="1">IF(ISNUMBER(_xll.VoseSimPercentile(Out_DDLT,0.64)),_xll.VoseSimPercentile(Out_DDLT,0.64),NA())</f>
        <v>315.48881268589321</v>
      </c>
    </row>
    <row r="167" spans="2:3" hidden="1" outlineLevel="1" x14ac:dyDescent="0.45">
      <c r="B167" s="72">
        <v>0.65</v>
      </c>
      <c r="C167" s="71" cm="1">
        <f t="array" aca="1" ref="C167" ca="1">IF(ISNUMBER(_xll.VoseSimPercentile(Out_DDLT,0.65)),_xll.VoseSimPercentile(Out_DDLT,0.65),NA())</f>
        <v>317.35252498521476</v>
      </c>
    </row>
    <row r="168" spans="2:3" hidden="1" outlineLevel="1" x14ac:dyDescent="0.45">
      <c r="B168" s="72">
        <v>0.66</v>
      </c>
      <c r="C168" s="71" cm="1">
        <f t="array" aca="1" ref="C168" ca="1">IF(ISNUMBER(_xll.VoseSimPercentile(Out_DDLT,0.66)),_xll.VoseSimPercentile(Out_DDLT,0.66),NA())</f>
        <v>319.55811062357958</v>
      </c>
    </row>
    <row r="169" spans="2:3" hidden="1" outlineLevel="1" x14ac:dyDescent="0.45">
      <c r="B169" s="72">
        <v>0.67</v>
      </c>
      <c r="C169" s="71" cm="1">
        <f t="array" aca="1" ref="C169" ca="1">IF(ISNUMBER(_xll.VoseSimPercentile(Out_DDLT,0.67)),_xll.VoseSimPercentile(Out_DDLT,0.67),NA())</f>
        <v>321.86640636176901</v>
      </c>
    </row>
    <row r="170" spans="2:3" hidden="1" outlineLevel="1" x14ac:dyDescent="0.45">
      <c r="B170" s="72">
        <v>0.68</v>
      </c>
      <c r="C170" s="71" cm="1">
        <f t="array" aca="1" ref="C170" ca="1">IF(ISNUMBER(_xll.VoseSimPercentile(Out_DDLT,0.68)),_xll.VoseSimPercentile(Out_DDLT,0.68),NA())</f>
        <v>324.04978775460694</v>
      </c>
    </row>
    <row r="171" spans="2:3" hidden="1" outlineLevel="1" x14ac:dyDescent="0.45">
      <c r="B171" s="72">
        <v>0.69</v>
      </c>
      <c r="C171" s="71" cm="1">
        <f t="array" aca="1" ref="C171" ca="1">IF(ISNUMBER(_xll.VoseSimPercentile(Out_DDLT,0.69)),_xll.VoseSimPercentile(Out_DDLT,0.69),NA())</f>
        <v>326.15857829098746</v>
      </c>
    </row>
    <row r="172" spans="2:3" hidden="1" outlineLevel="1" x14ac:dyDescent="0.45">
      <c r="B172" s="72">
        <v>0.7</v>
      </c>
      <c r="C172" s="71" cm="1">
        <f t="array" aca="1" ref="C172" ca="1">IF(ISNUMBER(_xll.VoseSimPercentile(Out_DDLT,0.7)),_xll.VoseSimPercentile(Out_DDLT,0.7),NA())</f>
        <v>328.60111890994739</v>
      </c>
    </row>
    <row r="173" spans="2:3" hidden="1" outlineLevel="1" x14ac:dyDescent="0.45">
      <c r="B173" s="72">
        <v>0.71</v>
      </c>
      <c r="C173" s="71" cm="1">
        <f t="array" aca="1" ref="C173" ca="1">IF(ISNUMBER(_xll.VoseSimPercentile(Out_DDLT,0.71)),_xll.VoseSimPercentile(Out_DDLT,0.71),NA())</f>
        <v>330.62745386504196</v>
      </c>
    </row>
    <row r="174" spans="2:3" hidden="1" outlineLevel="1" x14ac:dyDescent="0.45">
      <c r="B174" s="72">
        <v>0.72</v>
      </c>
      <c r="C174" s="71" cm="1">
        <f t="array" aca="1" ref="C174" ca="1">IF(ISNUMBER(_xll.VoseSimPercentile(Out_DDLT,0.72)),_xll.VoseSimPercentile(Out_DDLT,0.72),NA())</f>
        <v>333.10047079852592</v>
      </c>
    </row>
    <row r="175" spans="2:3" hidden="1" outlineLevel="1" x14ac:dyDescent="0.45">
      <c r="B175" s="72">
        <v>0.73</v>
      </c>
      <c r="C175" s="71" cm="1">
        <f t="array" aca="1" ref="C175" ca="1">IF(ISNUMBER(_xll.VoseSimPercentile(Out_DDLT,0.73)),_xll.VoseSimPercentile(Out_DDLT,0.73),NA())</f>
        <v>335.4027747175233</v>
      </c>
    </row>
    <row r="176" spans="2:3" hidden="1" outlineLevel="1" x14ac:dyDescent="0.45">
      <c r="B176" s="72">
        <v>0.74</v>
      </c>
      <c r="C176" s="71" cm="1">
        <f t="array" aca="1" ref="C176" ca="1">IF(ISNUMBER(_xll.VoseSimPercentile(Out_DDLT,0.74)),_xll.VoseSimPercentile(Out_DDLT,0.74),NA())</f>
        <v>337.70722128692927</v>
      </c>
    </row>
    <row r="177" spans="2:3" hidden="1" outlineLevel="1" x14ac:dyDescent="0.45">
      <c r="B177" s="72">
        <v>0.75</v>
      </c>
      <c r="C177" s="71" cm="1">
        <f t="array" aca="1" ref="C177" ca="1">IF(ISNUMBER(_xll.VoseSimPercentile(Out_DDLT,0.75)),_xll.VoseSimPercentile(Out_DDLT,0.75),NA())</f>
        <v>340.6101806771477</v>
      </c>
    </row>
    <row r="178" spans="2:3" hidden="1" outlineLevel="1" x14ac:dyDescent="0.45">
      <c r="B178" s="72">
        <v>0.76</v>
      </c>
      <c r="C178" s="71" cm="1">
        <f t="array" aca="1" ref="C178" ca="1">IF(ISNUMBER(_xll.VoseSimPercentile(Out_DDLT,0.76)),_xll.VoseSimPercentile(Out_DDLT,0.76),NA())</f>
        <v>343.31355268099014</v>
      </c>
    </row>
    <row r="179" spans="2:3" hidden="1" outlineLevel="1" x14ac:dyDescent="0.45">
      <c r="B179" s="72">
        <v>0.77</v>
      </c>
      <c r="C179" s="71" cm="1">
        <f t="array" aca="1" ref="C179" ca="1">IF(ISNUMBER(_xll.VoseSimPercentile(Out_DDLT,0.77)),_xll.VoseSimPercentile(Out_DDLT,0.77),NA())</f>
        <v>346.3199411605591</v>
      </c>
    </row>
    <row r="180" spans="2:3" hidden="1" outlineLevel="1" x14ac:dyDescent="0.45">
      <c r="B180" s="72">
        <v>0.78</v>
      </c>
      <c r="C180" s="71" cm="1">
        <f t="array" aca="1" ref="C180" ca="1">IF(ISNUMBER(_xll.VoseSimPercentile(Out_DDLT,0.78)),_xll.VoseSimPercentile(Out_DDLT,0.78),NA())</f>
        <v>349.10953681720167</v>
      </c>
    </row>
    <row r="181" spans="2:3" hidden="1" outlineLevel="1" x14ac:dyDescent="0.45">
      <c r="B181" s="72">
        <v>0.79</v>
      </c>
      <c r="C181" s="71" cm="1">
        <f t="array" aca="1" ref="C181" ca="1">IF(ISNUMBER(_xll.VoseSimPercentile(Out_DDLT,0.79)),_xll.VoseSimPercentile(Out_DDLT,0.79),NA())</f>
        <v>352.09362824059286</v>
      </c>
    </row>
    <row r="182" spans="2:3" hidden="1" outlineLevel="1" x14ac:dyDescent="0.45">
      <c r="B182" s="72">
        <v>0.8</v>
      </c>
      <c r="C182" s="71" cm="1">
        <f t="array" aca="1" ref="C182" ca="1">IF(ISNUMBER(_xll.VoseSimPercentile(Out_DDLT,0.8)),_xll.VoseSimPercentile(Out_DDLT,0.8),NA())</f>
        <v>355.45441014218653</v>
      </c>
    </row>
    <row r="183" spans="2:3" hidden="1" outlineLevel="1" x14ac:dyDescent="0.45">
      <c r="B183" s="72">
        <v>0.81</v>
      </c>
      <c r="C183" s="71" cm="1">
        <f t="array" aca="1" ref="C183" ca="1">IF(ISNUMBER(_xll.VoseSimPercentile(Out_DDLT,0.81)),_xll.VoseSimPercentile(Out_DDLT,0.81),NA())</f>
        <v>359.63806447505181</v>
      </c>
    </row>
    <row r="184" spans="2:3" hidden="1" outlineLevel="1" x14ac:dyDescent="0.45">
      <c r="B184" s="72">
        <v>0.82</v>
      </c>
      <c r="C184" s="71" cm="1">
        <f t="array" aca="1" ref="C184" ca="1">IF(ISNUMBER(_xll.VoseSimPercentile(Out_DDLT,0.82)),_xll.VoseSimPercentile(Out_DDLT,0.82),NA())</f>
        <v>363.76904535219461</v>
      </c>
    </row>
    <row r="185" spans="2:3" hidden="1" outlineLevel="1" x14ac:dyDescent="0.45">
      <c r="B185" s="72">
        <v>0.83</v>
      </c>
      <c r="C185" s="71" cm="1">
        <f t="array" aca="1" ref="C185" ca="1">IF(ISNUMBER(_xll.VoseSimPercentile(Out_DDLT,0.83)),_xll.VoseSimPercentile(Out_DDLT,0.83),NA())</f>
        <v>368.56587143919609</v>
      </c>
    </row>
    <row r="186" spans="2:3" hidden="1" outlineLevel="1" x14ac:dyDescent="0.45">
      <c r="B186" s="72">
        <v>0.84</v>
      </c>
      <c r="C186" s="71" cm="1">
        <f t="array" aca="1" ref="C186" ca="1">IF(ISNUMBER(_xll.VoseSimPercentile(Out_DDLT,0.84)),_xll.VoseSimPercentile(Out_DDLT,0.84),NA())</f>
        <v>372.65786308894667</v>
      </c>
    </row>
    <row r="187" spans="2:3" hidden="1" outlineLevel="1" x14ac:dyDescent="0.45">
      <c r="B187" s="72">
        <v>0.85</v>
      </c>
      <c r="C187" s="71" cm="1">
        <f t="array" aca="1" ref="C187" ca="1">IF(ISNUMBER(_xll.VoseSimPercentile(Out_DDLT,0.85)),_xll.VoseSimPercentile(Out_DDLT,0.85),NA())</f>
        <v>379.05056787269979</v>
      </c>
    </row>
    <row r="188" spans="2:3" hidden="1" outlineLevel="1" x14ac:dyDescent="0.45">
      <c r="B188" s="72">
        <v>0.86</v>
      </c>
      <c r="C188" s="71" cm="1">
        <f t="array" aca="1" ref="C188" ca="1">IF(ISNUMBER(_xll.VoseSimPercentile(Out_DDLT,0.86)),_xll.VoseSimPercentile(Out_DDLT,0.86),NA())</f>
        <v>384.90535225288983</v>
      </c>
    </row>
    <row r="189" spans="2:3" hidden="1" outlineLevel="1" x14ac:dyDescent="0.45">
      <c r="B189" s="72">
        <v>0.87</v>
      </c>
      <c r="C189" s="71" cm="1">
        <f t="array" aca="1" ref="C189" ca="1">IF(ISNUMBER(_xll.VoseSimPercentile(Out_DDLT,0.87)),_xll.VoseSimPercentile(Out_DDLT,0.87),NA())</f>
        <v>393.04217441187694</v>
      </c>
    </row>
    <row r="190" spans="2:3" hidden="1" outlineLevel="1" x14ac:dyDescent="0.45">
      <c r="B190" s="72">
        <v>0.88</v>
      </c>
      <c r="C190" s="71" cm="1">
        <f t="array" aca="1" ref="C190" ca="1">IF(ISNUMBER(_xll.VoseSimPercentile(Out_DDLT,0.88)),_xll.VoseSimPercentile(Out_DDLT,0.88),NA())</f>
        <v>403.39479793132199</v>
      </c>
    </row>
    <row r="191" spans="2:3" hidden="1" outlineLevel="1" x14ac:dyDescent="0.45">
      <c r="B191" s="72">
        <v>0.89</v>
      </c>
      <c r="C191" s="71" cm="1">
        <f t="array" aca="1" ref="C191" ca="1">IF(ISNUMBER(_xll.VoseSimPercentile(Out_DDLT,0.89)),_xll.VoseSimPercentile(Out_DDLT,0.89),NA())</f>
        <v>418.81291275989543</v>
      </c>
    </row>
    <row r="192" spans="2:3" hidden="1" outlineLevel="1" x14ac:dyDescent="0.45">
      <c r="B192" s="72">
        <v>0.9</v>
      </c>
      <c r="C192" s="71" cm="1">
        <f t="array" aca="1" ref="C192" ca="1">IF(ISNUMBER(_xll.VoseSimPercentile(Out_DDLT,0.9)),_xll.VoseSimPercentile(Out_DDLT,0.9),NA())</f>
        <v>447.4447817207282</v>
      </c>
    </row>
    <row r="193" spans="2:7" hidden="1" outlineLevel="1" x14ac:dyDescent="0.45">
      <c r="B193" s="72">
        <v>0.91</v>
      </c>
      <c r="C193" s="71" cm="1">
        <f t="array" aca="1" ref="C193" ca="1">IF(ISNUMBER(_xll.VoseSimPercentile(Out_DDLT,0.91)),_xll.VoseSimPercentile(Out_DDLT,0.91),NA())</f>
        <v>544.7291812108125</v>
      </c>
    </row>
    <row r="194" spans="2:7" hidden="1" outlineLevel="1" x14ac:dyDescent="0.45">
      <c r="B194" s="72">
        <v>0.92</v>
      </c>
      <c r="C194" s="71" cm="1">
        <f t="array" aca="1" ref="C194" ca="1">IF(ISNUMBER(_xll.VoseSimPercentile(Out_DDLT,0.92)),_xll.VoseSimPercentile(Out_DDLT,0.92),NA())</f>
        <v>596.86897796582195</v>
      </c>
    </row>
    <row r="195" spans="2:7" hidden="1" outlineLevel="1" x14ac:dyDescent="0.45">
      <c r="B195" s="72">
        <v>0.93</v>
      </c>
      <c r="C195" s="71" cm="1">
        <f t="array" aca="1" ref="C195" ca="1">IF(ISNUMBER(_xll.VoseSimPercentile(Out_DDLT,0.93)),_xll.VoseSimPercentile(Out_DDLT,0.93),NA())</f>
        <v>637.82490823415014</v>
      </c>
    </row>
    <row r="196" spans="2:7" hidden="1" outlineLevel="1" x14ac:dyDescent="0.45">
      <c r="B196" s="72">
        <v>0.94</v>
      </c>
      <c r="C196" s="71" cm="1">
        <f t="array" aca="1" ref="C196" ca="1">IF(ISNUMBER(_xll.VoseSimPercentile(Out_DDLT,0.94)),_xll.VoseSimPercentile(Out_DDLT,0.94),NA())</f>
        <v>682.19361544357719</v>
      </c>
    </row>
    <row r="197" spans="2:7" hidden="1" outlineLevel="1" x14ac:dyDescent="0.45">
      <c r="B197" s="72">
        <v>0.95</v>
      </c>
      <c r="C197" s="71" cm="1">
        <f t="array" aca="1" ref="C197" ca="1">IF(ISNUMBER(_xll.VoseSimPercentile(Out_DDLT,0.95)),_xll.VoseSimPercentile(Out_DDLT,0.95),NA())</f>
        <v>720.15290761385711</v>
      </c>
    </row>
    <row r="198" spans="2:7" hidden="1" outlineLevel="1" x14ac:dyDescent="0.45">
      <c r="B198" s="72">
        <v>0.96</v>
      </c>
      <c r="C198" s="71" cm="1">
        <f t="array" aca="1" ref="C198" ca="1">IF(ISNUMBER(_xll.VoseSimPercentile(Out_DDLT,0.96)),_xll.VoseSimPercentile(Out_DDLT,0.96),NA())</f>
        <v>753.8554764259967</v>
      </c>
    </row>
    <row r="199" spans="2:7" hidden="1" outlineLevel="1" x14ac:dyDescent="0.45">
      <c r="B199" s="72">
        <v>0.97</v>
      </c>
      <c r="C199" s="71" cm="1">
        <f t="array" aca="1" ref="C199" ca="1">IF(ISNUMBER(_xll.VoseSimPercentile(Out_DDLT,0.97)),_xll.VoseSimPercentile(Out_DDLT,0.97),NA())</f>
        <v>782.928322235574</v>
      </c>
    </row>
    <row r="200" spans="2:7" hidden="1" outlineLevel="1" x14ac:dyDescent="0.45">
      <c r="B200" s="72">
        <v>0.98</v>
      </c>
      <c r="C200" s="71" cm="1">
        <f t="array" aca="1" ref="C200" ca="1">IF(ISNUMBER(_xll.VoseSimPercentile(Out_DDLT,0.98)),_xll.VoseSimPercentile(Out_DDLT,0.98),NA())</f>
        <v>828.11982515941281</v>
      </c>
    </row>
    <row r="201" spans="2:7" hidden="1" outlineLevel="1" x14ac:dyDescent="0.45">
      <c r="B201" s="72">
        <v>0.99</v>
      </c>
      <c r="C201" s="71" cm="1">
        <f t="array" aca="1" ref="C201" ca="1">IF(ISNUMBER(_xll.VoseSimPercentile(Out_DDLT,0.99)),_xll.VoseSimPercentile(Out_DDLT,0.99),NA())</f>
        <v>892.69972850706813</v>
      </c>
    </row>
    <row r="202" spans="2:7" hidden="1" outlineLevel="1" x14ac:dyDescent="0.45">
      <c r="B202" s="72">
        <v>0.995</v>
      </c>
      <c r="C202" s="71" cm="1">
        <f t="array" aca="1" ref="C202" ca="1">IF(ISNUMBER(_xll.VoseSimPercentile(Out_DDLT,0.995)),_xll.VoseSimPercentile(Out_DDLT,0.995),NA())</f>
        <v>939.17135227065739</v>
      </c>
    </row>
    <row r="203" spans="2:7" hidden="1" outlineLevel="1" x14ac:dyDescent="0.45"/>
    <row r="204" spans="2:7" ht="18" hidden="1" customHeight="1" outlineLevel="1" x14ac:dyDescent="0.45">
      <c r="B204" s="24" t="s">
        <v>270</v>
      </c>
      <c r="C204" s="25" t="s">
        <v>271</v>
      </c>
      <c r="D204" s="25" t="s">
        <v>272</v>
      </c>
      <c r="E204" s="25" t="s">
        <v>273</v>
      </c>
      <c r="F204" s="25" t="s">
        <v>274</v>
      </c>
      <c r="G204" s="25" t="s">
        <v>275</v>
      </c>
    </row>
    <row r="205" spans="2:7" hidden="1" outlineLevel="1" x14ac:dyDescent="0.45">
      <c r="B205" s="73">
        <v>0</v>
      </c>
      <c r="C205" s="71">
        <f ca="1">IF(ISNUMBER($C$102),$C$102+($C$202-$C$102)*0/24,NA())</f>
        <v>167.0734189074762</v>
      </c>
      <c r="D205" s="74">
        <f t="shared" ref="D205:D229" ca="1" si="7">IF(ISNUMBER(C205),MATCH(C205,$C$102:$C$202,1),NA())</f>
        <v>1</v>
      </c>
      <c r="E205" s="71">
        <f t="shared" ref="E205:E228" ca="1" si="8">IF(ISNUMBER(C205),(C205+C206)/2,NA())</f>
        <v>183.15879251920916</v>
      </c>
      <c r="F205" s="72">
        <f t="shared" ref="F205:F228" ca="1" si="9">IF(ISNUMBER(G206),G206-G205,NA())</f>
        <v>3.7367945968340081E-2</v>
      </c>
      <c r="G205" s="72" cm="1">
        <f t="array" aca="1" ref="G205" ca="1">IF(ISNUMBER(D205),IF(D205&gt;=101,INDEX($B$102:$B$202,101),INDEX($B$102:$B$202,D205)+(C205-INDEX($C$102:$C$202,D205))/MAX(0.000000000001,INDEX($C$102:$C$202,D205+1)-INDEX($C$102:$C$202,D205))*(INDEX($B$102:$B$202,D205+1)-INDEX($B$102:$B$202,D205))),NA())</f>
        <v>5.0000000000000001E-3</v>
      </c>
    </row>
    <row r="206" spans="2:7" hidden="1" outlineLevel="1" x14ac:dyDescent="0.45">
      <c r="B206" s="73">
        <v>1</v>
      </c>
      <c r="C206" s="71">
        <f ca="1">IF(ISNUMBER($C$102),$C$102+($C$202-$C$102)*1/24,NA())</f>
        <v>199.24416613094209</v>
      </c>
      <c r="D206" s="74">
        <f t="shared" ca="1" si="7"/>
        <v>5</v>
      </c>
      <c r="E206" s="71">
        <f t="shared" ca="1" si="8"/>
        <v>215.32953974267502</v>
      </c>
      <c r="F206" s="72">
        <f t="shared" ca="1" si="9"/>
        <v>0.10864247643579637</v>
      </c>
      <c r="G206" s="72" cm="1">
        <f t="array" aca="1" ref="G206" ca="1">IF(ISNUMBER(D206),IF(D206&gt;=101,INDEX($B$102:$B$202,101),INDEX($B$102:$B$202,D206)+(C206-INDEX($C$102:$C$202,D206))/MAX(0.000000000001,INDEX($C$102:$C$202,D206+1)-INDEX($C$102:$C$202,D206))*(INDEX($B$102:$B$202,D206+1)-INDEX($B$102:$B$202,D206))),NA())</f>
        <v>4.2367945968340079E-2</v>
      </c>
    </row>
    <row r="207" spans="2:7" hidden="1" outlineLevel="1" x14ac:dyDescent="0.45">
      <c r="B207" s="73">
        <v>2</v>
      </c>
      <c r="C207" s="71">
        <f ca="1">IF(ISNUMBER($C$102),$C$102+($C$202-$C$102)*2/24,NA())</f>
        <v>231.41491335440799</v>
      </c>
      <c r="D207" s="74">
        <f t="shared" ca="1" si="7"/>
        <v>16</v>
      </c>
      <c r="E207" s="71">
        <f t="shared" ca="1" si="8"/>
        <v>247.50028696614092</v>
      </c>
      <c r="F207" s="72">
        <f t="shared" ca="1" si="9"/>
        <v>0.17641198530481819</v>
      </c>
      <c r="G207" s="72" cm="1">
        <f t="array" aca="1" ref="G207" ca="1">IF(ISNUMBER(D207),IF(D207&gt;=101,INDEX($B$102:$B$202,101),INDEX($B$102:$B$202,D207)+(C207-INDEX($C$102:$C$202,D207))/MAX(0.000000000001,INDEX($C$102:$C$202,D207+1)-INDEX($C$102:$C$202,D207))*(INDEX($B$102:$B$202,D207+1)-INDEX($B$102:$B$202,D207))),NA())</f>
        <v>0.15101042240413645</v>
      </c>
    </row>
    <row r="208" spans="2:7" hidden="1" outlineLevel="1" x14ac:dyDescent="0.45">
      <c r="B208" s="73">
        <v>3</v>
      </c>
      <c r="C208" s="71">
        <f ca="1">IF(ISNUMBER($C$102),$C$102+($C$202-$C$102)*3/24,NA())</f>
        <v>263.58566057787385</v>
      </c>
      <c r="D208" s="74">
        <f t="shared" ca="1" si="7"/>
        <v>33</v>
      </c>
      <c r="E208" s="71">
        <f t="shared" ca="1" si="8"/>
        <v>279.67103418960676</v>
      </c>
      <c r="F208" s="72">
        <f t="shared" ca="1" si="9"/>
        <v>0.20227856879798617</v>
      </c>
      <c r="G208" s="72" cm="1">
        <f t="array" aca="1" ref="G208" ca="1">IF(ISNUMBER(D208),IF(D208&gt;=101,INDEX($B$102:$B$202,101),INDEX($B$102:$B$202,D208)+(C208-INDEX($C$102:$C$202,D208))/MAX(0.000000000001,INDEX($C$102:$C$202,D208+1)-INDEX($C$102:$C$202,D208))*(INDEX($B$102:$B$202,D208+1)-INDEX($B$102:$B$202,D208))),NA())</f>
        <v>0.32742240770895464</v>
      </c>
    </row>
    <row r="209" spans="2:7" hidden="1" outlineLevel="1" x14ac:dyDescent="0.45">
      <c r="B209" s="73">
        <v>4</v>
      </c>
      <c r="C209" s="71">
        <f ca="1">IF(ISNUMBER($C$102),$C$102+($C$202-$C$102)*4/24,NA())</f>
        <v>295.75640780133972</v>
      </c>
      <c r="D209" s="74">
        <f t="shared" ca="1" si="7"/>
        <v>53</v>
      </c>
      <c r="E209" s="71">
        <f t="shared" ca="1" si="8"/>
        <v>311.84178141307268</v>
      </c>
      <c r="F209" s="72">
        <f t="shared" ca="1" si="9"/>
        <v>0.16753974948176864</v>
      </c>
      <c r="G209" s="72" cm="1">
        <f t="array" aca="1" ref="G209" ca="1">IF(ISNUMBER(D209),IF(D209&gt;=101,INDEX($B$102:$B$202,101),INDEX($B$102:$B$202,D209)+(C209-INDEX($C$102:$C$202,D209))/MAX(0.000000000001,INDEX($C$102:$C$202,D209+1)-INDEX($C$102:$C$202,D209))*(INDEX($B$102:$B$202,D209+1)-INDEX($B$102:$B$202,D209))),NA())</f>
        <v>0.52970097650694081</v>
      </c>
    </row>
    <row r="210" spans="2:7" hidden="1" outlineLevel="1" x14ac:dyDescent="0.45">
      <c r="B210" s="73">
        <v>5</v>
      </c>
      <c r="C210" s="71">
        <f ca="1">IF(ISNUMBER($C$102),$C$102+($C$202-$C$102)*5/24,NA())</f>
        <v>327.92715502480564</v>
      </c>
      <c r="D210" s="74">
        <f t="shared" ca="1" si="7"/>
        <v>70</v>
      </c>
      <c r="E210" s="71">
        <f t="shared" ca="1" si="8"/>
        <v>344.0125286365386</v>
      </c>
      <c r="F210" s="72">
        <f t="shared" ca="1" si="9"/>
        <v>0.1138724182908103</v>
      </c>
      <c r="G210" s="72" cm="1">
        <f t="array" aca="1" ref="G210" ca="1">IF(ISNUMBER(D210),IF(D210&gt;=101,INDEX($B$102:$B$202,101),INDEX($B$102:$B$202,D210)+(C210-INDEX($C$102:$C$202,D210))/MAX(0.000000000001,INDEX($C$102:$C$202,D210+1)-INDEX($C$102:$C$202,D210))*(INDEX($B$102:$B$202,D210+1)-INDEX($B$102:$B$202,D210))),NA())</f>
        <v>0.69724072598870945</v>
      </c>
    </row>
    <row r="211" spans="2:7" hidden="1" outlineLevel="1" x14ac:dyDescent="0.45">
      <c r="B211" s="73">
        <v>6</v>
      </c>
      <c r="C211" s="71">
        <f ca="1">IF(ISNUMBER($C$102),$C$102+($C$202-$C$102)*6/24,NA())</f>
        <v>360.09790224827151</v>
      </c>
      <c r="D211" s="74">
        <f t="shared" ca="1" si="7"/>
        <v>82</v>
      </c>
      <c r="E211" s="71">
        <f t="shared" ca="1" si="8"/>
        <v>376.18327586000441</v>
      </c>
      <c r="F211" s="72">
        <f t="shared" ca="1" si="9"/>
        <v>5.7936208250220389E-2</v>
      </c>
      <c r="G211" s="72" cm="1">
        <f t="array" aca="1" ref="G211" ca="1">IF(ISNUMBER(D211),IF(D211&gt;=101,INDEX($B$102:$B$202,101),INDEX($B$102:$B$202,D211)+(C211-INDEX($C$102:$C$202,D211))/MAX(0.000000000001,INDEX($C$102:$C$202,D211+1)-INDEX($C$102:$C$202,D211))*(INDEX($B$102:$B$202,D211+1)-INDEX($B$102:$B$202,D211))),NA())</f>
        <v>0.81111314427951975</v>
      </c>
    </row>
    <row r="212" spans="2:7" hidden="1" outlineLevel="1" x14ac:dyDescent="0.45">
      <c r="B212" s="73">
        <v>7</v>
      </c>
      <c r="C212" s="71">
        <f ca="1">IF(ISNUMBER($C$102),$C$102+($C$202-$C$102)*7/24,NA())</f>
        <v>392.26864947173738</v>
      </c>
      <c r="D212" s="74">
        <f t="shared" ca="1" si="7"/>
        <v>87</v>
      </c>
      <c r="E212" s="71">
        <f t="shared" ca="1" si="8"/>
        <v>408.35402308347034</v>
      </c>
      <c r="F212" s="72">
        <f t="shared" ca="1" si="9"/>
        <v>2.2915759822165649E-2</v>
      </c>
      <c r="G212" s="72" cm="1">
        <f t="array" aca="1" ref="G212" ca="1">IF(ISNUMBER(D212),IF(D212&gt;=101,INDEX($B$102:$B$202,101),INDEX($B$102:$B$202,D212)+(C212-INDEX($C$102:$C$202,D212))/MAX(0.000000000001,INDEX($C$102:$C$202,D212+1)-INDEX($C$102:$C$202,D212))*(INDEX($B$102:$B$202,D212+1)-INDEX($B$102:$B$202,D212))),NA())</f>
        <v>0.86904935252974014</v>
      </c>
    </row>
    <row r="213" spans="2:7" hidden="1" outlineLevel="1" x14ac:dyDescent="0.45">
      <c r="B213" s="73">
        <v>8</v>
      </c>
      <c r="C213" s="71">
        <f ca="1">IF(ISNUMBER($C$102),$C$102+($C$202-$C$102)*8/24,NA())</f>
        <v>424.4393966952033</v>
      </c>
      <c r="D213" s="74">
        <f t="shared" ca="1" si="7"/>
        <v>90</v>
      </c>
      <c r="E213" s="71">
        <f t="shared" ca="1" si="8"/>
        <v>440.52477030693626</v>
      </c>
      <c r="F213" s="72">
        <f t="shared" ca="1" si="9"/>
        <v>8.9770080955637876E-3</v>
      </c>
      <c r="G213" s="72" cm="1">
        <f t="array" aca="1" ref="G213" ca="1">IF(ISNUMBER(D213),IF(D213&gt;=101,INDEX($B$102:$B$202,101),INDEX($B$102:$B$202,D213)+(C213-INDEX($C$102:$C$202,D213))/MAX(0.000000000001,INDEX($C$102:$C$202,D213+1)-INDEX($C$102:$C$202,D213))*(INDEX($B$102:$B$202,D213+1)-INDEX($B$102:$B$202,D213))),NA())</f>
        <v>0.89196511235190579</v>
      </c>
    </row>
    <row r="214" spans="2:7" hidden="1" outlineLevel="1" x14ac:dyDescent="0.45">
      <c r="B214" s="73">
        <v>9</v>
      </c>
      <c r="C214" s="71">
        <f ca="1">IF(ISNUMBER($C$102),$C$102+($C$202-$C$102)*9/24,NA())</f>
        <v>456.61014391866917</v>
      </c>
      <c r="D214" s="74">
        <f t="shared" ca="1" si="7"/>
        <v>91</v>
      </c>
      <c r="E214" s="71">
        <f t="shared" ca="1" si="8"/>
        <v>472.69551753040207</v>
      </c>
      <c r="F214" s="72">
        <f t="shared" ca="1" si="9"/>
        <v>3.3068762712304967E-3</v>
      </c>
      <c r="G214" s="72" cm="1">
        <f t="array" aca="1" ref="G214" ca="1">IF(ISNUMBER(D214),IF(D214&gt;=101,INDEX($B$102:$B$202,101),INDEX($B$102:$B$202,D214)+(C214-INDEX($C$102:$C$202,D214))/MAX(0.000000000001,INDEX($C$102:$C$202,D214+1)-INDEX($C$102:$C$202,D214))*(INDEX($B$102:$B$202,D214+1)-INDEX($B$102:$B$202,D214))),NA())</f>
        <v>0.90094212044746957</v>
      </c>
    </row>
    <row r="215" spans="2:7" hidden="1" outlineLevel="1" x14ac:dyDescent="0.45">
      <c r="B215" s="73">
        <v>10</v>
      </c>
      <c r="C215" s="71">
        <f ca="1">IF(ISNUMBER($C$102),$C$102+($C$202-$C$102)*10/24,NA())</f>
        <v>488.78089114213503</v>
      </c>
      <c r="D215" s="74">
        <f t="shared" ca="1" si="7"/>
        <v>91</v>
      </c>
      <c r="E215" s="71">
        <f t="shared" ca="1" si="8"/>
        <v>504.86626475386799</v>
      </c>
      <c r="F215" s="72">
        <f t="shared" ca="1" si="9"/>
        <v>3.3068762712303856E-3</v>
      </c>
      <c r="G215" s="72" cm="1">
        <f t="array" aca="1" ref="G215" ca="1">IF(ISNUMBER(D215),IF(D215&gt;=101,INDEX($B$102:$B$202,101),INDEX($B$102:$B$202,D215)+(C215-INDEX($C$102:$C$202,D215))/MAX(0.000000000001,INDEX($C$102:$C$202,D215+1)-INDEX($C$102:$C$202,D215))*(INDEX($B$102:$B$202,D215+1)-INDEX($B$102:$B$202,D215))),NA())</f>
        <v>0.90424899671870007</v>
      </c>
    </row>
    <row r="216" spans="2:7" hidden="1" outlineLevel="1" x14ac:dyDescent="0.45">
      <c r="B216" s="73">
        <v>11</v>
      </c>
      <c r="C216" s="71">
        <f ca="1">IF(ISNUMBER($C$102),$C$102+($C$202-$C$102)*11/24,NA())</f>
        <v>520.95163836560096</v>
      </c>
      <c r="D216" s="74">
        <f t="shared" ca="1" si="7"/>
        <v>91</v>
      </c>
      <c r="E216" s="71">
        <f t="shared" ca="1" si="8"/>
        <v>537.03701197733392</v>
      </c>
      <c r="F216" s="72">
        <f t="shared" ca="1" si="9"/>
        <v>4.0538771243041616E-3</v>
      </c>
      <c r="G216" s="72" cm="1">
        <f t="array" aca="1" ref="G216" ca="1">IF(ISNUMBER(D216),IF(D216&gt;=101,INDEX($B$102:$B$202,101),INDEX($B$102:$B$202,D216)+(C216-INDEX($C$102:$C$202,D216))/MAX(0.000000000001,INDEX($C$102:$C$202,D216+1)-INDEX($C$102:$C$202,D216))*(INDEX($B$102:$B$202,D216+1)-INDEX($B$102:$B$202,D216))),NA())</f>
        <v>0.90755587298993046</v>
      </c>
    </row>
    <row r="217" spans="2:7" hidden="1" outlineLevel="1" x14ac:dyDescent="0.45">
      <c r="B217" s="73">
        <v>12</v>
      </c>
      <c r="C217" s="71">
        <f ca="1">IF(ISNUMBER($C$102),$C$102+($C$202-$C$102)*12/24,NA())</f>
        <v>553.12238558906688</v>
      </c>
      <c r="D217" s="74">
        <f t="shared" ca="1" si="7"/>
        <v>92</v>
      </c>
      <c r="E217" s="71">
        <f t="shared" ca="1" si="8"/>
        <v>569.20775920079973</v>
      </c>
      <c r="F217" s="72">
        <f t="shared" ca="1" si="9"/>
        <v>6.1700944816925896E-3</v>
      </c>
      <c r="G217" s="72" cm="1">
        <f t="array" aca="1" ref="G217" ca="1">IF(ISNUMBER(D217),IF(D217&gt;=101,INDEX($B$102:$B$202,101),INDEX($B$102:$B$202,D217)+(C217-INDEX($C$102:$C$202,D217))/MAX(0.000000000001,INDEX($C$102:$C$202,D217+1)-INDEX($C$102:$C$202,D217))*(INDEX($B$102:$B$202,D217+1)-INDEX($B$102:$B$202,D217))),NA())</f>
        <v>0.91160975011423462</v>
      </c>
    </row>
    <row r="218" spans="2:7" hidden="1" outlineLevel="1" x14ac:dyDescent="0.45">
      <c r="B218" s="73">
        <v>13</v>
      </c>
      <c r="C218" s="71">
        <f ca="1">IF(ISNUMBER($C$102),$C$102+($C$202-$C$102)*13/24,NA())</f>
        <v>585.29313281253269</v>
      </c>
      <c r="D218" s="74">
        <f t="shared" ca="1" si="7"/>
        <v>92</v>
      </c>
      <c r="E218" s="71">
        <f t="shared" ca="1" si="8"/>
        <v>601.37850642426565</v>
      </c>
      <c r="F218" s="72">
        <f t="shared" ca="1" si="9"/>
        <v>7.2487072975950806E-3</v>
      </c>
      <c r="G218" s="72" cm="1">
        <f t="array" aca="1" ref="G218" ca="1">IF(ISNUMBER(D218),IF(D218&gt;=101,INDEX($B$102:$B$202,101),INDEX($B$102:$B$202,D218)+(C218-INDEX($C$102:$C$202,D218))/MAX(0.000000000001,INDEX($C$102:$C$202,D218+1)-INDEX($C$102:$C$202,D218))*(INDEX($B$102:$B$202,D218+1)-INDEX($B$102:$B$202,D218))),NA())</f>
        <v>0.91777984459592721</v>
      </c>
    </row>
    <row r="219" spans="2:7" hidden="1" outlineLevel="1" x14ac:dyDescent="0.45">
      <c r="B219" s="73">
        <v>14</v>
      </c>
      <c r="C219" s="71">
        <f ca="1">IF(ISNUMBER($C$102),$C$102+($C$202-$C$102)*14/24,NA())</f>
        <v>617.46388003599861</v>
      </c>
      <c r="D219" s="74">
        <f t="shared" ca="1" si="7"/>
        <v>93</v>
      </c>
      <c r="E219" s="71">
        <f t="shared" ca="1" si="8"/>
        <v>633.54925364773158</v>
      </c>
      <c r="F219" s="72">
        <f t="shared" ca="1" si="9"/>
        <v>7.6331706961332291E-3</v>
      </c>
      <c r="G219" s="72" cm="1">
        <f t="array" aca="1" ref="G219" ca="1">IF(ISNUMBER(D219),IF(D219&gt;=101,INDEX($B$102:$B$202,101),INDEX($B$102:$B$202,D219)+(C219-INDEX($C$102:$C$202,D219))/MAX(0.000000000001,INDEX($C$102:$C$202,D219+1)-INDEX($C$102:$C$202,D219))*(INDEX($B$102:$B$202,D219+1)-INDEX($B$102:$B$202,D219))),NA())</f>
        <v>0.92502855189352229</v>
      </c>
    </row>
    <row r="220" spans="2:7" hidden="1" outlineLevel="1" x14ac:dyDescent="0.45">
      <c r="B220" s="73">
        <v>15</v>
      </c>
      <c r="C220" s="71">
        <f ca="1">IF(ISNUMBER($C$102),$C$102+($C$202-$C$102)*15/24,NA())</f>
        <v>649.63462725946454</v>
      </c>
      <c r="D220" s="74">
        <f t="shared" ca="1" si="7"/>
        <v>94</v>
      </c>
      <c r="E220" s="71">
        <f t="shared" ca="1" si="8"/>
        <v>665.7200008711975</v>
      </c>
      <c r="F220" s="72">
        <f t="shared" ca="1" si="9"/>
        <v>7.250774080843736E-3</v>
      </c>
      <c r="G220" s="72" cm="1">
        <f t="array" aca="1" ref="G220" ca="1">IF(ISNUMBER(D220),IF(D220&gt;=101,INDEX($B$102:$B$202,101),INDEX($B$102:$B$202,D220)+(C220-INDEX($C$102:$C$202,D220))/MAX(0.000000000001,INDEX($C$102:$C$202,D220+1)-INDEX($C$102:$C$202,D220))*(INDEX($B$102:$B$202,D220+1)-INDEX($B$102:$B$202,D220))),NA())</f>
        <v>0.93266172258965552</v>
      </c>
    </row>
    <row r="221" spans="2:7" hidden="1" outlineLevel="1" x14ac:dyDescent="0.45">
      <c r="B221" s="73">
        <v>16</v>
      </c>
      <c r="C221" s="71">
        <f ca="1">IF(ISNUMBER($C$102),$C$102+($C$202-$C$102)*16/24,NA())</f>
        <v>681.80537448293035</v>
      </c>
      <c r="D221" s="74">
        <f t="shared" ca="1" si="7"/>
        <v>94</v>
      </c>
      <c r="E221" s="71">
        <f t="shared" ca="1" si="8"/>
        <v>697.89074809466331</v>
      </c>
      <c r="F221" s="72">
        <f t="shared" ca="1" si="9"/>
        <v>8.4602901876558168E-3</v>
      </c>
      <c r="G221" s="72" cm="1">
        <f t="array" aca="1" ref="G221" ca="1">IF(ISNUMBER(D221),IF(D221&gt;=101,INDEX($B$102:$B$202,101),INDEX($B$102:$B$202,D221)+(C221-INDEX($C$102:$C$202,D221))/MAX(0.000000000001,INDEX($C$102:$C$202,D221+1)-INDEX($C$102:$C$202,D221))*(INDEX($B$102:$B$202,D221+1)-INDEX($B$102:$B$202,D221))),NA())</f>
        <v>0.93991249667049925</v>
      </c>
    </row>
    <row r="222" spans="2:7" hidden="1" outlineLevel="1" x14ac:dyDescent="0.45">
      <c r="B222" s="73">
        <v>17</v>
      </c>
      <c r="C222" s="71">
        <f ca="1">IF(ISNUMBER($C$102),$C$102+($C$202-$C$102)*17/24,NA())</f>
        <v>713.97612170639627</v>
      </c>
      <c r="D222" s="74">
        <f t="shared" ca="1" si="7"/>
        <v>95</v>
      </c>
      <c r="E222" s="71">
        <f t="shared" ca="1" si="8"/>
        <v>730.06149531812923</v>
      </c>
      <c r="F222" s="72">
        <f t="shared" ca="1" si="9"/>
        <v>9.339966867205507E-3</v>
      </c>
      <c r="G222" s="72" cm="1">
        <f t="array" aca="1" ref="G222" ca="1">IF(ISNUMBER(D222),IF(D222&gt;=101,INDEX($B$102:$B$202,101),INDEX($B$102:$B$202,D222)+(C222-INDEX($C$102:$C$202,D222))/MAX(0.000000000001,INDEX($C$102:$C$202,D222+1)-INDEX($C$102:$C$202,D222))*(INDEX($B$102:$B$202,D222+1)-INDEX($B$102:$B$202,D222))),NA())</f>
        <v>0.94837278685815507</v>
      </c>
    </row>
    <row r="223" spans="2:7" hidden="1" outlineLevel="1" x14ac:dyDescent="0.45">
      <c r="B223" s="73">
        <v>18</v>
      </c>
      <c r="C223" s="71">
        <f ca="1">IF(ISNUMBER($C$102),$C$102+($C$202-$C$102)*18/24,NA())</f>
        <v>746.14686892986219</v>
      </c>
      <c r="D223" s="74">
        <f t="shared" ca="1" si="7"/>
        <v>96</v>
      </c>
      <c r="E223" s="71">
        <f t="shared" ca="1" si="8"/>
        <v>762.23224254159516</v>
      </c>
      <c r="F223" s="72">
        <f t="shared" ca="1" si="9"/>
        <v>1.0701331324157626E-2</v>
      </c>
      <c r="G223" s="72" cm="1">
        <f t="array" aca="1" ref="G223" ca="1">IF(ISNUMBER(D223),IF(D223&gt;=101,INDEX($B$102:$B$202,101),INDEX($B$102:$B$202,D223)+(C223-INDEX($C$102:$C$202,D223))/MAX(0.000000000001,INDEX($C$102:$C$202,D223+1)-INDEX($C$102:$C$202,D223))*(INDEX($B$102:$B$202,D223+1)-INDEX($B$102:$B$202,D223))),NA())</f>
        <v>0.95771275372536058</v>
      </c>
    </row>
    <row r="224" spans="2:7" hidden="1" outlineLevel="1" x14ac:dyDescent="0.45">
      <c r="B224" s="73">
        <v>19</v>
      </c>
      <c r="C224" s="71">
        <f ca="1">IF(ISNUMBER($C$102),$C$102+($C$202-$C$102)*19/24,NA())</f>
        <v>778.31761615332812</v>
      </c>
      <c r="D224" s="74">
        <f t="shared" ca="1" si="7"/>
        <v>97</v>
      </c>
      <c r="E224" s="71">
        <f t="shared" ca="1" si="8"/>
        <v>794.40298976506097</v>
      </c>
      <c r="F224" s="72">
        <f t="shared" ca="1" si="9"/>
        <v>7.6844156327154911E-3</v>
      </c>
      <c r="G224" s="72" cm="1">
        <f t="array" aca="1" ref="G224" ca="1">IF(ISNUMBER(D224),IF(D224&gt;=101,INDEX($B$102:$B$202,101),INDEX($B$102:$B$202,D224)+(C224-INDEX($C$102:$C$202,D224))/MAX(0.000000000001,INDEX($C$102:$C$202,D224+1)-INDEX($C$102:$C$202,D224))*(INDEX($B$102:$B$202,D224+1)-INDEX($B$102:$B$202,D224))),NA())</f>
        <v>0.9684140850495182</v>
      </c>
    </row>
    <row r="225" spans="2:7" hidden="1" outlineLevel="1" x14ac:dyDescent="0.45">
      <c r="B225" s="73">
        <v>20</v>
      </c>
      <c r="C225" s="71">
        <f ca="1">IF(ISNUMBER($C$102),$C$102+($C$202-$C$102)*20/24,NA())</f>
        <v>810.48836337679381</v>
      </c>
      <c r="D225" s="74">
        <f t="shared" ca="1" si="7"/>
        <v>98</v>
      </c>
      <c r="E225" s="71">
        <f t="shared" ca="1" si="8"/>
        <v>826.57373698852678</v>
      </c>
      <c r="F225" s="72">
        <f t="shared" ca="1" si="9"/>
        <v>6.1528630837628384E-3</v>
      </c>
      <c r="G225" s="72" cm="1">
        <f t="array" aca="1" ref="G225" ca="1">IF(ISNUMBER(D225),IF(D225&gt;=101,INDEX($B$102:$B$202,101),INDEX($B$102:$B$202,D225)+(C225-INDEX($C$102:$C$202,D225))/MAX(0.000000000001,INDEX($C$102:$C$202,D225+1)-INDEX($C$102:$C$202,D225))*(INDEX($B$102:$B$202,D225+1)-INDEX($B$102:$B$202,D225))),NA())</f>
        <v>0.97609850068223369</v>
      </c>
    </row>
    <row r="226" spans="2:7" hidden="1" outlineLevel="1" x14ac:dyDescent="0.45">
      <c r="B226" s="73">
        <v>21</v>
      </c>
      <c r="C226" s="71">
        <f ca="1">IF(ISNUMBER($C$102),$C$102+($C$202-$C$102)*21/24,NA())</f>
        <v>842.65911060025974</v>
      </c>
      <c r="D226" s="74">
        <f t="shared" ca="1" si="7"/>
        <v>99</v>
      </c>
      <c r="E226" s="71">
        <f t="shared" ca="1" si="8"/>
        <v>858.7444842119927</v>
      </c>
      <c r="F226" s="72">
        <f t="shared" ca="1" si="9"/>
        <v>4.9815415564002929E-3</v>
      </c>
      <c r="G226" s="72" cm="1">
        <f t="array" aca="1" ref="G226" ca="1">IF(ISNUMBER(D226),IF(D226&gt;=101,INDEX($B$102:$B$202,101),INDEX($B$102:$B$202,D226)+(C226-INDEX($C$102:$C$202,D226))/MAX(0.000000000001,INDEX($C$102:$C$202,D226+1)-INDEX($C$102:$C$202,D226))*(INDEX($B$102:$B$202,D226+1)-INDEX($B$102:$B$202,D226))),NA())</f>
        <v>0.98225136376599653</v>
      </c>
    </row>
    <row r="227" spans="2:7" hidden="1" outlineLevel="1" x14ac:dyDescent="0.45">
      <c r="B227" s="73">
        <v>22</v>
      </c>
      <c r="C227" s="71">
        <f ca="1">IF(ISNUMBER($C$102),$C$102+($C$202-$C$102)*22/24,NA())</f>
        <v>874.82985782372566</v>
      </c>
      <c r="D227" s="74">
        <f t="shared" ca="1" si="7"/>
        <v>99</v>
      </c>
      <c r="E227" s="71">
        <f t="shared" ca="1" si="8"/>
        <v>890.91523143545862</v>
      </c>
      <c r="F227" s="72">
        <f t="shared" ca="1" si="9"/>
        <v>4.3057622968878384E-3</v>
      </c>
      <c r="G227" s="72" cm="1">
        <f t="array" aca="1" ref="G227" ca="1">IF(ISNUMBER(D227),IF(D227&gt;=101,INDEX($B$102:$B$202,101),INDEX($B$102:$B$202,D227)+(C227-INDEX($C$102:$C$202,D227))/MAX(0.000000000001,INDEX($C$102:$C$202,D227+1)-INDEX($C$102:$C$202,D227))*(INDEX($B$102:$B$202,D227+1)-INDEX($B$102:$B$202,D227))),NA())</f>
        <v>0.98723290532239683</v>
      </c>
    </row>
    <row r="228" spans="2:7" hidden="1" outlineLevel="1" x14ac:dyDescent="0.45">
      <c r="B228" s="73">
        <v>23</v>
      </c>
      <c r="C228" s="71">
        <f ca="1">IF(ISNUMBER($C$102),$C$102+($C$202-$C$102)*23/24,NA())</f>
        <v>907.00060504719158</v>
      </c>
      <c r="D228" s="74">
        <f t="shared" ca="1" si="7"/>
        <v>100</v>
      </c>
      <c r="E228" s="71">
        <f t="shared" ca="1" si="8"/>
        <v>923.08597865892455</v>
      </c>
      <c r="F228" s="72">
        <f t="shared" ca="1" si="9"/>
        <v>3.4613323807153318E-3</v>
      </c>
      <c r="G228" s="72" cm="1">
        <f t="array" aca="1" ref="G228" ca="1">IF(ISNUMBER(D228),IF(D228&gt;=101,INDEX($B$102:$B$202,101),INDEX($B$102:$B$202,D228)+(C228-INDEX($C$102:$C$202,D228))/MAX(0.000000000001,INDEX($C$102:$C$202,D228+1)-INDEX($C$102:$C$202,D228))*(INDEX($B$102:$B$202,D228+1)-INDEX($B$102:$B$202,D228))),NA())</f>
        <v>0.99153866761928466</v>
      </c>
    </row>
    <row r="229" spans="2:7" hidden="1" outlineLevel="1" x14ac:dyDescent="0.45">
      <c r="B229" s="73">
        <v>24</v>
      </c>
      <c r="C229" s="71">
        <f ca="1">IF(ISNUMBER($C$102),$C$102+($C$202-$C$102)*24/24,NA())</f>
        <v>939.17135227065751</v>
      </c>
      <c r="D229" s="74">
        <f t="shared" ca="1" si="7"/>
        <v>101</v>
      </c>
      <c r="G229" s="72" cm="1">
        <f t="array" aca="1" ref="G229" ca="1">IF(ISNUMBER(D229),IF(D229&gt;=101,INDEX($B$102:$B$202,101),INDEX($B$102:$B$202,D229)+(C229-INDEX($C$102:$C$202,D229))/MAX(0.000000000001,INDEX($C$102:$C$202,D229+1)-INDEX($C$102:$C$202,D229))*(INDEX($B$102:$B$202,D229+1)-INDEX($B$102:$B$202,D229))),NA())</f>
        <v>0.995</v>
      </c>
    </row>
  </sheetData>
  <mergeCells count="4">
    <mergeCell ref="B44:G44"/>
    <mergeCell ref="B43:G43"/>
    <mergeCell ref="B42:G42"/>
    <mergeCell ref="B41:G41"/>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02:G229">
    <cfRule type="expression" dxfId="1" priority="4">
      <formula>ISNA($C$102)</formula>
    </cfRule>
  </conditionalFormatting>
  <conditionalFormatting sqref="D50:F99">
    <cfRule type="expression" dxfId="0" priority="3">
      <formula>ISNA(D50)</formula>
    </cfRule>
  </conditionalFormatting>
  <hyperlinks>
    <hyperlink ref="B4" location="'Inventory'!A1" display="◂  Inventory" xr:uid="{00000000-0004-0000-0400-000000000000}"/>
  </hyperlinks>
  <printOptions horizontalCentered="1"/>
  <pageMargins left="0.4" right="0.4" top="0.5" bottom="0.6" header="0.25" footer="0.25"/>
  <pageSetup paperSize="9" fitToHeight="0" orientation="landscape"/>
  <headerFooter>
    <oddFooter>&amp;L&amp;K3F5876&amp;8&amp;F · &amp;A&amp;R&amp;K3F5876&amp;8Page &amp;P of &amp;N</oddFooter>
  </headerFooter>
  <rowBreaks count="1" manualBreakCount="1">
    <brk id="39" max="16383" man="1"/>
  </row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2"/>
  <sheetViews>
    <sheetView workbookViewId="0"/>
  </sheetViews>
  <sheetFormatPr defaultRowHeight="14.25" x14ac:dyDescent="0.45"/>
  <sheetData>
    <row r="1" spans="1:5" x14ac:dyDescent="0.45">
      <c r="A1" s="75" t="s">
        <v>276</v>
      </c>
      <c r="B1">
        <v>0</v>
      </c>
      <c r="C1">
        <v>1</v>
      </c>
      <c r="D1">
        <v>1</v>
      </c>
      <c r="E1" s="75" t="s">
        <v>277</v>
      </c>
    </row>
    <row r="2" spans="1:5" x14ac:dyDescent="0.45">
      <c r="A2">
        <v>1</v>
      </c>
      <c r="B2" s="75" t="s">
        <v>278</v>
      </c>
      <c r="C2">
        <v>1</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94B95-BE64-4D70-A2DB-20D04C0AD6DC}">
  <dimension ref="A1:B1"/>
  <sheetViews>
    <sheetView workbookViewId="0"/>
  </sheetViews>
  <sheetFormatPr defaultRowHeight="14.25" x14ac:dyDescent="0.45"/>
  <sheetData>
    <row r="1" spans="1:2" x14ac:dyDescent="0.45">
      <c r="A1" s="83" t="s">
        <v>283</v>
      </c>
      <c r="B1">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1A5D3-2BCA-4169-A4EB-B18C9721BD74}">
  <dimension ref="A1"/>
  <sheetViews>
    <sheetView workbookViewId="0"/>
  </sheetViews>
  <sheetFormatPr defaultRowHeight="14.25" x14ac:dyDescent="0.4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ACAED-A160-4E23-929A-569927CA5F9A}">
  <dimension ref="B3:B72"/>
  <sheetViews>
    <sheetView workbookViewId="0"/>
  </sheetViews>
  <sheetFormatPr defaultRowHeight="14.25" x14ac:dyDescent="0.45"/>
  <sheetData>
    <row r="3" spans="2:2" x14ac:dyDescent="0.45">
      <c r="B3">
        <v>65</v>
      </c>
    </row>
    <row r="4" spans="2:2" x14ac:dyDescent="0.45">
      <c r="B4">
        <v>154</v>
      </c>
    </row>
    <row r="5" spans="2:2" x14ac:dyDescent="0.45">
      <c r="B5">
        <v>298</v>
      </c>
    </row>
    <row r="6" spans="2:2" x14ac:dyDescent="0.45">
      <c r="B6">
        <v>330</v>
      </c>
    </row>
    <row r="7" spans="2:2" x14ac:dyDescent="0.45">
      <c r="B7">
        <v>367</v>
      </c>
    </row>
    <row r="8" spans="2:2" x14ac:dyDescent="0.45">
      <c r="B8">
        <v>317</v>
      </c>
    </row>
    <row r="9" spans="2:2" x14ac:dyDescent="0.45">
      <c r="B9">
        <v>237</v>
      </c>
    </row>
    <row r="10" spans="2:2" x14ac:dyDescent="0.45">
      <c r="B10">
        <v>156</v>
      </c>
    </row>
    <row r="11" spans="2:2" x14ac:dyDescent="0.45">
      <c r="B11">
        <v>67</v>
      </c>
    </row>
    <row r="12" spans="2:2" x14ac:dyDescent="0.45">
      <c r="B12">
        <v>9</v>
      </c>
    </row>
    <row r="13" spans="2:2" x14ac:dyDescent="0.45">
      <c r="B13">
        <v>1821</v>
      </c>
    </row>
    <row r="14" spans="2:2" x14ac:dyDescent="0.45">
      <c r="B14">
        <v>0</v>
      </c>
    </row>
    <row r="15" spans="2:2" x14ac:dyDescent="0.45">
      <c r="B15">
        <v>0</v>
      </c>
    </row>
    <row r="16" spans="2:2" x14ac:dyDescent="0.45">
      <c r="B16">
        <v>16</v>
      </c>
    </row>
    <row r="17" spans="2:2" x14ac:dyDescent="0.45">
      <c r="B17">
        <v>30</v>
      </c>
    </row>
    <row r="18" spans="2:2" x14ac:dyDescent="0.45">
      <c r="B18">
        <v>47</v>
      </c>
    </row>
    <row r="19" spans="2:2" x14ac:dyDescent="0.45">
      <c r="B19">
        <v>41</v>
      </c>
    </row>
    <row r="20" spans="2:2" x14ac:dyDescent="0.45">
      <c r="B20">
        <v>26</v>
      </c>
    </row>
    <row r="21" spans="2:2" x14ac:dyDescent="0.45">
      <c r="B21">
        <v>12</v>
      </c>
    </row>
    <row r="22" spans="2:2" x14ac:dyDescent="0.45">
      <c r="B22">
        <v>7</v>
      </c>
    </row>
    <row r="23" spans="2:2" x14ac:dyDescent="0.45">
      <c r="B23">
        <v>1944</v>
      </c>
    </row>
    <row r="24" spans="2:2" x14ac:dyDescent="0.45">
      <c r="B24">
        <v>11</v>
      </c>
    </row>
    <row r="25" spans="2:2" x14ac:dyDescent="0.45">
      <c r="B25">
        <v>15</v>
      </c>
    </row>
    <row r="26" spans="2:2" x14ac:dyDescent="0.45">
      <c r="B26">
        <v>7</v>
      </c>
    </row>
    <row r="27" spans="2:2" x14ac:dyDescent="0.45">
      <c r="B27">
        <v>11</v>
      </c>
    </row>
    <row r="28" spans="2:2" x14ac:dyDescent="0.45">
      <c r="B28">
        <v>6</v>
      </c>
    </row>
    <row r="29" spans="2:2" x14ac:dyDescent="0.45">
      <c r="B29">
        <v>3</v>
      </c>
    </row>
    <row r="30" spans="2:2" x14ac:dyDescent="0.45">
      <c r="B30">
        <v>0</v>
      </c>
    </row>
    <row r="31" spans="2:2" x14ac:dyDescent="0.45">
      <c r="B31">
        <v>2</v>
      </c>
    </row>
    <row r="32" spans="2:2" x14ac:dyDescent="0.45">
      <c r="B32">
        <v>1</v>
      </c>
    </row>
    <row r="33" spans="2:2" x14ac:dyDescent="0.45">
      <c r="B33">
        <v>1944</v>
      </c>
    </row>
    <row r="34" spans="2:2" x14ac:dyDescent="0.45">
      <c r="B34">
        <v>11</v>
      </c>
    </row>
    <row r="35" spans="2:2" x14ac:dyDescent="0.45">
      <c r="B35">
        <v>15</v>
      </c>
    </row>
    <row r="36" spans="2:2" x14ac:dyDescent="0.45">
      <c r="B36">
        <v>7</v>
      </c>
    </row>
    <row r="37" spans="2:2" x14ac:dyDescent="0.45">
      <c r="B37">
        <v>11</v>
      </c>
    </row>
    <row r="38" spans="2:2" x14ac:dyDescent="0.45">
      <c r="B38">
        <v>6</v>
      </c>
    </row>
    <row r="39" spans="2:2" x14ac:dyDescent="0.45">
      <c r="B39">
        <v>3</v>
      </c>
    </row>
    <row r="40" spans="2:2" x14ac:dyDescent="0.45">
      <c r="B40">
        <v>0</v>
      </c>
    </row>
    <row r="41" spans="2:2" x14ac:dyDescent="0.45">
      <c r="B41">
        <v>2</v>
      </c>
    </row>
    <row r="42" spans="2:2" x14ac:dyDescent="0.45">
      <c r="B42">
        <v>1</v>
      </c>
    </row>
    <row r="43" spans="2:2" x14ac:dyDescent="0.45">
      <c r="B43">
        <v>1973</v>
      </c>
    </row>
    <row r="44" spans="2:2" x14ac:dyDescent="0.45">
      <c r="B44">
        <v>4</v>
      </c>
    </row>
    <row r="45" spans="2:2" x14ac:dyDescent="0.45">
      <c r="B45">
        <v>7</v>
      </c>
    </row>
    <row r="46" spans="2:2" x14ac:dyDescent="0.45">
      <c r="B46">
        <v>8</v>
      </c>
    </row>
    <row r="47" spans="2:2" x14ac:dyDescent="0.45">
      <c r="B47">
        <v>3</v>
      </c>
    </row>
    <row r="48" spans="2:2" x14ac:dyDescent="0.45">
      <c r="B48">
        <v>2</v>
      </c>
    </row>
    <row r="49" spans="2:2" x14ac:dyDescent="0.45">
      <c r="B49">
        <v>0</v>
      </c>
    </row>
    <row r="50" spans="2:2" x14ac:dyDescent="0.45">
      <c r="B50">
        <v>1</v>
      </c>
    </row>
    <row r="51" spans="2:2" x14ac:dyDescent="0.45">
      <c r="B51">
        <v>1</v>
      </c>
    </row>
    <row r="52" spans="2:2" x14ac:dyDescent="0.45">
      <c r="B52">
        <v>1</v>
      </c>
    </row>
    <row r="53" spans="2:2" x14ac:dyDescent="0.45">
      <c r="B53">
        <v>1973</v>
      </c>
    </row>
    <row r="54" spans="2:2" x14ac:dyDescent="0.45">
      <c r="B54">
        <v>4</v>
      </c>
    </row>
    <row r="55" spans="2:2" x14ac:dyDescent="0.45">
      <c r="B55">
        <v>7</v>
      </c>
    </row>
    <row r="56" spans="2:2" x14ac:dyDescent="0.45">
      <c r="B56">
        <v>8</v>
      </c>
    </row>
    <row r="57" spans="2:2" x14ac:dyDescent="0.45">
      <c r="B57">
        <v>3</v>
      </c>
    </row>
    <row r="58" spans="2:2" x14ac:dyDescent="0.45">
      <c r="B58">
        <v>2</v>
      </c>
    </row>
    <row r="59" spans="2:2" x14ac:dyDescent="0.45">
      <c r="B59">
        <v>0</v>
      </c>
    </row>
    <row r="60" spans="2:2" x14ac:dyDescent="0.45">
      <c r="B60">
        <v>1</v>
      </c>
    </row>
    <row r="61" spans="2:2" x14ac:dyDescent="0.45">
      <c r="B61">
        <v>1</v>
      </c>
    </row>
    <row r="62" spans="2:2" x14ac:dyDescent="0.45">
      <c r="B62">
        <v>1</v>
      </c>
    </row>
    <row r="63" spans="2:2" x14ac:dyDescent="0.45">
      <c r="B63">
        <v>416</v>
      </c>
    </row>
    <row r="64" spans="2:2" x14ac:dyDescent="0.45">
      <c r="B64">
        <v>1054</v>
      </c>
    </row>
    <row r="65" spans="2:2" x14ac:dyDescent="0.45">
      <c r="B65">
        <v>330</v>
      </c>
    </row>
    <row r="66" spans="2:2" x14ac:dyDescent="0.45">
      <c r="B66">
        <v>33</v>
      </c>
    </row>
    <row r="67" spans="2:2" x14ac:dyDescent="0.45">
      <c r="B67">
        <v>25</v>
      </c>
    </row>
    <row r="68" spans="2:2" x14ac:dyDescent="0.45">
      <c r="B68">
        <v>38</v>
      </c>
    </row>
    <row r="69" spans="2:2" x14ac:dyDescent="0.45">
      <c r="B69">
        <v>53</v>
      </c>
    </row>
    <row r="70" spans="2:2" x14ac:dyDescent="0.45">
      <c r="B70">
        <v>31</v>
      </c>
    </row>
    <row r="71" spans="2:2" x14ac:dyDescent="0.45">
      <c r="B71">
        <v>17</v>
      </c>
    </row>
    <row r="72" spans="2:2" x14ac:dyDescent="0.45">
      <c r="B7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76B788C9-1D4A-4D80-89F0-3914D14EBB3C}">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57</vt:i4>
      </vt:variant>
    </vt:vector>
  </HeadingPairs>
  <TitlesOfParts>
    <vt:vector size="65" baseType="lpstr">
      <vt:lpstr>About</vt:lpstr>
      <vt:lpstr>Inputs</vt:lpstr>
      <vt:lpstr>Decisions</vt:lpstr>
      <vt:lpstr>Inventory</vt:lpstr>
      <vt:lpstr>Results</vt:lpstr>
      <vt:lpstr>ModelRiskDSN</vt:lpstr>
      <vt:lpstr>ModelRiskSYS1</vt:lpstr>
      <vt:lpstr>ModelRiskCharts</vt:lpstr>
      <vt:lpstr>AnnDem</vt:lpstr>
      <vt:lpstr>Checks</vt:lpstr>
      <vt:lpstr>DayDem</vt:lpstr>
      <vt:lpstr>DDLT</vt:lpstr>
      <vt:lpstr>DDLT_Mean</vt:lpstr>
      <vt:lpstr>DelayProb</vt:lpstr>
      <vt:lpstr>DemMean</vt:lpstr>
      <vt:lpstr>DemSD</vt:lpstr>
      <vt:lpstr>EOQ</vt:lpstr>
      <vt:lpstr>GamScale</vt:lpstr>
      <vt:lpstr>GamShape</vt:lpstr>
      <vt:lpstr>HoldCost</vt:lpstr>
      <vt:lpstr>HoldRate</vt:lpstr>
      <vt:lpstr>InputMeans</vt:lpstr>
      <vt:lpstr>LeadTime</vt:lpstr>
      <vt:lpstr>LTDelay</vt:lpstr>
      <vt:lpstr>LTDelay_Hi</vt:lpstr>
      <vt:lpstr>LTDelay_Lo</vt:lpstr>
      <vt:lpstr>LTDelay_Mean</vt:lpstr>
      <vt:lpstr>LTDelay_ML</vt:lpstr>
      <vt:lpstr>LTNormal</vt:lpstr>
      <vt:lpstr>LTNormal_Hi</vt:lpstr>
      <vt:lpstr>LTNormal_Lo</vt:lpstr>
      <vt:lpstr>LTNormal_Mean</vt:lpstr>
      <vt:lpstr>LTNormal_ML</vt:lpstr>
      <vt:lpstr>OneOrder_Plan</vt:lpstr>
      <vt:lpstr>OneOrder_Start</vt:lpstr>
      <vt:lpstr>OptRun_Best</vt:lpstr>
      <vt:lpstr>OptRun_Date</vt:lpstr>
      <vt:lpstr>OptRun_Engine</vt:lpstr>
      <vt:lpstr>OptRun_Feasible</vt:lpstr>
      <vt:lpstr>OptRun_Samples</vt:lpstr>
      <vt:lpstr>OptRun_Seconds</vt:lpstr>
      <vt:lpstr>OptRun_Stop</vt:lpstr>
      <vt:lpstr>OptRun_Trials</vt:lpstr>
      <vt:lpstr>OrderCost</vt:lpstr>
      <vt:lpstr>OrderQty</vt:lpstr>
      <vt:lpstr>OrderQty_Hi</vt:lpstr>
      <vt:lpstr>OrderQty_Lo</vt:lpstr>
      <vt:lpstr>OrderQty_Start</vt:lpstr>
      <vt:lpstr>Out_Cost_Plan</vt:lpstr>
      <vt:lpstr>Out_Cost_Start</vt:lpstr>
      <vt:lpstr>Out_DDLT</vt:lpstr>
      <vt:lpstr>Out_Short_Plan</vt:lpstr>
      <vt:lpstr>Out_Short_Start</vt:lpstr>
      <vt:lpstr>Results!Print_Area</vt:lpstr>
      <vt:lpstr>Decisions!Print_Titles</vt:lpstr>
      <vt:lpstr>Inputs!Print_Titles</vt:lpstr>
      <vt:lpstr>Results!Print_Titles</vt:lpstr>
      <vt:lpstr>ReorderPt</vt:lpstr>
      <vt:lpstr>ReorderPt_Hi</vt:lpstr>
      <vt:lpstr>ReorderPt_Lo</vt:lpstr>
      <vt:lpstr>ReorderPt_Start</vt:lpstr>
      <vt:lpstr>SellDays</vt:lpstr>
      <vt:lpstr>ShortCost</vt:lpstr>
      <vt:lpstr>SvcTarget</vt:lpstr>
      <vt:lpstr>UnitCost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MF-09 Inventory Policy Chosen by the Optimizer</dc:title>
  <dc:subject>ModelRisk industry example library — Manufacturing</dc:subject>
  <dc:creator>Vose Software</dc:creator>
  <cp:keywords>ModelRisk; Monte Carlo; Manufacturing</cp:keywords>
  <dc:description>The reorder point and order quantity chosen together by the ModelRisk Optimizer: least annual cost for a 97.5% cycle service level, against MF-04's best fixed option.</dc:description>
  <cp:lastModifiedBy>Timour Koupeev</cp:lastModifiedBy>
  <dcterms:created xsi:type="dcterms:W3CDTF">2026-10-13T13:16:59Z</dcterms:created>
  <dcterms:modified xsi:type="dcterms:W3CDTF">2026-10-13T13:19:43Z</dcterms:modified>
</cp:coreProperties>
</file>