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Manufacturing\"/>
    </mc:Choice>
  </mc:AlternateContent>
  <xr:revisionPtr revIDLastSave="0" documentId="8_{21DB07F0-1DB7-4258-B10F-832006BBDB3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Spindles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geEarly">Inputs!$D$22</definedName>
    <definedName name="AgeLate">Inputs!$D$24</definedName>
    <definedName name="AgeMid">Inputs!$D$23</definedName>
    <definedName name="Checks">Spindles!$D$159:$D$162</definedName>
    <definedName name="Cost_1_0">Spindles!$D$146</definedName>
    <definedName name="Cost_1_1">Spindles!$E$146</definedName>
    <definedName name="Cost_1_2">Spindles!$F$146</definedName>
    <definedName name="Cost_1_3">Spindles!$G$146</definedName>
    <definedName name="Cost_2_0">Spindles!$D$147</definedName>
    <definedName name="Cost_2_1">Spindles!$E$147</definedName>
    <definedName name="Cost_2_2">Spindles!$F$147</definedName>
    <definedName name="Cost_2_3">Spindles!$G$147</definedName>
    <definedName name="Cost_3_0">Spindles!$D$148</definedName>
    <definedName name="Cost_3_1">Spindles!$E$148</definedName>
    <definedName name="Cost_3_2">Spindles!$F$148</definedName>
    <definedName name="Cost_3_3">Spindles!$G$148</definedName>
    <definedName name="Cost_4_0">Spindles!$D$149</definedName>
    <definedName name="Cost_4_1">Spindles!$E$149</definedName>
    <definedName name="Cost_4_2">Spindles!$F$149</definedName>
    <definedName name="Cost_4_3">Spindles!$G$149</definedName>
    <definedName name="CostFail">Spindles!$D$11</definedName>
    <definedName name="CostPlan">Spindles!$D$10</definedName>
    <definedName name="CostS_1">Spindles!$H$132</definedName>
    <definedName name="CostS_2">Spindles!$H$133</definedName>
    <definedName name="CostS_3">Spindles!$H$134</definedName>
    <definedName name="CostS_4">Spindles!$H$135</definedName>
    <definedName name="CostWait">Spindles!$D$12</definedName>
    <definedName name="Damage">Inputs!$D$30</definedName>
    <definedName name="DownCost">Inputs!$D$32</definedName>
    <definedName name="DownFail">Inputs!$D$31</definedName>
    <definedName name="E_1">Spindles!$D$35:$M$42</definedName>
    <definedName name="E_2">Spindles!$D$59:$M$66</definedName>
    <definedName name="E_3">Spindles!$D$83:$M$90</definedName>
    <definedName name="E_4">Spindles!$D$107:$M$114</definedName>
    <definedName name="Fail_1">Spindles!$D$132</definedName>
    <definedName name="Fail_2">Spindles!$D$133</definedName>
    <definedName name="Fail_3">Spindles!$D$134</definedName>
    <definedName name="Fail_4">Spindles!$D$135</definedName>
    <definedName name="HLead">Spindles!$D$9</definedName>
    <definedName name="HoldKit">Spindles!$D$13</definedName>
    <definedName name="HoldRate">Inputs!$D$39</definedName>
    <definedName name="Horizon">Spindles!$D$8</definedName>
    <definedName name="HoursYear">Inputs!$D$11</definedName>
    <definedName name="KitPrice">Inputs!$D$28</definedName>
    <definedName name="Kits_1">Spindles!$F$132</definedName>
    <definedName name="Kits_2">Spindles!$F$133</definedName>
    <definedName name="Kits_3">Spindles!$F$134</definedName>
    <definedName name="Kits_4">Spindles!$F$135</definedName>
    <definedName name="Labour">Inputs!$D$29</definedName>
    <definedName name="LeadWeeks">Inputs!$D$38</definedName>
    <definedName name="Life">Spindles!$D$23:$M$30</definedName>
    <definedName name="LR_1">Spindles!$K$172</definedName>
    <definedName name="LR_2">Spindles!$K$173</definedName>
    <definedName name="LR_3">Spindles!$K$174</definedName>
    <definedName name="LR_4">Spindles!$K$175</definedName>
    <definedName name="MeanLife">Spindles!$D$167</definedName>
    <definedName name="Never">Spindles!$D$14</definedName>
    <definedName name="NFail_1">Spindles!$N$43</definedName>
    <definedName name="NFail_2">Spindles!$N$67</definedName>
    <definedName name="NFail_3">Spindles!$N$91</definedName>
    <definedName name="NFail_4">Spindles!$N$115</definedName>
    <definedName name="NPlan_1">Spindles!$O$43</definedName>
    <definedName name="NPlan_2">Spindles!$O$67</definedName>
    <definedName name="NPlan_3">Spindles!$O$91</definedName>
    <definedName name="NPlan_4">Spindles!$O$115</definedName>
    <definedName name="NSpindles">Spindles!$D$168</definedName>
    <definedName name="Plan_1">Spindles!$E$132</definedName>
    <definedName name="Plan_2">Spindles!$E$133</definedName>
    <definedName name="Plan_3">Spindles!$E$134</definedName>
    <definedName name="Plan_4">Spindles!$E$135</definedName>
    <definedName name="_xlnm.Print_Area" localSheetId="3">Results!$A$1:$R$46</definedName>
    <definedName name="_xlnm.Print_Titles" localSheetId="1">Inputs!$1:$4</definedName>
    <definedName name="_xlnm.Print_Titles" localSheetId="3">Results!$1:$4</definedName>
    <definedName name="Scale">Inputs!$D$17</definedName>
    <definedName name="Shape">Inputs!$D$16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O_1_0">Spindles!$D$139</definedName>
    <definedName name="SO_1_1">Spindles!$E$139</definedName>
    <definedName name="SO_1_2">Spindles!$F$139</definedName>
    <definedName name="SO_1_3">Spindles!$G$139</definedName>
    <definedName name="SO_2_0">Spindles!$D$140</definedName>
    <definedName name="SO_2_1">Spindles!$E$140</definedName>
    <definedName name="SO_2_2">Spindles!$F$140</definedName>
    <definedName name="SO_2_3">Spindles!$G$140</definedName>
    <definedName name="SO_3_0">Spindles!$D$141</definedName>
    <definedName name="SO_3_1">Spindles!$E$141</definedName>
    <definedName name="SO_3_2">Spindles!$F$141</definedName>
    <definedName name="SO_3_3">Spindles!$G$141</definedName>
    <definedName name="SO_4_0">Spindles!$D$142</definedName>
    <definedName name="SO_4_1">Spindles!$E$142</definedName>
    <definedName name="SO_4_2">Spindles!$F$142</definedName>
    <definedName name="SO_4_3">Spindles!$G$142</definedName>
    <definedName name="SOS_1">Spindles!$G$132</definedName>
    <definedName name="SOS_2">Spindles!$G$133</definedName>
    <definedName name="SOS_3">Spindles!$G$134</definedName>
    <definedName name="SOS_4">Spindles!$G$135</definedName>
    <definedName name="Spares">Inputs!$D$37</definedName>
    <definedName name="T_1">Spindles!$D$15</definedName>
    <definedName name="T_2">Spindles!$D$16</definedName>
    <definedName name="T_3">Spindles!$D$17</definedName>
    <definedName name="T_4">Spindles!$D$18</definedName>
    <definedName name="W_1">Spindles!$D$46:$M$53</definedName>
    <definedName name="W_2">Spindles!$D$70:$M$77</definedName>
    <definedName name="W_3">Spindles!$D$94:$M$101</definedName>
    <definedName name="W_4">Spindles!$D$118:$M$125</definedName>
    <definedName name="WaitHours">Inputs!$D$33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4" l="1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B39" i="4"/>
  <c r="B38" i="4"/>
  <c r="B37" i="4"/>
  <c r="B32" i="4"/>
  <c r="B31" i="4"/>
  <c r="B30" i="4"/>
  <c r="B16" i="4"/>
  <c r="B15" i="4"/>
  <c r="B14" i="4"/>
  <c r="D168" i="3"/>
  <c r="D167" i="3"/>
  <c r="D161" i="3"/>
  <c r="D160" i="3"/>
  <c r="B105" i="3"/>
  <c r="B81" i="3"/>
  <c r="B57" i="3"/>
  <c r="D18" i="3"/>
  <c r="D17" i="3"/>
  <c r="D16" i="3"/>
  <c r="D14" i="3"/>
  <c r="D15" i="3"/>
  <c r="D13" i="3"/>
  <c r="D12" i="3"/>
  <c r="D11" i="3"/>
  <c r="D10" i="3"/>
  <c r="D9" i="3"/>
  <c r="D8" i="3"/>
  <c r="D175" i="3"/>
  <c r="D174" i="3"/>
  <c r="E174" i="3" s="1"/>
  <c r="G174" i="3" s="1"/>
  <c r="E175" i="3"/>
  <c r="G175" i="3" s="1"/>
  <c r="J24" i="3" a="1"/>
  <c r="G26" i="3" a="1"/>
  <c r="F27" i="3" a="1"/>
  <c r="D27" i="3" a="1"/>
  <c r="L29" i="3" a="1"/>
  <c r="G23" i="3" a="1"/>
  <c r="L30" i="3" a="1"/>
  <c r="D26" i="3" a="1"/>
  <c r="M26" i="3" a="1"/>
  <c r="K25" i="3" a="1"/>
  <c r="F174" i="3" a="1"/>
  <c r="D23" i="3" a="1"/>
  <c r="M30" i="3" a="1"/>
  <c r="K26" i="3" a="1"/>
  <c r="L23" i="3" a="1"/>
  <c r="F28" i="3" a="1"/>
  <c r="K30" i="3" a="1"/>
  <c r="G30" i="3" a="1"/>
  <c r="M24" i="3" a="1"/>
  <c r="L24" i="3" a="1"/>
  <c r="K24" i="3" a="1"/>
  <c r="J29" i="3" a="1"/>
  <c r="H30" i="3" a="1"/>
  <c r="E26" i="3" a="1"/>
  <c r="D28" i="3" a="1"/>
  <c r="J26" i="3" a="1"/>
  <c r="E29" i="3" a="1"/>
  <c r="K29" i="3" a="1"/>
  <c r="M23" i="3" a="1"/>
  <c r="F23" i="3" a="1"/>
  <c r="E24" i="3" a="1"/>
  <c r="I27" i="3" a="1"/>
  <c r="M29" i="3" a="1"/>
  <c r="J25" i="3" a="1"/>
  <c r="M25" i="3" a="1"/>
  <c r="D25" i="3" a="1"/>
  <c r="H26" i="3" a="1"/>
  <c r="F29" i="3" a="1"/>
  <c r="F30" i="3" a="1"/>
  <c r="J30" i="3" a="1"/>
  <c r="J23" i="3" a="1"/>
  <c r="G25" i="3" a="1"/>
  <c r="E25" i="3" a="1"/>
  <c r="H23" i="3" a="1"/>
  <c r="K28" i="3" a="1"/>
  <c r="D29" i="3" a="1"/>
  <c r="H27" i="3" a="1"/>
  <c r="I24" i="3" a="1"/>
  <c r="I26" i="3" a="1"/>
  <c r="E28" i="3" a="1"/>
  <c r="L25" i="3" a="1"/>
  <c r="I30" i="3" a="1"/>
  <c r="D24" i="3" a="1"/>
  <c r="I25" i="3" a="1"/>
  <c r="J27" i="3" a="1"/>
  <c r="D30" i="3" a="1"/>
  <c r="H28" i="3" a="1"/>
  <c r="I23" i="3" a="1"/>
  <c r="H24" i="3" a="1"/>
  <c r="E27" i="3" a="1"/>
  <c r="M27" i="3" a="1"/>
  <c r="G29" i="3" a="1"/>
  <c r="G24" i="3" a="1"/>
  <c r="E23" i="3" a="1"/>
  <c r="J28" i="3" a="1"/>
  <c r="H29" i="3" a="1"/>
  <c r="H25" i="3" a="1"/>
  <c r="L28" i="3" a="1"/>
  <c r="F24" i="3" a="1"/>
  <c r="I29" i="3" a="1"/>
  <c r="G28" i="3" a="1"/>
  <c r="M28" i="3" a="1"/>
  <c r="K23" i="3" a="1"/>
  <c r="K27" i="3" a="1"/>
  <c r="L26" i="3" a="1"/>
  <c r="F25" i="3" a="1"/>
  <c r="F26" i="3" a="1"/>
  <c r="E30" i="3" a="1"/>
  <c r="F175" i="3" a="1"/>
  <c r="G27" i="3" a="1"/>
  <c r="I28" i="3" a="1"/>
  <c r="L27" i="3" a="1"/>
  <c r="L27" i="3" l="1"/>
  <c r="I28" i="3"/>
  <c r="G27" i="3"/>
  <c r="F175" i="3"/>
  <c r="I175" i="3" s="1"/>
  <c r="E30" i="3"/>
  <c r="F26" i="3"/>
  <c r="F25" i="3"/>
  <c r="L26" i="3"/>
  <c r="K27" i="3"/>
  <c r="K23" i="3"/>
  <c r="M28" i="3"/>
  <c r="G28" i="3"/>
  <c r="I29" i="3"/>
  <c r="F24" i="3"/>
  <c r="L28" i="3"/>
  <c r="H25" i="3"/>
  <c r="H29" i="3"/>
  <c r="J28" i="3"/>
  <c r="E23" i="3"/>
  <c r="G24" i="3"/>
  <c r="G29" i="3"/>
  <c r="M27" i="3"/>
  <c r="E27" i="3"/>
  <c r="H24" i="3"/>
  <c r="I23" i="3"/>
  <c r="H28" i="3"/>
  <c r="D30" i="3"/>
  <c r="J27" i="3"/>
  <c r="I25" i="3"/>
  <c r="D24" i="3"/>
  <c r="I30" i="3"/>
  <c r="L25" i="3"/>
  <c r="E28" i="3"/>
  <c r="I26" i="3"/>
  <c r="I24" i="3"/>
  <c r="H27" i="3"/>
  <c r="D29" i="3"/>
  <c r="K28" i="3"/>
  <c r="H23" i="3"/>
  <c r="E25" i="3"/>
  <c r="G25" i="3"/>
  <c r="J23" i="3"/>
  <c r="J30" i="3"/>
  <c r="F30" i="3"/>
  <c r="F29" i="3"/>
  <c r="H26" i="3"/>
  <c r="D25" i="3"/>
  <c r="M25" i="3"/>
  <c r="J25" i="3"/>
  <c r="M29" i="3"/>
  <c r="I27" i="3"/>
  <c r="E24" i="3"/>
  <c r="F23" i="3"/>
  <c r="M23" i="3"/>
  <c r="K29" i="3"/>
  <c r="E29" i="3"/>
  <c r="O41" i="3" s="1"/>
  <c r="J26" i="3"/>
  <c r="D28" i="3"/>
  <c r="E26" i="3"/>
  <c r="H30" i="3"/>
  <c r="J29" i="3"/>
  <c r="K24" i="3"/>
  <c r="L24" i="3"/>
  <c r="M24" i="3"/>
  <c r="G30" i="3"/>
  <c r="K30" i="3"/>
  <c r="F28" i="3"/>
  <c r="L23" i="3"/>
  <c r="K26" i="3"/>
  <c r="M30" i="3"/>
  <c r="D23" i="3"/>
  <c r="O35" i="3" s="1"/>
  <c r="F174" i="3"/>
  <c r="I174" i="3" s="1"/>
  <c r="K25" i="3"/>
  <c r="M26" i="3"/>
  <c r="D26" i="3"/>
  <c r="L30" i="3"/>
  <c r="G23" i="3"/>
  <c r="L29" i="3"/>
  <c r="D27" i="3"/>
  <c r="F27" i="3"/>
  <c r="G26" i="3"/>
  <c r="J24" i="3"/>
  <c r="D172" i="3"/>
  <c r="H175" i="3"/>
  <c r="H174" i="3"/>
  <c r="D173" i="3"/>
  <c r="F172" i="3" a="1"/>
  <c r="F173" i="3" a="1"/>
  <c r="O40" i="3" l="1"/>
  <c r="O39" i="3"/>
  <c r="O38" i="3"/>
  <c r="O36" i="3"/>
  <c r="F173" i="3"/>
  <c r="I173" i="3" s="1"/>
  <c r="F172" i="3"/>
  <c r="I172" i="3" s="1"/>
  <c r="E173" i="3"/>
  <c r="G173" i="3" s="1"/>
  <c r="H173" i="3" s="1"/>
  <c r="K174" i="3"/>
  <c r="C15" i="4" s="1"/>
  <c r="J174" i="3"/>
  <c r="O37" i="3"/>
  <c r="E172" i="3"/>
  <c r="G172" i="3" s="1"/>
  <c r="H172" i="3" s="1"/>
  <c r="D65" i="3"/>
  <c r="E65" i="3" s="1"/>
  <c r="F65" i="3" s="1"/>
  <c r="G65" i="3" s="1"/>
  <c r="H65" i="3" s="1"/>
  <c r="I65" i="3" s="1"/>
  <c r="J65" i="3" s="1"/>
  <c r="K65" i="3" s="1"/>
  <c r="L65" i="3" s="1"/>
  <c r="M65" i="3" s="1"/>
  <c r="M76" i="3" s="1"/>
  <c r="D113" i="3"/>
  <c r="D89" i="3"/>
  <c r="E89" i="3" s="1"/>
  <c r="F89" i="3" s="1"/>
  <c r="G89" i="3" s="1"/>
  <c r="H89" i="3" s="1"/>
  <c r="I89" i="3" s="1"/>
  <c r="J89" i="3" s="1"/>
  <c r="K89" i="3" s="1"/>
  <c r="L89" i="3" s="1"/>
  <c r="M89" i="3" s="1"/>
  <c r="M100" i="3" s="1"/>
  <c r="D41" i="3"/>
  <c r="J175" i="3"/>
  <c r="K175" i="3"/>
  <c r="C16" i="4" s="1"/>
  <c r="O42" i="3"/>
  <c r="D62" i="3"/>
  <c r="D110" i="3"/>
  <c r="E110" i="3" s="1"/>
  <c r="F110" i="3" s="1"/>
  <c r="G110" i="3" s="1"/>
  <c r="H110" i="3" s="1"/>
  <c r="I110" i="3" s="1"/>
  <c r="J110" i="3" s="1"/>
  <c r="K110" i="3" s="1"/>
  <c r="L110" i="3" s="1"/>
  <c r="M110" i="3" s="1"/>
  <c r="M121" i="3" s="1"/>
  <c r="D38" i="3"/>
  <c r="D86" i="3"/>
  <c r="E86" i="3" s="1"/>
  <c r="F86" i="3" s="1"/>
  <c r="G86" i="3" s="1"/>
  <c r="H86" i="3" s="1"/>
  <c r="I86" i="3" s="1"/>
  <c r="J86" i="3" s="1"/>
  <c r="K86" i="3" s="1"/>
  <c r="L86" i="3" s="1"/>
  <c r="M86" i="3" s="1"/>
  <c r="M97" i="3" s="1"/>
  <c r="D66" i="3"/>
  <c r="D114" i="3"/>
  <c r="D90" i="3"/>
  <c r="D42" i="3"/>
  <c r="D107" i="3"/>
  <c r="D83" i="3"/>
  <c r="D35" i="3"/>
  <c r="D59" i="3"/>
  <c r="D70" i="3" s="1"/>
  <c r="D85" i="3"/>
  <c r="E85" i="3" s="1"/>
  <c r="F85" i="3" s="1"/>
  <c r="G85" i="3" s="1"/>
  <c r="H85" i="3" s="1"/>
  <c r="I85" i="3" s="1"/>
  <c r="J85" i="3" s="1"/>
  <c r="K85" i="3" s="1"/>
  <c r="L85" i="3" s="1"/>
  <c r="M85" i="3" s="1"/>
  <c r="M96" i="3" s="1"/>
  <c r="D37" i="3"/>
  <c r="E37" i="3" s="1"/>
  <c r="F37" i="3" s="1"/>
  <c r="G37" i="3" s="1"/>
  <c r="H37" i="3" s="1"/>
  <c r="I37" i="3" s="1"/>
  <c r="J37" i="3" s="1"/>
  <c r="K37" i="3" s="1"/>
  <c r="L37" i="3" s="1"/>
  <c r="M37" i="3" s="1"/>
  <c r="M48" i="3" s="1"/>
  <c r="D109" i="3"/>
  <c r="D61" i="3"/>
  <c r="E61" i="3" s="1"/>
  <c r="F61" i="3" s="1"/>
  <c r="G61" i="3" s="1"/>
  <c r="H61" i="3" s="1"/>
  <c r="I61" i="3" s="1"/>
  <c r="J61" i="3" s="1"/>
  <c r="K61" i="3" s="1"/>
  <c r="L61" i="3" s="1"/>
  <c r="M61" i="3" s="1"/>
  <c r="M72" i="3" s="1"/>
  <c r="D36" i="3"/>
  <c r="D108" i="3"/>
  <c r="E108" i="3" s="1"/>
  <c r="F108" i="3" s="1"/>
  <c r="G108" i="3" s="1"/>
  <c r="H108" i="3" s="1"/>
  <c r="I108" i="3" s="1"/>
  <c r="J108" i="3" s="1"/>
  <c r="K108" i="3" s="1"/>
  <c r="L108" i="3" s="1"/>
  <c r="M108" i="3" s="1"/>
  <c r="M119" i="3" s="1"/>
  <c r="D60" i="3"/>
  <c r="E60" i="3" s="1"/>
  <c r="F60" i="3" s="1"/>
  <c r="G60" i="3" s="1"/>
  <c r="H60" i="3" s="1"/>
  <c r="I60" i="3" s="1"/>
  <c r="I71" i="3" s="1"/>
  <c r="D84" i="3"/>
  <c r="E84" i="3" s="1"/>
  <c r="F84" i="3" s="1"/>
  <c r="G84" i="3" s="1"/>
  <c r="H84" i="3" s="1"/>
  <c r="I84" i="3" s="1"/>
  <c r="J84" i="3" s="1"/>
  <c r="K84" i="3" s="1"/>
  <c r="L84" i="3" s="1"/>
  <c r="M84" i="3" s="1"/>
  <c r="M95" i="3" s="1"/>
  <c r="N85" i="3"/>
  <c r="D64" i="3"/>
  <c r="D112" i="3"/>
  <c r="D88" i="3"/>
  <c r="D40" i="3"/>
  <c r="E40" i="3" s="1"/>
  <c r="F40" i="3" s="1"/>
  <c r="G40" i="3" s="1"/>
  <c r="H40" i="3" s="1"/>
  <c r="I40" i="3" s="1"/>
  <c r="J40" i="3" s="1"/>
  <c r="K40" i="3" s="1"/>
  <c r="L40" i="3" s="1"/>
  <c r="M40" i="3" s="1"/>
  <c r="M51" i="3" s="1"/>
  <c r="D111" i="3"/>
  <c r="E111" i="3" s="1"/>
  <c r="F111" i="3" s="1"/>
  <c r="G111" i="3" s="1"/>
  <c r="H111" i="3" s="1"/>
  <c r="I111" i="3" s="1"/>
  <c r="J111" i="3" s="1"/>
  <c r="K111" i="3" s="1"/>
  <c r="L111" i="3" s="1"/>
  <c r="M111" i="3" s="1"/>
  <c r="M122" i="3" s="1"/>
  <c r="D87" i="3"/>
  <c r="E87" i="3" s="1"/>
  <c r="F87" i="3" s="1"/>
  <c r="G87" i="3" s="1"/>
  <c r="H87" i="3" s="1"/>
  <c r="I87" i="3" s="1"/>
  <c r="J87" i="3" s="1"/>
  <c r="K87" i="3" s="1"/>
  <c r="L87" i="3" s="1"/>
  <c r="M87" i="3" s="1"/>
  <c r="M98" i="3" s="1"/>
  <c r="D63" i="3"/>
  <c r="D74" i="3" s="1"/>
  <c r="D39" i="3"/>
  <c r="E39" i="3" s="1"/>
  <c r="F39" i="3" s="1"/>
  <c r="G39" i="3" s="1"/>
  <c r="H39" i="3" s="1"/>
  <c r="I39" i="3" s="1"/>
  <c r="J39" i="3" s="1"/>
  <c r="K39" i="3" s="1"/>
  <c r="L39" i="3" s="1"/>
  <c r="M39" i="3" s="1"/>
  <c r="M50" i="3" s="1"/>
  <c r="N89" i="3" l="1"/>
  <c r="L48" i="3"/>
  <c r="L96" i="3"/>
  <c r="G96" i="3"/>
  <c r="K48" i="3"/>
  <c r="H97" i="3"/>
  <c r="J119" i="3"/>
  <c r="O108" i="3"/>
  <c r="K51" i="3"/>
  <c r="G51" i="3"/>
  <c r="H119" i="3"/>
  <c r="L119" i="3"/>
  <c r="N40" i="3"/>
  <c r="I97" i="3"/>
  <c r="J48" i="3"/>
  <c r="G48" i="3"/>
  <c r="J97" i="3"/>
  <c r="O86" i="3"/>
  <c r="I76" i="3"/>
  <c r="J100" i="3"/>
  <c r="I48" i="3"/>
  <c r="K100" i="3"/>
  <c r="N65" i="3"/>
  <c r="O65" i="3"/>
  <c r="I98" i="3"/>
  <c r="L72" i="3"/>
  <c r="H121" i="3"/>
  <c r="I51" i="3"/>
  <c r="O84" i="3"/>
  <c r="H98" i="3"/>
  <c r="H95" i="3"/>
  <c r="G76" i="3"/>
  <c r="O111" i="3"/>
  <c r="O87" i="3"/>
  <c r="K95" i="3"/>
  <c r="I72" i="3"/>
  <c r="J76" i="3"/>
  <c r="J121" i="3"/>
  <c r="N108" i="3"/>
  <c r="J51" i="3"/>
  <c r="N37" i="3"/>
  <c r="N87" i="3"/>
  <c r="O43" i="3"/>
  <c r="E132" i="3" s="1" a="1"/>
  <c r="E132" i="3" s="1"/>
  <c r="N61" i="3"/>
  <c r="L95" i="3"/>
  <c r="I121" i="3"/>
  <c r="F119" i="3"/>
  <c r="G98" i="3"/>
  <c r="L122" i="3"/>
  <c r="J72" i="3"/>
  <c r="L76" i="3"/>
  <c r="K119" i="3"/>
  <c r="K98" i="3"/>
  <c r="K122" i="3"/>
  <c r="K72" i="3"/>
  <c r="L51" i="3"/>
  <c r="H51" i="3"/>
  <c r="K76" i="3"/>
  <c r="H71" i="3"/>
  <c r="H48" i="3"/>
  <c r="H96" i="3"/>
  <c r="O110" i="3"/>
  <c r="O89" i="3"/>
  <c r="E63" i="3"/>
  <c r="F50" i="3"/>
  <c r="J60" i="3"/>
  <c r="E83" i="3"/>
  <c r="N110" i="3"/>
  <c r="F95" i="3"/>
  <c r="H50" i="3"/>
  <c r="K121" i="3"/>
  <c r="J50" i="3"/>
  <c r="K50" i="3"/>
  <c r="E107" i="3"/>
  <c r="I119" i="3"/>
  <c r="I122" i="3"/>
  <c r="L121" i="3"/>
  <c r="G119" i="3"/>
  <c r="H122" i="3"/>
  <c r="O61" i="3"/>
  <c r="E88" i="3"/>
  <c r="O85" i="3"/>
  <c r="G50" i="3"/>
  <c r="E62" i="3"/>
  <c r="I100" i="3"/>
  <c r="E113" i="3"/>
  <c r="L50" i="3"/>
  <c r="H100" i="3"/>
  <c r="N111" i="3"/>
  <c r="E36" i="3"/>
  <c r="E109" i="3"/>
  <c r="E42" i="3"/>
  <c r="I95" i="3"/>
  <c r="I50" i="3"/>
  <c r="E38" i="3"/>
  <c r="F71" i="3"/>
  <c r="J122" i="3"/>
  <c r="K97" i="3"/>
  <c r="K172" i="3"/>
  <c r="C13" i="4" s="1"/>
  <c r="J172" i="3"/>
  <c r="I96" i="3"/>
  <c r="E112" i="3"/>
  <c r="E35" i="3"/>
  <c r="E114" i="3"/>
  <c r="K96" i="3"/>
  <c r="E66" i="3"/>
  <c r="N39" i="3"/>
  <c r="E64" i="3"/>
  <c r="J96" i="3"/>
  <c r="L98" i="3"/>
  <c r="G121" i="3"/>
  <c r="N84" i="3"/>
  <c r="L100" i="3"/>
  <c r="J95" i="3"/>
  <c r="E59" i="3"/>
  <c r="G122" i="3"/>
  <c r="E90" i="3"/>
  <c r="N86" i="3"/>
  <c r="L97" i="3"/>
  <c r="J98" i="3"/>
  <c r="E41" i="3"/>
  <c r="K173" i="3"/>
  <c r="C14" i="4" s="1"/>
  <c r="J173" i="3"/>
  <c r="E29" i="4" a="1"/>
  <c r="E29" i="4" l="1"/>
  <c r="F90" i="3"/>
  <c r="F83" i="3"/>
  <c r="F64" i="3"/>
  <c r="F41" i="3"/>
  <c r="F112" i="3"/>
  <c r="F59" i="3"/>
  <c r="F66" i="3"/>
  <c r="E77" i="3"/>
  <c r="F38" i="3"/>
  <c r="F109" i="3"/>
  <c r="F62" i="3"/>
  <c r="E73" i="3"/>
  <c r="F88" i="3"/>
  <c r="K60" i="3"/>
  <c r="J71" i="3"/>
  <c r="F114" i="3"/>
  <c r="F36" i="3"/>
  <c r="F63" i="3"/>
  <c r="E74" i="3"/>
  <c r="F35" i="3"/>
  <c r="F42" i="3"/>
  <c r="F113" i="3"/>
  <c r="F107" i="3"/>
  <c r="G88" i="3" l="1"/>
  <c r="G109" i="3"/>
  <c r="G62" i="3"/>
  <c r="G42" i="3"/>
  <c r="G63" i="3"/>
  <c r="G114" i="3"/>
  <c r="L60" i="3"/>
  <c r="K71" i="3"/>
  <c r="G38" i="3"/>
  <c r="F49" i="3"/>
  <c r="G64" i="3"/>
  <c r="G59" i="3"/>
  <c r="G35" i="3"/>
  <c r="G113" i="3"/>
  <c r="G66" i="3"/>
  <c r="G107" i="3"/>
  <c r="G36" i="3"/>
  <c r="F47" i="3"/>
  <c r="G41" i="3"/>
  <c r="G90" i="3"/>
  <c r="G112" i="3"/>
  <c r="G83" i="3"/>
  <c r="H107" i="3" l="1"/>
  <c r="G118" i="3"/>
  <c r="H113" i="3"/>
  <c r="G124" i="3"/>
  <c r="H38" i="3"/>
  <c r="G49" i="3"/>
  <c r="H63" i="3"/>
  <c r="G74" i="3"/>
  <c r="H109" i="3"/>
  <c r="G120" i="3"/>
  <c r="H90" i="3"/>
  <c r="H66" i="3"/>
  <c r="M60" i="3"/>
  <c r="O60" i="3" s="1"/>
  <c r="L71" i="3"/>
  <c r="H42" i="3"/>
  <c r="G53" i="3"/>
  <c r="H36" i="3"/>
  <c r="G47" i="3"/>
  <c r="H59" i="3"/>
  <c r="G70" i="3"/>
  <c r="H88" i="3"/>
  <c r="G99" i="3"/>
  <c r="H83" i="3"/>
  <c r="G94" i="3"/>
  <c r="H112" i="3"/>
  <c r="G123" i="3"/>
  <c r="H41" i="3"/>
  <c r="G52" i="3"/>
  <c r="H35" i="3"/>
  <c r="G46" i="3"/>
  <c r="H64" i="3"/>
  <c r="G75" i="3"/>
  <c r="H114" i="3"/>
  <c r="G125" i="3"/>
  <c r="H62" i="3"/>
  <c r="N62" i="3" s="1"/>
  <c r="M71" i="3" l="1"/>
  <c r="N60" i="3"/>
  <c r="I83" i="3"/>
  <c r="H94" i="3"/>
  <c r="I38" i="3"/>
  <c r="H49" i="3"/>
  <c r="I63" i="3"/>
  <c r="H74" i="3"/>
  <c r="I62" i="3"/>
  <c r="H73" i="3"/>
  <c r="I66" i="3"/>
  <c r="I113" i="3"/>
  <c r="H124" i="3"/>
  <c r="I64" i="3"/>
  <c r="H75" i="3"/>
  <c r="I90" i="3"/>
  <c r="H101" i="3"/>
  <c r="I112" i="3"/>
  <c r="H123" i="3"/>
  <c r="I88" i="3"/>
  <c r="H99" i="3"/>
  <c r="I109" i="3"/>
  <c r="H120" i="3"/>
  <c r="I36" i="3"/>
  <c r="H47" i="3"/>
  <c r="I41" i="3"/>
  <c r="H52" i="3"/>
  <c r="I114" i="3"/>
  <c r="H125" i="3"/>
  <c r="I35" i="3"/>
  <c r="H46" i="3"/>
  <c r="I59" i="3"/>
  <c r="I42" i="3"/>
  <c r="H53" i="3"/>
  <c r="I107" i="3"/>
  <c r="H118" i="3"/>
  <c r="J64" i="3" l="1"/>
  <c r="I75" i="3"/>
  <c r="J42" i="3"/>
  <c r="I53" i="3"/>
  <c r="J35" i="3"/>
  <c r="I46" i="3"/>
  <c r="J109" i="3"/>
  <c r="I120" i="3"/>
  <c r="J88" i="3"/>
  <c r="I99" i="3"/>
  <c r="J62" i="3"/>
  <c r="I73" i="3"/>
  <c r="J38" i="3"/>
  <c r="I49" i="3"/>
  <c r="J113" i="3"/>
  <c r="I124" i="3"/>
  <c r="J63" i="3"/>
  <c r="I74" i="3"/>
  <c r="J112" i="3"/>
  <c r="I123" i="3"/>
  <c r="J66" i="3"/>
  <c r="I77" i="3"/>
  <c r="J90" i="3"/>
  <c r="I101" i="3"/>
  <c r="J107" i="3"/>
  <c r="I118" i="3"/>
  <c r="J41" i="3"/>
  <c r="I52" i="3"/>
  <c r="J59" i="3"/>
  <c r="I70" i="3"/>
  <c r="J114" i="3"/>
  <c r="I125" i="3"/>
  <c r="J36" i="3"/>
  <c r="I47" i="3"/>
  <c r="J83" i="3"/>
  <c r="I94" i="3"/>
  <c r="K83" i="3" l="1"/>
  <c r="J94" i="3"/>
  <c r="K63" i="3"/>
  <c r="J74" i="3"/>
  <c r="K109" i="3"/>
  <c r="J120" i="3"/>
  <c r="K42" i="3"/>
  <c r="J53" i="3"/>
  <c r="K36" i="3"/>
  <c r="J47" i="3"/>
  <c r="K38" i="3"/>
  <c r="J49" i="3"/>
  <c r="K41" i="3"/>
  <c r="J52" i="3"/>
  <c r="K90" i="3"/>
  <c r="J101" i="3"/>
  <c r="K113" i="3"/>
  <c r="J124" i="3"/>
  <c r="K64" i="3"/>
  <c r="J75" i="3"/>
  <c r="K88" i="3"/>
  <c r="J99" i="3"/>
  <c r="K62" i="3"/>
  <c r="J73" i="3"/>
  <c r="K35" i="3"/>
  <c r="J46" i="3"/>
  <c r="K59" i="3"/>
  <c r="J70" i="3"/>
  <c r="K107" i="3"/>
  <c r="J118" i="3"/>
  <c r="K114" i="3"/>
  <c r="J125" i="3"/>
  <c r="K66" i="3"/>
  <c r="J77" i="3"/>
  <c r="K112" i="3"/>
  <c r="J123" i="3"/>
  <c r="L38" i="3" l="1"/>
  <c r="K49" i="3"/>
  <c r="L107" i="3"/>
  <c r="K118" i="3"/>
  <c r="L42" i="3"/>
  <c r="K53" i="3"/>
  <c r="L62" i="3"/>
  <c r="K73" i="3"/>
  <c r="L113" i="3"/>
  <c r="K124" i="3"/>
  <c r="L109" i="3"/>
  <c r="K120" i="3"/>
  <c r="L83" i="3"/>
  <c r="K94" i="3"/>
  <c r="L88" i="3"/>
  <c r="K99" i="3"/>
  <c r="L90" i="3"/>
  <c r="K101" i="3"/>
  <c r="L63" i="3"/>
  <c r="N63" i="3" s="1"/>
  <c r="K74" i="3"/>
  <c r="L66" i="3"/>
  <c r="K77" i="3"/>
  <c r="L114" i="3"/>
  <c r="K125" i="3"/>
  <c r="L64" i="3"/>
  <c r="K75" i="3"/>
  <c r="L36" i="3"/>
  <c r="K47" i="3"/>
  <c r="L112" i="3"/>
  <c r="K123" i="3"/>
  <c r="L59" i="3"/>
  <c r="K70" i="3"/>
  <c r="L35" i="3"/>
  <c r="K46" i="3"/>
  <c r="L41" i="3"/>
  <c r="K52" i="3"/>
  <c r="M88" i="3" l="1"/>
  <c r="N88" i="3" s="1"/>
  <c r="L99" i="3"/>
  <c r="M109" i="3"/>
  <c r="N109" i="3" s="1"/>
  <c r="L120" i="3"/>
  <c r="M90" i="3"/>
  <c r="D98" i="3" s="1"/>
  <c r="L101" i="3"/>
  <c r="M42" i="3"/>
  <c r="F53" i="3" s="1"/>
  <c r="L53" i="3"/>
  <c r="M41" i="3"/>
  <c r="F46" i="3" s="1"/>
  <c r="L52" i="3"/>
  <c r="M114" i="3"/>
  <c r="L125" i="3"/>
  <c r="M113" i="3"/>
  <c r="M124" i="3" s="1"/>
  <c r="L124" i="3"/>
  <c r="M112" i="3"/>
  <c r="M123" i="3" s="1"/>
  <c r="L123" i="3"/>
  <c r="M35" i="3"/>
  <c r="L46" i="3"/>
  <c r="M66" i="3"/>
  <c r="L77" i="3"/>
  <c r="M62" i="3"/>
  <c r="L73" i="3"/>
  <c r="M107" i="3"/>
  <c r="L118" i="3"/>
  <c r="M64" i="3"/>
  <c r="N64" i="3" s="1"/>
  <c r="L75" i="3"/>
  <c r="M36" i="3"/>
  <c r="L47" i="3"/>
  <c r="M83" i="3"/>
  <c r="L94" i="3"/>
  <c r="M59" i="3"/>
  <c r="G77" i="3" s="1"/>
  <c r="L70" i="3"/>
  <c r="E153" i="3" a="1"/>
  <c r="E153" i="3" s="1"/>
  <c r="M63" i="3"/>
  <c r="L74" i="3"/>
  <c r="M38" i="3"/>
  <c r="L49" i="3"/>
  <c r="D105" i="4" a="1"/>
  <c r="H76" i="3" l="1"/>
  <c r="E75" i="3"/>
  <c r="G97" i="3"/>
  <c r="E95" i="3"/>
  <c r="G95" i="3"/>
  <c r="E71" i="3"/>
  <c r="F74" i="3"/>
  <c r="N113" i="3"/>
  <c r="H70" i="3"/>
  <c r="G73" i="3"/>
  <c r="F75" i="3"/>
  <c r="D101" i="3"/>
  <c r="E98" i="3"/>
  <c r="D77" i="3"/>
  <c r="E72" i="3"/>
  <c r="F122" i="3"/>
  <c r="F96" i="3"/>
  <c r="G100" i="3"/>
  <c r="F70" i="3"/>
  <c r="F124" i="3"/>
  <c r="F120" i="3"/>
  <c r="D73" i="3"/>
  <c r="F72" i="3"/>
  <c r="H77" i="3"/>
  <c r="D121" i="3"/>
  <c r="D122" i="3"/>
  <c r="E122" i="3"/>
  <c r="F118" i="3"/>
  <c r="D94" i="3"/>
  <c r="D97" i="3"/>
  <c r="E50" i="3"/>
  <c r="F94" i="3"/>
  <c r="F97" i="3"/>
  <c r="E99" i="3"/>
  <c r="F100" i="3"/>
  <c r="E119" i="3"/>
  <c r="F123" i="3"/>
  <c r="G71" i="3"/>
  <c r="G72" i="3"/>
  <c r="H72" i="3"/>
  <c r="F76" i="3"/>
  <c r="F73" i="3"/>
  <c r="O114" i="3"/>
  <c r="O113" i="3"/>
  <c r="O112" i="3"/>
  <c r="D105" i="4"/>
  <c r="G101" i="3"/>
  <c r="F98" i="3"/>
  <c r="D95" i="3"/>
  <c r="E94" i="3"/>
  <c r="N90" i="3"/>
  <c r="F101" i="3"/>
  <c r="F48" i="3"/>
  <c r="E46" i="3"/>
  <c r="E47" i="3"/>
  <c r="K153" i="3" a="1"/>
  <c r="K153" i="3" s="1"/>
  <c r="N66" i="3"/>
  <c r="D72" i="3"/>
  <c r="E70" i="3"/>
  <c r="D71" i="3"/>
  <c r="D96" i="3"/>
  <c r="F99" i="3"/>
  <c r="I153" i="3" a="1"/>
  <c r="I153" i="3" s="1"/>
  <c r="D125" i="3"/>
  <c r="D118" i="3"/>
  <c r="F125" i="3"/>
  <c r="D119" i="3"/>
  <c r="E118" i="3"/>
  <c r="F77" i="3"/>
  <c r="M94" i="3"/>
  <c r="N83" i="3"/>
  <c r="O83" i="3"/>
  <c r="M73" i="3"/>
  <c r="O62" i="3"/>
  <c r="M74" i="3"/>
  <c r="O63" i="3"/>
  <c r="M53" i="3"/>
  <c r="E51" i="3"/>
  <c r="N42" i="3"/>
  <c r="D46" i="3"/>
  <c r="E49" i="3"/>
  <c r="D52" i="3"/>
  <c r="E152" i="3" a="1"/>
  <c r="E152" i="3" s="1"/>
  <c r="K152" i="3" a="1"/>
  <c r="K152" i="3" s="1"/>
  <c r="G152" i="3" a="1"/>
  <c r="G152" i="3" s="1"/>
  <c r="E52" i="3"/>
  <c r="F152" i="3" a="1"/>
  <c r="F152" i="3" s="1"/>
  <c r="E53" i="3"/>
  <c r="E48" i="3"/>
  <c r="D49" i="3"/>
  <c r="D50" i="3"/>
  <c r="D152" i="3" a="1"/>
  <c r="D152" i="3" s="1"/>
  <c r="D48" i="3"/>
  <c r="I152" i="3" a="1"/>
  <c r="I152" i="3" s="1"/>
  <c r="F51" i="3"/>
  <c r="D47" i="3"/>
  <c r="D53" i="3"/>
  <c r="J152" i="3" a="1"/>
  <c r="J152" i="3" s="1"/>
  <c r="H152" i="3" a="1"/>
  <c r="H152" i="3" s="1"/>
  <c r="D51" i="3"/>
  <c r="M47" i="3"/>
  <c r="N36" i="3"/>
  <c r="F52" i="3"/>
  <c r="M101" i="3"/>
  <c r="G154" i="3" a="1"/>
  <c r="G154" i="3" s="1"/>
  <c r="D100" i="3"/>
  <c r="D99" i="3"/>
  <c r="E97" i="3"/>
  <c r="I154" i="3" a="1"/>
  <c r="I154" i="3" s="1"/>
  <c r="H154" i="3" a="1"/>
  <c r="H154" i="3" s="1"/>
  <c r="E96" i="3"/>
  <c r="D154" i="3" a="1"/>
  <c r="D154" i="3" s="1"/>
  <c r="E100" i="3"/>
  <c r="F154" i="3" a="1"/>
  <c r="F154" i="3" s="1"/>
  <c r="O90" i="3"/>
  <c r="J154" i="3" a="1"/>
  <c r="J154" i="3" s="1"/>
  <c r="E154" i="3" a="1"/>
  <c r="E154" i="3" s="1"/>
  <c r="E101" i="3"/>
  <c r="K154" i="3" a="1"/>
  <c r="K154" i="3" s="1"/>
  <c r="M75" i="3"/>
  <c r="O64" i="3"/>
  <c r="D159" i="3"/>
  <c r="M46" i="3"/>
  <c r="N35" i="3"/>
  <c r="M125" i="3"/>
  <c r="D124" i="3"/>
  <c r="D123" i="3"/>
  <c r="J155" i="3" a="1"/>
  <c r="J155" i="3" s="1"/>
  <c r="D155" i="3" a="1"/>
  <c r="D155" i="3" s="1"/>
  <c r="E123" i="3"/>
  <c r="F155" i="3" a="1"/>
  <c r="F155" i="3" s="1"/>
  <c r="I155" i="3" a="1"/>
  <c r="I155" i="3" s="1"/>
  <c r="E155" i="3" a="1"/>
  <c r="E155" i="3" s="1"/>
  <c r="H155" i="3" a="1"/>
  <c r="H155" i="3" s="1"/>
  <c r="E121" i="3"/>
  <c r="K155" i="3" a="1"/>
  <c r="K155" i="3" s="1"/>
  <c r="D120" i="3"/>
  <c r="E124" i="3"/>
  <c r="F121" i="3"/>
  <c r="E125" i="3"/>
  <c r="E120" i="3"/>
  <c r="N114" i="3"/>
  <c r="G155" i="3" a="1"/>
  <c r="G155" i="3" s="1"/>
  <c r="M120" i="3"/>
  <c r="O109" i="3"/>
  <c r="M77" i="3"/>
  <c r="D76" i="3"/>
  <c r="J153" i="3" a="1"/>
  <c r="J153" i="3" s="1"/>
  <c r="H153" i="3" a="1"/>
  <c r="H153" i="3" s="1"/>
  <c r="D75" i="3"/>
  <c r="G153" i="3" a="1"/>
  <c r="G153" i="3" s="1"/>
  <c r="O66" i="3"/>
  <c r="E76" i="3"/>
  <c r="D153" i="3" a="1"/>
  <c r="D153" i="3" s="1"/>
  <c r="F153" i="3" a="1"/>
  <c r="F153" i="3" s="1"/>
  <c r="N112" i="3"/>
  <c r="M70" i="3"/>
  <c r="N59" i="3"/>
  <c r="O59" i="3"/>
  <c r="N107" i="3"/>
  <c r="M118" i="3"/>
  <c r="O107" i="3"/>
  <c r="M49" i="3"/>
  <c r="N38" i="3"/>
  <c r="M52" i="3"/>
  <c r="N41" i="3"/>
  <c r="M99" i="3"/>
  <c r="O88" i="3"/>
  <c r="C109" i="4" a="1"/>
  <c r="E108" i="4" a="1"/>
  <c r="F108" i="4" a="1"/>
  <c r="D107" i="4" a="1"/>
  <c r="F104" i="4" a="1"/>
  <c r="C110" i="4" a="1"/>
  <c r="D104" i="4" a="1"/>
  <c r="C105" i="4" a="1"/>
  <c r="F106" i="4" a="1"/>
  <c r="C104" i="4" a="1"/>
  <c r="E110" i="4" a="1"/>
  <c r="F105" i="4" a="1"/>
  <c r="D109" i="4" a="1"/>
  <c r="C106" i="4" a="1"/>
  <c r="E111" i="4" a="1"/>
  <c r="F107" i="4" a="1"/>
  <c r="E107" i="4" a="1"/>
  <c r="D110" i="4" a="1"/>
  <c r="E109" i="4" a="1"/>
  <c r="D111" i="4" a="1"/>
  <c r="E104" i="4" a="1"/>
  <c r="F110" i="4" a="1"/>
  <c r="F111" i="4" a="1"/>
  <c r="E106" i="4" a="1"/>
  <c r="C108" i="4" a="1"/>
  <c r="D106" i="4" a="1"/>
  <c r="C111" i="4" a="1"/>
  <c r="F109" i="4" a="1"/>
  <c r="C107" i="4" a="1"/>
  <c r="E105" i="4" a="1"/>
  <c r="D108" i="4" a="1"/>
  <c r="F141" i="3" l="1" a="1"/>
  <c r="F141" i="3" s="1"/>
  <c r="G134" i="3" s="1" a="1"/>
  <c r="G134" i="3" s="1"/>
  <c r="O115" i="3"/>
  <c r="E135" i="3" s="1" a="1"/>
  <c r="E135" i="3" s="1"/>
  <c r="D108" i="4"/>
  <c r="E105" i="4"/>
  <c r="C107" i="4"/>
  <c r="F109" i="4"/>
  <c r="C111" i="4"/>
  <c r="D106" i="4"/>
  <c r="C108" i="4"/>
  <c r="E106" i="4"/>
  <c r="F111" i="4"/>
  <c r="F110" i="4"/>
  <c r="E104" i="4"/>
  <c r="D111" i="4"/>
  <c r="E109" i="4"/>
  <c r="D110" i="4"/>
  <c r="E107" i="4"/>
  <c r="F107" i="4"/>
  <c r="E111" i="4"/>
  <c r="C106" i="4"/>
  <c r="D109" i="4"/>
  <c r="F105" i="4"/>
  <c r="E110" i="4"/>
  <c r="C104" i="4"/>
  <c r="F106" i="4"/>
  <c r="C105" i="4"/>
  <c r="D104" i="4"/>
  <c r="C110" i="4"/>
  <c r="F104" i="4"/>
  <c r="D107" i="4"/>
  <c r="F108" i="4"/>
  <c r="E108" i="4"/>
  <c r="C109" i="4"/>
  <c r="N91" i="3"/>
  <c r="N67" i="3"/>
  <c r="D133" i="3" s="1" a="1"/>
  <c r="D133" i="3" s="1"/>
  <c r="G141" i="3" a="1"/>
  <c r="G141" i="3" s="1"/>
  <c r="D141" i="3" a="1"/>
  <c r="D141" i="3" s="1"/>
  <c r="E140" i="3" a="1"/>
  <c r="E140" i="3" s="1"/>
  <c r="F140" i="3" a="1"/>
  <c r="F140" i="3" s="1"/>
  <c r="G140" i="3" a="1"/>
  <c r="G140" i="3" s="1"/>
  <c r="D140" i="3" a="1"/>
  <c r="D140" i="3" s="1"/>
  <c r="N115" i="3"/>
  <c r="E141" i="3" a="1"/>
  <c r="E141" i="3" s="1"/>
  <c r="G139" i="3" a="1"/>
  <c r="G139" i="3" s="1"/>
  <c r="D139" i="3" a="1"/>
  <c r="D139" i="3" s="1"/>
  <c r="F139" i="3" a="1"/>
  <c r="F139" i="3" s="1"/>
  <c r="E139" i="3" a="1"/>
  <c r="E139" i="3" s="1"/>
  <c r="O91" i="3"/>
  <c r="E134" i="3" s="1" a="1"/>
  <c r="E134" i="3" s="1"/>
  <c r="E142" i="3" a="1"/>
  <c r="E142" i="3" s="1"/>
  <c r="D142" i="3" a="1"/>
  <c r="D142" i="3" s="1"/>
  <c r="F142" i="3" a="1"/>
  <c r="F142" i="3" s="1"/>
  <c r="G142" i="3" a="1"/>
  <c r="G142" i="3" s="1"/>
  <c r="N43" i="3"/>
  <c r="O67" i="3"/>
  <c r="E133" i="3" s="1" a="1"/>
  <c r="E133" i="3" s="1"/>
  <c r="D134" i="3" a="1"/>
  <c r="D134" i="3" s="1"/>
  <c r="E38" i="4" a="1"/>
  <c r="E32" i="4" a="1"/>
  <c r="E37" i="4" a="1"/>
  <c r="D38" i="4" a="1"/>
  <c r="E39" i="4" a="1"/>
  <c r="G31" i="4" a="1"/>
  <c r="D39" i="4" a="1"/>
  <c r="C39" i="4" a="1"/>
  <c r="F37" i="4" a="1"/>
  <c r="F36" i="4" a="1"/>
  <c r="F39" i="4" a="1"/>
  <c r="E30" i="4" a="1"/>
  <c r="D36" i="4" a="1"/>
  <c r="F38" i="4" a="1"/>
  <c r="C38" i="4" a="1"/>
  <c r="D31" i="4" a="1"/>
  <c r="C31" i="4" a="1"/>
  <c r="C37" i="4" a="1"/>
  <c r="C36" i="4" a="1"/>
  <c r="E36" i="4" a="1"/>
  <c r="E31" i="4" a="1"/>
  <c r="D37" i="4" a="1"/>
  <c r="C30" i="4" a="1"/>
  <c r="D30" i="4" a="1"/>
  <c r="G148" i="3" l="1" a="1"/>
  <c r="G148" i="3" s="1"/>
  <c r="F147" i="3" a="1"/>
  <c r="F147" i="3" s="1"/>
  <c r="E38" i="4"/>
  <c r="D147" i="3" a="1"/>
  <c r="D147" i="3" s="1"/>
  <c r="E32" i="4"/>
  <c r="F148" i="3" a="1"/>
  <c r="F148" i="3" s="1"/>
  <c r="H134" i="3" s="1" a="1"/>
  <c r="H134" i="3" s="1"/>
  <c r="G147" i="3" a="1"/>
  <c r="G147" i="3" s="1"/>
  <c r="D30" i="4"/>
  <c r="C30" i="4"/>
  <c r="D37" i="4"/>
  <c r="E31" i="4"/>
  <c r="E36" i="4"/>
  <c r="C36" i="4"/>
  <c r="C37" i="4"/>
  <c r="C31" i="4"/>
  <c r="D31" i="4"/>
  <c r="C38" i="4"/>
  <c r="F38" i="4"/>
  <c r="D36" i="4"/>
  <c r="E30" i="4"/>
  <c r="F39" i="4"/>
  <c r="F36" i="4"/>
  <c r="F37" i="4"/>
  <c r="C39" i="4"/>
  <c r="D39" i="4"/>
  <c r="G31" i="4"/>
  <c r="E39" i="4"/>
  <c r="D38" i="4"/>
  <c r="E37" i="4"/>
  <c r="E147" i="3" a="1"/>
  <c r="E147" i="3" s="1"/>
  <c r="H133" i="3" a="1"/>
  <c r="H133" i="3" s="1"/>
  <c r="D148" i="3" a="1"/>
  <c r="D148" i="3" s="1"/>
  <c r="G132" i="3" a="1"/>
  <c r="G132" i="3" s="1"/>
  <c r="D162" i="3"/>
  <c r="B7" i="4" s="1"/>
  <c r="E148" i="3" a="1"/>
  <c r="E148" i="3" s="1"/>
  <c r="G135" i="3" a="1"/>
  <c r="G135" i="3" s="1"/>
  <c r="G133" i="3" a="1"/>
  <c r="G133" i="3" s="1"/>
  <c r="F134" i="3" a="1"/>
  <c r="F134" i="3" s="1"/>
  <c r="F135" i="3" a="1"/>
  <c r="F135" i="3" s="1"/>
  <c r="F149" i="3" a="1"/>
  <c r="F149" i="3" s="1"/>
  <c r="G149" i="3" a="1"/>
  <c r="G149" i="3" s="1"/>
  <c r="E149" i="3" a="1"/>
  <c r="E149" i="3" s="1"/>
  <c r="D135" i="3" a="1"/>
  <c r="D135" i="3" s="1"/>
  <c r="D149" i="3" a="1"/>
  <c r="D149" i="3" s="1"/>
  <c r="F132" i="3" a="1"/>
  <c r="F132" i="3" s="1"/>
  <c r="G146" i="3" a="1"/>
  <c r="G146" i="3" s="1"/>
  <c r="F146" i="3" a="1"/>
  <c r="F146" i="3" s="1"/>
  <c r="D146" i="3" a="1"/>
  <c r="D146" i="3" s="1"/>
  <c r="E146" i="3" a="1"/>
  <c r="E146" i="3" s="1"/>
  <c r="D132" i="3" a="1"/>
  <c r="D132" i="3" s="1"/>
  <c r="F133" i="3" a="1"/>
  <c r="F133" i="3" s="1"/>
  <c r="G15" i="4" a="1"/>
  <c r="F14" i="4" a="1"/>
  <c r="D14" i="4" a="1"/>
  <c r="F15" i="4" a="1"/>
  <c r="G14" i="4" a="1"/>
  <c r="F63" i="4" a="1"/>
  <c r="F80" i="4" a="1"/>
  <c r="F86" i="4" a="1"/>
  <c r="F87" i="4" a="1"/>
  <c r="F79" i="4" a="1"/>
  <c r="F64" i="4" a="1"/>
  <c r="F96" i="4" a="1"/>
  <c r="F69" i="4" a="1"/>
  <c r="F101" i="4" a="1"/>
  <c r="F52" i="4" a="1"/>
  <c r="F56" i="4" a="1"/>
  <c r="F55" i="4" a="1"/>
  <c r="F88" i="4" a="1"/>
  <c r="F61" i="4" a="1"/>
  <c r="F77" i="4" a="1"/>
  <c r="F93" i="4" a="1"/>
  <c r="F95" i="4" a="1"/>
  <c r="F54" i="4" a="1"/>
  <c r="F85" i="4" a="1"/>
  <c r="F70" i="4" a="1"/>
  <c r="F71" i="4" a="1"/>
  <c r="F72" i="4" a="1"/>
  <c r="F62" i="4" a="1"/>
  <c r="F78" i="4" a="1"/>
  <c r="F94" i="4" a="1"/>
  <c r="F81" i="4" a="1"/>
  <c r="F58" i="4" a="1"/>
  <c r="F66" i="4" a="1"/>
  <c r="F74" i="4" a="1"/>
  <c r="F82" i="4" a="1"/>
  <c r="F90" i="4" a="1"/>
  <c r="F98" i="4" a="1"/>
  <c r="F65" i="4" a="1"/>
  <c r="F97" i="4" a="1"/>
  <c r="B6" i="4" a="1"/>
  <c r="F59" i="4" a="1"/>
  <c r="F67" i="4" a="1"/>
  <c r="F75" i="4" a="1"/>
  <c r="F83" i="4" a="1"/>
  <c r="F91" i="4" a="1"/>
  <c r="F99" i="4" a="1"/>
  <c r="F57" i="4" a="1"/>
  <c r="F73" i="4" a="1"/>
  <c r="F89" i="4" a="1"/>
  <c r="F53" i="4" a="1"/>
  <c r="F60" i="4" a="1"/>
  <c r="F68" i="4" a="1"/>
  <c r="F76" i="4" a="1"/>
  <c r="F84" i="4" a="1"/>
  <c r="F92" i="4" a="1"/>
  <c r="F100" i="4" a="1"/>
  <c r="E16" i="4" a="1"/>
  <c r="D29" i="4" a="1"/>
  <c r="C29" i="4" a="1"/>
  <c r="C32" i="4" a="1"/>
  <c r="D32" i="4" a="1"/>
  <c r="D16" i="4" a="1"/>
  <c r="E14" i="4" a="1"/>
  <c r="F29" i="4" a="1"/>
  <c r="F31" i="4" a="1"/>
  <c r="G13" i="4" a="1"/>
  <c r="F13" i="4" a="1"/>
  <c r="G29" i="4" a="1"/>
  <c r="E15" i="4" a="1"/>
  <c r="F30" i="4" a="1"/>
  <c r="E67" i="4" a="1"/>
  <c r="E97" i="4" a="1"/>
  <c r="E52" i="4" a="1"/>
  <c r="E100" i="4" a="1"/>
  <c r="E99" i="4" a="1"/>
  <c r="E64" i="4" a="1"/>
  <c r="E65" i="4" a="1"/>
  <c r="E87" i="4" a="1"/>
  <c r="E55" i="4" a="1"/>
  <c r="E85" i="4" a="1"/>
  <c r="E83" i="4" a="1"/>
  <c r="E98" i="4" a="1"/>
  <c r="E96" i="4" a="1"/>
  <c r="E71" i="4" a="1"/>
  <c r="E60" i="4" a="1"/>
  <c r="E72" i="4" a="1"/>
  <c r="E53" i="4" a="1"/>
  <c r="E70" i="4" a="1"/>
  <c r="E66" i="4" a="1"/>
  <c r="E59" i="4" a="1"/>
  <c r="E81" i="4" a="1"/>
  <c r="E56" i="4" a="1"/>
  <c r="E101" i="4" a="1"/>
  <c r="E69" i="4" a="1"/>
  <c r="E80" i="4" a="1"/>
  <c r="E57" i="4" a="1"/>
  <c r="E95" i="4" a="1"/>
  <c r="E63" i="4" a="1"/>
  <c r="E76" i="4" a="1"/>
  <c r="E93" i="4" a="1"/>
  <c r="E77" i="4" a="1"/>
  <c r="E54" i="4" a="1"/>
  <c r="E92" i="4" a="1"/>
  <c r="E82" i="4" a="1"/>
  <c r="E68" i="4" a="1"/>
  <c r="E94" i="4" a="1"/>
  <c r="E91" i="4" a="1"/>
  <c r="E75" i="4" a="1"/>
  <c r="E58" i="4" a="1"/>
  <c r="E90" i="4" a="1"/>
  <c r="E78" i="4" a="1"/>
  <c r="E62" i="4" a="1"/>
  <c r="E79" i="4" a="1"/>
  <c r="E86" i="4" a="1"/>
  <c r="E89" i="4" a="1"/>
  <c r="E73" i="4" a="1"/>
  <c r="E61" i="4" a="1"/>
  <c r="E88" i="4" a="1"/>
  <c r="E74" i="4" a="1"/>
  <c r="E84" i="4" a="1"/>
  <c r="F32" i="4" a="1"/>
  <c r="D13" i="4" a="1"/>
  <c r="E13" i="4" a="1"/>
  <c r="G32" i="4" a="1"/>
  <c r="G30" i="4" a="1"/>
  <c r="D15" i="4" a="1"/>
  <c r="F16" i="4" a="1"/>
  <c r="G16" i="4" a="1"/>
  <c r="G15" i="4" l="1"/>
  <c r="F14" i="4"/>
  <c r="D14" i="4"/>
  <c r="G14" i="4"/>
  <c r="F15" i="4"/>
  <c r="G16" i="4"/>
  <c r="F16" i="4"/>
  <c r="D15" i="4"/>
  <c r="G30" i="4"/>
  <c r="G32" i="4"/>
  <c r="E13" i="4"/>
  <c r="D13" i="4"/>
  <c r="F32" i="4"/>
  <c r="E84" i="4"/>
  <c r="E74" i="4"/>
  <c r="E88" i="4"/>
  <c r="E61" i="4"/>
  <c r="E73" i="4"/>
  <c r="E89" i="4"/>
  <c r="E86" i="4"/>
  <c r="E79" i="4"/>
  <c r="E62" i="4"/>
  <c r="E78" i="4"/>
  <c r="E90" i="4"/>
  <c r="E58" i="4"/>
  <c r="E75" i="4"/>
  <c r="E91" i="4"/>
  <c r="E94" i="4"/>
  <c r="E68" i="4"/>
  <c r="E82" i="4"/>
  <c r="E92" i="4"/>
  <c r="E54" i="4"/>
  <c r="E77" i="4"/>
  <c r="E93" i="4"/>
  <c r="E76" i="4"/>
  <c r="E63" i="4"/>
  <c r="E95" i="4"/>
  <c r="E57" i="4"/>
  <c r="E80" i="4"/>
  <c r="E69" i="4"/>
  <c r="E101" i="4"/>
  <c r="E56" i="4"/>
  <c r="E81" i="4"/>
  <c r="E59" i="4"/>
  <c r="E66" i="4"/>
  <c r="E70" i="4"/>
  <c r="E53" i="4"/>
  <c r="E72" i="4"/>
  <c r="E60" i="4"/>
  <c r="E71" i="4"/>
  <c r="E96" i="4"/>
  <c r="E98" i="4"/>
  <c r="E83" i="4"/>
  <c r="E85" i="4"/>
  <c r="E55" i="4"/>
  <c r="E87" i="4"/>
  <c r="E65" i="4"/>
  <c r="E64" i="4"/>
  <c r="E99" i="4"/>
  <c r="E100" i="4"/>
  <c r="E52" i="4"/>
  <c r="E97" i="4"/>
  <c r="E67" i="4"/>
  <c r="F30" i="4"/>
  <c r="E15" i="4"/>
  <c r="G29" i="4"/>
  <c r="F13" i="4"/>
  <c r="G13" i="4"/>
  <c r="F31" i="4"/>
  <c r="F29" i="4"/>
  <c r="E14" i="4"/>
  <c r="D16" i="4"/>
  <c r="D32" i="4"/>
  <c r="C32" i="4"/>
  <c r="C29" i="4"/>
  <c r="D29" i="4"/>
  <c r="E16" i="4"/>
  <c r="F100" i="4"/>
  <c r="F92" i="4"/>
  <c r="F84" i="4"/>
  <c r="F76" i="4"/>
  <c r="F68" i="4"/>
  <c r="F60" i="4"/>
  <c r="F53" i="4"/>
  <c r="F89" i="4"/>
  <c r="F73" i="4"/>
  <c r="F57" i="4"/>
  <c r="F99" i="4"/>
  <c r="F91" i="4"/>
  <c r="F83" i="4"/>
  <c r="F75" i="4"/>
  <c r="F67" i="4"/>
  <c r="F59" i="4"/>
  <c r="B6" i="4"/>
  <c r="F97" i="4"/>
  <c r="F65" i="4"/>
  <c r="F98" i="4"/>
  <c r="F90" i="4"/>
  <c r="F82" i="4"/>
  <c r="F74" i="4"/>
  <c r="F66" i="4"/>
  <c r="F58" i="4"/>
  <c r="F81" i="4"/>
  <c r="F94" i="4"/>
  <c r="F78" i="4"/>
  <c r="F62" i="4"/>
  <c r="F72" i="4"/>
  <c r="F71" i="4"/>
  <c r="F70" i="4"/>
  <c r="F85" i="4"/>
  <c r="F54" i="4"/>
  <c r="F95" i="4"/>
  <c r="F93" i="4"/>
  <c r="F77" i="4"/>
  <c r="F61" i="4"/>
  <c r="F88" i="4"/>
  <c r="F55" i="4"/>
  <c r="F56" i="4"/>
  <c r="F52" i="4"/>
  <c r="F101" i="4"/>
  <c r="F69" i="4"/>
  <c r="F96" i="4"/>
  <c r="F64" i="4"/>
  <c r="F79" i="4"/>
  <c r="F87" i="4"/>
  <c r="F86" i="4"/>
  <c r="F80" i="4"/>
  <c r="F63" i="4"/>
  <c r="H135" i="3" a="1"/>
  <c r="H135" i="3" s="1"/>
  <c r="H132" i="3" a="1"/>
  <c r="H132" i="3" s="1"/>
  <c r="D89" i="4" a="1"/>
  <c r="D78" i="4" a="1"/>
  <c r="D87" i="4" a="1"/>
  <c r="D80" i="4" a="1"/>
  <c r="D52" i="4" a="1"/>
  <c r="D90" i="4" a="1"/>
  <c r="D98" i="4" a="1"/>
  <c r="D74" i="4" a="1"/>
  <c r="D77" i="4" a="1"/>
  <c r="D68" i="4" a="1"/>
  <c r="D75" i="4" a="1"/>
  <c r="D53" i="4" a="1"/>
  <c r="D71" i="4" a="1"/>
  <c r="D93" i="4" a="1"/>
  <c r="D54" i="4" a="1"/>
  <c r="D86" i="4" a="1"/>
  <c r="D55" i="4" a="1"/>
  <c r="D57" i="4" a="1"/>
  <c r="D94" i="4" a="1"/>
  <c r="D73" i="4" a="1"/>
  <c r="D76" i="4" a="1"/>
  <c r="D60" i="4" a="1"/>
  <c r="D100" i="4" a="1"/>
  <c r="D91" i="4" a="1"/>
  <c r="D58" i="4" a="1"/>
  <c r="D82" i="4" a="1"/>
  <c r="D101" i="4" a="1"/>
  <c r="D61" i="4" a="1"/>
  <c r="D99" i="4" a="1"/>
  <c r="D83" i="4" a="1"/>
  <c r="D67" i="4" a="1"/>
  <c r="D92" i="4" a="1"/>
  <c r="D88" i="4" a="1"/>
  <c r="D66" i="4" a="1"/>
  <c r="D69" i="4" a="1"/>
  <c r="D97" i="4" a="1"/>
  <c r="D81" i="4" a="1"/>
  <c r="D65" i="4" a="1"/>
  <c r="D62" i="4" a="1"/>
  <c r="D72" i="4" a="1"/>
  <c r="D59" i="4" a="1"/>
  <c r="D85" i="4" a="1"/>
  <c r="D64" i="4" a="1"/>
  <c r="D70" i="4" a="1"/>
  <c r="D95" i="4" a="1"/>
  <c r="D79" i="4" a="1"/>
  <c r="D63" i="4" a="1"/>
  <c r="D84" i="4" a="1"/>
  <c r="D96" i="4" a="1"/>
  <c r="D56" i="4" a="1"/>
  <c r="G82" i="4" a="1"/>
  <c r="G59" i="4" a="1"/>
  <c r="G62" i="4" a="1"/>
  <c r="G90" i="4" a="1"/>
  <c r="G73" i="4" a="1"/>
  <c r="G65" i="4" a="1"/>
  <c r="G81" i="4" a="1"/>
  <c r="G64" i="4" a="1"/>
  <c r="G80" i="4" a="1"/>
  <c r="G97" i="4" a="1"/>
  <c r="G74" i="4" a="1"/>
  <c r="G89" i="4" a="1"/>
  <c r="G72" i="4" a="1"/>
  <c r="G98" i="4" a="1"/>
  <c r="G52" i="4" a="1"/>
  <c r="G79" i="4" a="1"/>
  <c r="G96" i="4" a="1"/>
  <c r="G88" i="4" a="1"/>
  <c r="G66" i="4" a="1"/>
  <c r="G87" i="4" a="1"/>
  <c r="G94" i="4" a="1"/>
  <c r="G78" i="4" a="1"/>
  <c r="G57" i="4" a="1"/>
  <c r="G101" i="4" a="1"/>
  <c r="G93" i="4" a="1"/>
  <c r="G85" i="4" a="1"/>
  <c r="G77" i="4" a="1"/>
  <c r="G69" i="4" a="1"/>
  <c r="G55" i="4" a="1"/>
  <c r="G60" i="4" a="1"/>
  <c r="G63" i="4" a="1"/>
  <c r="G53" i="4" a="1"/>
  <c r="G86" i="4" a="1"/>
  <c r="G58" i="4" a="1"/>
  <c r="G100" i="4" a="1"/>
  <c r="G92" i="4" a="1"/>
  <c r="G84" i="4" a="1"/>
  <c r="G76" i="4" a="1"/>
  <c r="G68" i="4" a="1"/>
  <c r="G61" i="4" a="1"/>
  <c r="G54" i="4" a="1"/>
  <c r="G95" i="4" a="1"/>
  <c r="G71" i="4" a="1"/>
  <c r="G70" i="4" a="1"/>
  <c r="G99" i="4" a="1"/>
  <c r="G91" i="4" a="1"/>
  <c r="G83" i="4" a="1"/>
  <c r="G75" i="4" a="1"/>
  <c r="G67" i="4" a="1"/>
  <c r="G56" i="4" a="1"/>
  <c r="G56" i="4" l="1"/>
  <c r="G67" i="4"/>
  <c r="G75" i="4"/>
  <c r="G83" i="4"/>
  <c r="G91" i="4"/>
  <c r="G99" i="4"/>
  <c r="G70" i="4"/>
  <c r="G71" i="4"/>
  <c r="G95" i="4"/>
  <c r="G54" i="4"/>
  <c r="G61" i="4"/>
  <c r="G68" i="4"/>
  <c r="G76" i="4"/>
  <c r="G84" i="4"/>
  <c r="G92" i="4"/>
  <c r="G100" i="4"/>
  <c r="G58" i="4"/>
  <c r="G86" i="4"/>
  <c r="G53" i="4"/>
  <c r="G63" i="4"/>
  <c r="G60" i="4"/>
  <c r="G55" i="4"/>
  <c r="G69" i="4"/>
  <c r="G77" i="4"/>
  <c r="G85" i="4"/>
  <c r="G93" i="4"/>
  <c r="G101" i="4"/>
  <c r="G57" i="4"/>
  <c r="G78" i="4"/>
  <c r="G94" i="4"/>
  <c r="G87" i="4"/>
  <c r="G66" i="4"/>
  <c r="G88" i="4"/>
  <c r="G96" i="4"/>
  <c r="G79" i="4"/>
  <c r="G52" i="4"/>
  <c r="G98" i="4"/>
  <c r="G72" i="4"/>
  <c r="G89" i="4"/>
  <c r="G74" i="4"/>
  <c r="G97" i="4"/>
  <c r="G80" i="4"/>
  <c r="G64" i="4"/>
  <c r="G81" i="4"/>
  <c r="G65" i="4"/>
  <c r="G73" i="4"/>
  <c r="G90" i="4"/>
  <c r="G62" i="4"/>
  <c r="G59" i="4"/>
  <c r="G82" i="4"/>
  <c r="D56" i="4"/>
  <c r="D96" i="4"/>
  <c r="D84" i="4"/>
  <c r="D63" i="4"/>
  <c r="D79" i="4"/>
  <c r="D95" i="4"/>
  <c r="D70" i="4"/>
  <c r="D64" i="4"/>
  <c r="D85" i="4"/>
  <c r="D59" i="4"/>
  <c r="D72" i="4"/>
  <c r="D62" i="4"/>
  <c r="D65" i="4"/>
  <c r="D81" i="4"/>
  <c r="D97" i="4"/>
  <c r="D69" i="4"/>
  <c r="D66" i="4"/>
  <c r="D88" i="4"/>
  <c r="D92" i="4"/>
  <c r="D67" i="4"/>
  <c r="D83" i="4"/>
  <c r="D99" i="4"/>
  <c r="D61" i="4"/>
  <c r="D101" i="4"/>
  <c r="D82" i="4"/>
  <c r="D58" i="4"/>
  <c r="D91" i="4"/>
  <c r="D100" i="4"/>
  <c r="D60" i="4"/>
  <c r="D76" i="4"/>
  <c r="D73" i="4"/>
  <c r="D94" i="4"/>
  <c r="D57" i="4"/>
  <c r="D55" i="4"/>
  <c r="D86" i="4"/>
  <c r="D54" i="4"/>
  <c r="D93" i="4"/>
  <c r="D71" i="4"/>
  <c r="D53" i="4"/>
  <c r="D75" i="4"/>
  <c r="D68" i="4"/>
  <c r="D77" i="4"/>
  <c r="D74" i="4"/>
  <c r="D98" i="4"/>
  <c r="D90" i="4"/>
  <c r="D52" i="4"/>
  <c r="D80" i="4"/>
  <c r="D87" i="4"/>
  <c r="D78" i="4"/>
  <c r="D89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<sst xmlns="http://schemas.openxmlformats.org/spreadsheetml/2006/main" count="652" uniqueCount="289">
  <si>
    <t>Spare Parts and Maintenance Strategy</t>
  </si>
  <si>
    <t>ModelRisk example  ·  Manufacturing  ·  MF-08</t>
  </si>
  <si>
    <t>Run to failure or replace on a schedule — and how many spare kits to hold?  Bearing wear-out on eight spindles.</t>
  </si>
  <si>
    <t>Next:  Inputs  ▸</t>
  </si>
  <si>
    <t>Model card</t>
  </si>
  <si>
    <t>Industry</t>
  </si>
  <si>
    <t>Manufacturing</t>
  </si>
  <si>
    <t>Difficulty</t>
  </si>
  <si>
    <t>★★★☆☆   A renewal process on each spindle — every bearing replaced when it fails or reaches its replacement age — for four strategies on the same simulated lives, and the spare kits each strategy needs.</t>
  </si>
  <si>
    <t>Business question</t>
  </si>
  <si>
    <t>A machine shop runs eight machining centres whose spindle bearings wear out. A bearing that fails in service damages the spindle and stops the machine; one replaced on schedule costs only a kit and the labour. Should the shop run the bearings to failure, or replace them at a fixed age — and at which age? And how many spare bearing kits should it keep, when a new kit takes eight weeks to arrive?</t>
  </si>
  <si>
    <t>Who it is for</t>
  </si>
  <si>
    <t>Maintenance and reliability engineers, plant managers, spare-parts and MRO planners.</t>
  </si>
  <si>
    <t>Main outputs</t>
  </si>
  <si>
    <t>The two-year cost of each strategy with 0 to 3 spare kits, beside the textbook long-run cost · failures, planned replacements and kits used · the chance that a failure finds no kit on the shelf · failures by quarter.</t>
  </si>
  <si>
    <t>ModelRisk techniques</t>
  </si>
  <si>
    <t>Bearing lives as Weibull distributions (VoseWeibull) · a renewal process on each spindle: every bearing replaced at failure or at its replacement age, for four strategies on the same simulated lives (common random numbers) · for each failure, the failures within one resupply time, to find stock-outs · the textbook long-run cost from the renewal-reward theorem (VoseProb of a VoseWeibullObject) for comparison.</t>
  </si>
  <si>
    <t>File</t>
  </si>
  <si>
    <t>MF-08 Spare parts and maintenance strategy  ·  Version 1.0  ·  October 2026  ·  built with ModelRisk 10</t>
  </si>
  <si>
    <t>The business question</t>
  </si>
  <si>
    <t>A machine shop runs eight machining centres on two shifts, about 6,000 hours a year. Their spindle bearings wear out: half last beyond about 6,000 hours, but a few fail before 2,000. A bearing that fails in service damages the spindle and stops the machine for twelve hours — about US$21,000 in all. Replaced on schedule, in a weekend maintenance window, it costs US$4,000: a kit and the labour. All eight spindles were rebuilt with new bearings in this year's shutdown. The maintenance manager must choose a strategy for the next two years — run the bearings to failure, or replace each at a fixed age — and decide how many spare kits to keep on the shelf: a kit ordered after a failure takes eight weeks to arrive, and a failure that finds no kit waits 36 hours for an expedited one.</t>
  </si>
  <si>
    <t>How the model works</t>
  </si>
  <si>
    <t>Three sheets after this one, read from left to right. Each one feeds the next.</t>
  </si>
  <si>
    <t>1  Inputs</t>
  </si>
  <si>
    <t>Operating hours a year; the bearing's Weibull shape and scale; three replacement ages to compare with running to failure; the cost of a kit, the labour, the damage and the downtime of a failure; the spare kits held, their resupply time and the cost of holding one.</t>
  </si>
  <si>
    <t>2  Spindles</t>
  </si>
  <si>
    <t>VoseWeibull draws the lives of ten successive bearings on each spindle. For each strategy a bearing comes out at its replacement age or when it fails, and the next one starts: a renewal process. Failures and planned replacements in the two years are counted, and for each failure the failures in the resupply time up to it show whether a spare kit was left. The textbook long-run cost is calculated alongside.</t>
  </si>
  <si>
    <t>3  Results</t>
  </si>
  <si>
    <t>The mean two-year cost of each strategy with 0 to 3 spare kits; failures, kits used and the chance of running out of kits; failures by quarter.</t>
  </si>
  <si>
    <t>How to use it</t>
  </si>
  <si>
    <t>Step 1</t>
  </si>
  <si>
    <t>Enter your operating hours and the bearing's Weibull life — fitted to your failure records (see MF-03).</t>
  </si>
  <si>
    <t>Step 2</t>
  </si>
  <si>
    <t>Enter the costs of a planned replacement and of a failure, and the resupply time of a kit.</t>
  </si>
  <si>
    <t>Step 3</t>
  </si>
  <si>
    <t>Run a simulation from the ModelRisk ribbon (10,000 samples with a fixed seed are set).</t>
  </si>
  <si>
    <t>Step 4</t>
  </si>
  <si>
    <t>Read the best strategy and number of kits from the cost table; then try other replacement ages.</t>
  </si>
  <si>
    <t>Workbook map</t>
  </si>
  <si>
    <t>Inputs</t>
  </si>
  <si>
    <t>Hours, bearing life, replacement ages, costs, spare kits.</t>
  </si>
  <si>
    <t>Spindles</t>
  </si>
  <si>
    <t>Bearing lives; each strategy's renewals, failures and stock-outs; outputs and checks; the long-run formula.</t>
  </si>
  <si>
    <t>Results</t>
  </si>
  <si>
    <t>Strategies and spare kits compared; failures and the risk of running out.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</si>
  <si>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</si>
  <si>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</si>
  <si>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</si>
  <si>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</si>
  <si>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</si>
  <si>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</si>
  <si>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</si>
  <si>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</si>
  <si>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</si>
  <si>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</si>
  <si>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</si>
  <si>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</si>
  <si>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Hours</t>
  </si>
  <si>
    <t>Operating hours since this year's shutdown: 6,000 a year, 12,000 in the two years.</t>
  </si>
  <si>
    <t>Money</t>
  </si>
  <si>
    <t>US$ thousand (US$k), not discounted over the two years.</t>
  </si>
  <si>
    <t>Strategy</t>
  </si>
  <si>
    <t>Replace each bearing when it reaches the replacement age or when it fails, whichever comes first; running to failure has no replacement age.</t>
  </si>
  <si>
    <t>Stock-out</t>
  </si>
  <si>
    <t>A failure that finds no spare kit on the shelf. Every kit used by a failure is reordered at once and arrives one resupply time later.</t>
  </si>
  <si>
    <t>Key assumptions and limitations</t>
  </si>
  <si>
    <t>Bearings</t>
  </si>
  <si>
    <t>Lives independent and Weibull; a new bearing is as good as new; all eight start new after the shutdown.</t>
  </si>
  <si>
    <t>Planned work</t>
  </si>
  <si>
    <t>Done in weekend maintenance windows: no lost production; its kits are ordered ahead and never wait.</t>
  </si>
  <si>
    <t>Spare kits</t>
  </si>
  <si>
    <t>One kit reordered for each failure; a failure that finds no kit waits for an expedited one.</t>
  </si>
  <si>
    <t>Data</t>
  </si>
  <si>
    <t>The shop and all figures are invented for this example.</t>
  </si>
  <si>
    <t>ModelRisk functions used</t>
  </si>
  <si>
    <t>VoseWeibull</t>
  </si>
  <si>
    <t>The life of each bearing, in operating hours.</t>
  </si>
  <si>
    <t>VoseWeibullObject, VoseProb</t>
  </si>
  <si>
    <t>The chance that a bearing fails before its replacement age, for the long-run formula.</t>
  </si>
  <si>
    <t>VoseOutput</t>
  </si>
  <si>
    <t>Failures, kits, stock-outs and costs, recorded at every sample.</t>
  </si>
  <si>
    <t>VoseSimMean, VoseSimPercentile, VoseSimProbability</t>
  </si>
  <si>
    <t>Statistics of the simulation on the Results sheet.</t>
  </si>
  <si>
    <t>Further reading</t>
  </si>
  <si>
    <t>Maintenance</t>
  </si>
  <si>
    <t>Jardine, A. K. S. &amp; Tsang, A. H. C. (2013). Maintenance, Replacement, and Reliability, 2nd edition. CRC Press.</t>
  </si>
  <si>
    <t>Renewal theory</t>
  </si>
  <si>
    <t>Barlow, R. E. &amp; Proschan, F. (1965). Mathematical Theory of Reliability. Wiley — age replacement.</t>
  </si>
  <si>
    <t>Spare parts</t>
  </si>
  <si>
    <t>Sherbrooke, C. C. (2004). Optimal Inventory Modeling of Systems, 2nd edition. Kluwer.</t>
  </si>
  <si>
    <t>© 2026 Vose Software   ·   www.vosesoftware.com   ·   An illustrative example: the figures are invented for teaching and do not describe a real company, project or asset.</t>
  </si>
  <si>
    <t>INPUTS   ·   Every assumption the model uses, with its uncertainty and its basis. Change only the yellow cells.</t>
  </si>
  <si>
    <t>◂  About</t>
  </si>
  <si>
    <t>Next:  Spindles  ▸</t>
  </si>
  <si>
    <t>How to read this sheet:  yellow cells are inputs.</t>
  </si>
  <si>
    <t>1   The spindles</t>
  </si>
  <si>
    <t>Eight machining centres, all with new spindle bearings after this year's shutdown.</t>
  </si>
  <si>
    <t>Assumption</t>
  </si>
  <si>
    <t>Unit</t>
  </si>
  <si>
    <t>Value in model</t>
  </si>
  <si>
    <t>Uncertainty</t>
  </si>
  <si>
    <t>Basis / source (illustrative)</t>
  </si>
  <si>
    <t>Operating hours a year</t>
  </si>
  <si>
    <t>hours</t>
  </si>
  <si>
    <t>Fixed</t>
  </si>
  <si>
    <t>Two shifts, five days a week.</t>
  </si>
  <si>
    <t>2   Bearing life</t>
  </si>
  <si>
    <t>A Weibull distribution of operating hours to failure.</t>
  </si>
  <si>
    <t>Weibull shape</t>
  </si>
  <si>
    <t>Above 1: the bearings wear out — the older, the likelier to fail.</t>
  </si>
  <si>
    <t>Weibull scale</t>
  </si>
  <si>
    <t>63% of bearings fail by this age; fitted to the shop's records.</t>
  </si>
  <si>
    <t>3   Strategies</t>
  </si>
  <si>
    <t>Replace each bearing at this age, or when it fails. Running to failure is compared with all three.</t>
  </si>
  <si>
    <t>Early replacement at</t>
  </si>
  <si>
    <t>Mid-life replacement at</t>
  </si>
  <si>
    <t>Late replacement at</t>
  </si>
  <si>
    <t>4   Costs</t>
  </si>
  <si>
    <t>Bearing kit</t>
  </si>
  <si>
    <t>US$k</t>
  </si>
  <si>
    <t>Labour to replace the bearings</t>
  </si>
  <si>
    <t>Planned or not.</t>
  </si>
  <si>
    <t>A failure: damage to the shaft and housing</t>
  </si>
  <si>
    <t>A failure: hours the machine stands</t>
  </si>
  <si>
    <t>Strip, rebuild and test the spindle.</t>
  </si>
  <si>
    <t>Contribution lost per hour a machine stands</t>
  </si>
  <si>
    <t>No kit on the shelf: extra hours waiting</t>
  </si>
  <si>
    <t>For an expedited kit from the maker.</t>
  </si>
  <si>
    <t>5   Spare kits</t>
  </si>
  <si>
    <t>Spare kits held</t>
  </si>
  <si>
    <t>kits</t>
  </si>
  <si>
    <t>The tables on the Results sheet show 0 to 3.</t>
  </si>
  <si>
    <t>Resupply time of a kit</t>
  </si>
  <si>
    <t>weeks</t>
  </si>
  <si>
    <t>Ordered as soon as a failure uses one.</t>
  </si>
  <si>
    <t>Cost of holding a kit</t>
  </si>
  <si>
    <t>per year</t>
  </si>
  <si>
    <t>Capital, storage and obsolescence.</t>
  </si>
  <si>
    <t>SPINDLES   ·   Two years of bearing lives on eight spindles, and each strategy's replacements, failures and stock-outs.</t>
  </si>
  <si>
    <t>◂  Inputs</t>
  </si>
  <si>
    <t>Next:  Results  ▸</t>
  </si>
  <si>
    <t>1   This iteration's single values</t>
  </si>
  <si>
    <t>Quantity</t>
  </si>
  <si>
    <t>Value</t>
  </si>
  <si>
    <t>How it is calculated</t>
  </si>
  <si>
    <t>Operating hours in the two years</t>
  </si>
  <si>
    <t>Two years from this year's shutdown</t>
  </si>
  <si>
    <t>Weeks × operating hours a week, with 50 working weeks a year</t>
  </si>
  <si>
    <t>Cost of a planned replacement</t>
  </si>
  <si>
    <t>Kit + labour, in a weekend window</t>
  </si>
  <si>
    <t>Cost of a failure</t>
  </si>
  <si>
    <t>Kit + labour + damage + hours stopped × contribution per hour</t>
  </si>
  <si>
    <t>Extra cost when a failure finds no kit</t>
  </si>
  <si>
    <t>Hours waiting for an expedited kit × contribution per hour</t>
  </si>
  <si>
    <t>Cost of holding one spare kit for two years</t>
  </si>
  <si>
    <t>Kit price × holding rate × two years</t>
  </si>
  <si>
    <t>A replacement age no bearing reaches</t>
  </si>
  <si>
    <t>Running to failure: the bearing comes out only when it fails</t>
  </si>
  <si>
    <t>Replacement age, strategy 1: run to failure</t>
  </si>
  <si>
    <t>Never</t>
  </si>
  <si>
    <t>Replacement age, strategy 2: early replacement</t>
  </si>
  <si>
    <t>From the Inputs sheet</t>
  </si>
  <si>
    <t>Replacement age, strategy 3: mid-life replacement</t>
  </si>
  <si>
    <t>Replacement age, strategy 4: late replacement</t>
  </si>
  <si>
    <t>2   Bearing lives</t>
  </si>
  <si>
    <t>VoseWeibull: the life of each successive bearing on each spindle, in operating hours. The same lives serve all four strategies.</t>
  </si>
  <si>
    <t>Spindle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</si>
  <si>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</si>
  <si>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</si>
  <si>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</si>
  <si>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</si>
  <si>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</si>
  <si>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</si>
  <si>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</si>
  <si>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</si>
  <si>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</si>
  <si>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</si>
  <si>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Spindle 1</t>
  </si>
  <si>
    <t>Spindle 2</t>
  </si>
  <si>
    <t>Spindle 3</t>
  </si>
  <si>
    <t>Spindle 4</t>
  </si>
  <si>
    <t>Spindle 5</t>
  </si>
  <si>
    <t>Spindle 6</t>
  </si>
  <si>
    <t>Spindle 7</t>
  </si>
  <si>
    <t>Spindle 8</t>
  </si>
  <si>
    <t>3   Strategy 1: run to failure</t>
  </si>
  <si>
    <t>Each bearing stays until it fails; a new one starts at once.</t>
  </si>
  <si>
    <t>When each bearing comes out  (hours since the shutdown)</t>
  </si>
  <si>
    <t>Failures</t>
  </si>
  <si>
    <t>Planned</t>
  </si>
  <si>
    <t>All spindles, in the two years</t>
  </si>
  <si>
    <t>Each failure: the failures within one resupply time up to it</t>
  </si>
  <si>
    <t>failures</t>
  </si>
  <si>
    <t>Itself included; – = not a failure in the two years. It finds no kit when this count exceeds the kits held.</t>
  </si>
  <si>
    <t>4   Strategy 2: early replacement</t>
  </si>
  <si>
    <t>5   Strategy 3: mid-life replacement</t>
  </si>
  <si>
    <t>6   Strategy 4: late replacement</t>
  </si>
  <si>
    <t>7   Outputs</t>
  </si>
  <si>
    <t>Recorded by ModelRisk at every sample (VoseOutput). Their statistics appear on the Results sheet.</t>
  </si>
  <si>
    <t>By strategy</t>
  </si>
  <si>
    <t>Kits used</t>
  </si>
  <si>
    <t>No kit*</t>
  </si>
  <si>
    <t>Cost*</t>
  </si>
  <si>
    <t>number</t>
  </si>
  <si>
    <t>1  Run to failure</t>
  </si>
  <si>
    <t>2  Early replacement</t>
  </si>
  <si>
    <t>3  Mid-life replacement</t>
  </si>
  <si>
    <t>4  Late replacement</t>
  </si>
  <si>
    <t>* With the spare kits held on the Inputs sheet.</t>
  </si>
  <si>
    <t>Failures that find no kit, by spare kits held</t>
  </si>
  <si>
    <t>0 kits</t>
  </si>
  <si>
    <t>1 kit</t>
  </si>
  <si>
    <t>2 kits</t>
  </si>
  <si>
    <t>3 kits</t>
  </si>
  <si>
    <t>A failure finds no kit when more failures than the kits held — itself included — fall within one resupply time up to it (the grids above): their replacement kits have not arrived yet.</t>
  </si>
  <si>
    <t>Two-year cost by spare kits held  (US$k)</t>
  </si>
  <si>
    <t>Failures by quarter</t>
  </si>
  <si>
    <t>Y1 Q1</t>
  </si>
  <si>
    <t>Y1 Q2</t>
  </si>
  <si>
    <t>Y1 Q3</t>
  </si>
  <si>
    <t>Y1 Q4</t>
  </si>
  <si>
    <t>Y2 Q1</t>
  </si>
  <si>
    <t>Y2 Q2</t>
  </si>
  <si>
    <t>Y2 Q3</t>
  </si>
  <si>
    <t>Y2 Q4</t>
  </si>
  <si>
    <t>8   Model checks</t>
  </si>
  <si>
    <t>Should all read OK. A CHECK means an input has been set outside the range the model is built for.</t>
  </si>
  <si>
    <t>Ten bearings cover the two years on every spindle</t>
  </si>
  <si>
    <t>The replacement ages rise from early to late</t>
  </si>
  <si>
    <t>Spare kits held: 0 to 3</t>
  </si>
  <si>
    <t>Failures counted by quarter add up to all failures</t>
  </si>
  <si>
    <t>9   The textbook answer: the long-run cost</t>
  </si>
  <si>
    <t>Renewal-reward: the average cost of a bearing divided by its average time in service, once the bearings' ages have spread out; no stock-outs.</t>
  </si>
  <si>
    <t>Mean life of a bearing</t>
  </si>
  <si>
    <t>Scale × Γ(1 + 1/shape), the Weibull's mean</t>
  </si>
  <si>
    <t>spindles</t>
  </si>
  <si>
    <t>The rows of the bearing lives</t>
  </si>
  <si>
    <t>Replace at</t>
  </si>
  <si>
    <t>x</t>
  </si>
  <si>
    <t>Fails first</t>
  </si>
  <si>
    <t>Share of</t>
  </si>
  <si>
    <t>In service</t>
  </si>
  <si>
    <t>Per bearing</t>
  </si>
  <si>
    <t>Per 1,000 h</t>
  </si>
  <si>
    <t>Two years</t>
  </si>
  <si>
    <t>probability</t>
  </si>
  <si>
    <t>mean life</t>
  </si>
  <si>
    <t>hours, mean</t>
  </si>
  <si>
    <t>US$k, mean</t>
  </si>
  <si>
    <t>x = (replacement age ÷ scale)^shape.  In service: the mean of the shorter of a bearing's life and its replacement age = the mean life × the incomplete gamma ratio GAMMADIST(x, 1/shape, 1, TRUE).</t>
  </si>
  <si>
    <t>Fails first: the Weibull's cumulative probability at the replacement age (VoseProb). Two years: cost per hour × the spindles × the hours in two years.</t>
  </si>
  <si>
    <t>RESULTS   ·   Filled in automatically from the last simulation. Run a simulation after changing any input.</t>
  </si>
  <si>
    <t>◂  Spindles</t>
  </si>
  <si>
    <t>1   Which strategy, and how many spare kits?</t>
  </si>
  <si>
    <t>Two-year cost with the spare kits held — cumulative probability</t>
  </si>
  <si>
    <t>Mean two-year cost (US$k) for the eight spindles: replacements, failures, waits for a kit and holding the spare kits.</t>
  </si>
  <si>
    <t>Textbook</t>
  </si>
  <si>
    <t>long run</t>
  </si>
  <si>
    <t>simulated</t>
  </si>
  <si>
    <t>Textbook: the renewal-reward cost once the bearings' ages have spread out, with a kit always on the shelf. Green: the lowest mean cost.</t>
  </si>
  <si>
    <t>2   Failures, kits and the risk of running out</t>
  </si>
  <si>
    <t>Failures by quarter after the shutdown — mean</t>
  </si>
  <si>
    <t>In the two years, for the eight spindles.</t>
  </si>
  <si>
    <t>No kit</t>
  </si>
  <si>
    <t>mean</t>
  </si>
  <si>
    <t>90th pct</t>
  </si>
  <si>
    <t>chance*</t>
  </si>
  <si>
    <t>* The chance that at least one failure finds no kit, with the spare kits held on the Inputs sheet.</t>
  </si>
  <si>
    <t>Chance that a failure finds no kit</t>
  </si>
  <si>
    <t>3   How to read these results</t>
  </si>
  <si>
    <t>•  Running the bearings to failure costs the most, whatever the spare kits: about 12 failures in two years at US$21,000 each. Even with three spare kits, half of the futures have a failure that finds the shelf empty. All the bearings were new after the shutdown, so they wear out together: failures climb through the first year and stay high in the second (see the chart).</t>
  </si>
  <si>
    <t>•  Replacing each bearing at 3,500 hours, with three spare kits, costs the least: about US$177,000 over two years, against about US$292,000 for running to failure with the same kits. About 21 bearings are replaced in weekend windows and about 4 fail in service. At 2,500 hours fewer fail (about 3) but about 31 are replaced; at 5,000 hours about 7 fail first.</t>
  </si>
  <si>
    <t>•  The spare kits matter as much as the replacement age. A kit held for two years costs US$1,250; a failure that waits for one costs US$36,000. With two kits, replacing at 3,500 hours runs out in 17% of futures and at 2,500 hours in 5%, and both cost about US$183,000–186,000: the earlier the replacements, the fewer the failures that draw on the shelf.</t>
  </si>
  <si>
    <t>•  The textbook formula — the renewal-reward cost once the bearings' ages have spread out — ranks the strategies the same way and puts the best age near 3,500 hours. It cannot see the spare kits, nor the years just after a shutdown, when young bearings fail less often than in the long run and then fail together.</t>
  </si>
  <si>
    <t>•  For your own machines, fit the Weibull to your failure records (MF-03 shows how, with parameter uncertainty), then try replacement ages around the best one and the spare kits you can hold.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</si>
  <si>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</si>
  <si>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</si>
  <si>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</si>
  <si>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</si>
  <si>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CostS_1</t>
  </si>
  <si>
    <t>CostS_2</t>
  </si>
  <si>
    <t>CostS_3</t>
  </si>
  <si>
    <t>CostS_4</t>
  </si>
  <si>
    <t>Period</t>
  </si>
  <si>
    <t>Run to failure</t>
  </si>
  <si>
    <t>Early replacement</t>
  </si>
  <si>
    <t>Mid-life replacement</t>
  </si>
  <si>
    <t>Late replacement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</si>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</sst>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_);\(#,##0\);&quot;–&quot;_)"/>
    <numFmt numFmtId="165" formatCode="#,##0.0_);\(#,##0.0\);&quot;–&quot;_)"/>
    <numFmt numFmtId="166" formatCode="#,##0.00_);\(#,##0.00\);&quot;–&quot;_)"/>
    <numFmt numFmtId="167" formatCode="[&gt;=1000000000]&quot;never&quot;;#,##0"/>
    <numFmt numFmtId="168" formatCode="0;\-0;&quot;–&quot;"/>
    <numFmt numFmtId="169" formatCode="[&gt;=1000000]&quot;&gt; 1 million&quot;;0.00"/>
    <numFmt numFmtId="170" formatCode="0.0%"/>
    <numFmt numFmtId="171" formatCode="#,##0.0_);\(#,##0.0\);&quot;–&quot;_);&quot;–&quot;"/>
    <numFmt numFmtId="172" formatCode="#,##0_);\(#,##0\);&quot;–&quot;_);&quot;–&quot;"/>
    <numFmt numFmtId="173" formatCode="0%;\-0%;0%;&quot;–&quot;"/>
  </numFmts>
  <fonts count="23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8"/>
      <color rgb="FF3F5876"/>
      <name val="Calibri"/>
    </font>
    <font>
      <b/>
      <sz val="10"/>
      <color rgb="FF15803D"/>
      <name val="Calibri"/>
    </font>
    <font>
      <sz val="10"/>
      <color rgb="FF3F5876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2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/>
      <right/>
      <top style="thin">
        <color rgb="FF3F5876"/>
      </top>
      <bottom style="thin">
        <color rgb="FFE4E9F0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2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2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4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0" fontId="0" fillId="0" borderId="9" xfId="0" applyBorder="1"/>
    <xf numFmtId="164" fontId="12" fillId="0" borderId="9" xfId="3" applyNumberFormat="1" applyFont="1" applyBorder="1">
      <alignment horizontal="right" vertical="center"/>
    </xf>
    <xf numFmtId="168" fontId="3" fillId="0" borderId="8" xfId="3" applyNumberFormat="1" applyBorder="1">
      <alignment horizontal="right" vertical="center"/>
    </xf>
    <xf numFmtId="0" fontId="13" fillId="0" borderId="0" xfId="0" applyFont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164" fontId="4" fillId="4" borderId="10" xfId="4" applyNumberFormat="1" applyBorder="1">
      <alignment horizontal="right" vertical="center"/>
    </xf>
    <xf numFmtId="165" fontId="4" fillId="4" borderId="10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1" fontId="3" fillId="0" borderId="8" xfId="3" applyNumberFormat="1" applyBorder="1">
      <alignment horizontal="right" vertical="center"/>
    </xf>
    <xf numFmtId="169" fontId="3" fillId="0" borderId="8" xfId="3" applyNumberFormat="1" applyBorder="1">
      <alignment horizontal="right" vertical="center"/>
    </xf>
    <xf numFmtId="170" fontId="3" fillId="0" borderId="8" xfId="3" applyNumberFormat="1" applyBorder="1">
      <alignment horizontal="right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2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71" fontId="1" fillId="5" borderId="7" xfId="5" applyNumberFormat="1" applyBorder="1">
      <alignment horizontal="right" vertical="center"/>
    </xf>
    <xf numFmtId="172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2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6">
    <dxf>
      <font>
        <color rgb="FF8AA0BA"/>
      </font>
    </dxf>
    <dxf>
      <font>
        <b/>
        <color rgb="FF15803D"/>
      </font>
      <fill>
        <patternFill patternType="solid">
          <fgColor rgb="FFDCFCE7"/>
          <bgColor rgb="FFDCFCE7"/>
        </patternFill>
      </fill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Run to failure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none"/>
          </c:marker>
          <c:xVal>
            <c:numRef>
              <c:f>Results!$D$52:$D$101</c:f>
              <c:numCache>
                <c:formatCode>#,##0.00</c:formatCode>
                <c:ptCount val="50"/>
                <c:pt idx="0">
                  <c:v>191.5</c:v>
                </c:pt>
                <c:pt idx="1">
                  <c:v>227.5</c:v>
                </c:pt>
                <c:pt idx="2">
                  <c:v>233.5</c:v>
                </c:pt>
                <c:pt idx="3">
                  <c:v>248.5</c:v>
                </c:pt>
                <c:pt idx="4">
                  <c:v>263.5</c:v>
                </c:pt>
                <c:pt idx="5">
                  <c:v>269.5</c:v>
                </c:pt>
                <c:pt idx="6">
                  <c:v>269.5</c:v>
                </c:pt>
                <c:pt idx="7">
                  <c:v>284.5</c:v>
                </c:pt>
                <c:pt idx="8">
                  <c:v>284.5</c:v>
                </c:pt>
                <c:pt idx="9">
                  <c:v>290.5</c:v>
                </c:pt>
                <c:pt idx="10">
                  <c:v>305.5</c:v>
                </c:pt>
                <c:pt idx="11">
                  <c:v>305.5</c:v>
                </c:pt>
                <c:pt idx="12">
                  <c:v>305.5</c:v>
                </c:pt>
                <c:pt idx="13">
                  <c:v>311.5</c:v>
                </c:pt>
                <c:pt idx="14">
                  <c:v>320.5</c:v>
                </c:pt>
                <c:pt idx="15">
                  <c:v>326.5</c:v>
                </c:pt>
                <c:pt idx="16">
                  <c:v>326.5</c:v>
                </c:pt>
                <c:pt idx="17">
                  <c:v>335.5</c:v>
                </c:pt>
                <c:pt idx="18">
                  <c:v>341.5</c:v>
                </c:pt>
                <c:pt idx="19">
                  <c:v>341.5</c:v>
                </c:pt>
                <c:pt idx="20">
                  <c:v>347.5</c:v>
                </c:pt>
                <c:pt idx="21">
                  <c:v>356.5</c:v>
                </c:pt>
                <c:pt idx="22">
                  <c:v>362.5</c:v>
                </c:pt>
                <c:pt idx="23">
                  <c:v>362.5</c:v>
                </c:pt>
                <c:pt idx="24">
                  <c:v>362.5</c:v>
                </c:pt>
                <c:pt idx="25">
                  <c:v>368.5</c:v>
                </c:pt>
                <c:pt idx="26">
                  <c:v>377.5</c:v>
                </c:pt>
                <c:pt idx="27">
                  <c:v>383.5</c:v>
                </c:pt>
                <c:pt idx="28">
                  <c:v>383.5</c:v>
                </c:pt>
                <c:pt idx="29">
                  <c:v>389.5</c:v>
                </c:pt>
                <c:pt idx="30">
                  <c:v>398.5</c:v>
                </c:pt>
                <c:pt idx="31">
                  <c:v>398.5</c:v>
                </c:pt>
                <c:pt idx="32">
                  <c:v>404.5</c:v>
                </c:pt>
                <c:pt idx="33">
                  <c:v>413.5</c:v>
                </c:pt>
                <c:pt idx="34">
                  <c:v>419.5</c:v>
                </c:pt>
                <c:pt idx="35">
                  <c:v>419.5</c:v>
                </c:pt>
                <c:pt idx="36">
                  <c:v>428.5</c:v>
                </c:pt>
                <c:pt idx="37">
                  <c:v>434.5</c:v>
                </c:pt>
                <c:pt idx="38">
                  <c:v>440.5</c:v>
                </c:pt>
                <c:pt idx="39">
                  <c:v>455.5</c:v>
                </c:pt>
                <c:pt idx="40">
                  <c:v>455.5</c:v>
                </c:pt>
                <c:pt idx="41">
                  <c:v>461.5</c:v>
                </c:pt>
                <c:pt idx="42">
                  <c:v>476.5</c:v>
                </c:pt>
                <c:pt idx="43">
                  <c:v>482.5</c:v>
                </c:pt>
                <c:pt idx="44">
                  <c:v>497.5</c:v>
                </c:pt>
                <c:pt idx="45">
                  <c:v>512.5</c:v>
                </c:pt>
                <c:pt idx="46">
                  <c:v>518.5</c:v>
                </c:pt>
                <c:pt idx="47">
                  <c:v>539.5</c:v>
                </c:pt>
                <c:pt idx="48">
                  <c:v>569.5</c:v>
                </c:pt>
                <c:pt idx="49">
                  <c:v>611.5</c:v>
                </c:pt>
              </c:numCache>
            </c:numRef>
          </c:xVal>
          <c:yVal>
            <c:numRef>
              <c:f>Results!$B$52:$B$101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E48-46DF-80D0-33E04481D800}"/>
            </c:ext>
          </c:extLst>
        </c:ser>
        <c:ser>
          <c:idx val="1"/>
          <c:order val="1"/>
          <c:tx>
            <c:v>Early replacement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Results!$E$52:$E$101</c:f>
              <c:numCache>
                <c:formatCode>#,##0.00</c:formatCode>
                <c:ptCount val="50"/>
                <c:pt idx="0">
                  <c:v>130.5</c:v>
                </c:pt>
                <c:pt idx="1">
                  <c:v>130.5</c:v>
                </c:pt>
                <c:pt idx="2">
                  <c:v>130.5</c:v>
                </c:pt>
                <c:pt idx="3">
                  <c:v>147.5</c:v>
                </c:pt>
                <c:pt idx="4">
                  <c:v>147.5</c:v>
                </c:pt>
                <c:pt idx="5">
                  <c:v>147.5</c:v>
                </c:pt>
                <c:pt idx="6">
                  <c:v>151.5</c:v>
                </c:pt>
                <c:pt idx="7">
                  <c:v>151.5</c:v>
                </c:pt>
                <c:pt idx="8">
                  <c:v>151.5</c:v>
                </c:pt>
                <c:pt idx="9">
                  <c:v>151.5</c:v>
                </c:pt>
                <c:pt idx="10">
                  <c:v>151.5</c:v>
                </c:pt>
                <c:pt idx="11">
                  <c:v>151.5</c:v>
                </c:pt>
                <c:pt idx="12">
                  <c:v>164.5</c:v>
                </c:pt>
                <c:pt idx="13">
                  <c:v>168.5</c:v>
                </c:pt>
                <c:pt idx="14">
                  <c:v>168.5</c:v>
                </c:pt>
                <c:pt idx="15">
                  <c:v>168.5</c:v>
                </c:pt>
                <c:pt idx="16">
                  <c:v>168.5</c:v>
                </c:pt>
                <c:pt idx="17">
                  <c:v>168.5</c:v>
                </c:pt>
                <c:pt idx="18">
                  <c:v>168.5</c:v>
                </c:pt>
                <c:pt idx="19">
                  <c:v>172.5</c:v>
                </c:pt>
                <c:pt idx="20">
                  <c:v>172.5</c:v>
                </c:pt>
                <c:pt idx="21">
                  <c:v>172.5</c:v>
                </c:pt>
                <c:pt idx="22">
                  <c:v>172.5</c:v>
                </c:pt>
                <c:pt idx="23">
                  <c:v>172.5</c:v>
                </c:pt>
                <c:pt idx="24">
                  <c:v>181.5</c:v>
                </c:pt>
                <c:pt idx="25">
                  <c:v>185.5</c:v>
                </c:pt>
                <c:pt idx="26">
                  <c:v>185.5</c:v>
                </c:pt>
                <c:pt idx="27">
                  <c:v>185.5</c:v>
                </c:pt>
                <c:pt idx="28">
                  <c:v>189.5</c:v>
                </c:pt>
                <c:pt idx="29">
                  <c:v>189.5</c:v>
                </c:pt>
                <c:pt idx="30">
                  <c:v>189.5</c:v>
                </c:pt>
                <c:pt idx="31">
                  <c:v>189.5</c:v>
                </c:pt>
                <c:pt idx="32">
                  <c:v>189.5</c:v>
                </c:pt>
                <c:pt idx="33">
                  <c:v>193.5</c:v>
                </c:pt>
                <c:pt idx="34">
                  <c:v>193.5</c:v>
                </c:pt>
                <c:pt idx="35">
                  <c:v>202.5</c:v>
                </c:pt>
                <c:pt idx="36">
                  <c:v>206.5</c:v>
                </c:pt>
                <c:pt idx="37">
                  <c:v>206.5</c:v>
                </c:pt>
                <c:pt idx="38">
                  <c:v>206.5</c:v>
                </c:pt>
                <c:pt idx="39">
                  <c:v>210.5</c:v>
                </c:pt>
                <c:pt idx="40">
                  <c:v>210.5</c:v>
                </c:pt>
                <c:pt idx="41">
                  <c:v>210.5</c:v>
                </c:pt>
                <c:pt idx="42">
                  <c:v>223.5</c:v>
                </c:pt>
                <c:pt idx="43">
                  <c:v>227.5</c:v>
                </c:pt>
                <c:pt idx="44">
                  <c:v>227.5</c:v>
                </c:pt>
                <c:pt idx="45">
                  <c:v>231.5</c:v>
                </c:pt>
                <c:pt idx="46">
                  <c:v>244.5</c:v>
                </c:pt>
                <c:pt idx="47">
                  <c:v>252.5</c:v>
                </c:pt>
                <c:pt idx="48">
                  <c:v>267.5</c:v>
                </c:pt>
                <c:pt idx="49">
                  <c:v>303.5</c:v>
                </c:pt>
              </c:numCache>
            </c:numRef>
          </c:xVal>
          <c:yVal>
            <c:numRef>
              <c:f>Results!$B$52:$B$101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E48-46DF-80D0-33E04481D800}"/>
            </c:ext>
          </c:extLst>
        </c:ser>
        <c:ser>
          <c:idx val="2"/>
          <c:order val="2"/>
          <c:tx>
            <c:v>Mid-life replacement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Results!$F$52:$F$101</c:f>
              <c:numCache>
                <c:formatCode>#,##0.00</c:formatCode>
                <c:ptCount val="50"/>
                <c:pt idx="0">
                  <c:v>98.5</c:v>
                </c:pt>
                <c:pt idx="1">
                  <c:v>115.5</c:v>
                </c:pt>
                <c:pt idx="2">
                  <c:v>115.5</c:v>
                </c:pt>
                <c:pt idx="3">
                  <c:v>119.5</c:v>
                </c:pt>
                <c:pt idx="4">
                  <c:v>132.5</c:v>
                </c:pt>
                <c:pt idx="5">
                  <c:v>132.5</c:v>
                </c:pt>
                <c:pt idx="6">
                  <c:v>132.5</c:v>
                </c:pt>
                <c:pt idx="7">
                  <c:v>132.5</c:v>
                </c:pt>
                <c:pt idx="8">
                  <c:v>136.5</c:v>
                </c:pt>
                <c:pt idx="9">
                  <c:v>140.5</c:v>
                </c:pt>
                <c:pt idx="10">
                  <c:v>149.5</c:v>
                </c:pt>
                <c:pt idx="11">
                  <c:v>149.5</c:v>
                </c:pt>
                <c:pt idx="12">
                  <c:v>149.5</c:v>
                </c:pt>
                <c:pt idx="13">
                  <c:v>149.5</c:v>
                </c:pt>
                <c:pt idx="14">
                  <c:v>153.5</c:v>
                </c:pt>
                <c:pt idx="15">
                  <c:v>153.5</c:v>
                </c:pt>
                <c:pt idx="16">
                  <c:v>153.5</c:v>
                </c:pt>
                <c:pt idx="17">
                  <c:v>157.5</c:v>
                </c:pt>
                <c:pt idx="18">
                  <c:v>166.5</c:v>
                </c:pt>
                <c:pt idx="19">
                  <c:v>166.5</c:v>
                </c:pt>
                <c:pt idx="20">
                  <c:v>166.5</c:v>
                </c:pt>
                <c:pt idx="21">
                  <c:v>170.5</c:v>
                </c:pt>
                <c:pt idx="22">
                  <c:v>170.5</c:v>
                </c:pt>
                <c:pt idx="23">
                  <c:v>170.5</c:v>
                </c:pt>
                <c:pt idx="24">
                  <c:v>170.5</c:v>
                </c:pt>
                <c:pt idx="25">
                  <c:v>170.5</c:v>
                </c:pt>
                <c:pt idx="26">
                  <c:v>174.5</c:v>
                </c:pt>
                <c:pt idx="27">
                  <c:v>183.5</c:v>
                </c:pt>
                <c:pt idx="28">
                  <c:v>185.5</c:v>
                </c:pt>
                <c:pt idx="29">
                  <c:v>187.5</c:v>
                </c:pt>
                <c:pt idx="30">
                  <c:v>187.5</c:v>
                </c:pt>
                <c:pt idx="31">
                  <c:v>187.5</c:v>
                </c:pt>
                <c:pt idx="32">
                  <c:v>191.5</c:v>
                </c:pt>
                <c:pt idx="33">
                  <c:v>191.5</c:v>
                </c:pt>
                <c:pt idx="34">
                  <c:v>195.5</c:v>
                </c:pt>
                <c:pt idx="35">
                  <c:v>202.5</c:v>
                </c:pt>
                <c:pt idx="36">
                  <c:v>204.5</c:v>
                </c:pt>
                <c:pt idx="37">
                  <c:v>206.5</c:v>
                </c:pt>
                <c:pt idx="38">
                  <c:v>208.5</c:v>
                </c:pt>
                <c:pt idx="39">
                  <c:v>212.5</c:v>
                </c:pt>
                <c:pt idx="40">
                  <c:v>221.5</c:v>
                </c:pt>
                <c:pt idx="41">
                  <c:v>225.5</c:v>
                </c:pt>
                <c:pt idx="42">
                  <c:v>229.5</c:v>
                </c:pt>
                <c:pt idx="43">
                  <c:v>240.5</c:v>
                </c:pt>
                <c:pt idx="44">
                  <c:v>242.5</c:v>
                </c:pt>
                <c:pt idx="45">
                  <c:v>255.5</c:v>
                </c:pt>
                <c:pt idx="46">
                  <c:v>263.5</c:v>
                </c:pt>
                <c:pt idx="47">
                  <c:v>278.5</c:v>
                </c:pt>
                <c:pt idx="48">
                  <c:v>299.5</c:v>
                </c:pt>
                <c:pt idx="49">
                  <c:v>337.5</c:v>
                </c:pt>
              </c:numCache>
            </c:numRef>
          </c:xVal>
          <c:yVal>
            <c:numRef>
              <c:f>Results!$B$52:$B$101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E48-46DF-80D0-33E04481D800}"/>
            </c:ext>
          </c:extLst>
        </c:ser>
        <c:ser>
          <c:idx val="3"/>
          <c:order val="3"/>
          <c:tx>
            <c:v>Late replacement</c:v>
          </c:tx>
          <c:spPr>
            <a:ln w="25400">
              <a:solidFill>
                <a:srgbClr val="B91C1C"/>
              </a:solidFill>
              <a:prstDash val="solid"/>
            </a:ln>
          </c:spPr>
          <c:marker>
            <c:symbol val="none"/>
          </c:marker>
          <c:xVal>
            <c:numRef>
              <c:f>Results!$G$52:$G$101</c:f>
              <c:numCache>
                <c:formatCode>#,##0.00</c:formatCode>
                <c:ptCount val="50"/>
                <c:pt idx="0">
                  <c:v>100.5</c:v>
                </c:pt>
                <c:pt idx="1">
                  <c:v>117.5</c:v>
                </c:pt>
                <c:pt idx="2">
                  <c:v>117.5</c:v>
                </c:pt>
                <c:pt idx="3">
                  <c:v>121.5</c:v>
                </c:pt>
                <c:pt idx="4">
                  <c:v>134.5</c:v>
                </c:pt>
                <c:pt idx="5">
                  <c:v>138.5</c:v>
                </c:pt>
                <c:pt idx="6">
                  <c:v>138.5</c:v>
                </c:pt>
                <c:pt idx="7">
                  <c:v>142.5</c:v>
                </c:pt>
                <c:pt idx="8">
                  <c:v>151.5</c:v>
                </c:pt>
                <c:pt idx="9">
                  <c:v>155.5</c:v>
                </c:pt>
                <c:pt idx="10">
                  <c:v>155.5</c:v>
                </c:pt>
                <c:pt idx="11">
                  <c:v>155.5</c:v>
                </c:pt>
                <c:pt idx="12">
                  <c:v>159.5</c:v>
                </c:pt>
                <c:pt idx="13">
                  <c:v>163.5</c:v>
                </c:pt>
                <c:pt idx="14">
                  <c:v>172.5</c:v>
                </c:pt>
                <c:pt idx="15">
                  <c:v>172.5</c:v>
                </c:pt>
                <c:pt idx="16">
                  <c:v>174.5</c:v>
                </c:pt>
                <c:pt idx="17">
                  <c:v>176.5</c:v>
                </c:pt>
                <c:pt idx="18">
                  <c:v>176.5</c:v>
                </c:pt>
                <c:pt idx="19">
                  <c:v>187.5</c:v>
                </c:pt>
                <c:pt idx="20">
                  <c:v>189.5</c:v>
                </c:pt>
                <c:pt idx="21">
                  <c:v>191.5</c:v>
                </c:pt>
                <c:pt idx="22">
                  <c:v>193.5</c:v>
                </c:pt>
                <c:pt idx="23">
                  <c:v>195.5</c:v>
                </c:pt>
                <c:pt idx="24">
                  <c:v>201.5</c:v>
                </c:pt>
                <c:pt idx="25">
                  <c:v>206.5</c:v>
                </c:pt>
                <c:pt idx="26">
                  <c:v>208.5</c:v>
                </c:pt>
                <c:pt idx="27">
                  <c:v>210.5</c:v>
                </c:pt>
                <c:pt idx="28">
                  <c:v>214.5</c:v>
                </c:pt>
                <c:pt idx="29">
                  <c:v>221.5</c:v>
                </c:pt>
                <c:pt idx="30">
                  <c:v>225.5</c:v>
                </c:pt>
                <c:pt idx="31">
                  <c:v>229.5</c:v>
                </c:pt>
                <c:pt idx="32">
                  <c:v>231.5</c:v>
                </c:pt>
                <c:pt idx="33">
                  <c:v>235.5</c:v>
                </c:pt>
                <c:pt idx="34">
                  <c:v>242.5</c:v>
                </c:pt>
                <c:pt idx="35">
                  <c:v>246.5</c:v>
                </c:pt>
                <c:pt idx="36">
                  <c:v>250.5</c:v>
                </c:pt>
                <c:pt idx="37">
                  <c:v>257.5</c:v>
                </c:pt>
                <c:pt idx="38">
                  <c:v>263.5</c:v>
                </c:pt>
                <c:pt idx="39">
                  <c:v>267.5</c:v>
                </c:pt>
                <c:pt idx="40">
                  <c:v>278.5</c:v>
                </c:pt>
                <c:pt idx="41">
                  <c:v>282.5</c:v>
                </c:pt>
                <c:pt idx="42">
                  <c:v>290.5</c:v>
                </c:pt>
                <c:pt idx="43">
                  <c:v>299.5</c:v>
                </c:pt>
                <c:pt idx="44">
                  <c:v>312.5</c:v>
                </c:pt>
                <c:pt idx="45">
                  <c:v>324.5</c:v>
                </c:pt>
                <c:pt idx="46">
                  <c:v>337.5</c:v>
                </c:pt>
                <c:pt idx="47">
                  <c:v>358.5</c:v>
                </c:pt>
                <c:pt idx="48">
                  <c:v>390.5</c:v>
                </c:pt>
                <c:pt idx="49">
                  <c:v>438.5</c:v>
                </c:pt>
              </c:numCache>
            </c:numRef>
          </c:xVal>
          <c:yVal>
            <c:numRef>
              <c:f>Results!$B$52:$B$101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E48-46DF-80D0-33E04481D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US$k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Cumulative 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Run to failure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E4F92"/>
              </a:solidFill>
              <a:ln>
                <a:solidFill>
                  <a:srgbClr val="0E4F92"/>
                </a:solidFill>
                <a:prstDash val="solid"/>
              </a:ln>
            </c:spPr>
          </c:marker>
          <c:cat>
            <c:strRef>
              <c:f>Results!$B$104:$B$111</c:f>
              <c:strCache>
                <c:ptCount val="8"/>
                <c:pt idx="0">
                  <c:v>Y1 Q1</c:v>
                </c:pt>
                <c:pt idx="1">
                  <c:v>Y1 Q2</c:v>
                </c:pt>
                <c:pt idx="2">
                  <c:v>Y1 Q3</c:v>
                </c:pt>
                <c:pt idx="3">
                  <c:v>Y1 Q4</c:v>
                </c:pt>
                <c:pt idx="4">
                  <c:v>Y2 Q1</c:v>
                </c:pt>
                <c:pt idx="5">
                  <c:v>Y2 Q2</c:v>
                </c:pt>
                <c:pt idx="6">
                  <c:v>Y2 Q3</c:v>
                </c:pt>
                <c:pt idx="7">
                  <c:v>Y2 Q4</c:v>
                </c:pt>
              </c:strCache>
            </c:strRef>
          </c:cat>
          <c:val>
            <c:numRef>
              <c:f>Results!$C$104:$C$111</c:f>
              <c:numCache>
                <c:formatCode>#,##0.00</c:formatCode>
                <c:ptCount val="8"/>
                <c:pt idx="0">
                  <c:v>0.17730886544327215</c:v>
                </c:pt>
                <c:pt idx="1">
                  <c:v>0.7367368368418421</c:v>
                </c:pt>
                <c:pt idx="2">
                  <c:v>1.425121256062803</c:v>
                </c:pt>
                <c:pt idx="3">
                  <c:v>1.8970948547427371</c:v>
                </c:pt>
                <c:pt idx="4">
                  <c:v>2.0798539926996349</c:v>
                </c:pt>
                <c:pt idx="5">
                  <c:v>2.0552527626381321</c:v>
                </c:pt>
                <c:pt idx="6">
                  <c:v>1.9554477723886194</c:v>
                </c:pt>
                <c:pt idx="7">
                  <c:v>1.9011950597529876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A4-44E2-AC8B-9205088CFB0D}"/>
            </c:ext>
          </c:extLst>
        </c:ser>
        <c:ser>
          <c:idx val="1"/>
          <c:order val="1"/>
          <c:tx>
            <c:v>Early replacement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circle"/>
            <c:size val="5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cat>
            <c:strRef>
              <c:f>Results!$B$104:$B$111</c:f>
              <c:strCache>
                <c:ptCount val="8"/>
                <c:pt idx="0">
                  <c:v>Y1 Q1</c:v>
                </c:pt>
                <c:pt idx="1">
                  <c:v>Y1 Q2</c:v>
                </c:pt>
                <c:pt idx="2">
                  <c:v>Y1 Q3</c:v>
                </c:pt>
                <c:pt idx="3">
                  <c:v>Y1 Q4</c:v>
                </c:pt>
                <c:pt idx="4">
                  <c:v>Y2 Q1</c:v>
                </c:pt>
                <c:pt idx="5">
                  <c:v>Y2 Q2</c:v>
                </c:pt>
                <c:pt idx="6">
                  <c:v>Y2 Q3</c:v>
                </c:pt>
                <c:pt idx="7">
                  <c:v>Y2 Q4</c:v>
                </c:pt>
              </c:strCache>
            </c:strRef>
          </c:cat>
          <c:val>
            <c:numRef>
              <c:f>Results!$D$104:$D$111</c:f>
              <c:numCache>
                <c:formatCode>#,##0.00</c:formatCode>
                <c:ptCount val="8"/>
                <c:pt idx="0">
                  <c:v>0.17730886544327215</c:v>
                </c:pt>
                <c:pt idx="1">
                  <c:v>0.4385219260963048</c:v>
                </c:pt>
                <c:pt idx="2">
                  <c:v>0.33231661583079153</c:v>
                </c:pt>
                <c:pt idx="3">
                  <c:v>0.32421621081054053</c:v>
                </c:pt>
                <c:pt idx="4">
                  <c:v>0.51892594629731481</c:v>
                </c:pt>
                <c:pt idx="5">
                  <c:v>0.20431021551077555</c:v>
                </c:pt>
                <c:pt idx="6">
                  <c:v>0.41182059102955149</c:v>
                </c:pt>
                <c:pt idx="7">
                  <c:v>0.35381769088454423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A4-44E2-AC8B-9205088CFB0D}"/>
            </c:ext>
          </c:extLst>
        </c:ser>
        <c:ser>
          <c:idx val="2"/>
          <c:order val="2"/>
          <c:tx>
            <c:v>Mid-life replacement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5803D"/>
              </a:solidFill>
              <a:ln>
                <a:solidFill>
                  <a:srgbClr val="15803D"/>
                </a:solidFill>
                <a:prstDash val="solid"/>
              </a:ln>
            </c:spPr>
          </c:marker>
          <c:cat>
            <c:strRef>
              <c:f>Results!$B$104:$B$111</c:f>
              <c:strCache>
                <c:ptCount val="8"/>
                <c:pt idx="0">
                  <c:v>Y1 Q1</c:v>
                </c:pt>
                <c:pt idx="1">
                  <c:v>Y1 Q2</c:v>
                </c:pt>
                <c:pt idx="2">
                  <c:v>Y1 Q3</c:v>
                </c:pt>
                <c:pt idx="3">
                  <c:v>Y1 Q4</c:v>
                </c:pt>
                <c:pt idx="4">
                  <c:v>Y2 Q1</c:v>
                </c:pt>
                <c:pt idx="5">
                  <c:v>Y2 Q2</c:v>
                </c:pt>
                <c:pt idx="6">
                  <c:v>Y2 Q3</c:v>
                </c:pt>
                <c:pt idx="7">
                  <c:v>Y2 Q4</c:v>
                </c:pt>
              </c:strCache>
            </c:strRef>
          </c:cat>
          <c:val>
            <c:numRef>
              <c:f>Results!$E$104:$E$111</c:f>
              <c:numCache>
                <c:formatCode>#,##0.00</c:formatCode>
                <c:ptCount val="8"/>
                <c:pt idx="0">
                  <c:v>0.17730886544327215</c:v>
                </c:pt>
                <c:pt idx="1">
                  <c:v>0.7367368368418421</c:v>
                </c:pt>
                <c:pt idx="2">
                  <c:v>0.50197509875493773</c:v>
                </c:pt>
                <c:pt idx="3">
                  <c:v>0.55552777638881945</c:v>
                </c:pt>
                <c:pt idx="4">
                  <c:v>0.71708585429271465</c:v>
                </c:pt>
                <c:pt idx="5">
                  <c:v>0.42312115605780287</c:v>
                </c:pt>
                <c:pt idx="6">
                  <c:v>0.85879293964698233</c:v>
                </c:pt>
                <c:pt idx="7">
                  <c:v>0.3191159557977899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A4-44E2-AC8B-9205088CFB0D}"/>
            </c:ext>
          </c:extLst>
        </c:ser>
        <c:ser>
          <c:idx val="3"/>
          <c:order val="3"/>
          <c:tx>
            <c:v>Late replacement</c:v>
          </c:tx>
          <c:spPr>
            <a:ln w="25400">
              <a:solidFill>
                <a:srgbClr val="B91C1C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B91C1C"/>
              </a:solidFill>
              <a:ln>
                <a:solidFill>
                  <a:srgbClr val="B91C1C"/>
                </a:solidFill>
                <a:prstDash val="solid"/>
              </a:ln>
            </c:spPr>
          </c:marker>
          <c:cat>
            <c:strRef>
              <c:f>Results!$B$104:$B$111</c:f>
              <c:strCache>
                <c:ptCount val="8"/>
                <c:pt idx="0">
                  <c:v>Y1 Q1</c:v>
                </c:pt>
                <c:pt idx="1">
                  <c:v>Y1 Q2</c:v>
                </c:pt>
                <c:pt idx="2">
                  <c:v>Y1 Q3</c:v>
                </c:pt>
                <c:pt idx="3">
                  <c:v>Y1 Q4</c:v>
                </c:pt>
                <c:pt idx="4">
                  <c:v>Y2 Q1</c:v>
                </c:pt>
                <c:pt idx="5">
                  <c:v>Y2 Q2</c:v>
                </c:pt>
                <c:pt idx="6">
                  <c:v>Y2 Q3</c:v>
                </c:pt>
                <c:pt idx="7">
                  <c:v>Y2 Q4</c:v>
                </c:pt>
              </c:strCache>
            </c:strRef>
          </c:cat>
          <c:val>
            <c:numRef>
              <c:f>Results!$F$104:$F$111</c:f>
              <c:numCache>
                <c:formatCode>#,##0.00</c:formatCode>
                <c:ptCount val="8"/>
                <c:pt idx="0">
                  <c:v>0.17730886544327215</c:v>
                </c:pt>
                <c:pt idx="1">
                  <c:v>0.7367368368418421</c:v>
                </c:pt>
                <c:pt idx="2">
                  <c:v>1.425121256062803</c:v>
                </c:pt>
                <c:pt idx="3">
                  <c:v>0.80184009200460027</c:v>
                </c:pt>
                <c:pt idx="4">
                  <c:v>0.69828491424571226</c:v>
                </c:pt>
                <c:pt idx="5">
                  <c:v>1.1714585729286464</c:v>
                </c:pt>
                <c:pt idx="6">
                  <c:v>1.0652032601630081</c:v>
                </c:pt>
                <c:pt idx="7">
                  <c:v>0.66833341667083357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A4-44E2-AC8B-9205088CF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Failures (mean)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67" t="s">
        <v>20</v>
      </c>
      <c r="C16" s="68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39.4" x14ac:dyDescent="0.45">
      <c r="B66" s="20" t="s">
        <v>81</v>
      </c>
      <c r="C66" s="10" t="s">
        <v>82</v>
      </c>
    </row>
    <row r="67" spans="2:3" ht="12" customHeight="1" x14ac:dyDescent="0.45"/>
    <row r="68" spans="2:3" ht="22.05" customHeight="1" x14ac:dyDescent="0.5">
      <c r="B68" s="7" t="s">
        <v>83</v>
      </c>
      <c r="C68" s="8"/>
    </row>
    <row r="69" spans="2:3" x14ac:dyDescent="0.45">
      <c r="B69" s="9" t="s">
        <v>84</v>
      </c>
      <c r="C69" s="10" t="s">
        <v>85</v>
      </c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69" t="s">
        <v>90</v>
      </c>
      <c r="C73" s="68"/>
    </row>
  </sheetData>
  <mergeCells count="2">
    <mergeCell ref="B16:C16"/>
    <mergeCell ref="B73:C73"/>
  </mergeCells>
  <hyperlinks>
    <hyperlink ref="D4" location="'Inputs'!A1" display="Next:  Inputs  ▸" xr:uid="{00000000-0004-0000-0000-000000000000}"/>
    <hyperlink ref="B39" location="'Inputs'!A1" display="Inputs" xr:uid="{00000000-0004-0000-0000-000001000000}"/>
    <hyperlink ref="B40" location="'Spindles'!A1" display="Spindles" xr:uid="{00000000-0004-0000-0000-000002000000}"/>
    <hyperlink ref="B41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40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20" customHeight="1" x14ac:dyDescent="0.45">
      <c r="B6" s="70" t="s">
        <v>94</v>
      </c>
      <c r="C6" s="68"/>
      <c r="D6" s="68"/>
      <c r="E6" s="68"/>
      <c r="F6" s="68"/>
      <c r="G6" s="68"/>
      <c r="H6" s="68"/>
      <c r="I6" s="68"/>
      <c r="J6" s="68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6000</v>
      </c>
      <c r="E11" s="26" t="s">
        <v>104</v>
      </c>
      <c r="F11" s="28"/>
      <c r="G11" s="28"/>
      <c r="H11" s="28"/>
      <c r="I11" s="28"/>
      <c r="J11" s="29" t="s">
        <v>105</v>
      </c>
    </row>
    <row r="12" spans="1:10" ht="8" customHeight="1" x14ac:dyDescent="0.45"/>
    <row r="13" spans="1:10" ht="22.05" customHeight="1" x14ac:dyDescent="0.5">
      <c r="B13" s="7" t="s">
        <v>106</v>
      </c>
      <c r="C13" s="8"/>
      <c r="D13" s="8"/>
      <c r="E13" s="8"/>
      <c r="F13" s="8"/>
      <c r="G13" s="8"/>
      <c r="H13" s="8"/>
      <c r="I13" s="8"/>
      <c r="J13" s="8"/>
    </row>
    <row r="14" spans="1:10" ht="18" customHeight="1" x14ac:dyDescent="0.45">
      <c r="B14" s="13" t="s">
        <v>107</v>
      </c>
    </row>
    <row r="15" spans="1:10" ht="18" customHeight="1" x14ac:dyDescent="0.45">
      <c r="B15" s="23" t="s">
        <v>97</v>
      </c>
      <c r="C15" s="23" t="s">
        <v>98</v>
      </c>
      <c r="D15" s="24" t="s">
        <v>99</v>
      </c>
      <c r="E15" s="23" t="s">
        <v>100</v>
      </c>
      <c r="F15" s="5"/>
      <c r="G15" s="5"/>
      <c r="H15" s="5"/>
      <c r="I15" s="5"/>
      <c r="J15" s="23" t="s">
        <v>101</v>
      </c>
    </row>
    <row r="16" spans="1:10" x14ac:dyDescent="0.45">
      <c r="B16" s="25" t="s">
        <v>108</v>
      </c>
      <c r="C16" s="26"/>
      <c r="D16" s="30">
        <v>2.5</v>
      </c>
      <c r="E16" s="26" t="s">
        <v>104</v>
      </c>
      <c r="F16" s="28"/>
      <c r="G16" s="28"/>
      <c r="H16" s="28"/>
      <c r="I16" s="28"/>
      <c r="J16" s="29" t="s">
        <v>109</v>
      </c>
    </row>
    <row r="17" spans="2:10" x14ac:dyDescent="0.45">
      <c r="B17" s="25" t="s">
        <v>110</v>
      </c>
      <c r="C17" s="26" t="s">
        <v>103</v>
      </c>
      <c r="D17" s="27">
        <v>7000</v>
      </c>
      <c r="E17" s="26" t="s">
        <v>104</v>
      </c>
      <c r="F17" s="28"/>
      <c r="G17" s="28"/>
      <c r="H17" s="28"/>
      <c r="I17" s="28"/>
      <c r="J17" s="29" t="s">
        <v>111</v>
      </c>
    </row>
    <row r="18" spans="2:10" ht="8" customHeight="1" x14ac:dyDescent="0.45"/>
    <row r="19" spans="2:10" ht="22.05" customHeight="1" x14ac:dyDescent="0.5">
      <c r="B19" s="7" t="s">
        <v>112</v>
      </c>
      <c r="C19" s="8"/>
      <c r="D19" s="8"/>
      <c r="E19" s="8"/>
      <c r="F19" s="8"/>
      <c r="G19" s="8"/>
      <c r="H19" s="8"/>
      <c r="I19" s="8"/>
      <c r="J19" s="8"/>
    </row>
    <row r="20" spans="2:10" ht="18" customHeight="1" x14ac:dyDescent="0.45">
      <c r="B20" s="13" t="s">
        <v>113</v>
      </c>
    </row>
    <row r="21" spans="2:10" ht="18" customHeight="1" x14ac:dyDescent="0.45">
      <c r="B21" s="23" t="s">
        <v>97</v>
      </c>
      <c r="C21" s="23" t="s">
        <v>98</v>
      </c>
      <c r="D21" s="24" t="s">
        <v>99</v>
      </c>
      <c r="E21" s="23" t="s">
        <v>100</v>
      </c>
      <c r="F21" s="5"/>
      <c r="G21" s="5"/>
      <c r="H21" s="5"/>
      <c r="I21" s="5"/>
      <c r="J21" s="23" t="s">
        <v>101</v>
      </c>
    </row>
    <row r="22" spans="2:10" x14ac:dyDescent="0.45">
      <c r="B22" s="25" t="s">
        <v>114</v>
      </c>
      <c r="C22" s="26" t="s">
        <v>103</v>
      </c>
      <c r="D22" s="27">
        <v>2500</v>
      </c>
      <c r="E22" s="26" t="s">
        <v>104</v>
      </c>
      <c r="F22" s="28"/>
      <c r="G22" s="28"/>
      <c r="H22" s="28"/>
      <c r="I22" s="28"/>
      <c r="J22" s="29"/>
    </row>
    <row r="23" spans="2:10" x14ac:dyDescent="0.45">
      <c r="B23" s="25" t="s">
        <v>115</v>
      </c>
      <c r="C23" s="26" t="s">
        <v>103</v>
      </c>
      <c r="D23" s="27">
        <v>3500</v>
      </c>
      <c r="E23" s="26" t="s">
        <v>104</v>
      </c>
      <c r="F23" s="28"/>
      <c r="G23" s="28"/>
      <c r="H23" s="28"/>
      <c r="I23" s="28"/>
      <c r="J23" s="29"/>
    </row>
    <row r="24" spans="2:10" x14ac:dyDescent="0.45">
      <c r="B24" s="25" t="s">
        <v>116</v>
      </c>
      <c r="C24" s="26" t="s">
        <v>103</v>
      </c>
      <c r="D24" s="27">
        <v>5000</v>
      </c>
      <c r="E24" s="26" t="s">
        <v>104</v>
      </c>
      <c r="F24" s="28"/>
      <c r="G24" s="28"/>
      <c r="H24" s="28"/>
      <c r="I24" s="28"/>
      <c r="J24" s="29"/>
    </row>
    <row r="25" spans="2:10" ht="8" customHeight="1" x14ac:dyDescent="0.45"/>
    <row r="26" spans="2:10" ht="22.05" customHeight="1" x14ac:dyDescent="0.5">
      <c r="B26" s="7" t="s">
        <v>117</v>
      </c>
      <c r="C26" s="8"/>
      <c r="D26" s="8"/>
      <c r="E26" s="8"/>
      <c r="F26" s="8"/>
      <c r="G26" s="8"/>
      <c r="H26" s="8"/>
      <c r="I26" s="8"/>
      <c r="J26" s="8"/>
    </row>
    <row r="27" spans="2:10" ht="18" customHeight="1" x14ac:dyDescent="0.45">
      <c r="B27" s="23" t="s">
        <v>97</v>
      </c>
      <c r="C27" s="23" t="s">
        <v>98</v>
      </c>
      <c r="D27" s="24" t="s">
        <v>99</v>
      </c>
      <c r="E27" s="23" t="s">
        <v>100</v>
      </c>
      <c r="F27" s="5"/>
      <c r="G27" s="5"/>
      <c r="H27" s="5"/>
      <c r="I27" s="5"/>
      <c r="J27" s="23" t="s">
        <v>101</v>
      </c>
    </row>
    <row r="28" spans="2:10" x14ac:dyDescent="0.45">
      <c r="B28" s="25" t="s">
        <v>118</v>
      </c>
      <c r="C28" s="26" t="s">
        <v>119</v>
      </c>
      <c r="D28" s="31">
        <v>2.5</v>
      </c>
      <c r="E28" s="26" t="s">
        <v>104</v>
      </c>
      <c r="F28" s="28"/>
      <c r="G28" s="28"/>
      <c r="H28" s="28"/>
      <c r="I28" s="28"/>
      <c r="J28" s="29"/>
    </row>
    <row r="29" spans="2:10" x14ac:dyDescent="0.45">
      <c r="B29" s="25" t="s">
        <v>120</v>
      </c>
      <c r="C29" s="26" t="s">
        <v>119</v>
      </c>
      <c r="D29" s="31">
        <v>1.5</v>
      </c>
      <c r="E29" s="26" t="s">
        <v>104</v>
      </c>
      <c r="F29" s="28"/>
      <c r="G29" s="28"/>
      <c r="H29" s="28"/>
      <c r="I29" s="28"/>
      <c r="J29" s="29" t="s">
        <v>121</v>
      </c>
    </row>
    <row r="30" spans="2:10" x14ac:dyDescent="0.45">
      <c r="B30" s="25" t="s">
        <v>122</v>
      </c>
      <c r="C30" s="26" t="s">
        <v>119</v>
      </c>
      <c r="D30" s="31">
        <v>5</v>
      </c>
      <c r="E30" s="26" t="s">
        <v>104</v>
      </c>
      <c r="F30" s="28"/>
      <c r="G30" s="28"/>
      <c r="H30" s="28"/>
      <c r="I30" s="28"/>
      <c r="J30" s="29"/>
    </row>
    <row r="31" spans="2:10" x14ac:dyDescent="0.45">
      <c r="B31" s="25" t="s">
        <v>123</v>
      </c>
      <c r="C31" s="26" t="s">
        <v>103</v>
      </c>
      <c r="D31" s="27">
        <v>12</v>
      </c>
      <c r="E31" s="26" t="s">
        <v>104</v>
      </c>
      <c r="F31" s="28"/>
      <c r="G31" s="28"/>
      <c r="H31" s="28"/>
      <c r="I31" s="28"/>
      <c r="J31" s="29" t="s">
        <v>124</v>
      </c>
    </row>
    <row r="32" spans="2:10" x14ac:dyDescent="0.45">
      <c r="B32" s="25" t="s">
        <v>125</v>
      </c>
      <c r="C32" s="26" t="s">
        <v>119</v>
      </c>
      <c r="D32" s="32">
        <v>1</v>
      </c>
      <c r="E32" s="26" t="s">
        <v>104</v>
      </c>
      <c r="F32" s="28"/>
      <c r="G32" s="28"/>
      <c r="H32" s="28"/>
      <c r="I32" s="28"/>
      <c r="J32" s="29"/>
    </row>
    <row r="33" spans="2:10" x14ac:dyDescent="0.45">
      <c r="B33" s="25" t="s">
        <v>126</v>
      </c>
      <c r="C33" s="26" t="s">
        <v>103</v>
      </c>
      <c r="D33" s="27">
        <v>36</v>
      </c>
      <c r="E33" s="26" t="s">
        <v>104</v>
      </c>
      <c r="F33" s="28"/>
      <c r="G33" s="28"/>
      <c r="H33" s="28"/>
      <c r="I33" s="28"/>
      <c r="J33" s="29" t="s">
        <v>127</v>
      </c>
    </row>
    <row r="34" spans="2:10" ht="8" customHeight="1" x14ac:dyDescent="0.45"/>
    <row r="35" spans="2:10" ht="22.05" customHeight="1" x14ac:dyDescent="0.5">
      <c r="B35" s="7" t="s">
        <v>128</v>
      </c>
      <c r="C35" s="8"/>
      <c r="D35" s="8"/>
      <c r="E35" s="8"/>
      <c r="F35" s="8"/>
      <c r="G35" s="8"/>
      <c r="H35" s="8"/>
      <c r="I35" s="8"/>
      <c r="J35" s="8"/>
    </row>
    <row r="36" spans="2:10" ht="18" customHeight="1" x14ac:dyDescent="0.45">
      <c r="B36" s="23" t="s">
        <v>97</v>
      </c>
      <c r="C36" s="23" t="s">
        <v>98</v>
      </c>
      <c r="D36" s="24" t="s">
        <v>99</v>
      </c>
      <c r="E36" s="23" t="s">
        <v>100</v>
      </c>
      <c r="F36" s="5"/>
      <c r="G36" s="5"/>
      <c r="H36" s="5"/>
      <c r="I36" s="5"/>
      <c r="J36" s="23" t="s">
        <v>101</v>
      </c>
    </row>
    <row r="37" spans="2:10" x14ac:dyDescent="0.45">
      <c r="B37" s="25" t="s">
        <v>129</v>
      </c>
      <c r="C37" s="26" t="s">
        <v>130</v>
      </c>
      <c r="D37" s="33">
        <v>2</v>
      </c>
      <c r="E37" s="26" t="s">
        <v>104</v>
      </c>
      <c r="F37" s="28"/>
      <c r="G37" s="28"/>
      <c r="H37" s="28"/>
      <c r="I37" s="28"/>
      <c r="J37" s="29" t="s">
        <v>131</v>
      </c>
    </row>
    <row r="38" spans="2:10" x14ac:dyDescent="0.45">
      <c r="B38" s="25" t="s">
        <v>132</v>
      </c>
      <c r="C38" s="26" t="s">
        <v>133</v>
      </c>
      <c r="D38" s="27">
        <v>8</v>
      </c>
      <c r="E38" s="26" t="s">
        <v>104</v>
      </c>
      <c r="F38" s="28"/>
      <c r="G38" s="28"/>
      <c r="H38" s="28"/>
      <c r="I38" s="28"/>
      <c r="J38" s="29" t="s">
        <v>134</v>
      </c>
    </row>
    <row r="39" spans="2:10" x14ac:dyDescent="0.45">
      <c r="B39" s="25" t="s">
        <v>135</v>
      </c>
      <c r="C39" s="26" t="s">
        <v>136</v>
      </c>
      <c r="D39" s="34">
        <v>0.25</v>
      </c>
      <c r="E39" s="26" t="s">
        <v>104</v>
      </c>
      <c r="F39" s="28"/>
      <c r="G39" s="28"/>
      <c r="H39" s="28"/>
      <c r="I39" s="28"/>
      <c r="J39" s="29" t="s">
        <v>137</v>
      </c>
    </row>
    <row r="40" spans="2:10" ht="8" customHeight="1" x14ac:dyDescent="0.45"/>
  </sheetData>
  <mergeCells count="1">
    <mergeCell ref="B6:J6"/>
  </mergeCells>
  <dataValidations count="4">
    <dataValidation type="decimal" operator="greaterThan" showErrorMessage="1" errorTitle="Positive value" error="Enter a value greater than zero." sqref="D11 D38 D22:D24 D16:D17" xr:uid="{00000000-0002-0000-0100-000000000000}">
      <formula1>0</formula1>
    </dataValidation>
    <dataValidation type="decimal" showErrorMessage="1" errorTitle="Value" error="Enter a value of zero or more." sqref="D28:D33" xr:uid="{00000000-0002-0000-0100-000006000000}">
      <formula1>0</formula1>
      <formula2>1000000000000</formula2>
    </dataValidation>
    <dataValidation type="whole" showErrorMessage="1" errorTitle="Whole number" error="Enter a whole number from 0 to 3." sqref="D37" xr:uid="{00000000-0002-0000-0100-00000C000000}">
      <formula1>0</formula1>
      <formula2>3</formula2>
    </dataValidation>
    <dataValidation type="decimal" showErrorMessage="1" errorTitle="Probability" error="Enter a value between 0% and 100%." sqref="D39" xr:uid="{00000000-0002-0000-0100-00000E000000}">
      <formula1>0</formula1>
      <formula2>1</formula2>
    </dataValidation>
  </dataValidations>
  <hyperlinks>
    <hyperlink ref="B4" location="'About'!A1" display="◂  About" xr:uid="{00000000-0004-0000-0100-000000000000}"/>
    <hyperlink ref="J4" location="'Spindles'!A1" display="Next:  Spindles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O177"/>
  <sheetViews>
    <sheetView showGridLines="0" workbookViewId="0"/>
  </sheetViews>
  <sheetFormatPr defaultRowHeight="14.25" x14ac:dyDescent="0.45"/>
  <cols>
    <col min="1" max="1" width="2" customWidth="1"/>
    <col min="2" max="2" width="44" customWidth="1"/>
    <col min="3" max="3" width="10" customWidth="1"/>
    <col min="4" max="13" width="8.19921875" customWidth="1"/>
    <col min="14" max="15" width="9" customWidth="1"/>
  </cols>
  <sheetData>
    <row r="1" spans="1:15" ht="6" customHeight="1" x14ac:dyDescent="0.45"/>
    <row r="2" spans="1:15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</row>
    <row r="3" spans="1:15" ht="20" customHeight="1" x14ac:dyDescent="0.45">
      <c r="A3" s="1"/>
      <c r="B3" s="4" t="s">
        <v>138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" customHeight="1" x14ac:dyDescent="0.45">
      <c r="A4" s="5"/>
      <c r="B4" s="22" t="s">
        <v>139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140</v>
      </c>
    </row>
    <row r="5" spans="1:15" ht="8" customHeight="1" x14ac:dyDescent="0.45"/>
    <row r="6" spans="1:15" ht="22.05" customHeight="1" x14ac:dyDescent="0.5">
      <c r="B6" s="7" t="s">
        <v>141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18" customHeight="1" x14ac:dyDescent="0.45">
      <c r="B7" s="35" t="s">
        <v>142</v>
      </c>
      <c r="C7" s="35" t="s">
        <v>98</v>
      </c>
      <c r="D7" s="36" t="s">
        <v>143</v>
      </c>
      <c r="E7" s="5"/>
      <c r="F7" s="35" t="s">
        <v>144</v>
      </c>
      <c r="G7" s="5"/>
      <c r="H7" s="5"/>
      <c r="I7" s="5"/>
      <c r="J7" s="5"/>
      <c r="K7" s="5"/>
      <c r="L7" s="5"/>
      <c r="M7" s="5"/>
      <c r="N7" s="5"/>
      <c r="O7" s="5"/>
    </row>
    <row r="8" spans="1:15" x14ac:dyDescent="0.45">
      <c r="B8" s="25" t="s">
        <v>145</v>
      </c>
      <c r="C8" s="26" t="s">
        <v>103</v>
      </c>
      <c r="D8" s="37">
        <f>2*HoursYear</f>
        <v>12000</v>
      </c>
      <c r="E8" s="28"/>
      <c r="F8" s="26" t="s">
        <v>146</v>
      </c>
      <c r="G8" s="28"/>
      <c r="H8" s="28"/>
      <c r="I8" s="28"/>
      <c r="J8" s="28"/>
      <c r="K8" s="28"/>
      <c r="L8" s="28"/>
      <c r="M8" s="28"/>
      <c r="N8" s="28"/>
      <c r="O8" s="28"/>
    </row>
    <row r="9" spans="1:15" x14ac:dyDescent="0.45">
      <c r="B9" s="25" t="s">
        <v>132</v>
      </c>
      <c r="C9" s="26" t="s">
        <v>103</v>
      </c>
      <c r="D9" s="37">
        <f>LeadWeeks*HoursYear/50</f>
        <v>960</v>
      </c>
      <c r="E9" s="28"/>
      <c r="F9" s="26" t="s">
        <v>147</v>
      </c>
      <c r="G9" s="28"/>
      <c r="H9" s="28"/>
      <c r="I9" s="28"/>
      <c r="J9" s="28"/>
      <c r="K9" s="28"/>
      <c r="L9" s="28"/>
      <c r="M9" s="28"/>
      <c r="N9" s="28"/>
      <c r="O9" s="28"/>
    </row>
    <row r="10" spans="1:15" x14ac:dyDescent="0.45">
      <c r="B10" s="25" t="s">
        <v>148</v>
      </c>
      <c r="C10" s="26" t="s">
        <v>119</v>
      </c>
      <c r="D10" s="38">
        <f>KitPrice+Labour</f>
        <v>4</v>
      </c>
      <c r="E10" s="28"/>
      <c r="F10" s="26" t="s">
        <v>149</v>
      </c>
      <c r="G10" s="28"/>
      <c r="H10" s="28"/>
      <c r="I10" s="28"/>
      <c r="J10" s="28"/>
      <c r="K10" s="28"/>
      <c r="L10" s="28"/>
      <c r="M10" s="28"/>
      <c r="N10" s="28"/>
      <c r="O10" s="28"/>
    </row>
    <row r="11" spans="1:15" x14ac:dyDescent="0.45">
      <c r="B11" s="25" t="s">
        <v>150</v>
      </c>
      <c r="C11" s="26" t="s">
        <v>119</v>
      </c>
      <c r="D11" s="38">
        <f>KitPrice+Labour+Damage+DownFail*DownCost</f>
        <v>21</v>
      </c>
      <c r="E11" s="28"/>
      <c r="F11" s="26" t="s">
        <v>151</v>
      </c>
      <c r="G11" s="28"/>
      <c r="H11" s="28"/>
      <c r="I11" s="28"/>
      <c r="J11" s="28"/>
      <c r="K11" s="28"/>
      <c r="L11" s="28"/>
      <c r="M11" s="28"/>
      <c r="N11" s="28"/>
      <c r="O11" s="28"/>
    </row>
    <row r="12" spans="1:15" x14ac:dyDescent="0.45">
      <c r="B12" s="25" t="s">
        <v>152</v>
      </c>
      <c r="C12" s="26" t="s">
        <v>119</v>
      </c>
      <c r="D12" s="38">
        <f>WaitHours*DownCost</f>
        <v>36</v>
      </c>
      <c r="E12" s="28"/>
      <c r="F12" s="26" t="s">
        <v>153</v>
      </c>
      <c r="G12" s="28"/>
      <c r="H12" s="28"/>
      <c r="I12" s="28"/>
      <c r="J12" s="28"/>
      <c r="K12" s="28"/>
      <c r="L12" s="28"/>
      <c r="M12" s="28"/>
      <c r="N12" s="28"/>
      <c r="O12" s="28"/>
    </row>
    <row r="13" spans="1:15" x14ac:dyDescent="0.45">
      <c r="B13" s="25" t="s">
        <v>154</v>
      </c>
      <c r="C13" s="26" t="s">
        <v>119</v>
      </c>
      <c r="D13" s="39">
        <f>KitPrice*HoldRate*2</f>
        <v>1.25</v>
      </c>
      <c r="E13" s="28"/>
      <c r="F13" s="26" t="s">
        <v>155</v>
      </c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45">
      <c r="B14" s="25" t="s">
        <v>156</v>
      </c>
      <c r="C14" s="26" t="s">
        <v>103</v>
      </c>
      <c r="D14" s="40">
        <f>1000000000</f>
        <v>1000000000</v>
      </c>
      <c r="E14" s="28"/>
      <c r="F14" s="26" t="s">
        <v>157</v>
      </c>
      <c r="G14" s="28"/>
      <c r="H14" s="28"/>
      <c r="I14" s="28"/>
      <c r="J14" s="28"/>
      <c r="K14" s="28"/>
      <c r="L14" s="28"/>
      <c r="M14" s="28"/>
      <c r="N14" s="28"/>
      <c r="O14" s="28"/>
    </row>
    <row r="15" spans="1:15" x14ac:dyDescent="0.45">
      <c r="B15" s="25" t="s">
        <v>158</v>
      </c>
      <c r="C15" s="26" t="s">
        <v>103</v>
      </c>
      <c r="D15" s="40">
        <f>Never</f>
        <v>1000000000</v>
      </c>
      <c r="E15" s="28"/>
      <c r="F15" s="26" t="s">
        <v>159</v>
      </c>
      <c r="G15" s="28"/>
      <c r="H15" s="28"/>
      <c r="I15" s="28"/>
      <c r="J15" s="28"/>
      <c r="K15" s="28"/>
      <c r="L15" s="28"/>
      <c r="M15" s="28"/>
      <c r="N15" s="28"/>
      <c r="O15" s="28"/>
    </row>
    <row r="16" spans="1:15" x14ac:dyDescent="0.45">
      <c r="B16" s="25" t="s">
        <v>160</v>
      </c>
      <c r="C16" s="26" t="s">
        <v>103</v>
      </c>
      <c r="D16" s="40">
        <f>AgeEarly</f>
        <v>2500</v>
      </c>
      <c r="E16" s="28"/>
      <c r="F16" s="26" t="s">
        <v>161</v>
      </c>
      <c r="G16" s="28"/>
      <c r="H16" s="28"/>
      <c r="I16" s="28"/>
      <c r="J16" s="28"/>
      <c r="K16" s="28"/>
      <c r="L16" s="28"/>
      <c r="M16" s="28"/>
      <c r="N16" s="28"/>
      <c r="O16" s="28"/>
    </row>
    <row r="17" spans="2:15" x14ac:dyDescent="0.45">
      <c r="B17" s="25" t="s">
        <v>162</v>
      </c>
      <c r="C17" s="26" t="s">
        <v>103</v>
      </c>
      <c r="D17" s="40">
        <f>AgeMid</f>
        <v>3500</v>
      </c>
      <c r="E17" s="28"/>
      <c r="F17" s="26" t="s">
        <v>161</v>
      </c>
      <c r="G17" s="28"/>
      <c r="H17" s="28"/>
      <c r="I17" s="28"/>
      <c r="J17" s="28"/>
      <c r="K17" s="28"/>
      <c r="L17" s="28"/>
      <c r="M17" s="28"/>
      <c r="N17" s="28"/>
      <c r="O17" s="28"/>
    </row>
    <row r="18" spans="2:15" x14ac:dyDescent="0.45">
      <c r="B18" s="25" t="s">
        <v>163</v>
      </c>
      <c r="C18" s="26" t="s">
        <v>103</v>
      </c>
      <c r="D18" s="40">
        <f>AgeLate</f>
        <v>5000</v>
      </c>
      <c r="E18" s="28"/>
      <c r="F18" s="26" t="s">
        <v>161</v>
      </c>
      <c r="G18" s="28"/>
      <c r="H18" s="28"/>
      <c r="I18" s="28"/>
      <c r="J18" s="28"/>
      <c r="K18" s="28"/>
      <c r="L18" s="28"/>
      <c r="M18" s="28"/>
      <c r="N18" s="28"/>
      <c r="O18" s="28"/>
    </row>
    <row r="19" spans="2:15" ht="8" customHeight="1" x14ac:dyDescent="0.45"/>
    <row r="20" spans="2:15" ht="22.05" customHeight="1" x14ac:dyDescent="0.5">
      <c r="B20" s="7" t="s">
        <v>164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2:15" ht="18" customHeight="1" x14ac:dyDescent="0.45">
      <c r="B21" s="13" t="s">
        <v>165</v>
      </c>
    </row>
    <row r="22" spans="2:15" ht="18" customHeight="1" x14ac:dyDescent="0.45">
      <c r="B22" s="35" t="s">
        <v>166</v>
      </c>
      <c r="C22" s="5"/>
      <c r="D22" s="36" t="s">
        <v>167</v>
      </c>
      <c r="E22" s="36" t="s">
        <v>168</v>
      </c>
      <c r="F22" s="36" t="s">
        <v>169</v>
      </c>
      <c r="G22" s="36" t="s">
        <v>170</v>
      </c>
      <c r="H22" s="36" t="s">
        <v>171</v>
      </c>
      <c r="I22" s="36" t="s">
        <v>172</v>
      </c>
      <c r="J22" s="36" t="s">
        <v>173</v>
      </c>
      <c r="K22" s="36" t="s">
        <v>174</v>
      </c>
      <c r="L22" s="36" t="s">
        <v>175</v>
      </c>
      <c r="M22" s="36" t="s">
        <v>176</v>
      </c>
      <c r="N22" s="5"/>
      <c r="O22" s="5"/>
    </row>
    <row r="23" spans="2:15" x14ac:dyDescent="0.45">
      <c r="B23" s="25" t="s">
        <v>177</v>
      </c>
      <c r="C23" s="26" t="s">
        <v>103</v>
      </c>
      <c r="D23" s="41" cm="1">
        <f t="array" aca="1" ref="D23" ca="1">_xll.VoseWeibull(Shape,Scale)</f>
        <v>6356.2920530132269</v>
      </c>
      <c r="E23" s="41" cm="1">
        <f t="array" aca="1" ref="E23" ca="1">_xll.VoseWeibull(Shape,Scale)</f>
        <v>8406.4925300979612</v>
      </c>
      <c r="F23" s="41" cm="1">
        <f t="array" aca="1" ref="F23" ca="1">_xll.VoseWeibull(Shape,Scale)</f>
        <v>2641.9896587743956</v>
      </c>
      <c r="G23" s="41" cm="1">
        <f t="array" aca="1" ref="G23" ca="1">_xll.VoseWeibull(Shape,Scale)</f>
        <v>10871.257132561142</v>
      </c>
      <c r="H23" s="41" cm="1">
        <f t="array" aca="1" ref="H23" ca="1">_xll.VoseWeibull(Shape,Scale)</f>
        <v>8299.8491633827798</v>
      </c>
      <c r="I23" s="41" cm="1">
        <f t="array" aca="1" ref="I23" ca="1">_xll.VoseWeibull(Shape,Scale)</f>
        <v>8058.5332547519338</v>
      </c>
      <c r="J23" s="41" cm="1">
        <f t="array" aca="1" ref="J23" ca="1">_xll.VoseWeibull(Shape,Scale)</f>
        <v>2726.3713758862846</v>
      </c>
      <c r="K23" s="41" cm="1">
        <f t="array" aca="1" ref="K23" ca="1">_xll.VoseWeibull(Shape,Scale)</f>
        <v>5353.657080329308</v>
      </c>
      <c r="L23" s="41" cm="1">
        <f t="array" aca="1" ref="L23" ca="1">_xll.VoseWeibull(Shape,Scale)</f>
        <v>2389.8584104678544</v>
      </c>
      <c r="M23" s="41" cm="1">
        <f t="array" aca="1" ref="M23" ca="1">_xll.VoseWeibull(Shape,Scale)</f>
        <v>7623.183630985618</v>
      </c>
      <c r="N23" s="28"/>
      <c r="O23" s="28"/>
    </row>
    <row r="24" spans="2:15" x14ac:dyDescent="0.45">
      <c r="B24" s="25" t="s">
        <v>178</v>
      </c>
      <c r="C24" s="26" t="s">
        <v>103</v>
      </c>
      <c r="D24" s="41" cm="1">
        <f t="array" aca="1" ref="D24" ca="1">_xll.VoseWeibull(Shape,Scale)</f>
        <v>4983.2955001994897</v>
      </c>
      <c r="E24" s="41" cm="1">
        <f t="array" aca="1" ref="E24" ca="1">_xll.VoseWeibull(Shape,Scale)</f>
        <v>5650.2497521604546</v>
      </c>
      <c r="F24" s="41" cm="1">
        <f t="array" aca="1" ref="F24" ca="1">_xll.VoseWeibull(Shape,Scale)</f>
        <v>7016.1869052032034</v>
      </c>
      <c r="G24" s="41" cm="1">
        <f t="array" aca="1" ref="G24" ca="1">_xll.VoseWeibull(Shape,Scale)</f>
        <v>7672.3152558270713</v>
      </c>
      <c r="H24" s="41" cm="1">
        <f t="array" aca="1" ref="H24" ca="1">_xll.VoseWeibull(Shape,Scale)</f>
        <v>8712.661399713119</v>
      </c>
      <c r="I24" s="41" cm="1">
        <f t="array" aca="1" ref="I24" ca="1">_xll.VoseWeibull(Shape,Scale)</f>
        <v>7462.4563620353965</v>
      </c>
      <c r="J24" s="41" cm="1">
        <f t="array" aca="1" ref="J24" ca="1">_xll.VoseWeibull(Shape,Scale)</f>
        <v>8262.0450454622278</v>
      </c>
      <c r="K24" s="41" cm="1">
        <f t="array" aca="1" ref="K24" ca="1">_xll.VoseWeibull(Shape,Scale)</f>
        <v>7444.1248351528702</v>
      </c>
      <c r="L24" s="41" cm="1">
        <f t="array" aca="1" ref="L24" ca="1">_xll.VoseWeibull(Shape,Scale)</f>
        <v>4762.2373372181237</v>
      </c>
      <c r="M24" s="41" cm="1">
        <f t="array" aca="1" ref="M24" ca="1">_xll.VoseWeibull(Shape,Scale)</f>
        <v>3867.7949395060418</v>
      </c>
      <c r="N24" s="28"/>
      <c r="O24" s="28"/>
    </row>
    <row r="25" spans="2:15" x14ac:dyDescent="0.45">
      <c r="B25" s="25" t="s">
        <v>179</v>
      </c>
      <c r="C25" s="26" t="s">
        <v>103</v>
      </c>
      <c r="D25" s="41" cm="1">
        <f t="array" aca="1" ref="D25" ca="1">_xll.VoseWeibull(Shape,Scale)</f>
        <v>14153.702686352941</v>
      </c>
      <c r="E25" s="41" cm="1">
        <f t="array" aca="1" ref="E25" ca="1">_xll.VoseWeibull(Shape,Scale)</f>
        <v>9259.2320294366564</v>
      </c>
      <c r="F25" s="41" cm="1">
        <f t="array" aca="1" ref="F25" ca="1">_xll.VoseWeibull(Shape,Scale)</f>
        <v>5967.2465296823384</v>
      </c>
      <c r="G25" s="41" cm="1">
        <f t="array" aca="1" ref="G25" ca="1">_xll.VoseWeibull(Shape,Scale)</f>
        <v>7594.2625243323419</v>
      </c>
      <c r="H25" s="41" cm="1">
        <f t="array" aca="1" ref="H25" ca="1">_xll.VoseWeibull(Shape,Scale)</f>
        <v>12226.055664231299</v>
      </c>
      <c r="I25" s="41" cm="1">
        <f t="array" aca="1" ref="I25" ca="1">_xll.VoseWeibull(Shape,Scale)</f>
        <v>4648.5319952856789</v>
      </c>
      <c r="J25" s="41" cm="1">
        <f t="array" aca="1" ref="J25" ca="1">_xll.VoseWeibull(Shape,Scale)</f>
        <v>1272.9544723047368</v>
      </c>
      <c r="K25" s="41" cm="1">
        <f t="array" aca="1" ref="K25" ca="1">_xll.VoseWeibull(Shape,Scale)</f>
        <v>4954.8143088800025</v>
      </c>
      <c r="L25" s="41" cm="1">
        <f t="array" aca="1" ref="L25" ca="1">_xll.VoseWeibull(Shape,Scale)</f>
        <v>1749.2380986640135</v>
      </c>
      <c r="M25" s="41" cm="1">
        <f t="array" aca="1" ref="M25" ca="1">_xll.VoseWeibull(Shape,Scale)</f>
        <v>7064.2335749328831</v>
      </c>
      <c r="N25" s="28"/>
      <c r="O25" s="28"/>
    </row>
    <row r="26" spans="2:15" x14ac:dyDescent="0.45">
      <c r="B26" s="25" t="s">
        <v>180</v>
      </c>
      <c r="C26" s="26" t="s">
        <v>103</v>
      </c>
      <c r="D26" s="41" cm="1">
        <f t="array" aca="1" ref="D26" ca="1">_xll.VoseWeibull(Shape,Scale)</f>
        <v>6102.2923182860559</v>
      </c>
      <c r="E26" s="41" cm="1">
        <f t="array" aca="1" ref="E26" ca="1">_xll.VoseWeibull(Shape,Scale)</f>
        <v>8060.4127893054465</v>
      </c>
      <c r="F26" s="41" cm="1">
        <f t="array" aca="1" ref="F26" ca="1">_xll.VoseWeibull(Shape,Scale)</f>
        <v>9601.0870392423294</v>
      </c>
      <c r="G26" s="41" cm="1">
        <f t="array" aca="1" ref="G26" ca="1">_xll.VoseWeibull(Shape,Scale)</f>
        <v>6105.3627729208074</v>
      </c>
      <c r="H26" s="41" cm="1">
        <f t="array" aca="1" ref="H26" ca="1">_xll.VoseWeibull(Shape,Scale)</f>
        <v>5455.4840567479323</v>
      </c>
      <c r="I26" s="41" cm="1">
        <f t="array" aca="1" ref="I26" ca="1">_xll.VoseWeibull(Shape,Scale)</f>
        <v>6765.2419840347247</v>
      </c>
      <c r="J26" s="41" cm="1">
        <f t="array" aca="1" ref="J26" ca="1">_xll.VoseWeibull(Shape,Scale)</f>
        <v>7986.8533361697228</v>
      </c>
      <c r="K26" s="41" cm="1">
        <f t="array" aca="1" ref="K26" ca="1">_xll.VoseWeibull(Shape,Scale)</f>
        <v>7493.281484703919</v>
      </c>
      <c r="L26" s="41" cm="1">
        <f t="array" aca="1" ref="L26" ca="1">_xll.VoseWeibull(Shape,Scale)</f>
        <v>3575.3113594082465</v>
      </c>
      <c r="M26" s="41" cm="1">
        <f t="array" aca="1" ref="M26" ca="1">_xll.VoseWeibull(Shape,Scale)</f>
        <v>10751.280368693047</v>
      </c>
      <c r="N26" s="28"/>
      <c r="O26" s="28"/>
    </row>
    <row r="27" spans="2:15" x14ac:dyDescent="0.45">
      <c r="B27" s="25" t="s">
        <v>181</v>
      </c>
      <c r="C27" s="26" t="s">
        <v>103</v>
      </c>
      <c r="D27" s="41" cm="1">
        <f t="array" aca="1" ref="D27" ca="1">_xll.VoseWeibull(Shape,Scale)</f>
        <v>3604.1291802901387</v>
      </c>
      <c r="E27" s="41" cm="1">
        <f t="array" aca="1" ref="E27" ca="1">_xll.VoseWeibull(Shape,Scale)</f>
        <v>7575.5498590379348</v>
      </c>
      <c r="F27" s="41" cm="1">
        <f t="array" aca="1" ref="F27" ca="1">_xll.VoseWeibull(Shape,Scale)</f>
        <v>3488.8195919417258</v>
      </c>
      <c r="G27" s="41" cm="1">
        <f t="array" aca="1" ref="G27" ca="1">_xll.VoseWeibull(Shape,Scale)</f>
        <v>5798.0965474776922</v>
      </c>
      <c r="H27" s="41" cm="1">
        <f t="array" aca="1" ref="H27" ca="1">_xll.VoseWeibull(Shape,Scale)</f>
        <v>3472.0068587706032</v>
      </c>
      <c r="I27" s="41" cm="1">
        <f t="array" aca="1" ref="I27" ca="1">_xll.VoseWeibull(Shape,Scale)</f>
        <v>5785.9483870596332</v>
      </c>
      <c r="J27" s="41" cm="1">
        <f t="array" aca="1" ref="J27" ca="1">_xll.VoseWeibull(Shape,Scale)</f>
        <v>6236.8014856151631</v>
      </c>
      <c r="K27" s="41" cm="1">
        <f t="array" aca="1" ref="K27" ca="1">_xll.VoseWeibull(Shape,Scale)</f>
        <v>7057.5915201544103</v>
      </c>
      <c r="L27" s="41" cm="1">
        <f t="array" aca="1" ref="L27" ca="1">_xll.VoseWeibull(Shape,Scale)</f>
        <v>6810.4655381513576</v>
      </c>
      <c r="M27" s="41" cm="1">
        <f t="array" aca="1" ref="M27" ca="1">_xll.VoseWeibull(Shape,Scale)</f>
        <v>5355.0000124430571</v>
      </c>
      <c r="N27" s="28"/>
      <c r="O27" s="28"/>
    </row>
    <row r="28" spans="2:15" x14ac:dyDescent="0.45">
      <c r="B28" s="25" t="s">
        <v>182</v>
      </c>
      <c r="C28" s="26" t="s">
        <v>103</v>
      </c>
      <c r="D28" s="41" cm="1">
        <f t="array" aca="1" ref="D28" ca="1">_xll.VoseWeibull(Shape,Scale)</f>
        <v>4363.9896147259178</v>
      </c>
      <c r="E28" s="41" cm="1">
        <f t="array" aca="1" ref="E28" ca="1">_xll.VoseWeibull(Shape,Scale)</f>
        <v>7123.6420220766267</v>
      </c>
      <c r="F28" s="41" cm="1">
        <f t="array" aca="1" ref="F28" ca="1">_xll.VoseWeibull(Shape,Scale)</f>
        <v>5357.977725331174</v>
      </c>
      <c r="G28" s="41" cm="1">
        <f t="array" aca="1" ref="G28" ca="1">_xll.VoseWeibull(Shape,Scale)</f>
        <v>4784.8415790144381</v>
      </c>
      <c r="H28" s="41" cm="1">
        <f t="array" aca="1" ref="H28" ca="1">_xll.VoseWeibull(Shape,Scale)</f>
        <v>8155.0123444671717</v>
      </c>
      <c r="I28" s="41" cm="1">
        <f t="array" aca="1" ref="I28" ca="1">_xll.VoseWeibull(Shape,Scale)</f>
        <v>4266.7892510019437</v>
      </c>
      <c r="J28" s="41" cm="1">
        <f t="array" aca="1" ref="J28" ca="1">_xll.VoseWeibull(Shape,Scale)</f>
        <v>2823.8218890611884</v>
      </c>
      <c r="K28" s="41" cm="1">
        <f t="array" aca="1" ref="K28" ca="1">_xll.VoseWeibull(Shape,Scale)</f>
        <v>3580.7810341191566</v>
      </c>
      <c r="L28" s="41" cm="1">
        <f t="array" aca="1" ref="L28" ca="1">_xll.VoseWeibull(Shape,Scale)</f>
        <v>7715.2031263639246</v>
      </c>
      <c r="M28" s="41" cm="1">
        <f t="array" aca="1" ref="M28" ca="1">_xll.VoseWeibull(Shape,Scale)</f>
        <v>6146.5151693328162</v>
      </c>
      <c r="N28" s="28"/>
      <c r="O28" s="28"/>
    </row>
    <row r="29" spans="2:15" x14ac:dyDescent="0.45">
      <c r="B29" s="25" t="s">
        <v>183</v>
      </c>
      <c r="C29" s="26" t="s">
        <v>103</v>
      </c>
      <c r="D29" s="41" cm="1">
        <f t="array" aca="1" ref="D29" ca="1">_xll.VoseWeibull(Shape,Scale)</f>
        <v>10997.319329957572</v>
      </c>
      <c r="E29" s="41" cm="1">
        <f t="array" aca="1" ref="E29" ca="1">_xll.VoseWeibull(Shape,Scale)</f>
        <v>10396.265932011589</v>
      </c>
      <c r="F29" s="41" cm="1">
        <f t="array" aca="1" ref="F29" ca="1">_xll.VoseWeibull(Shape,Scale)</f>
        <v>8283.2207701943589</v>
      </c>
      <c r="G29" s="41" cm="1">
        <f t="array" aca="1" ref="G29" ca="1">_xll.VoseWeibull(Shape,Scale)</f>
        <v>6116.1667316545645</v>
      </c>
      <c r="H29" s="41" cm="1">
        <f t="array" aca="1" ref="H29" ca="1">_xll.VoseWeibull(Shape,Scale)</f>
        <v>7189.4602265933354</v>
      </c>
      <c r="I29" s="41" cm="1">
        <f t="array" aca="1" ref="I29" ca="1">_xll.VoseWeibull(Shape,Scale)</f>
        <v>6190.0227994467632</v>
      </c>
      <c r="J29" s="41" cm="1">
        <f t="array" aca="1" ref="J29" ca="1">_xll.VoseWeibull(Shape,Scale)</f>
        <v>8961.8753724361723</v>
      </c>
      <c r="K29" s="41" cm="1">
        <f t="array" aca="1" ref="K29" ca="1">_xll.VoseWeibull(Shape,Scale)</f>
        <v>7237.1428408048423</v>
      </c>
      <c r="L29" s="41" cm="1">
        <f t="array" aca="1" ref="L29" ca="1">_xll.VoseWeibull(Shape,Scale)</f>
        <v>5453.3589859767626</v>
      </c>
      <c r="M29" s="41" cm="1">
        <f t="array" aca="1" ref="M29" ca="1">_xll.VoseWeibull(Shape,Scale)</f>
        <v>4324.0594941536747</v>
      </c>
      <c r="N29" s="28"/>
      <c r="O29" s="28"/>
    </row>
    <row r="30" spans="2:15" x14ac:dyDescent="0.45">
      <c r="B30" s="25" t="s">
        <v>184</v>
      </c>
      <c r="C30" s="26" t="s">
        <v>103</v>
      </c>
      <c r="D30" s="41" cm="1">
        <f t="array" aca="1" ref="D30" ca="1">_xll.VoseWeibull(Shape,Scale)</f>
        <v>8223.0072898406925</v>
      </c>
      <c r="E30" s="41" cm="1">
        <f t="array" aca="1" ref="E30" ca="1">_xll.VoseWeibull(Shape,Scale)</f>
        <v>5289.4137373391441</v>
      </c>
      <c r="F30" s="41" cm="1">
        <f t="array" aca="1" ref="F30" ca="1">_xll.VoseWeibull(Shape,Scale)</f>
        <v>9060.3071800385187</v>
      </c>
      <c r="G30" s="41" cm="1">
        <f t="array" aca="1" ref="G30" ca="1">_xll.VoseWeibull(Shape,Scale)</f>
        <v>5266.1872149908932</v>
      </c>
      <c r="H30" s="41" cm="1">
        <f t="array" aca="1" ref="H30" ca="1">_xll.VoseWeibull(Shape,Scale)</f>
        <v>5424.2835845929239</v>
      </c>
      <c r="I30" s="41" cm="1">
        <f t="array" aca="1" ref="I30" ca="1">_xll.VoseWeibull(Shape,Scale)</f>
        <v>8091.3242907927579</v>
      </c>
      <c r="J30" s="41" cm="1">
        <f t="array" aca="1" ref="J30" ca="1">_xll.VoseWeibull(Shape,Scale)</f>
        <v>3074.6065280692828</v>
      </c>
      <c r="K30" s="41" cm="1">
        <f t="array" aca="1" ref="K30" ca="1">_xll.VoseWeibull(Shape,Scale)</f>
        <v>3270.2667507204869</v>
      </c>
      <c r="L30" s="41" cm="1">
        <f t="array" aca="1" ref="L30" ca="1">_xll.VoseWeibull(Shape,Scale)</f>
        <v>6685.6202112979072</v>
      </c>
      <c r="M30" s="41" cm="1">
        <f t="array" aca="1" ref="M30" ca="1">_xll.VoseWeibull(Shape,Scale)</f>
        <v>2197.3557261741662</v>
      </c>
      <c r="N30" s="28"/>
      <c r="O30" s="28"/>
    </row>
    <row r="31" spans="2:15" ht="8" customHeight="1" x14ac:dyDescent="0.45"/>
    <row r="32" spans="2:15" ht="22.05" customHeight="1" x14ac:dyDescent="0.5">
      <c r="B32" s="7" t="s">
        <v>185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2:15" ht="18" customHeight="1" x14ac:dyDescent="0.45">
      <c r="B33" s="13" t="s">
        <v>186</v>
      </c>
    </row>
    <row r="34" spans="2:15" ht="18" customHeight="1" x14ac:dyDescent="0.45">
      <c r="B34" s="35" t="s">
        <v>187</v>
      </c>
      <c r="C34" s="5"/>
      <c r="D34" s="36" t="s">
        <v>167</v>
      </c>
      <c r="E34" s="36" t="s">
        <v>168</v>
      </c>
      <c r="F34" s="36" t="s">
        <v>169</v>
      </c>
      <c r="G34" s="36" t="s">
        <v>170</v>
      </c>
      <c r="H34" s="36" t="s">
        <v>171</v>
      </c>
      <c r="I34" s="36" t="s">
        <v>172</v>
      </c>
      <c r="J34" s="36" t="s">
        <v>173</v>
      </c>
      <c r="K34" s="36" t="s">
        <v>174</v>
      </c>
      <c r="L34" s="36" t="s">
        <v>175</v>
      </c>
      <c r="M34" s="36" t="s">
        <v>176</v>
      </c>
      <c r="N34" s="36" t="s">
        <v>188</v>
      </c>
      <c r="O34" s="36" t="s">
        <v>189</v>
      </c>
    </row>
    <row r="35" spans="2:15" x14ac:dyDescent="0.45">
      <c r="B35" s="25" t="s">
        <v>177</v>
      </c>
      <c r="C35" s="26" t="s">
        <v>103</v>
      </c>
      <c r="D35" s="37">
        <f t="shared" ref="D35:D42" ca="1" si="0">MIN(D23,T_1)</f>
        <v>6356.2920530132269</v>
      </c>
      <c r="E35" s="37">
        <f t="shared" ref="E35:M35" ca="1" si="1">D35+MIN(E23,T_1)</f>
        <v>14762.784583111188</v>
      </c>
      <c r="F35" s="37">
        <f t="shared" ca="1" si="1"/>
        <v>17404.774241885585</v>
      </c>
      <c r="G35" s="37">
        <f t="shared" ca="1" si="1"/>
        <v>28276.031374446728</v>
      </c>
      <c r="H35" s="37">
        <f t="shared" ca="1" si="1"/>
        <v>36575.880537829507</v>
      </c>
      <c r="I35" s="37">
        <f t="shared" ca="1" si="1"/>
        <v>44634.413792581443</v>
      </c>
      <c r="J35" s="37">
        <f t="shared" ca="1" si="1"/>
        <v>47360.78516846773</v>
      </c>
      <c r="K35" s="37">
        <f t="shared" ca="1" si="1"/>
        <v>52714.442248797037</v>
      </c>
      <c r="L35" s="37">
        <f t="shared" ca="1" si="1"/>
        <v>55104.300659264889</v>
      </c>
      <c r="M35" s="37">
        <f t="shared" ca="1" si="1"/>
        <v>62727.484290250504</v>
      </c>
      <c r="N35" s="37">
        <f t="shared" ref="N35:N42" ca="1" si="2">COUNTIFS(D23:M23,"&lt;"&amp;T_1,D35:M35,"&lt;="&amp;Horizon)</f>
        <v>1</v>
      </c>
      <c r="O35" s="37">
        <f t="shared" ref="O35:O42" ca="1" si="3">COUNTIFS(D23:M23,"&gt;="&amp;T_1,D35:M35,"&lt;="&amp;Horizon)</f>
        <v>0</v>
      </c>
    </row>
    <row r="36" spans="2:15" x14ac:dyDescent="0.45">
      <c r="B36" s="25" t="s">
        <v>178</v>
      </c>
      <c r="C36" s="26" t="s">
        <v>103</v>
      </c>
      <c r="D36" s="37">
        <f t="shared" ca="1" si="0"/>
        <v>4983.2955001994897</v>
      </c>
      <c r="E36" s="37">
        <f t="shared" ref="E36:M36" ca="1" si="4">D36+MIN(E24,T_1)</f>
        <v>10633.545252359945</v>
      </c>
      <c r="F36" s="37">
        <f t="shared" ca="1" si="4"/>
        <v>17649.73215756315</v>
      </c>
      <c r="G36" s="37">
        <f t="shared" ca="1" si="4"/>
        <v>25322.047413390221</v>
      </c>
      <c r="H36" s="37">
        <f t="shared" ca="1" si="4"/>
        <v>34034.708813103338</v>
      </c>
      <c r="I36" s="37">
        <f t="shared" ca="1" si="4"/>
        <v>41497.165175138733</v>
      </c>
      <c r="J36" s="37">
        <f t="shared" ca="1" si="4"/>
        <v>49759.210220600959</v>
      </c>
      <c r="K36" s="37">
        <f t="shared" ca="1" si="4"/>
        <v>57203.335055753829</v>
      </c>
      <c r="L36" s="37">
        <f t="shared" ca="1" si="4"/>
        <v>61965.572392971953</v>
      </c>
      <c r="M36" s="37">
        <f t="shared" ca="1" si="4"/>
        <v>65833.367332477996</v>
      </c>
      <c r="N36" s="37">
        <f t="shared" ca="1" si="2"/>
        <v>2</v>
      </c>
      <c r="O36" s="37">
        <f t="shared" ca="1" si="3"/>
        <v>0</v>
      </c>
    </row>
    <row r="37" spans="2:15" x14ac:dyDescent="0.45">
      <c r="B37" s="25" t="s">
        <v>179</v>
      </c>
      <c r="C37" s="26" t="s">
        <v>103</v>
      </c>
      <c r="D37" s="37">
        <f t="shared" ca="1" si="0"/>
        <v>14153.702686352941</v>
      </c>
      <c r="E37" s="37">
        <f t="shared" ref="E37:M37" ca="1" si="5">D37+MIN(E25,T_1)</f>
        <v>23412.934715789597</v>
      </c>
      <c r="F37" s="37">
        <f t="shared" ca="1" si="5"/>
        <v>29380.181245471937</v>
      </c>
      <c r="G37" s="37">
        <f t="shared" ca="1" si="5"/>
        <v>36974.443769804275</v>
      </c>
      <c r="H37" s="37">
        <f t="shared" ca="1" si="5"/>
        <v>49200.499434035577</v>
      </c>
      <c r="I37" s="37">
        <f t="shared" ca="1" si="5"/>
        <v>53849.031429321258</v>
      </c>
      <c r="J37" s="37">
        <f t="shared" ca="1" si="5"/>
        <v>55121.985901625994</v>
      </c>
      <c r="K37" s="37">
        <f t="shared" ca="1" si="5"/>
        <v>60076.800210506</v>
      </c>
      <c r="L37" s="37">
        <f t="shared" ca="1" si="5"/>
        <v>61826.038309170013</v>
      </c>
      <c r="M37" s="37">
        <f t="shared" ca="1" si="5"/>
        <v>68890.271884102898</v>
      </c>
      <c r="N37" s="37">
        <f t="shared" ca="1" si="2"/>
        <v>0</v>
      </c>
      <c r="O37" s="37">
        <f t="shared" ca="1" si="3"/>
        <v>0</v>
      </c>
    </row>
    <row r="38" spans="2:15" x14ac:dyDescent="0.45">
      <c r="B38" s="25" t="s">
        <v>180</v>
      </c>
      <c r="C38" s="26" t="s">
        <v>103</v>
      </c>
      <c r="D38" s="37">
        <f t="shared" ca="1" si="0"/>
        <v>6102.2923182860559</v>
      </c>
      <c r="E38" s="37">
        <f t="shared" ref="E38:M38" ca="1" si="6">D38+MIN(E26,T_1)</f>
        <v>14162.705107591502</v>
      </c>
      <c r="F38" s="37">
        <f t="shared" ca="1" si="6"/>
        <v>23763.792146833832</v>
      </c>
      <c r="G38" s="37">
        <f t="shared" ca="1" si="6"/>
        <v>29869.154919754641</v>
      </c>
      <c r="H38" s="37">
        <f t="shared" ca="1" si="6"/>
        <v>35324.638976502574</v>
      </c>
      <c r="I38" s="37">
        <f t="shared" ca="1" si="6"/>
        <v>42089.880960537295</v>
      </c>
      <c r="J38" s="37">
        <f t="shared" ca="1" si="6"/>
        <v>50076.734296707014</v>
      </c>
      <c r="K38" s="37">
        <f t="shared" ca="1" si="6"/>
        <v>57570.015781410933</v>
      </c>
      <c r="L38" s="37">
        <f t="shared" ca="1" si="6"/>
        <v>61145.327140819179</v>
      </c>
      <c r="M38" s="37">
        <f t="shared" ca="1" si="6"/>
        <v>71896.607509512221</v>
      </c>
      <c r="N38" s="37">
        <f t="shared" ca="1" si="2"/>
        <v>1</v>
      </c>
      <c r="O38" s="37">
        <f t="shared" ca="1" si="3"/>
        <v>0</v>
      </c>
    </row>
    <row r="39" spans="2:15" x14ac:dyDescent="0.45">
      <c r="B39" s="25" t="s">
        <v>181</v>
      </c>
      <c r="C39" s="26" t="s">
        <v>103</v>
      </c>
      <c r="D39" s="37">
        <f t="shared" ca="1" si="0"/>
        <v>3604.1291802901387</v>
      </c>
      <c r="E39" s="37">
        <f t="shared" ref="E39:M39" ca="1" si="7">D39+MIN(E27,T_1)</f>
        <v>11179.679039328073</v>
      </c>
      <c r="F39" s="37">
        <f t="shared" ca="1" si="7"/>
        <v>14668.498631269798</v>
      </c>
      <c r="G39" s="37">
        <f t="shared" ca="1" si="7"/>
        <v>20466.595178747491</v>
      </c>
      <c r="H39" s="37">
        <f t="shared" ca="1" si="7"/>
        <v>23938.602037518096</v>
      </c>
      <c r="I39" s="37">
        <f t="shared" ca="1" si="7"/>
        <v>29724.55042457773</v>
      </c>
      <c r="J39" s="37">
        <f t="shared" ca="1" si="7"/>
        <v>35961.351910192891</v>
      </c>
      <c r="K39" s="37">
        <f t="shared" ca="1" si="7"/>
        <v>43018.943430347303</v>
      </c>
      <c r="L39" s="37">
        <f t="shared" ca="1" si="7"/>
        <v>49829.408968498661</v>
      </c>
      <c r="M39" s="37">
        <f t="shared" ca="1" si="7"/>
        <v>55184.40898094172</v>
      </c>
      <c r="N39" s="37">
        <f t="shared" ca="1" si="2"/>
        <v>2</v>
      </c>
      <c r="O39" s="37">
        <f t="shared" ca="1" si="3"/>
        <v>0</v>
      </c>
    </row>
    <row r="40" spans="2:15" x14ac:dyDescent="0.45">
      <c r="B40" s="25" t="s">
        <v>182</v>
      </c>
      <c r="C40" s="26" t="s">
        <v>103</v>
      </c>
      <c r="D40" s="37">
        <f t="shared" ca="1" si="0"/>
        <v>4363.9896147259178</v>
      </c>
      <c r="E40" s="37">
        <f t="shared" ref="E40:M40" ca="1" si="8">D40+MIN(E28,T_1)</f>
        <v>11487.631636802544</v>
      </c>
      <c r="F40" s="37">
        <f t="shared" ca="1" si="8"/>
        <v>16845.609362133717</v>
      </c>
      <c r="G40" s="37">
        <f t="shared" ca="1" si="8"/>
        <v>21630.450941148156</v>
      </c>
      <c r="H40" s="37">
        <f t="shared" ca="1" si="8"/>
        <v>29785.463285615326</v>
      </c>
      <c r="I40" s="37">
        <f t="shared" ca="1" si="8"/>
        <v>34052.25253661727</v>
      </c>
      <c r="J40" s="37">
        <f t="shared" ca="1" si="8"/>
        <v>36876.07442567846</v>
      </c>
      <c r="K40" s="37">
        <f t="shared" ca="1" si="8"/>
        <v>40456.855459797618</v>
      </c>
      <c r="L40" s="37">
        <f t="shared" ca="1" si="8"/>
        <v>48172.05858616154</v>
      </c>
      <c r="M40" s="37">
        <f t="shared" ca="1" si="8"/>
        <v>54318.573755494355</v>
      </c>
      <c r="N40" s="37">
        <f t="shared" ca="1" si="2"/>
        <v>2</v>
      </c>
      <c r="O40" s="37">
        <f t="shared" ca="1" si="3"/>
        <v>0</v>
      </c>
    </row>
    <row r="41" spans="2:15" x14ac:dyDescent="0.45">
      <c r="B41" s="25" t="s">
        <v>183</v>
      </c>
      <c r="C41" s="26" t="s">
        <v>103</v>
      </c>
      <c r="D41" s="37">
        <f t="shared" ca="1" si="0"/>
        <v>10997.319329957572</v>
      </c>
      <c r="E41" s="37">
        <f t="shared" ref="E41:M41" ca="1" si="9">D41+MIN(E29,T_1)</f>
        <v>21393.585261969161</v>
      </c>
      <c r="F41" s="37">
        <f t="shared" ca="1" si="9"/>
        <v>29676.80603216352</v>
      </c>
      <c r="G41" s="37">
        <f t="shared" ca="1" si="9"/>
        <v>35792.972763818085</v>
      </c>
      <c r="H41" s="37">
        <f t="shared" ca="1" si="9"/>
        <v>42982.43299041142</v>
      </c>
      <c r="I41" s="37">
        <f t="shared" ca="1" si="9"/>
        <v>49172.455789858184</v>
      </c>
      <c r="J41" s="37">
        <f t="shared" ca="1" si="9"/>
        <v>58134.331162294358</v>
      </c>
      <c r="K41" s="37">
        <f t="shared" ca="1" si="9"/>
        <v>65371.474003099203</v>
      </c>
      <c r="L41" s="37">
        <f t="shared" ca="1" si="9"/>
        <v>70824.832989075963</v>
      </c>
      <c r="M41" s="37">
        <f t="shared" ca="1" si="9"/>
        <v>75148.892483229632</v>
      </c>
      <c r="N41" s="37">
        <f t="shared" ca="1" si="2"/>
        <v>1</v>
      </c>
      <c r="O41" s="37">
        <f t="shared" ca="1" si="3"/>
        <v>0</v>
      </c>
    </row>
    <row r="42" spans="2:15" x14ac:dyDescent="0.45">
      <c r="B42" s="25" t="s">
        <v>184</v>
      </c>
      <c r="C42" s="26" t="s">
        <v>103</v>
      </c>
      <c r="D42" s="37">
        <f t="shared" ca="1" si="0"/>
        <v>8223.0072898406925</v>
      </c>
      <c r="E42" s="37">
        <f t="shared" ref="E42:M42" ca="1" si="10">D42+MIN(E30,T_1)</f>
        <v>13512.421027179837</v>
      </c>
      <c r="F42" s="37">
        <f t="shared" ca="1" si="10"/>
        <v>22572.728207218355</v>
      </c>
      <c r="G42" s="37">
        <f t="shared" ca="1" si="10"/>
        <v>27838.915422209247</v>
      </c>
      <c r="H42" s="37">
        <f t="shared" ca="1" si="10"/>
        <v>33263.19900680217</v>
      </c>
      <c r="I42" s="37">
        <f t="shared" ca="1" si="10"/>
        <v>41354.523297594926</v>
      </c>
      <c r="J42" s="37">
        <f t="shared" ca="1" si="10"/>
        <v>44429.129825664211</v>
      </c>
      <c r="K42" s="37">
        <f t="shared" ca="1" si="10"/>
        <v>47699.396576384701</v>
      </c>
      <c r="L42" s="37">
        <f t="shared" ca="1" si="10"/>
        <v>54385.016787682609</v>
      </c>
      <c r="M42" s="37">
        <f t="shared" ca="1" si="10"/>
        <v>56582.372513856775</v>
      </c>
      <c r="N42" s="37">
        <f t="shared" ca="1" si="2"/>
        <v>1</v>
      </c>
      <c r="O42" s="37">
        <f t="shared" ca="1" si="3"/>
        <v>0</v>
      </c>
    </row>
    <row r="43" spans="2:15" x14ac:dyDescent="0.45">
      <c r="B43" s="42" t="s">
        <v>190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4">
        <f ca="1">SUM(N35:N42)</f>
        <v>10</v>
      </c>
      <c r="O43" s="44">
        <f ca="1">SUM(O35:O42)</f>
        <v>0</v>
      </c>
    </row>
    <row r="44" spans="2:15" ht="6" customHeight="1" x14ac:dyDescent="0.45"/>
    <row r="45" spans="2:15" ht="18" customHeight="1" x14ac:dyDescent="0.45">
      <c r="B45" s="35" t="s">
        <v>191</v>
      </c>
      <c r="C45" s="5"/>
      <c r="D45" s="36" t="s">
        <v>167</v>
      </c>
      <c r="E45" s="36" t="s">
        <v>168</v>
      </c>
      <c r="F45" s="36" t="s">
        <v>169</v>
      </c>
      <c r="G45" s="36" t="s">
        <v>170</v>
      </c>
      <c r="H45" s="36" t="s">
        <v>171</v>
      </c>
      <c r="I45" s="36" t="s">
        <v>172</v>
      </c>
      <c r="J45" s="36" t="s">
        <v>173</v>
      </c>
      <c r="K45" s="36" t="s">
        <v>174</v>
      </c>
      <c r="L45" s="36" t="s">
        <v>175</v>
      </c>
      <c r="M45" s="36" t="s">
        <v>176</v>
      </c>
      <c r="N45" s="5"/>
      <c r="O45" s="5"/>
    </row>
    <row r="46" spans="2:15" x14ac:dyDescent="0.45">
      <c r="B46" s="25" t="s">
        <v>177</v>
      </c>
      <c r="C46" s="26" t="s">
        <v>192</v>
      </c>
      <c r="D46" s="45">
        <f t="shared" ref="D46:M46" ca="1" si="11">IF(AND(D23&lt;T_1,D35&lt;=Horizon),COUNTIFS(E_1,"&gt;"&amp;(D35-HLead),E_1,"&lt;="&amp;D35,Life,"&lt;"&amp;T_1),0)</f>
        <v>2</v>
      </c>
      <c r="E46" s="45">
        <f t="shared" ca="1" si="11"/>
        <v>0</v>
      </c>
      <c r="F46" s="45">
        <f t="shared" ca="1" si="11"/>
        <v>0</v>
      </c>
      <c r="G46" s="45">
        <f t="shared" ca="1" si="11"/>
        <v>0</v>
      </c>
      <c r="H46" s="45">
        <f t="shared" ca="1" si="11"/>
        <v>0</v>
      </c>
      <c r="I46" s="45">
        <f t="shared" ca="1" si="11"/>
        <v>0</v>
      </c>
      <c r="J46" s="45">
        <f t="shared" ca="1" si="11"/>
        <v>0</v>
      </c>
      <c r="K46" s="45">
        <f t="shared" ca="1" si="11"/>
        <v>0</v>
      </c>
      <c r="L46" s="45">
        <f t="shared" ca="1" si="11"/>
        <v>0</v>
      </c>
      <c r="M46" s="45">
        <f t="shared" ca="1" si="11"/>
        <v>0</v>
      </c>
      <c r="N46" s="28"/>
      <c r="O46" s="28"/>
    </row>
    <row r="47" spans="2:15" x14ac:dyDescent="0.45">
      <c r="B47" s="25" t="s">
        <v>178</v>
      </c>
      <c r="C47" s="26" t="s">
        <v>192</v>
      </c>
      <c r="D47" s="45">
        <f t="shared" ref="D47:M47" ca="1" si="12">IF(AND(D24&lt;T_1,D36&lt;=Horizon),COUNTIFS(E_1,"&gt;"&amp;(D36-HLead),E_1,"&lt;="&amp;D36,Life,"&lt;"&amp;T_1),0)</f>
        <v>2</v>
      </c>
      <c r="E47" s="45">
        <f t="shared" ca="1" si="12"/>
        <v>1</v>
      </c>
      <c r="F47" s="45">
        <f t="shared" ca="1" si="12"/>
        <v>0</v>
      </c>
      <c r="G47" s="45">
        <f t="shared" ca="1" si="12"/>
        <v>0</v>
      </c>
      <c r="H47" s="45">
        <f t="shared" ca="1" si="12"/>
        <v>0</v>
      </c>
      <c r="I47" s="45">
        <f t="shared" ca="1" si="12"/>
        <v>0</v>
      </c>
      <c r="J47" s="45">
        <f t="shared" ca="1" si="12"/>
        <v>0</v>
      </c>
      <c r="K47" s="45">
        <f t="shared" ca="1" si="12"/>
        <v>0</v>
      </c>
      <c r="L47" s="45">
        <f t="shared" ca="1" si="12"/>
        <v>0</v>
      </c>
      <c r="M47" s="45">
        <f t="shared" ca="1" si="12"/>
        <v>0</v>
      </c>
      <c r="N47" s="28"/>
      <c r="O47" s="28"/>
    </row>
    <row r="48" spans="2:15" x14ac:dyDescent="0.45">
      <c r="B48" s="25" t="s">
        <v>179</v>
      </c>
      <c r="C48" s="26" t="s">
        <v>192</v>
      </c>
      <c r="D48" s="45">
        <f t="shared" ref="D48:M48" ca="1" si="13">IF(AND(D25&lt;T_1,D37&lt;=Horizon),COUNTIFS(E_1,"&gt;"&amp;(D37-HLead),E_1,"&lt;="&amp;D37,Life,"&lt;"&amp;T_1),0)</f>
        <v>0</v>
      </c>
      <c r="E48" s="45">
        <f t="shared" ca="1" si="13"/>
        <v>0</v>
      </c>
      <c r="F48" s="45">
        <f t="shared" ca="1" si="13"/>
        <v>0</v>
      </c>
      <c r="G48" s="45">
        <f t="shared" ca="1" si="13"/>
        <v>0</v>
      </c>
      <c r="H48" s="45">
        <f t="shared" ca="1" si="13"/>
        <v>0</v>
      </c>
      <c r="I48" s="45">
        <f t="shared" ca="1" si="13"/>
        <v>0</v>
      </c>
      <c r="J48" s="45">
        <f t="shared" ca="1" si="13"/>
        <v>0</v>
      </c>
      <c r="K48" s="45">
        <f t="shared" ca="1" si="13"/>
        <v>0</v>
      </c>
      <c r="L48" s="45">
        <f t="shared" ca="1" si="13"/>
        <v>0</v>
      </c>
      <c r="M48" s="45">
        <f t="shared" ca="1" si="13"/>
        <v>0</v>
      </c>
      <c r="N48" s="28"/>
      <c r="O48" s="28"/>
    </row>
    <row r="49" spans="2:15" x14ac:dyDescent="0.45">
      <c r="B49" s="25" t="s">
        <v>180</v>
      </c>
      <c r="C49" s="26" t="s">
        <v>192</v>
      </c>
      <c r="D49" s="45">
        <f t="shared" ref="D49:M49" ca="1" si="14">IF(AND(D26&lt;T_1,D38&lt;=Horizon),COUNTIFS(E_1,"&gt;"&amp;(D38-HLead),E_1,"&lt;="&amp;D38,Life,"&lt;"&amp;T_1),0)</f>
        <v>1</v>
      </c>
      <c r="E49" s="45">
        <f t="shared" ca="1" si="14"/>
        <v>0</v>
      </c>
      <c r="F49" s="45">
        <f t="shared" ca="1" si="14"/>
        <v>0</v>
      </c>
      <c r="G49" s="45">
        <f t="shared" ca="1" si="14"/>
        <v>0</v>
      </c>
      <c r="H49" s="45">
        <f t="shared" ca="1" si="14"/>
        <v>0</v>
      </c>
      <c r="I49" s="45">
        <f t="shared" ca="1" si="14"/>
        <v>0</v>
      </c>
      <c r="J49" s="45">
        <f t="shared" ca="1" si="14"/>
        <v>0</v>
      </c>
      <c r="K49" s="45">
        <f t="shared" ca="1" si="14"/>
        <v>0</v>
      </c>
      <c r="L49" s="45">
        <f t="shared" ca="1" si="14"/>
        <v>0</v>
      </c>
      <c r="M49" s="45">
        <f t="shared" ca="1" si="14"/>
        <v>0</v>
      </c>
      <c r="N49" s="28"/>
      <c r="O49" s="28"/>
    </row>
    <row r="50" spans="2:15" x14ac:dyDescent="0.45">
      <c r="B50" s="25" t="s">
        <v>181</v>
      </c>
      <c r="C50" s="26" t="s">
        <v>192</v>
      </c>
      <c r="D50" s="45">
        <f t="shared" ref="D50:M50" ca="1" si="15">IF(AND(D27&lt;T_1,D39&lt;=Horizon),COUNTIFS(E_1,"&gt;"&amp;(D39-HLead),E_1,"&lt;="&amp;D39,Life,"&lt;"&amp;T_1),0)</f>
        <v>1</v>
      </c>
      <c r="E50" s="45">
        <f t="shared" ca="1" si="15"/>
        <v>3</v>
      </c>
      <c r="F50" s="45">
        <f t="shared" ca="1" si="15"/>
        <v>0</v>
      </c>
      <c r="G50" s="45">
        <f t="shared" ca="1" si="15"/>
        <v>0</v>
      </c>
      <c r="H50" s="45">
        <f t="shared" ca="1" si="15"/>
        <v>0</v>
      </c>
      <c r="I50" s="45">
        <f t="shared" ca="1" si="15"/>
        <v>0</v>
      </c>
      <c r="J50" s="45">
        <f t="shared" ca="1" si="15"/>
        <v>0</v>
      </c>
      <c r="K50" s="45">
        <f t="shared" ca="1" si="15"/>
        <v>0</v>
      </c>
      <c r="L50" s="45">
        <f t="shared" ca="1" si="15"/>
        <v>0</v>
      </c>
      <c r="M50" s="45">
        <f t="shared" ca="1" si="15"/>
        <v>0</v>
      </c>
      <c r="N50" s="28"/>
      <c r="O50" s="28"/>
    </row>
    <row r="51" spans="2:15" x14ac:dyDescent="0.45">
      <c r="B51" s="25" t="s">
        <v>182</v>
      </c>
      <c r="C51" s="26" t="s">
        <v>192</v>
      </c>
      <c r="D51" s="45">
        <f t="shared" ref="D51:M51" ca="1" si="16">IF(AND(D28&lt;T_1,D40&lt;=Horizon),COUNTIFS(E_1,"&gt;"&amp;(D40-HLead),E_1,"&lt;="&amp;D40,Life,"&lt;"&amp;T_1),0)</f>
        <v>2</v>
      </c>
      <c r="E51" s="45">
        <f t="shared" ca="1" si="16"/>
        <v>4</v>
      </c>
      <c r="F51" s="45">
        <f t="shared" ca="1" si="16"/>
        <v>0</v>
      </c>
      <c r="G51" s="45">
        <f t="shared" ca="1" si="16"/>
        <v>0</v>
      </c>
      <c r="H51" s="45">
        <f t="shared" ca="1" si="16"/>
        <v>0</v>
      </c>
      <c r="I51" s="45">
        <f t="shared" ca="1" si="16"/>
        <v>0</v>
      </c>
      <c r="J51" s="45">
        <f t="shared" ca="1" si="16"/>
        <v>0</v>
      </c>
      <c r="K51" s="45">
        <f t="shared" ca="1" si="16"/>
        <v>0</v>
      </c>
      <c r="L51" s="45">
        <f t="shared" ca="1" si="16"/>
        <v>0</v>
      </c>
      <c r="M51" s="45">
        <f t="shared" ca="1" si="16"/>
        <v>0</v>
      </c>
      <c r="N51" s="28"/>
      <c r="O51" s="28"/>
    </row>
    <row r="52" spans="2:15" x14ac:dyDescent="0.45">
      <c r="B52" s="25" t="s">
        <v>183</v>
      </c>
      <c r="C52" s="26" t="s">
        <v>192</v>
      </c>
      <c r="D52" s="45">
        <f t="shared" ref="D52:M52" ca="1" si="17">IF(AND(D29&lt;T_1,D41&lt;=Horizon),COUNTIFS(E_1,"&gt;"&amp;(D41-HLead),E_1,"&lt;="&amp;D41,Life,"&lt;"&amp;T_1),0)</f>
        <v>2</v>
      </c>
      <c r="E52" s="45">
        <f t="shared" ca="1" si="17"/>
        <v>0</v>
      </c>
      <c r="F52" s="45">
        <f t="shared" ca="1" si="17"/>
        <v>0</v>
      </c>
      <c r="G52" s="45">
        <f t="shared" ca="1" si="17"/>
        <v>0</v>
      </c>
      <c r="H52" s="45">
        <f t="shared" ca="1" si="17"/>
        <v>0</v>
      </c>
      <c r="I52" s="45">
        <f t="shared" ca="1" si="17"/>
        <v>0</v>
      </c>
      <c r="J52" s="45">
        <f t="shared" ca="1" si="17"/>
        <v>0</v>
      </c>
      <c r="K52" s="45">
        <f t="shared" ca="1" si="17"/>
        <v>0</v>
      </c>
      <c r="L52" s="45">
        <f t="shared" ca="1" si="17"/>
        <v>0</v>
      </c>
      <c r="M52" s="45">
        <f t="shared" ca="1" si="17"/>
        <v>0</v>
      </c>
      <c r="N52" s="28"/>
      <c r="O52" s="28"/>
    </row>
    <row r="53" spans="2:15" x14ac:dyDescent="0.45">
      <c r="B53" s="25" t="s">
        <v>184</v>
      </c>
      <c r="C53" s="26" t="s">
        <v>192</v>
      </c>
      <c r="D53" s="45">
        <f t="shared" ref="D53:M53" ca="1" si="18">IF(AND(D30&lt;T_1,D42&lt;=Horizon),COUNTIFS(E_1,"&gt;"&amp;(D42-HLead),E_1,"&lt;="&amp;D42,Life,"&lt;"&amp;T_1),0)</f>
        <v>1</v>
      </c>
      <c r="E53" s="45">
        <f t="shared" ca="1" si="18"/>
        <v>0</v>
      </c>
      <c r="F53" s="45">
        <f t="shared" ca="1" si="18"/>
        <v>0</v>
      </c>
      <c r="G53" s="45">
        <f t="shared" ca="1" si="18"/>
        <v>0</v>
      </c>
      <c r="H53" s="45">
        <f t="shared" ca="1" si="18"/>
        <v>0</v>
      </c>
      <c r="I53" s="45">
        <f t="shared" ca="1" si="18"/>
        <v>0</v>
      </c>
      <c r="J53" s="45">
        <f t="shared" ca="1" si="18"/>
        <v>0</v>
      </c>
      <c r="K53" s="45">
        <f t="shared" ca="1" si="18"/>
        <v>0</v>
      </c>
      <c r="L53" s="45">
        <f t="shared" ca="1" si="18"/>
        <v>0</v>
      </c>
      <c r="M53" s="45">
        <f t="shared" ca="1" si="18"/>
        <v>0</v>
      </c>
      <c r="N53" s="28"/>
      <c r="O53" s="28"/>
    </row>
    <row r="54" spans="2:15" x14ac:dyDescent="0.45">
      <c r="B54" s="46" t="s">
        <v>193</v>
      </c>
    </row>
    <row r="55" spans="2:15" ht="8" customHeight="1" x14ac:dyDescent="0.45"/>
    <row r="56" spans="2:15" ht="22.05" customHeight="1" x14ac:dyDescent="0.5">
      <c r="B56" s="7" t="s">
        <v>194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2:15" ht="18" customHeight="1" x14ac:dyDescent="0.45">
      <c r="B57" s="13" t="str">
        <f>"Each bearing comes out at "&amp;TEXT(AgeEarly,"#,##0")&amp;" hours, or when it fails; a new one starts at once."</f>
        <v>Each bearing comes out at 2,500 hours, or when it fails; a new one starts at once.</v>
      </c>
    </row>
    <row r="58" spans="2:15" ht="18" customHeight="1" x14ac:dyDescent="0.45">
      <c r="B58" s="35" t="s">
        <v>187</v>
      </c>
      <c r="C58" s="5"/>
      <c r="D58" s="36" t="s">
        <v>167</v>
      </c>
      <c r="E58" s="36" t="s">
        <v>168</v>
      </c>
      <c r="F58" s="36" t="s">
        <v>169</v>
      </c>
      <c r="G58" s="36" t="s">
        <v>170</v>
      </c>
      <c r="H58" s="36" t="s">
        <v>171</v>
      </c>
      <c r="I58" s="36" t="s">
        <v>172</v>
      </c>
      <c r="J58" s="36" t="s">
        <v>173</v>
      </c>
      <c r="K58" s="36" t="s">
        <v>174</v>
      </c>
      <c r="L58" s="36" t="s">
        <v>175</v>
      </c>
      <c r="M58" s="36" t="s">
        <v>176</v>
      </c>
      <c r="N58" s="36" t="s">
        <v>188</v>
      </c>
      <c r="O58" s="36" t="s">
        <v>189</v>
      </c>
    </row>
    <row r="59" spans="2:15" x14ac:dyDescent="0.45">
      <c r="B59" s="25" t="s">
        <v>177</v>
      </c>
      <c r="C59" s="26" t="s">
        <v>103</v>
      </c>
      <c r="D59" s="37">
        <f t="shared" ref="D59:D66" ca="1" si="19">MIN(D23,T_2)</f>
        <v>2500</v>
      </c>
      <c r="E59" s="37">
        <f t="shared" ref="E59:M59" ca="1" si="20">D59+MIN(E23,T_2)</f>
        <v>5000</v>
      </c>
      <c r="F59" s="37">
        <f t="shared" ca="1" si="20"/>
        <v>7500</v>
      </c>
      <c r="G59" s="37">
        <f t="shared" ca="1" si="20"/>
        <v>10000</v>
      </c>
      <c r="H59" s="37">
        <f t="shared" ca="1" si="20"/>
        <v>12500</v>
      </c>
      <c r="I59" s="37">
        <f t="shared" ca="1" si="20"/>
        <v>15000</v>
      </c>
      <c r="J59" s="37">
        <f t="shared" ca="1" si="20"/>
        <v>17500</v>
      </c>
      <c r="K59" s="37">
        <f t="shared" ca="1" si="20"/>
        <v>20000</v>
      </c>
      <c r="L59" s="37">
        <f t="shared" ca="1" si="20"/>
        <v>22389.858410467856</v>
      </c>
      <c r="M59" s="37">
        <f t="shared" ca="1" si="20"/>
        <v>24889.858410467856</v>
      </c>
      <c r="N59" s="37">
        <f t="shared" ref="N59:N66" ca="1" si="21">COUNTIFS(D23:M23,"&lt;"&amp;T_2,D59:M59,"&lt;="&amp;Horizon)</f>
        <v>0</v>
      </c>
      <c r="O59" s="37">
        <f t="shared" ref="O59:O66" ca="1" si="22">COUNTIFS(D23:M23,"&gt;="&amp;T_2,D59:M59,"&lt;="&amp;Horizon)</f>
        <v>4</v>
      </c>
    </row>
    <row r="60" spans="2:15" x14ac:dyDescent="0.45">
      <c r="B60" s="25" t="s">
        <v>178</v>
      </c>
      <c r="C60" s="26" t="s">
        <v>103</v>
      </c>
      <c r="D60" s="37">
        <f t="shared" ca="1" si="19"/>
        <v>2500</v>
      </c>
      <c r="E60" s="37">
        <f t="shared" ref="E60:M60" ca="1" si="23">D60+MIN(E24,T_2)</f>
        <v>5000</v>
      </c>
      <c r="F60" s="37">
        <f t="shared" ca="1" si="23"/>
        <v>7500</v>
      </c>
      <c r="G60" s="37">
        <f t="shared" ca="1" si="23"/>
        <v>10000</v>
      </c>
      <c r="H60" s="37">
        <f t="shared" ca="1" si="23"/>
        <v>12500</v>
      </c>
      <c r="I60" s="37">
        <f t="shared" ca="1" si="23"/>
        <v>15000</v>
      </c>
      <c r="J60" s="37">
        <f t="shared" ca="1" si="23"/>
        <v>17500</v>
      </c>
      <c r="K60" s="37">
        <f t="shared" ca="1" si="23"/>
        <v>20000</v>
      </c>
      <c r="L60" s="37">
        <f t="shared" ca="1" si="23"/>
        <v>22500</v>
      </c>
      <c r="M60" s="37">
        <f t="shared" ca="1" si="23"/>
        <v>25000</v>
      </c>
      <c r="N60" s="37">
        <f t="shared" ca="1" si="21"/>
        <v>0</v>
      </c>
      <c r="O60" s="37">
        <f t="shared" ca="1" si="22"/>
        <v>4</v>
      </c>
    </row>
    <row r="61" spans="2:15" x14ac:dyDescent="0.45">
      <c r="B61" s="25" t="s">
        <v>179</v>
      </c>
      <c r="C61" s="26" t="s">
        <v>103</v>
      </c>
      <c r="D61" s="37">
        <f t="shared" ca="1" si="19"/>
        <v>2500</v>
      </c>
      <c r="E61" s="37">
        <f t="shared" ref="E61:M61" ca="1" si="24">D61+MIN(E25,T_2)</f>
        <v>5000</v>
      </c>
      <c r="F61" s="37">
        <f t="shared" ca="1" si="24"/>
        <v>7500</v>
      </c>
      <c r="G61" s="37">
        <f t="shared" ca="1" si="24"/>
        <v>10000</v>
      </c>
      <c r="H61" s="37">
        <f t="shared" ca="1" si="24"/>
        <v>12500</v>
      </c>
      <c r="I61" s="37">
        <f t="shared" ca="1" si="24"/>
        <v>15000</v>
      </c>
      <c r="J61" s="37">
        <f t="shared" ca="1" si="24"/>
        <v>16272.954472304737</v>
      </c>
      <c r="K61" s="37">
        <f t="shared" ca="1" si="24"/>
        <v>18772.954472304737</v>
      </c>
      <c r="L61" s="37">
        <f t="shared" ca="1" si="24"/>
        <v>20522.192570968749</v>
      </c>
      <c r="M61" s="37">
        <f t="shared" ca="1" si="24"/>
        <v>23022.192570968749</v>
      </c>
      <c r="N61" s="37">
        <f t="shared" ca="1" si="21"/>
        <v>0</v>
      </c>
      <c r="O61" s="37">
        <f t="shared" ca="1" si="22"/>
        <v>4</v>
      </c>
    </row>
    <row r="62" spans="2:15" x14ac:dyDescent="0.45">
      <c r="B62" s="25" t="s">
        <v>180</v>
      </c>
      <c r="C62" s="26" t="s">
        <v>103</v>
      </c>
      <c r="D62" s="37">
        <f t="shared" ca="1" si="19"/>
        <v>2500</v>
      </c>
      <c r="E62" s="37">
        <f t="shared" ref="E62:M62" ca="1" si="25">D62+MIN(E26,T_2)</f>
        <v>5000</v>
      </c>
      <c r="F62" s="37">
        <f t="shared" ca="1" si="25"/>
        <v>7500</v>
      </c>
      <c r="G62" s="37">
        <f t="shared" ca="1" si="25"/>
        <v>10000</v>
      </c>
      <c r="H62" s="37">
        <f t="shared" ca="1" si="25"/>
        <v>12500</v>
      </c>
      <c r="I62" s="37">
        <f t="shared" ca="1" si="25"/>
        <v>15000</v>
      </c>
      <c r="J62" s="37">
        <f t="shared" ca="1" si="25"/>
        <v>17500</v>
      </c>
      <c r="K62" s="37">
        <f t="shared" ca="1" si="25"/>
        <v>20000</v>
      </c>
      <c r="L62" s="37">
        <f t="shared" ca="1" si="25"/>
        <v>22500</v>
      </c>
      <c r="M62" s="37">
        <f t="shared" ca="1" si="25"/>
        <v>25000</v>
      </c>
      <c r="N62" s="37">
        <f t="shared" ca="1" si="21"/>
        <v>0</v>
      </c>
      <c r="O62" s="37">
        <f t="shared" ca="1" si="22"/>
        <v>4</v>
      </c>
    </row>
    <row r="63" spans="2:15" x14ac:dyDescent="0.45">
      <c r="B63" s="25" t="s">
        <v>181</v>
      </c>
      <c r="C63" s="26" t="s">
        <v>103</v>
      </c>
      <c r="D63" s="37">
        <f t="shared" ca="1" si="19"/>
        <v>2500</v>
      </c>
      <c r="E63" s="37">
        <f t="shared" ref="E63:M63" ca="1" si="26">D63+MIN(E27,T_2)</f>
        <v>5000</v>
      </c>
      <c r="F63" s="37">
        <f t="shared" ca="1" si="26"/>
        <v>7500</v>
      </c>
      <c r="G63" s="37">
        <f t="shared" ca="1" si="26"/>
        <v>10000</v>
      </c>
      <c r="H63" s="37">
        <f t="shared" ca="1" si="26"/>
        <v>12500</v>
      </c>
      <c r="I63" s="37">
        <f t="shared" ca="1" si="26"/>
        <v>15000</v>
      </c>
      <c r="J63" s="37">
        <f t="shared" ca="1" si="26"/>
        <v>17500</v>
      </c>
      <c r="K63" s="37">
        <f t="shared" ca="1" si="26"/>
        <v>20000</v>
      </c>
      <c r="L63" s="37">
        <f t="shared" ca="1" si="26"/>
        <v>22500</v>
      </c>
      <c r="M63" s="37">
        <f t="shared" ca="1" si="26"/>
        <v>25000</v>
      </c>
      <c r="N63" s="37">
        <f t="shared" ca="1" si="21"/>
        <v>0</v>
      </c>
      <c r="O63" s="37">
        <f t="shared" ca="1" si="22"/>
        <v>4</v>
      </c>
    </row>
    <row r="64" spans="2:15" x14ac:dyDescent="0.45">
      <c r="B64" s="25" t="s">
        <v>182</v>
      </c>
      <c r="C64" s="26" t="s">
        <v>103</v>
      </c>
      <c r="D64" s="37">
        <f t="shared" ca="1" si="19"/>
        <v>2500</v>
      </c>
      <c r="E64" s="37">
        <f t="shared" ref="E64:M64" ca="1" si="27">D64+MIN(E28,T_2)</f>
        <v>5000</v>
      </c>
      <c r="F64" s="37">
        <f t="shared" ca="1" si="27"/>
        <v>7500</v>
      </c>
      <c r="G64" s="37">
        <f t="shared" ca="1" si="27"/>
        <v>10000</v>
      </c>
      <c r="H64" s="37">
        <f t="shared" ca="1" si="27"/>
        <v>12500</v>
      </c>
      <c r="I64" s="37">
        <f t="shared" ca="1" si="27"/>
        <v>15000</v>
      </c>
      <c r="J64" s="37">
        <f t="shared" ca="1" si="27"/>
        <v>17500</v>
      </c>
      <c r="K64" s="37">
        <f t="shared" ca="1" si="27"/>
        <v>20000</v>
      </c>
      <c r="L64" s="37">
        <f t="shared" ca="1" si="27"/>
        <v>22500</v>
      </c>
      <c r="M64" s="37">
        <f t="shared" ca="1" si="27"/>
        <v>25000</v>
      </c>
      <c r="N64" s="37">
        <f t="shared" ca="1" si="21"/>
        <v>0</v>
      </c>
      <c r="O64" s="37">
        <f t="shared" ca="1" si="22"/>
        <v>4</v>
      </c>
    </row>
    <row r="65" spans="2:15" x14ac:dyDescent="0.45">
      <c r="B65" s="25" t="s">
        <v>183</v>
      </c>
      <c r="C65" s="26" t="s">
        <v>103</v>
      </c>
      <c r="D65" s="37">
        <f t="shared" ca="1" si="19"/>
        <v>2500</v>
      </c>
      <c r="E65" s="37">
        <f t="shared" ref="E65:M65" ca="1" si="28">D65+MIN(E29,T_2)</f>
        <v>5000</v>
      </c>
      <c r="F65" s="37">
        <f t="shared" ca="1" si="28"/>
        <v>7500</v>
      </c>
      <c r="G65" s="37">
        <f t="shared" ca="1" si="28"/>
        <v>10000</v>
      </c>
      <c r="H65" s="37">
        <f t="shared" ca="1" si="28"/>
        <v>12500</v>
      </c>
      <c r="I65" s="37">
        <f t="shared" ca="1" si="28"/>
        <v>15000</v>
      </c>
      <c r="J65" s="37">
        <f t="shared" ca="1" si="28"/>
        <v>17500</v>
      </c>
      <c r="K65" s="37">
        <f t="shared" ca="1" si="28"/>
        <v>20000</v>
      </c>
      <c r="L65" s="37">
        <f t="shared" ca="1" si="28"/>
        <v>22500</v>
      </c>
      <c r="M65" s="37">
        <f t="shared" ca="1" si="28"/>
        <v>25000</v>
      </c>
      <c r="N65" s="37">
        <f t="shared" ca="1" si="21"/>
        <v>0</v>
      </c>
      <c r="O65" s="37">
        <f t="shared" ca="1" si="22"/>
        <v>4</v>
      </c>
    </row>
    <row r="66" spans="2:15" x14ac:dyDescent="0.45">
      <c r="B66" s="25" t="s">
        <v>184</v>
      </c>
      <c r="C66" s="26" t="s">
        <v>103</v>
      </c>
      <c r="D66" s="37">
        <f t="shared" ca="1" si="19"/>
        <v>2500</v>
      </c>
      <c r="E66" s="37">
        <f t="shared" ref="E66:M66" ca="1" si="29">D66+MIN(E30,T_2)</f>
        <v>5000</v>
      </c>
      <c r="F66" s="37">
        <f t="shared" ca="1" si="29"/>
        <v>7500</v>
      </c>
      <c r="G66" s="37">
        <f t="shared" ca="1" si="29"/>
        <v>10000</v>
      </c>
      <c r="H66" s="37">
        <f t="shared" ca="1" si="29"/>
        <v>12500</v>
      </c>
      <c r="I66" s="37">
        <f t="shared" ca="1" si="29"/>
        <v>15000</v>
      </c>
      <c r="J66" s="37">
        <f t="shared" ca="1" si="29"/>
        <v>17500</v>
      </c>
      <c r="K66" s="37">
        <f t="shared" ca="1" si="29"/>
        <v>20000</v>
      </c>
      <c r="L66" s="37">
        <f t="shared" ca="1" si="29"/>
        <v>22500</v>
      </c>
      <c r="M66" s="37">
        <f t="shared" ca="1" si="29"/>
        <v>24697.355726174166</v>
      </c>
      <c r="N66" s="37">
        <f t="shared" ca="1" si="21"/>
        <v>0</v>
      </c>
      <c r="O66" s="37">
        <f t="shared" ca="1" si="22"/>
        <v>4</v>
      </c>
    </row>
    <row r="67" spans="2:15" x14ac:dyDescent="0.45">
      <c r="B67" s="42" t="s">
        <v>190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4">
        <f ca="1">SUM(N59:N66)</f>
        <v>0</v>
      </c>
      <c r="O67" s="44">
        <f ca="1">SUM(O59:O66)</f>
        <v>32</v>
      </c>
    </row>
    <row r="68" spans="2:15" ht="6" customHeight="1" x14ac:dyDescent="0.45"/>
    <row r="69" spans="2:15" ht="18" customHeight="1" x14ac:dyDescent="0.45">
      <c r="B69" s="35" t="s">
        <v>191</v>
      </c>
      <c r="C69" s="5"/>
      <c r="D69" s="36" t="s">
        <v>167</v>
      </c>
      <c r="E69" s="36" t="s">
        <v>168</v>
      </c>
      <c r="F69" s="36" t="s">
        <v>169</v>
      </c>
      <c r="G69" s="36" t="s">
        <v>170</v>
      </c>
      <c r="H69" s="36" t="s">
        <v>171</v>
      </c>
      <c r="I69" s="36" t="s">
        <v>172</v>
      </c>
      <c r="J69" s="36" t="s">
        <v>173</v>
      </c>
      <c r="K69" s="36" t="s">
        <v>174</v>
      </c>
      <c r="L69" s="36" t="s">
        <v>175</v>
      </c>
      <c r="M69" s="36" t="s">
        <v>176</v>
      </c>
      <c r="N69" s="5"/>
      <c r="O69" s="5"/>
    </row>
    <row r="70" spans="2:15" x14ac:dyDescent="0.45">
      <c r="B70" s="25" t="s">
        <v>177</v>
      </c>
      <c r="C70" s="26" t="s">
        <v>192</v>
      </c>
      <c r="D70" s="45">
        <f t="shared" ref="D70:M70" ca="1" si="30">IF(AND(D23&lt;T_2,D59&lt;=Horizon),COUNTIFS(E_2,"&gt;"&amp;(D59-HLead),E_2,"&lt;="&amp;D59,Life,"&lt;"&amp;T_2),0)</f>
        <v>0</v>
      </c>
      <c r="E70" s="45">
        <f t="shared" ca="1" si="30"/>
        <v>0</v>
      </c>
      <c r="F70" s="45">
        <f t="shared" ca="1" si="30"/>
        <v>0</v>
      </c>
      <c r="G70" s="45">
        <f t="shared" ca="1" si="30"/>
        <v>0</v>
      </c>
      <c r="H70" s="45">
        <f t="shared" ca="1" si="30"/>
        <v>0</v>
      </c>
      <c r="I70" s="45">
        <f t="shared" ca="1" si="30"/>
        <v>0</v>
      </c>
      <c r="J70" s="45">
        <f t="shared" ca="1" si="30"/>
        <v>0</v>
      </c>
      <c r="K70" s="45">
        <f t="shared" ca="1" si="30"/>
        <v>0</v>
      </c>
      <c r="L70" s="45">
        <f t="shared" ca="1" si="30"/>
        <v>0</v>
      </c>
      <c r="M70" s="45">
        <f t="shared" ca="1" si="30"/>
        <v>0</v>
      </c>
      <c r="N70" s="28"/>
      <c r="O70" s="28"/>
    </row>
    <row r="71" spans="2:15" x14ac:dyDescent="0.45">
      <c r="B71" s="25" t="s">
        <v>178</v>
      </c>
      <c r="C71" s="26" t="s">
        <v>192</v>
      </c>
      <c r="D71" s="45">
        <f t="shared" ref="D71:M71" ca="1" si="31">IF(AND(D24&lt;T_2,D60&lt;=Horizon),COUNTIFS(E_2,"&gt;"&amp;(D60-HLead),E_2,"&lt;="&amp;D60,Life,"&lt;"&amp;T_2),0)</f>
        <v>0</v>
      </c>
      <c r="E71" s="45">
        <f t="shared" ca="1" si="31"/>
        <v>0</v>
      </c>
      <c r="F71" s="45">
        <f t="shared" ca="1" si="31"/>
        <v>0</v>
      </c>
      <c r="G71" s="45">
        <f t="shared" ca="1" si="31"/>
        <v>0</v>
      </c>
      <c r="H71" s="45">
        <f t="shared" ca="1" si="31"/>
        <v>0</v>
      </c>
      <c r="I71" s="45">
        <f t="shared" ca="1" si="31"/>
        <v>0</v>
      </c>
      <c r="J71" s="45">
        <f t="shared" ca="1" si="31"/>
        <v>0</v>
      </c>
      <c r="K71" s="45">
        <f t="shared" ca="1" si="31"/>
        <v>0</v>
      </c>
      <c r="L71" s="45">
        <f t="shared" ca="1" si="31"/>
        <v>0</v>
      </c>
      <c r="M71" s="45">
        <f t="shared" ca="1" si="31"/>
        <v>0</v>
      </c>
      <c r="N71" s="28"/>
      <c r="O71" s="28"/>
    </row>
    <row r="72" spans="2:15" x14ac:dyDescent="0.45">
      <c r="B72" s="25" t="s">
        <v>179</v>
      </c>
      <c r="C72" s="26" t="s">
        <v>192</v>
      </c>
      <c r="D72" s="45">
        <f t="shared" ref="D72:M72" ca="1" si="32">IF(AND(D25&lt;T_2,D61&lt;=Horizon),COUNTIFS(E_2,"&gt;"&amp;(D61-HLead),E_2,"&lt;="&amp;D61,Life,"&lt;"&amp;T_2),0)</f>
        <v>0</v>
      </c>
      <c r="E72" s="45">
        <f t="shared" ca="1" si="32"/>
        <v>0</v>
      </c>
      <c r="F72" s="45">
        <f t="shared" ca="1" si="32"/>
        <v>0</v>
      </c>
      <c r="G72" s="45">
        <f t="shared" ca="1" si="32"/>
        <v>0</v>
      </c>
      <c r="H72" s="45">
        <f t="shared" ca="1" si="32"/>
        <v>0</v>
      </c>
      <c r="I72" s="45">
        <f t="shared" ca="1" si="32"/>
        <v>0</v>
      </c>
      <c r="J72" s="45">
        <f t="shared" ca="1" si="32"/>
        <v>0</v>
      </c>
      <c r="K72" s="45">
        <f t="shared" ca="1" si="32"/>
        <v>0</v>
      </c>
      <c r="L72" s="45">
        <f t="shared" ca="1" si="32"/>
        <v>0</v>
      </c>
      <c r="M72" s="45">
        <f t="shared" ca="1" si="32"/>
        <v>0</v>
      </c>
      <c r="N72" s="28"/>
      <c r="O72" s="28"/>
    </row>
    <row r="73" spans="2:15" x14ac:dyDescent="0.45">
      <c r="B73" s="25" t="s">
        <v>180</v>
      </c>
      <c r="C73" s="26" t="s">
        <v>192</v>
      </c>
      <c r="D73" s="45">
        <f t="shared" ref="D73:M73" ca="1" si="33">IF(AND(D26&lt;T_2,D62&lt;=Horizon),COUNTIFS(E_2,"&gt;"&amp;(D62-HLead),E_2,"&lt;="&amp;D62,Life,"&lt;"&amp;T_2),0)</f>
        <v>0</v>
      </c>
      <c r="E73" s="45">
        <f t="shared" ca="1" si="33"/>
        <v>0</v>
      </c>
      <c r="F73" s="45">
        <f t="shared" ca="1" si="33"/>
        <v>0</v>
      </c>
      <c r="G73" s="45">
        <f t="shared" ca="1" si="33"/>
        <v>0</v>
      </c>
      <c r="H73" s="45">
        <f t="shared" ca="1" si="33"/>
        <v>0</v>
      </c>
      <c r="I73" s="45">
        <f t="shared" ca="1" si="33"/>
        <v>0</v>
      </c>
      <c r="J73" s="45">
        <f t="shared" ca="1" si="33"/>
        <v>0</v>
      </c>
      <c r="K73" s="45">
        <f t="shared" ca="1" si="33"/>
        <v>0</v>
      </c>
      <c r="L73" s="45">
        <f t="shared" ca="1" si="33"/>
        <v>0</v>
      </c>
      <c r="M73" s="45">
        <f t="shared" ca="1" si="33"/>
        <v>0</v>
      </c>
      <c r="N73" s="28"/>
      <c r="O73" s="28"/>
    </row>
    <row r="74" spans="2:15" x14ac:dyDescent="0.45">
      <c r="B74" s="25" t="s">
        <v>181</v>
      </c>
      <c r="C74" s="26" t="s">
        <v>192</v>
      </c>
      <c r="D74" s="45">
        <f t="shared" ref="D74:M74" ca="1" si="34">IF(AND(D27&lt;T_2,D63&lt;=Horizon),COUNTIFS(E_2,"&gt;"&amp;(D63-HLead),E_2,"&lt;="&amp;D63,Life,"&lt;"&amp;T_2),0)</f>
        <v>0</v>
      </c>
      <c r="E74" s="45">
        <f t="shared" ca="1" si="34"/>
        <v>0</v>
      </c>
      <c r="F74" s="45">
        <f t="shared" ca="1" si="34"/>
        <v>0</v>
      </c>
      <c r="G74" s="45">
        <f t="shared" ca="1" si="34"/>
        <v>0</v>
      </c>
      <c r="H74" s="45">
        <f t="shared" ca="1" si="34"/>
        <v>0</v>
      </c>
      <c r="I74" s="45">
        <f t="shared" ca="1" si="34"/>
        <v>0</v>
      </c>
      <c r="J74" s="45">
        <f t="shared" ca="1" si="34"/>
        <v>0</v>
      </c>
      <c r="K74" s="45">
        <f t="shared" ca="1" si="34"/>
        <v>0</v>
      </c>
      <c r="L74" s="45">
        <f t="shared" ca="1" si="34"/>
        <v>0</v>
      </c>
      <c r="M74" s="45">
        <f t="shared" ca="1" si="34"/>
        <v>0</v>
      </c>
      <c r="N74" s="28"/>
      <c r="O74" s="28"/>
    </row>
    <row r="75" spans="2:15" x14ac:dyDescent="0.45">
      <c r="B75" s="25" t="s">
        <v>182</v>
      </c>
      <c r="C75" s="26" t="s">
        <v>192</v>
      </c>
      <c r="D75" s="45">
        <f t="shared" ref="D75:M75" ca="1" si="35">IF(AND(D28&lt;T_2,D64&lt;=Horizon),COUNTIFS(E_2,"&gt;"&amp;(D64-HLead),E_2,"&lt;="&amp;D64,Life,"&lt;"&amp;T_2),0)</f>
        <v>0</v>
      </c>
      <c r="E75" s="45">
        <f t="shared" ca="1" si="35"/>
        <v>0</v>
      </c>
      <c r="F75" s="45">
        <f t="shared" ca="1" si="35"/>
        <v>0</v>
      </c>
      <c r="G75" s="45">
        <f t="shared" ca="1" si="35"/>
        <v>0</v>
      </c>
      <c r="H75" s="45">
        <f t="shared" ca="1" si="35"/>
        <v>0</v>
      </c>
      <c r="I75" s="45">
        <f t="shared" ca="1" si="35"/>
        <v>0</v>
      </c>
      <c r="J75" s="45">
        <f t="shared" ca="1" si="35"/>
        <v>0</v>
      </c>
      <c r="K75" s="45">
        <f t="shared" ca="1" si="35"/>
        <v>0</v>
      </c>
      <c r="L75" s="45">
        <f t="shared" ca="1" si="35"/>
        <v>0</v>
      </c>
      <c r="M75" s="45">
        <f t="shared" ca="1" si="35"/>
        <v>0</v>
      </c>
      <c r="N75" s="28"/>
      <c r="O75" s="28"/>
    </row>
    <row r="76" spans="2:15" x14ac:dyDescent="0.45">
      <c r="B76" s="25" t="s">
        <v>183</v>
      </c>
      <c r="C76" s="26" t="s">
        <v>192</v>
      </c>
      <c r="D76" s="45">
        <f t="shared" ref="D76:M76" ca="1" si="36">IF(AND(D29&lt;T_2,D65&lt;=Horizon),COUNTIFS(E_2,"&gt;"&amp;(D65-HLead),E_2,"&lt;="&amp;D65,Life,"&lt;"&amp;T_2),0)</f>
        <v>0</v>
      </c>
      <c r="E76" s="45">
        <f t="shared" ca="1" si="36"/>
        <v>0</v>
      </c>
      <c r="F76" s="45">
        <f t="shared" ca="1" si="36"/>
        <v>0</v>
      </c>
      <c r="G76" s="45">
        <f t="shared" ca="1" si="36"/>
        <v>0</v>
      </c>
      <c r="H76" s="45">
        <f t="shared" ca="1" si="36"/>
        <v>0</v>
      </c>
      <c r="I76" s="45">
        <f t="shared" ca="1" si="36"/>
        <v>0</v>
      </c>
      <c r="J76" s="45">
        <f t="shared" ca="1" si="36"/>
        <v>0</v>
      </c>
      <c r="K76" s="45">
        <f t="shared" ca="1" si="36"/>
        <v>0</v>
      </c>
      <c r="L76" s="45">
        <f t="shared" ca="1" si="36"/>
        <v>0</v>
      </c>
      <c r="M76" s="45">
        <f t="shared" ca="1" si="36"/>
        <v>0</v>
      </c>
      <c r="N76" s="28"/>
      <c r="O76" s="28"/>
    </row>
    <row r="77" spans="2:15" x14ac:dyDescent="0.45">
      <c r="B77" s="25" t="s">
        <v>184</v>
      </c>
      <c r="C77" s="26" t="s">
        <v>192</v>
      </c>
      <c r="D77" s="45">
        <f t="shared" ref="D77:M77" ca="1" si="37">IF(AND(D30&lt;T_2,D66&lt;=Horizon),COUNTIFS(E_2,"&gt;"&amp;(D66-HLead),E_2,"&lt;="&amp;D66,Life,"&lt;"&amp;T_2),0)</f>
        <v>0</v>
      </c>
      <c r="E77" s="45">
        <f t="shared" ca="1" si="37"/>
        <v>0</v>
      </c>
      <c r="F77" s="45">
        <f t="shared" ca="1" si="37"/>
        <v>0</v>
      </c>
      <c r="G77" s="45">
        <f t="shared" ca="1" si="37"/>
        <v>0</v>
      </c>
      <c r="H77" s="45">
        <f t="shared" ca="1" si="37"/>
        <v>0</v>
      </c>
      <c r="I77" s="45">
        <f t="shared" ca="1" si="37"/>
        <v>0</v>
      </c>
      <c r="J77" s="45">
        <f t="shared" ca="1" si="37"/>
        <v>0</v>
      </c>
      <c r="K77" s="45">
        <f t="shared" ca="1" si="37"/>
        <v>0</v>
      </c>
      <c r="L77" s="45">
        <f t="shared" ca="1" si="37"/>
        <v>0</v>
      </c>
      <c r="M77" s="45">
        <f t="shared" ca="1" si="37"/>
        <v>0</v>
      </c>
      <c r="N77" s="28"/>
      <c r="O77" s="28"/>
    </row>
    <row r="78" spans="2:15" x14ac:dyDescent="0.45">
      <c r="B78" s="46" t="s">
        <v>193</v>
      </c>
    </row>
    <row r="79" spans="2:15" ht="8" customHeight="1" x14ac:dyDescent="0.45"/>
    <row r="80" spans="2:15" ht="22.05" customHeight="1" x14ac:dyDescent="0.5">
      <c r="B80" s="7" t="s">
        <v>195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5" ht="18" customHeight="1" x14ac:dyDescent="0.45">
      <c r="B81" s="13" t="str">
        <f>"Each bearing comes out at "&amp;TEXT(AgeMid,"#,##0")&amp;" hours, or when it fails; a new one starts at once."</f>
        <v>Each bearing comes out at 3,500 hours, or when it fails; a new one starts at once.</v>
      </c>
    </row>
    <row r="82" spans="2:15" ht="18" customHeight="1" x14ac:dyDescent="0.45">
      <c r="B82" s="35" t="s">
        <v>187</v>
      </c>
      <c r="C82" s="5"/>
      <c r="D82" s="36" t="s">
        <v>167</v>
      </c>
      <c r="E82" s="36" t="s">
        <v>168</v>
      </c>
      <c r="F82" s="36" t="s">
        <v>169</v>
      </c>
      <c r="G82" s="36" t="s">
        <v>170</v>
      </c>
      <c r="H82" s="36" t="s">
        <v>171</v>
      </c>
      <c r="I82" s="36" t="s">
        <v>172</v>
      </c>
      <c r="J82" s="36" t="s">
        <v>173</v>
      </c>
      <c r="K82" s="36" t="s">
        <v>174</v>
      </c>
      <c r="L82" s="36" t="s">
        <v>175</v>
      </c>
      <c r="M82" s="36" t="s">
        <v>176</v>
      </c>
      <c r="N82" s="36" t="s">
        <v>188</v>
      </c>
      <c r="O82" s="36" t="s">
        <v>189</v>
      </c>
    </row>
    <row r="83" spans="2:15" x14ac:dyDescent="0.45">
      <c r="B83" s="25" t="s">
        <v>177</v>
      </c>
      <c r="C83" s="26" t="s">
        <v>103</v>
      </c>
      <c r="D83" s="37">
        <f t="shared" ref="D83:D90" ca="1" si="38">MIN(D23,T_3)</f>
        <v>3500</v>
      </c>
      <c r="E83" s="37">
        <f t="shared" ref="E83:M83" ca="1" si="39">D83+MIN(E23,T_3)</f>
        <v>7000</v>
      </c>
      <c r="F83" s="37">
        <f t="shared" ca="1" si="39"/>
        <v>9641.9896587743951</v>
      </c>
      <c r="G83" s="37">
        <f t="shared" ca="1" si="39"/>
        <v>13141.989658774395</v>
      </c>
      <c r="H83" s="37">
        <f t="shared" ca="1" si="39"/>
        <v>16641.989658774393</v>
      </c>
      <c r="I83" s="37">
        <f t="shared" ca="1" si="39"/>
        <v>20141.989658774393</v>
      </c>
      <c r="J83" s="37">
        <f t="shared" ca="1" si="39"/>
        <v>22868.361034660677</v>
      </c>
      <c r="K83" s="37">
        <f t="shared" ca="1" si="39"/>
        <v>26368.361034660677</v>
      </c>
      <c r="L83" s="37">
        <f t="shared" ca="1" si="39"/>
        <v>28758.219445128532</v>
      </c>
      <c r="M83" s="37">
        <f t="shared" ca="1" si="39"/>
        <v>32258.219445128532</v>
      </c>
      <c r="N83" s="37">
        <f t="shared" ref="N83:N90" ca="1" si="40">COUNTIFS(D23:M23,"&lt;"&amp;T_3,D83:M83,"&lt;="&amp;Horizon)</f>
        <v>1</v>
      </c>
      <c r="O83" s="37">
        <f t="shared" ref="O83:O90" ca="1" si="41">COUNTIFS(D23:M23,"&gt;="&amp;T_3,D83:M83,"&lt;="&amp;Horizon)</f>
        <v>2</v>
      </c>
    </row>
    <row r="84" spans="2:15" x14ac:dyDescent="0.45">
      <c r="B84" s="25" t="s">
        <v>178</v>
      </c>
      <c r="C84" s="26" t="s">
        <v>103</v>
      </c>
      <c r="D84" s="37">
        <f t="shared" ca="1" si="38"/>
        <v>3500</v>
      </c>
      <c r="E84" s="37">
        <f t="shared" ref="E84:M84" ca="1" si="42">D84+MIN(E24,T_3)</f>
        <v>7000</v>
      </c>
      <c r="F84" s="37">
        <f t="shared" ca="1" si="42"/>
        <v>10500</v>
      </c>
      <c r="G84" s="37">
        <f t="shared" ca="1" si="42"/>
        <v>14000</v>
      </c>
      <c r="H84" s="37">
        <f t="shared" ca="1" si="42"/>
        <v>17500</v>
      </c>
      <c r="I84" s="37">
        <f t="shared" ca="1" si="42"/>
        <v>21000</v>
      </c>
      <c r="J84" s="37">
        <f t="shared" ca="1" si="42"/>
        <v>24500</v>
      </c>
      <c r="K84" s="37">
        <f t="shared" ca="1" si="42"/>
        <v>28000</v>
      </c>
      <c r="L84" s="37">
        <f t="shared" ca="1" si="42"/>
        <v>31500</v>
      </c>
      <c r="M84" s="37">
        <f t="shared" ca="1" si="42"/>
        <v>35000</v>
      </c>
      <c r="N84" s="37">
        <f t="shared" ca="1" si="40"/>
        <v>0</v>
      </c>
      <c r="O84" s="37">
        <f t="shared" ca="1" si="41"/>
        <v>3</v>
      </c>
    </row>
    <row r="85" spans="2:15" x14ac:dyDescent="0.45">
      <c r="B85" s="25" t="s">
        <v>179</v>
      </c>
      <c r="C85" s="26" t="s">
        <v>103</v>
      </c>
      <c r="D85" s="37">
        <f t="shared" ca="1" si="38"/>
        <v>3500</v>
      </c>
      <c r="E85" s="37">
        <f t="shared" ref="E85:M85" ca="1" si="43">D85+MIN(E25,T_3)</f>
        <v>7000</v>
      </c>
      <c r="F85" s="37">
        <f t="shared" ca="1" si="43"/>
        <v>10500</v>
      </c>
      <c r="G85" s="37">
        <f t="shared" ca="1" si="43"/>
        <v>14000</v>
      </c>
      <c r="H85" s="37">
        <f t="shared" ca="1" si="43"/>
        <v>17500</v>
      </c>
      <c r="I85" s="37">
        <f t="shared" ca="1" si="43"/>
        <v>21000</v>
      </c>
      <c r="J85" s="37">
        <f t="shared" ca="1" si="43"/>
        <v>22272.954472304737</v>
      </c>
      <c r="K85" s="37">
        <f t="shared" ca="1" si="43"/>
        <v>25772.954472304737</v>
      </c>
      <c r="L85" s="37">
        <f t="shared" ca="1" si="43"/>
        <v>27522.192570968749</v>
      </c>
      <c r="M85" s="37">
        <f t="shared" ca="1" si="43"/>
        <v>31022.192570968749</v>
      </c>
      <c r="N85" s="37">
        <f t="shared" ca="1" si="40"/>
        <v>0</v>
      </c>
      <c r="O85" s="37">
        <f t="shared" ca="1" si="41"/>
        <v>3</v>
      </c>
    </row>
    <row r="86" spans="2:15" x14ac:dyDescent="0.45">
      <c r="B86" s="25" t="s">
        <v>180</v>
      </c>
      <c r="C86" s="26" t="s">
        <v>103</v>
      </c>
      <c r="D86" s="37">
        <f t="shared" ca="1" si="38"/>
        <v>3500</v>
      </c>
      <c r="E86" s="37">
        <f t="shared" ref="E86:M86" ca="1" si="44">D86+MIN(E26,T_3)</f>
        <v>7000</v>
      </c>
      <c r="F86" s="37">
        <f t="shared" ca="1" si="44"/>
        <v>10500</v>
      </c>
      <c r="G86" s="37">
        <f t="shared" ca="1" si="44"/>
        <v>14000</v>
      </c>
      <c r="H86" s="37">
        <f t="shared" ca="1" si="44"/>
        <v>17500</v>
      </c>
      <c r="I86" s="37">
        <f t="shared" ca="1" si="44"/>
        <v>21000</v>
      </c>
      <c r="J86" s="37">
        <f t="shared" ca="1" si="44"/>
        <v>24500</v>
      </c>
      <c r="K86" s="37">
        <f t="shared" ca="1" si="44"/>
        <v>28000</v>
      </c>
      <c r="L86" s="37">
        <f t="shared" ca="1" si="44"/>
        <v>31500</v>
      </c>
      <c r="M86" s="37">
        <f t="shared" ca="1" si="44"/>
        <v>35000</v>
      </c>
      <c r="N86" s="37">
        <f t="shared" ca="1" si="40"/>
        <v>0</v>
      </c>
      <c r="O86" s="37">
        <f t="shared" ca="1" si="41"/>
        <v>3</v>
      </c>
    </row>
    <row r="87" spans="2:15" x14ac:dyDescent="0.45">
      <c r="B87" s="25" t="s">
        <v>181</v>
      </c>
      <c r="C87" s="26" t="s">
        <v>103</v>
      </c>
      <c r="D87" s="37">
        <f t="shared" ca="1" si="38"/>
        <v>3500</v>
      </c>
      <c r="E87" s="37">
        <f t="shared" ref="E87:M87" ca="1" si="45">D87+MIN(E27,T_3)</f>
        <v>7000</v>
      </c>
      <c r="F87" s="37">
        <f t="shared" ca="1" si="45"/>
        <v>10488.819591941727</v>
      </c>
      <c r="G87" s="37">
        <f t="shared" ca="1" si="45"/>
        <v>13988.819591941727</v>
      </c>
      <c r="H87" s="37">
        <f t="shared" ca="1" si="45"/>
        <v>17460.826450712331</v>
      </c>
      <c r="I87" s="37">
        <f t="shared" ca="1" si="45"/>
        <v>20960.826450712331</v>
      </c>
      <c r="J87" s="37">
        <f t="shared" ca="1" si="45"/>
        <v>24460.826450712331</v>
      </c>
      <c r="K87" s="37">
        <f t="shared" ca="1" si="45"/>
        <v>27960.826450712331</v>
      </c>
      <c r="L87" s="37">
        <f t="shared" ca="1" si="45"/>
        <v>31460.826450712331</v>
      </c>
      <c r="M87" s="37">
        <f t="shared" ca="1" si="45"/>
        <v>34960.826450712331</v>
      </c>
      <c r="N87" s="37">
        <f t="shared" ca="1" si="40"/>
        <v>1</v>
      </c>
      <c r="O87" s="37">
        <f t="shared" ca="1" si="41"/>
        <v>2</v>
      </c>
    </row>
    <row r="88" spans="2:15" x14ac:dyDescent="0.45">
      <c r="B88" s="25" t="s">
        <v>182</v>
      </c>
      <c r="C88" s="26" t="s">
        <v>103</v>
      </c>
      <c r="D88" s="37">
        <f t="shared" ca="1" si="38"/>
        <v>3500</v>
      </c>
      <c r="E88" s="37">
        <f t="shared" ref="E88:M88" ca="1" si="46">D88+MIN(E28,T_3)</f>
        <v>7000</v>
      </c>
      <c r="F88" s="37">
        <f t="shared" ca="1" si="46"/>
        <v>10500</v>
      </c>
      <c r="G88" s="37">
        <f t="shared" ca="1" si="46"/>
        <v>14000</v>
      </c>
      <c r="H88" s="37">
        <f t="shared" ca="1" si="46"/>
        <v>17500</v>
      </c>
      <c r="I88" s="37">
        <f t="shared" ca="1" si="46"/>
        <v>21000</v>
      </c>
      <c r="J88" s="37">
        <f t="shared" ca="1" si="46"/>
        <v>23823.82188906119</v>
      </c>
      <c r="K88" s="37">
        <f t="shared" ca="1" si="46"/>
        <v>27323.82188906119</v>
      </c>
      <c r="L88" s="37">
        <f t="shared" ca="1" si="46"/>
        <v>30823.82188906119</v>
      </c>
      <c r="M88" s="37">
        <f t="shared" ca="1" si="46"/>
        <v>34323.82188906119</v>
      </c>
      <c r="N88" s="37">
        <f t="shared" ca="1" si="40"/>
        <v>0</v>
      </c>
      <c r="O88" s="37">
        <f t="shared" ca="1" si="41"/>
        <v>3</v>
      </c>
    </row>
    <row r="89" spans="2:15" x14ac:dyDescent="0.45">
      <c r="B89" s="25" t="s">
        <v>183</v>
      </c>
      <c r="C89" s="26" t="s">
        <v>103</v>
      </c>
      <c r="D89" s="37">
        <f t="shared" ca="1" si="38"/>
        <v>3500</v>
      </c>
      <c r="E89" s="37">
        <f t="shared" ref="E89:M89" ca="1" si="47">D89+MIN(E29,T_3)</f>
        <v>7000</v>
      </c>
      <c r="F89" s="37">
        <f t="shared" ca="1" si="47"/>
        <v>10500</v>
      </c>
      <c r="G89" s="37">
        <f t="shared" ca="1" si="47"/>
        <v>14000</v>
      </c>
      <c r="H89" s="37">
        <f t="shared" ca="1" si="47"/>
        <v>17500</v>
      </c>
      <c r="I89" s="37">
        <f t="shared" ca="1" si="47"/>
        <v>21000</v>
      </c>
      <c r="J89" s="37">
        <f t="shared" ca="1" si="47"/>
        <v>24500</v>
      </c>
      <c r="K89" s="37">
        <f t="shared" ca="1" si="47"/>
        <v>28000</v>
      </c>
      <c r="L89" s="37">
        <f t="shared" ca="1" si="47"/>
        <v>31500</v>
      </c>
      <c r="M89" s="37">
        <f t="shared" ca="1" si="47"/>
        <v>35000</v>
      </c>
      <c r="N89" s="37">
        <f t="shared" ca="1" si="40"/>
        <v>0</v>
      </c>
      <c r="O89" s="37">
        <f t="shared" ca="1" si="41"/>
        <v>3</v>
      </c>
    </row>
    <row r="90" spans="2:15" x14ac:dyDescent="0.45">
      <c r="B90" s="25" t="s">
        <v>184</v>
      </c>
      <c r="C90" s="26" t="s">
        <v>103</v>
      </c>
      <c r="D90" s="37">
        <f t="shared" ca="1" si="38"/>
        <v>3500</v>
      </c>
      <c r="E90" s="37">
        <f t="shared" ref="E90:M90" ca="1" si="48">D90+MIN(E30,T_3)</f>
        <v>7000</v>
      </c>
      <c r="F90" s="37">
        <f t="shared" ca="1" si="48"/>
        <v>10500</v>
      </c>
      <c r="G90" s="37">
        <f t="shared" ca="1" si="48"/>
        <v>14000</v>
      </c>
      <c r="H90" s="37">
        <f t="shared" ca="1" si="48"/>
        <v>17500</v>
      </c>
      <c r="I90" s="37">
        <f t="shared" ca="1" si="48"/>
        <v>21000</v>
      </c>
      <c r="J90" s="37">
        <f t="shared" ca="1" si="48"/>
        <v>24074.606528069282</v>
      </c>
      <c r="K90" s="37">
        <f t="shared" ca="1" si="48"/>
        <v>27344.873278789768</v>
      </c>
      <c r="L90" s="37">
        <f t="shared" ca="1" si="48"/>
        <v>30844.873278789768</v>
      </c>
      <c r="M90" s="37">
        <f t="shared" ca="1" si="48"/>
        <v>33042.229004963934</v>
      </c>
      <c r="N90" s="37">
        <f t="shared" ca="1" si="40"/>
        <v>0</v>
      </c>
      <c r="O90" s="37">
        <f t="shared" ca="1" si="41"/>
        <v>3</v>
      </c>
    </row>
    <row r="91" spans="2:15" x14ac:dyDescent="0.45">
      <c r="B91" s="42" t="s">
        <v>190</v>
      </c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4">
        <f ca="1">SUM(N83:N90)</f>
        <v>2</v>
      </c>
      <c r="O91" s="44">
        <f ca="1">SUM(O83:O90)</f>
        <v>22</v>
      </c>
    </row>
    <row r="92" spans="2:15" ht="6" customHeight="1" x14ac:dyDescent="0.45"/>
    <row r="93" spans="2:15" ht="18" customHeight="1" x14ac:dyDescent="0.45">
      <c r="B93" s="35" t="s">
        <v>191</v>
      </c>
      <c r="C93" s="5"/>
      <c r="D93" s="36" t="s">
        <v>167</v>
      </c>
      <c r="E93" s="36" t="s">
        <v>168</v>
      </c>
      <c r="F93" s="36" t="s">
        <v>169</v>
      </c>
      <c r="G93" s="36" t="s">
        <v>170</v>
      </c>
      <c r="H93" s="36" t="s">
        <v>171</v>
      </c>
      <c r="I93" s="36" t="s">
        <v>172</v>
      </c>
      <c r="J93" s="36" t="s">
        <v>173</v>
      </c>
      <c r="K93" s="36" t="s">
        <v>174</v>
      </c>
      <c r="L93" s="36" t="s">
        <v>175</v>
      </c>
      <c r="M93" s="36" t="s">
        <v>176</v>
      </c>
      <c r="N93" s="5"/>
      <c r="O93" s="5"/>
    </row>
    <row r="94" spans="2:15" x14ac:dyDescent="0.45">
      <c r="B94" s="25" t="s">
        <v>177</v>
      </c>
      <c r="C94" s="26" t="s">
        <v>192</v>
      </c>
      <c r="D94" s="45">
        <f t="shared" ref="D94:M94" ca="1" si="49">IF(AND(D23&lt;T_3,D83&lt;=Horizon),COUNTIFS(E_3,"&gt;"&amp;(D83-HLead),E_3,"&lt;="&amp;D83,Life,"&lt;"&amp;T_3),0)</f>
        <v>0</v>
      </c>
      <c r="E94" s="45">
        <f t="shared" ca="1" si="49"/>
        <v>0</v>
      </c>
      <c r="F94" s="45">
        <f t="shared" ca="1" si="49"/>
        <v>1</v>
      </c>
      <c r="G94" s="45">
        <f t="shared" ca="1" si="49"/>
        <v>0</v>
      </c>
      <c r="H94" s="45">
        <f t="shared" ca="1" si="49"/>
        <v>0</v>
      </c>
      <c r="I94" s="45">
        <f t="shared" ca="1" si="49"/>
        <v>0</v>
      </c>
      <c r="J94" s="45">
        <f t="shared" ca="1" si="49"/>
        <v>0</v>
      </c>
      <c r="K94" s="45">
        <f t="shared" ca="1" si="49"/>
        <v>0</v>
      </c>
      <c r="L94" s="45">
        <f t="shared" ca="1" si="49"/>
        <v>0</v>
      </c>
      <c r="M94" s="45">
        <f t="shared" ca="1" si="49"/>
        <v>0</v>
      </c>
      <c r="N94" s="28"/>
      <c r="O94" s="28"/>
    </row>
    <row r="95" spans="2:15" x14ac:dyDescent="0.45">
      <c r="B95" s="25" t="s">
        <v>178</v>
      </c>
      <c r="C95" s="26" t="s">
        <v>192</v>
      </c>
      <c r="D95" s="45">
        <f t="shared" ref="D95:M95" ca="1" si="50">IF(AND(D24&lt;T_3,D84&lt;=Horizon),COUNTIFS(E_3,"&gt;"&amp;(D84-HLead),E_3,"&lt;="&amp;D84,Life,"&lt;"&amp;T_3),0)</f>
        <v>0</v>
      </c>
      <c r="E95" s="45">
        <f t="shared" ca="1" si="50"/>
        <v>0</v>
      </c>
      <c r="F95" s="45">
        <f t="shared" ca="1" si="50"/>
        <v>0</v>
      </c>
      <c r="G95" s="45">
        <f t="shared" ca="1" si="50"/>
        <v>0</v>
      </c>
      <c r="H95" s="45">
        <f t="shared" ca="1" si="50"/>
        <v>0</v>
      </c>
      <c r="I95" s="45">
        <f t="shared" ca="1" si="50"/>
        <v>0</v>
      </c>
      <c r="J95" s="45">
        <f t="shared" ca="1" si="50"/>
        <v>0</v>
      </c>
      <c r="K95" s="45">
        <f t="shared" ca="1" si="50"/>
        <v>0</v>
      </c>
      <c r="L95" s="45">
        <f t="shared" ca="1" si="50"/>
        <v>0</v>
      </c>
      <c r="M95" s="45">
        <f t="shared" ca="1" si="50"/>
        <v>0</v>
      </c>
      <c r="N95" s="28"/>
      <c r="O95" s="28"/>
    </row>
    <row r="96" spans="2:15" x14ac:dyDescent="0.45">
      <c r="B96" s="25" t="s">
        <v>179</v>
      </c>
      <c r="C96" s="26" t="s">
        <v>192</v>
      </c>
      <c r="D96" s="45">
        <f t="shared" ref="D96:M96" ca="1" si="51">IF(AND(D25&lt;T_3,D85&lt;=Horizon),COUNTIFS(E_3,"&gt;"&amp;(D85-HLead),E_3,"&lt;="&amp;D85,Life,"&lt;"&amp;T_3),0)</f>
        <v>0</v>
      </c>
      <c r="E96" s="45">
        <f t="shared" ca="1" si="51"/>
        <v>0</v>
      </c>
      <c r="F96" s="45">
        <f t="shared" ca="1" si="51"/>
        <v>0</v>
      </c>
      <c r="G96" s="45">
        <f t="shared" ca="1" si="51"/>
        <v>0</v>
      </c>
      <c r="H96" s="45">
        <f t="shared" ca="1" si="51"/>
        <v>0</v>
      </c>
      <c r="I96" s="45">
        <f t="shared" ca="1" si="51"/>
        <v>0</v>
      </c>
      <c r="J96" s="45">
        <f t="shared" ca="1" si="51"/>
        <v>0</v>
      </c>
      <c r="K96" s="45">
        <f t="shared" ca="1" si="51"/>
        <v>0</v>
      </c>
      <c r="L96" s="45">
        <f t="shared" ca="1" si="51"/>
        <v>0</v>
      </c>
      <c r="M96" s="45">
        <f t="shared" ca="1" si="51"/>
        <v>0</v>
      </c>
      <c r="N96" s="28"/>
      <c r="O96" s="28"/>
    </row>
    <row r="97" spans="2:15" x14ac:dyDescent="0.45">
      <c r="B97" s="25" t="s">
        <v>180</v>
      </c>
      <c r="C97" s="26" t="s">
        <v>192</v>
      </c>
      <c r="D97" s="45">
        <f t="shared" ref="D97:M97" ca="1" si="52">IF(AND(D26&lt;T_3,D86&lt;=Horizon),COUNTIFS(E_3,"&gt;"&amp;(D86-HLead),E_3,"&lt;="&amp;D86,Life,"&lt;"&amp;T_3),0)</f>
        <v>0</v>
      </c>
      <c r="E97" s="45">
        <f t="shared" ca="1" si="52"/>
        <v>0</v>
      </c>
      <c r="F97" s="45">
        <f t="shared" ca="1" si="52"/>
        <v>0</v>
      </c>
      <c r="G97" s="45">
        <f t="shared" ca="1" si="52"/>
        <v>0</v>
      </c>
      <c r="H97" s="45">
        <f t="shared" ca="1" si="52"/>
        <v>0</v>
      </c>
      <c r="I97" s="45">
        <f t="shared" ca="1" si="52"/>
        <v>0</v>
      </c>
      <c r="J97" s="45">
        <f t="shared" ca="1" si="52"/>
        <v>0</v>
      </c>
      <c r="K97" s="45">
        <f t="shared" ca="1" si="52"/>
        <v>0</v>
      </c>
      <c r="L97" s="45">
        <f t="shared" ca="1" si="52"/>
        <v>0</v>
      </c>
      <c r="M97" s="45">
        <f t="shared" ca="1" si="52"/>
        <v>0</v>
      </c>
      <c r="N97" s="28"/>
      <c r="O97" s="28"/>
    </row>
    <row r="98" spans="2:15" x14ac:dyDescent="0.45">
      <c r="B98" s="25" t="s">
        <v>181</v>
      </c>
      <c r="C98" s="26" t="s">
        <v>192</v>
      </c>
      <c r="D98" s="45">
        <f t="shared" ref="D98:M98" ca="1" si="53">IF(AND(D27&lt;T_3,D87&lt;=Horizon),COUNTIFS(E_3,"&gt;"&amp;(D87-HLead),E_3,"&lt;="&amp;D87,Life,"&lt;"&amp;T_3),0)</f>
        <v>0</v>
      </c>
      <c r="E98" s="45">
        <f t="shared" ca="1" si="53"/>
        <v>0</v>
      </c>
      <c r="F98" s="45">
        <f t="shared" ca="1" si="53"/>
        <v>2</v>
      </c>
      <c r="G98" s="45">
        <f t="shared" ca="1" si="53"/>
        <v>0</v>
      </c>
      <c r="H98" s="45">
        <f t="shared" ca="1" si="53"/>
        <v>0</v>
      </c>
      <c r="I98" s="45">
        <f t="shared" ca="1" si="53"/>
        <v>0</v>
      </c>
      <c r="J98" s="45">
        <f t="shared" ca="1" si="53"/>
        <v>0</v>
      </c>
      <c r="K98" s="45">
        <f t="shared" ca="1" si="53"/>
        <v>0</v>
      </c>
      <c r="L98" s="45">
        <f t="shared" ca="1" si="53"/>
        <v>0</v>
      </c>
      <c r="M98" s="45">
        <f t="shared" ca="1" si="53"/>
        <v>0</v>
      </c>
      <c r="N98" s="28"/>
      <c r="O98" s="28"/>
    </row>
    <row r="99" spans="2:15" x14ac:dyDescent="0.45">
      <c r="B99" s="25" t="s">
        <v>182</v>
      </c>
      <c r="C99" s="26" t="s">
        <v>192</v>
      </c>
      <c r="D99" s="45">
        <f t="shared" ref="D99:M99" ca="1" si="54">IF(AND(D28&lt;T_3,D88&lt;=Horizon),COUNTIFS(E_3,"&gt;"&amp;(D88-HLead),E_3,"&lt;="&amp;D88,Life,"&lt;"&amp;T_3),0)</f>
        <v>0</v>
      </c>
      <c r="E99" s="45">
        <f t="shared" ca="1" si="54"/>
        <v>0</v>
      </c>
      <c r="F99" s="45">
        <f t="shared" ca="1" si="54"/>
        <v>0</v>
      </c>
      <c r="G99" s="45">
        <f t="shared" ca="1" si="54"/>
        <v>0</v>
      </c>
      <c r="H99" s="45">
        <f t="shared" ca="1" si="54"/>
        <v>0</v>
      </c>
      <c r="I99" s="45">
        <f t="shared" ca="1" si="54"/>
        <v>0</v>
      </c>
      <c r="J99" s="45">
        <f t="shared" ca="1" si="54"/>
        <v>0</v>
      </c>
      <c r="K99" s="45">
        <f t="shared" ca="1" si="54"/>
        <v>0</v>
      </c>
      <c r="L99" s="45">
        <f t="shared" ca="1" si="54"/>
        <v>0</v>
      </c>
      <c r="M99" s="45">
        <f t="shared" ca="1" si="54"/>
        <v>0</v>
      </c>
      <c r="N99" s="28"/>
      <c r="O99" s="28"/>
    </row>
    <row r="100" spans="2:15" x14ac:dyDescent="0.45">
      <c r="B100" s="25" t="s">
        <v>183</v>
      </c>
      <c r="C100" s="26" t="s">
        <v>192</v>
      </c>
      <c r="D100" s="45">
        <f t="shared" ref="D100:M100" ca="1" si="55">IF(AND(D29&lt;T_3,D89&lt;=Horizon),COUNTIFS(E_3,"&gt;"&amp;(D89-HLead),E_3,"&lt;="&amp;D89,Life,"&lt;"&amp;T_3),0)</f>
        <v>0</v>
      </c>
      <c r="E100" s="45">
        <f t="shared" ca="1" si="55"/>
        <v>0</v>
      </c>
      <c r="F100" s="45">
        <f t="shared" ca="1" si="55"/>
        <v>0</v>
      </c>
      <c r="G100" s="45">
        <f t="shared" ca="1" si="55"/>
        <v>0</v>
      </c>
      <c r="H100" s="45">
        <f t="shared" ca="1" si="55"/>
        <v>0</v>
      </c>
      <c r="I100" s="45">
        <f t="shared" ca="1" si="55"/>
        <v>0</v>
      </c>
      <c r="J100" s="45">
        <f t="shared" ca="1" si="55"/>
        <v>0</v>
      </c>
      <c r="K100" s="45">
        <f t="shared" ca="1" si="55"/>
        <v>0</v>
      </c>
      <c r="L100" s="45">
        <f t="shared" ca="1" si="55"/>
        <v>0</v>
      </c>
      <c r="M100" s="45">
        <f t="shared" ca="1" si="55"/>
        <v>0</v>
      </c>
      <c r="N100" s="28"/>
      <c r="O100" s="28"/>
    </row>
    <row r="101" spans="2:15" x14ac:dyDescent="0.45">
      <c r="B101" s="25" t="s">
        <v>184</v>
      </c>
      <c r="C101" s="26" t="s">
        <v>192</v>
      </c>
      <c r="D101" s="45">
        <f t="shared" ref="D101:M101" ca="1" si="56">IF(AND(D30&lt;T_3,D90&lt;=Horizon),COUNTIFS(E_3,"&gt;"&amp;(D90-HLead),E_3,"&lt;="&amp;D90,Life,"&lt;"&amp;T_3),0)</f>
        <v>0</v>
      </c>
      <c r="E101" s="45">
        <f t="shared" ca="1" si="56"/>
        <v>0</v>
      </c>
      <c r="F101" s="45">
        <f t="shared" ca="1" si="56"/>
        <v>0</v>
      </c>
      <c r="G101" s="45">
        <f t="shared" ca="1" si="56"/>
        <v>0</v>
      </c>
      <c r="H101" s="45">
        <f t="shared" ca="1" si="56"/>
        <v>0</v>
      </c>
      <c r="I101" s="45">
        <f t="shared" ca="1" si="56"/>
        <v>0</v>
      </c>
      <c r="J101" s="45">
        <f t="shared" ca="1" si="56"/>
        <v>0</v>
      </c>
      <c r="K101" s="45">
        <f t="shared" ca="1" si="56"/>
        <v>0</v>
      </c>
      <c r="L101" s="45">
        <f t="shared" ca="1" si="56"/>
        <v>0</v>
      </c>
      <c r="M101" s="45">
        <f t="shared" ca="1" si="56"/>
        <v>0</v>
      </c>
      <c r="N101" s="28"/>
      <c r="O101" s="28"/>
    </row>
    <row r="102" spans="2:15" x14ac:dyDescent="0.45">
      <c r="B102" s="46" t="s">
        <v>193</v>
      </c>
    </row>
    <row r="103" spans="2:15" ht="8" customHeight="1" x14ac:dyDescent="0.45"/>
    <row r="104" spans="2:15" ht="22.05" customHeight="1" x14ac:dyDescent="0.5">
      <c r="B104" s="7" t="s">
        <v>196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2:15" ht="18" customHeight="1" x14ac:dyDescent="0.45">
      <c r="B105" s="13" t="str">
        <f>"Each bearing comes out at "&amp;TEXT(AgeLate,"#,##0")&amp;" hours, or when it fails; a new one starts at once."</f>
        <v>Each bearing comes out at 5,000 hours, or when it fails; a new one starts at once.</v>
      </c>
    </row>
    <row r="106" spans="2:15" ht="18" customHeight="1" x14ac:dyDescent="0.45">
      <c r="B106" s="35" t="s">
        <v>187</v>
      </c>
      <c r="C106" s="5"/>
      <c r="D106" s="36" t="s">
        <v>167</v>
      </c>
      <c r="E106" s="36" t="s">
        <v>168</v>
      </c>
      <c r="F106" s="36" t="s">
        <v>169</v>
      </c>
      <c r="G106" s="36" t="s">
        <v>170</v>
      </c>
      <c r="H106" s="36" t="s">
        <v>171</v>
      </c>
      <c r="I106" s="36" t="s">
        <v>172</v>
      </c>
      <c r="J106" s="36" t="s">
        <v>173</v>
      </c>
      <c r="K106" s="36" t="s">
        <v>174</v>
      </c>
      <c r="L106" s="36" t="s">
        <v>175</v>
      </c>
      <c r="M106" s="36" t="s">
        <v>176</v>
      </c>
      <c r="N106" s="36" t="s">
        <v>188</v>
      </c>
      <c r="O106" s="36" t="s">
        <v>189</v>
      </c>
    </row>
    <row r="107" spans="2:15" x14ac:dyDescent="0.45">
      <c r="B107" s="25" t="s">
        <v>177</v>
      </c>
      <c r="C107" s="26" t="s">
        <v>103</v>
      </c>
      <c r="D107" s="37">
        <f t="shared" ref="D107:D114" ca="1" si="57">MIN(D23,T_4)</f>
        <v>5000</v>
      </c>
      <c r="E107" s="37">
        <f t="shared" ref="E107:M107" ca="1" si="58">D107+MIN(E23,T_4)</f>
        <v>10000</v>
      </c>
      <c r="F107" s="37">
        <f t="shared" ca="1" si="58"/>
        <v>12641.989658774395</v>
      </c>
      <c r="G107" s="37">
        <f t="shared" ca="1" si="58"/>
        <v>17641.989658774393</v>
      </c>
      <c r="H107" s="37">
        <f t="shared" ca="1" si="58"/>
        <v>22641.989658774393</v>
      </c>
      <c r="I107" s="37">
        <f t="shared" ca="1" si="58"/>
        <v>27641.989658774393</v>
      </c>
      <c r="J107" s="37">
        <f t="shared" ca="1" si="58"/>
        <v>30368.361034660677</v>
      </c>
      <c r="K107" s="37">
        <f t="shared" ca="1" si="58"/>
        <v>35368.361034660673</v>
      </c>
      <c r="L107" s="37">
        <f t="shared" ca="1" si="58"/>
        <v>37758.219445128525</v>
      </c>
      <c r="M107" s="37">
        <f t="shared" ca="1" si="58"/>
        <v>42758.219445128525</v>
      </c>
      <c r="N107" s="37">
        <f t="shared" ref="N107:N114" ca="1" si="59">COUNTIFS(D23:M23,"&lt;"&amp;T_4,D107:M107,"&lt;="&amp;Horizon)</f>
        <v>0</v>
      </c>
      <c r="O107" s="37">
        <f t="shared" ref="O107:O114" ca="1" si="60">COUNTIFS(D23:M23,"&gt;="&amp;T_4,D107:M107,"&lt;="&amp;Horizon)</f>
        <v>2</v>
      </c>
    </row>
    <row r="108" spans="2:15" x14ac:dyDescent="0.45">
      <c r="B108" s="25" t="s">
        <v>178</v>
      </c>
      <c r="C108" s="26" t="s">
        <v>103</v>
      </c>
      <c r="D108" s="37">
        <f t="shared" ca="1" si="57"/>
        <v>4983.2955001994897</v>
      </c>
      <c r="E108" s="37">
        <f t="shared" ref="E108:M108" ca="1" si="61">D108+MIN(E24,T_4)</f>
        <v>9983.2955001994887</v>
      </c>
      <c r="F108" s="37">
        <f t="shared" ca="1" si="61"/>
        <v>14983.295500199489</v>
      </c>
      <c r="G108" s="37">
        <f t="shared" ca="1" si="61"/>
        <v>19983.295500199489</v>
      </c>
      <c r="H108" s="37">
        <f t="shared" ca="1" si="61"/>
        <v>24983.295500199489</v>
      </c>
      <c r="I108" s="37">
        <f t="shared" ca="1" si="61"/>
        <v>29983.295500199489</v>
      </c>
      <c r="J108" s="37">
        <f t="shared" ca="1" si="61"/>
        <v>34983.295500199485</v>
      </c>
      <c r="K108" s="37">
        <f t="shared" ca="1" si="61"/>
        <v>39983.295500199485</v>
      </c>
      <c r="L108" s="37">
        <f t="shared" ca="1" si="61"/>
        <v>44745.53283741761</v>
      </c>
      <c r="M108" s="37">
        <f t="shared" ca="1" si="61"/>
        <v>48613.327776923652</v>
      </c>
      <c r="N108" s="37">
        <f t="shared" ca="1" si="59"/>
        <v>1</v>
      </c>
      <c r="O108" s="37">
        <f t="shared" ca="1" si="60"/>
        <v>1</v>
      </c>
    </row>
    <row r="109" spans="2:15" x14ac:dyDescent="0.45">
      <c r="B109" s="25" t="s">
        <v>179</v>
      </c>
      <c r="C109" s="26" t="s">
        <v>103</v>
      </c>
      <c r="D109" s="37">
        <f t="shared" ca="1" si="57"/>
        <v>5000</v>
      </c>
      <c r="E109" s="37">
        <f t="shared" ref="E109:M109" ca="1" si="62">D109+MIN(E25,T_4)</f>
        <v>10000</v>
      </c>
      <c r="F109" s="37">
        <f t="shared" ca="1" si="62"/>
        <v>15000</v>
      </c>
      <c r="G109" s="37">
        <f t="shared" ca="1" si="62"/>
        <v>20000</v>
      </c>
      <c r="H109" s="37">
        <f t="shared" ca="1" si="62"/>
        <v>25000</v>
      </c>
      <c r="I109" s="37">
        <f t="shared" ca="1" si="62"/>
        <v>29648.531995285681</v>
      </c>
      <c r="J109" s="37">
        <f t="shared" ca="1" si="62"/>
        <v>30921.486467590417</v>
      </c>
      <c r="K109" s="37">
        <f t="shared" ca="1" si="62"/>
        <v>35876.300776470423</v>
      </c>
      <c r="L109" s="37">
        <f t="shared" ca="1" si="62"/>
        <v>37625.538875134436</v>
      </c>
      <c r="M109" s="37">
        <f t="shared" ca="1" si="62"/>
        <v>42625.538875134436</v>
      </c>
      <c r="N109" s="37">
        <f t="shared" ca="1" si="59"/>
        <v>0</v>
      </c>
      <c r="O109" s="37">
        <f t="shared" ca="1" si="60"/>
        <v>2</v>
      </c>
    </row>
    <row r="110" spans="2:15" x14ac:dyDescent="0.45">
      <c r="B110" s="25" t="s">
        <v>180</v>
      </c>
      <c r="C110" s="26" t="s">
        <v>103</v>
      </c>
      <c r="D110" s="37">
        <f t="shared" ca="1" si="57"/>
        <v>5000</v>
      </c>
      <c r="E110" s="37">
        <f t="shared" ref="E110:M110" ca="1" si="63">D110+MIN(E26,T_4)</f>
        <v>10000</v>
      </c>
      <c r="F110" s="37">
        <f t="shared" ca="1" si="63"/>
        <v>15000</v>
      </c>
      <c r="G110" s="37">
        <f t="shared" ca="1" si="63"/>
        <v>20000</v>
      </c>
      <c r="H110" s="37">
        <f t="shared" ca="1" si="63"/>
        <v>25000</v>
      </c>
      <c r="I110" s="37">
        <f t="shared" ca="1" si="63"/>
        <v>30000</v>
      </c>
      <c r="J110" s="37">
        <f t="shared" ca="1" si="63"/>
        <v>35000</v>
      </c>
      <c r="K110" s="37">
        <f t="shared" ca="1" si="63"/>
        <v>40000</v>
      </c>
      <c r="L110" s="37">
        <f t="shared" ca="1" si="63"/>
        <v>43575.311359408246</v>
      </c>
      <c r="M110" s="37">
        <f t="shared" ca="1" si="63"/>
        <v>48575.311359408246</v>
      </c>
      <c r="N110" s="37">
        <f t="shared" ca="1" si="59"/>
        <v>0</v>
      </c>
      <c r="O110" s="37">
        <f t="shared" ca="1" si="60"/>
        <v>2</v>
      </c>
    </row>
    <row r="111" spans="2:15" x14ac:dyDescent="0.45">
      <c r="B111" s="25" t="s">
        <v>181</v>
      </c>
      <c r="C111" s="26" t="s">
        <v>103</v>
      </c>
      <c r="D111" s="37">
        <f t="shared" ca="1" si="57"/>
        <v>3604.1291802901387</v>
      </c>
      <c r="E111" s="37">
        <f t="shared" ref="E111:M111" ca="1" si="64">D111+MIN(E27,T_4)</f>
        <v>8604.1291802901396</v>
      </c>
      <c r="F111" s="37">
        <f t="shared" ca="1" si="64"/>
        <v>12092.948772231866</v>
      </c>
      <c r="G111" s="37">
        <f t="shared" ca="1" si="64"/>
        <v>17092.948772231866</v>
      </c>
      <c r="H111" s="37">
        <f t="shared" ca="1" si="64"/>
        <v>20564.955631002471</v>
      </c>
      <c r="I111" s="37">
        <f t="shared" ca="1" si="64"/>
        <v>25564.955631002471</v>
      </c>
      <c r="J111" s="37">
        <f t="shared" ca="1" si="64"/>
        <v>30564.955631002471</v>
      </c>
      <c r="K111" s="37">
        <f t="shared" ca="1" si="64"/>
        <v>35564.955631002471</v>
      </c>
      <c r="L111" s="37">
        <f t="shared" ca="1" si="64"/>
        <v>40564.955631002471</v>
      </c>
      <c r="M111" s="37">
        <f t="shared" ca="1" si="64"/>
        <v>45564.955631002471</v>
      </c>
      <c r="N111" s="37">
        <f t="shared" ca="1" si="59"/>
        <v>1</v>
      </c>
      <c r="O111" s="37">
        <f t="shared" ca="1" si="60"/>
        <v>1</v>
      </c>
    </row>
    <row r="112" spans="2:15" x14ac:dyDescent="0.45">
      <c r="B112" s="25" t="s">
        <v>182</v>
      </c>
      <c r="C112" s="26" t="s">
        <v>103</v>
      </c>
      <c r="D112" s="37">
        <f t="shared" ca="1" si="57"/>
        <v>4363.9896147259178</v>
      </c>
      <c r="E112" s="37">
        <f t="shared" ref="E112:M112" ca="1" si="65">D112+MIN(E28,T_4)</f>
        <v>9363.9896147259169</v>
      </c>
      <c r="F112" s="37">
        <f t="shared" ca="1" si="65"/>
        <v>14363.989614725917</v>
      </c>
      <c r="G112" s="37">
        <f t="shared" ca="1" si="65"/>
        <v>19148.831193740356</v>
      </c>
      <c r="H112" s="37">
        <f t="shared" ca="1" si="65"/>
        <v>24148.831193740356</v>
      </c>
      <c r="I112" s="37">
        <f t="shared" ca="1" si="65"/>
        <v>28415.620444742301</v>
      </c>
      <c r="J112" s="37">
        <f t="shared" ca="1" si="65"/>
        <v>31239.44233380349</v>
      </c>
      <c r="K112" s="37">
        <f t="shared" ca="1" si="65"/>
        <v>34820.223367922648</v>
      </c>
      <c r="L112" s="37">
        <f t="shared" ca="1" si="65"/>
        <v>39820.223367922648</v>
      </c>
      <c r="M112" s="37">
        <f t="shared" ca="1" si="65"/>
        <v>44820.223367922648</v>
      </c>
      <c r="N112" s="37">
        <f t="shared" ca="1" si="59"/>
        <v>1</v>
      </c>
      <c r="O112" s="37">
        <f t="shared" ca="1" si="60"/>
        <v>1</v>
      </c>
    </row>
    <row r="113" spans="2:15" x14ac:dyDescent="0.45">
      <c r="B113" s="25" t="s">
        <v>183</v>
      </c>
      <c r="C113" s="26" t="s">
        <v>103</v>
      </c>
      <c r="D113" s="37">
        <f t="shared" ca="1" si="57"/>
        <v>5000</v>
      </c>
      <c r="E113" s="37">
        <f t="shared" ref="E113:M113" ca="1" si="66">D113+MIN(E29,T_4)</f>
        <v>10000</v>
      </c>
      <c r="F113" s="37">
        <f t="shared" ca="1" si="66"/>
        <v>15000</v>
      </c>
      <c r="G113" s="37">
        <f t="shared" ca="1" si="66"/>
        <v>20000</v>
      </c>
      <c r="H113" s="37">
        <f t="shared" ca="1" si="66"/>
        <v>25000</v>
      </c>
      <c r="I113" s="37">
        <f t="shared" ca="1" si="66"/>
        <v>30000</v>
      </c>
      <c r="J113" s="37">
        <f t="shared" ca="1" si="66"/>
        <v>35000</v>
      </c>
      <c r="K113" s="37">
        <f t="shared" ca="1" si="66"/>
        <v>40000</v>
      </c>
      <c r="L113" s="37">
        <f t="shared" ca="1" si="66"/>
        <v>45000</v>
      </c>
      <c r="M113" s="37">
        <f t="shared" ca="1" si="66"/>
        <v>49324.059494153676</v>
      </c>
      <c r="N113" s="37">
        <f t="shared" ca="1" si="59"/>
        <v>0</v>
      </c>
      <c r="O113" s="37">
        <f t="shared" ca="1" si="60"/>
        <v>2</v>
      </c>
    </row>
    <row r="114" spans="2:15" x14ac:dyDescent="0.45">
      <c r="B114" s="25" t="s">
        <v>184</v>
      </c>
      <c r="C114" s="26" t="s">
        <v>103</v>
      </c>
      <c r="D114" s="37">
        <f t="shared" ca="1" si="57"/>
        <v>5000</v>
      </c>
      <c r="E114" s="37">
        <f t="shared" ref="E114:M114" ca="1" si="67">D114+MIN(E30,T_4)</f>
        <v>10000</v>
      </c>
      <c r="F114" s="37">
        <f t="shared" ca="1" si="67"/>
        <v>15000</v>
      </c>
      <c r="G114" s="37">
        <f t="shared" ca="1" si="67"/>
        <v>20000</v>
      </c>
      <c r="H114" s="37">
        <f t="shared" ca="1" si="67"/>
        <v>25000</v>
      </c>
      <c r="I114" s="37">
        <f t="shared" ca="1" si="67"/>
        <v>30000</v>
      </c>
      <c r="J114" s="37">
        <f t="shared" ca="1" si="67"/>
        <v>33074.606528069286</v>
      </c>
      <c r="K114" s="37">
        <f t="shared" ca="1" si="67"/>
        <v>36344.873278789775</v>
      </c>
      <c r="L114" s="37">
        <f t="shared" ca="1" si="67"/>
        <v>41344.873278789775</v>
      </c>
      <c r="M114" s="37">
        <f t="shared" ca="1" si="67"/>
        <v>43542.229004963941</v>
      </c>
      <c r="N114" s="37">
        <f t="shared" ca="1" si="59"/>
        <v>0</v>
      </c>
      <c r="O114" s="37">
        <f t="shared" ca="1" si="60"/>
        <v>2</v>
      </c>
    </row>
    <row r="115" spans="2:15" x14ac:dyDescent="0.45">
      <c r="B115" s="42" t="s">
        <v>190</v>
      </c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4">
        <f ca="1">SUM(N107:N114)</f>
        <v>3</v>
      </c>
      <c r="O115" s="44">
        <f ca="1">SUM(O107:O114)</f>
        <v>13</v>
      </c>
    </row>
    <row r="116" spans="2:15" ht="6" customHeight="1" x14ac:dyDescent="0.45"/>
    <row r="117" spans="2:15" ht="18" customHeight="1" x14ac:dyDescent="0.45">
      <c r="B117" s="35" t="s">
        <v>191</v>
      </c>
      <c r="C117" s="5"/>
      <c r="D117" s="36" t="s">
        <v>167</v>
      </c>
      <c r="E117" s="36" t="s">
        <v>168</v>
      </c>
      <c r="F117" s="36" t="s">
        <v>169</v>
      </c>
      <c r="G117" s="36" t="s">
        <v>170</v>
      </c>
      <c r="H117" s="36" t="s">
        <v>171</v>
      </c>
      <c r="I117" s="36" t="s">
        <v>172</v>
      </c>
      <c r="J117" s="36" t="s">
        <v>173</v>
      </c>
      <c r="K117" s="36" t="s">
        <v>174</v>
      </c>
      <c r="L117" s="36" t="s">
        <v>175</v>
      </c>
      <c r="M117" s="36" t="s">
        <v>176</v>
      </c>
      <c r="N117" s="5"/>
      <c r="O117" s="5"/>
    </row>
    <row r="118" spans="2:15" x14ac:dyDescent="0.45">
      <c r="B118" s="25" t="s">
        <v>177</v>
      </c>
      <c r="C118" s="26" t="s">
        <v>192</v>
      </c>
      <c r="D118" s="45">
        <f t="shared" ref="D118:M118" ca="1" si="68">IF(AND(D23&lt;T_4,D107&lt;=Horizon),COUNTIFS(E_4,"&gt;"&amp;(D107-HLead),E_4,"&lt;="&amp;D107,Life,"&lt;"&amp;T_4),0)</f>
        <v>0</v>
      </c>
      <c r="E118" s="45">
        <f t="shared" ca="1" si="68"/>
        <v>0</v>
      </c>
      <c r="F118" s="45">
        <f t="shared" ca="1" si="68"/>
        <v>0</v>
      </c>
      <c r="G118" s="45">
        <f t="shared" ca="1" si="68"/>
        <v>0</v>
      </c>
      <c r="H118" s="45">
        <f t="shared" ca="1" si="68"/>
        <v>0</v>
      </c>
      <c r="I118" s="45">
        <f t="shared" ca="1" si="68"/>
        <v>0</v>
      </c>
      <c r="J118" s="45">
        <f t="shared" ca="1" si="68"/>
        <v>0</v>
      </c>
      <c r="K118" s="45">
        <f t="shared" ca="1" si="68"/>
        <v>0</v>
      </c>
      <c r="L118" s="45">
        <f t="shared" ca="1" si="68"/>
        <v>0</v>
      </c>
      <c r="M118" s="45">
        <f t="shared" ca="1" si="68"/>
        <v>0</v>
      </c>
      <c r="N118" s="28"/>
      <c r="O118" s="28"/>
    </row>
    <row r="119" spans="2:15" x14ac:dyDescent="0.45">
      <c r="B119" s="25" t="s">
        <v>178</v>
      </c>
      <c r="C119" s="26" t="s">
        <v>192</v>
      </c>
      <c r="D119" s="45">
        <f t="shared" ref="D119:M119" ca="1" si="69">IF(AND(D24&lt;T_4,D108&lt;=Horizon),COUNTIFS(E_4,"&gt;"&amp;(D108-HLead),E_4,"&lt;="&amp;D108,Life,"&lt;"&amp;T_4),0)</f>
        <v>2</v>
      </c>
      <c r="E119" s="45">
        <f t="shared" ca="1" si="69"/>
        <v>0</v>
      </c>
      <c r="F119" s="45">
        <f t="shared" ca="1" si="69"/>
        <v>0</v>
      </c>
      <c r="G119" s="45">
        <f t="shared" ca="1" si="69"/>
        <v>0</v>
      </c>
      <c r="H119" s="45">
        <f t="shared" ca="1" si="69"/>
        <v>0</v>
      </c>
      <c r="I119" s="45">
        <f t="shared" ca="1" si="69"/>
        <v>0</v>
      </c>
      <c r="J119" s="45">
        <f t="shared" ca="1" si="69"/>
        <v>0</v>
      </c>
      <c r="K119" s="45">
        <f t="shared" ca="1" si="69"/>
        <v>0</v>
      </c>
      <c r="L119" s="45">
        <f t="shared" ca="1" si="69"/>
        <v>0</v>
      </c>
      <c r="M119" s="45">
        <f t="shared" ca="1" si="69"/>
        <v>0</v>
      </c>
      <c r="N119" s="28"/>
      <c r="O119" s="28"/>
    </row>
    <row r="120" spans="2:15" x14ac:dyDescent="0.45">
      <c r="B120" s="25" t="s">
        <v>179</v>
      </c>
      <c r="C120" s="26" t="s">
        <v>192</v>
      </c>
      <c r="D120" s="45">
        <f t="shared" ref="D120:M120" ca="1" si="70">IF(AND(D25&lt;T_4,D109&lt;=Horizon),COUNTIFS(E_4,"&gt;"&amp;(D109-HLead),E_4,"&lt;="&amp;D109,Life,"&lt;"&amp;T_4),0)</f>
        <v>0</v>
      </c>
      <c r="E120" s="45">
        <f t="shared" ca="1" si="70"/>
        <v>0</v>
      </c>
      <c r="F120" s="45">
        <f t="shared" ca="1" si="70"/>
        <v>0</v>
      </c>
      <c r="G120" s="45">
        <f t="shared" ca="1" si="70"/>
        <v>0</v>
      </c>
      <c r="H120" s="45">
        <f t="shared" ca="1" si="70"/>
        <v>0</v>
      </c>
      <c r="I120" s="45">
        <f t="shared" ca="1" si="70"/>
        <v>0</v>
      </c>
      <c r="J120" s="45">
        <f t="shared" ca="1" si="70"/>
        <v>0</v>
      </c>
      <c r="K120" s="45">
        <f t="shared" ca="1" si="70"/>
        <v>0</v>
      </c>
      <c r="L120" s="45">
        <f t="shared" ca="1" si="70"/>
        <v>0</v>
      </c>
      <c r="M120" s="45">
        <f t="shared" ca="1" si="70"/>
        <v>0</v>
      </c>
      <c r="N120" s="28"/>
      <c r="O120" s="28"/>
    </row>
    <row r="121" spans="2:15" x14ac:dyDescent="0.45">
      <c r="B121" s="25" t="s">
        <v>180</v>
      </c>
      <c r="C121" s="26" t="s">
        <v>192</v>
      </c>
      <c r="D121" s="45">
        <f t="shared" ref="D121:M121" ca="1" si="71">IF(AND(D26&lt;T_4,D110&lt;=Horizon),COUNTIFS(E_4,"&gt;"&amp;(D110-HLead),E_4,"&lt;="&amp;D110,Life,"&lt;"&amp;T_4),0)</f>
        <v>0</v>
      </c>
      <c r="E121" s="45">
        <f t="shared" ca="1" si="71"/>
        <v>0</v>
      </c>
      <c r="F121" s="45">
        <f t="shared" ca="1" si="71"/>
        <v>0</v>
      </c>
      <c r="G121" s="45">
        <f t="shared" ca="1" si="71"/>
        <v>0</v>
      </c>
      <c r="H121" s="45">
        <f t="shared" ca="1" si="71"/>
        <v>0</v>
      </c>
      <c r="I121" s="45">
        <f t="shared" ca="1" si="71"/>
        <v>0</v>
      </c>
      <c r="J121" s="45">
        <f t="shared" ca="1" si="71"/>
        <v>0</v>
      </c>
      <c r="K121" s="45">
        <f t="shared" ca="1" si="71"/>
        <v>0</v>
      </c>
      <c r="L121" s="45">
        <f t="shared" ca="1" si="71"/>
        <v>0</v>
      </c>
      <c r="M121" s="45">
        <f t="shared" ca="1" si="71"/>
        <v>0</v>
      </c>
      <c r="N121" s="28"/>
      <c r="O121" s="28"/>
    </row>
    <row r="122" spans="2:15" x14ac:dyDescent="0.45">
      <c r="B122" s="25" t="s">
        <v>181</v>
      </c>
      <c r="C122" s="26" t="s">
        <v>192</v>
      </c>
      <c r="D122" s="45">
        <f t="shared" ref="D122:M122" ca="1" si="72">IF(AND(D27&lt;T_4,D111&lt;=Horizon),COUNTIFS(E_4,"&gt;"&amp;(D111-HLead),E_4,"&lt;="&amp;D111,Life,"&lt;"&amp;T_4),0)</f>
        <v>1</v>
      </c>
      <c r="E122" s="45">
        <f t="shared" ca="1" si="72"/>
        <v>0</v>
      </c>
      <c r="F122" s="45">
        <f t="shared" ca="1" si="72"/>
        <v>0</v>
      </c>
      <c r="G122" s="45">
        <f t="shared" ca="1" si="72"/>
        <v>0</v>
      </c>
      <c r="H122" s="45">
        <f t="shared" ca="1" si="72"/>
        <v>0</v>
      </c>
      <c r="I122" s="45">
        <f t="shared" ca="1" si="72"/>
        <v>0</v>
      </c>
      <c r="J122" s="45">
        <f t="shared" ca="1" si="72"/>
        <v>0</v>
      </c>
      <c r="K122" s="45">
        <f t="shared" ca="1" si="72"/>
        <v>0</v>
      </c>
      <c r="L122" s="45">
        <f t="shared" ca="1" si="72"/>
        <v>0</v>
      </c>
      <c r="M122" s="45">
        <f t="shared" ca="1" si="72"/>
        <v>0</v>
      </c>
      <c r="N122" s="28"/>
      <c r="O122" s="28"/>
    </row>
    <row r="123" spans="2:15" x14ac:dyDescent="0.45">
      <c r="B123" s="25" t="s">
        <v>182</v>
      </c>
      <c r="C123" s="26" t="s">
        <v>192</v>
      </c>
      <c r="D123" s="45">
        <f t="shared" ref="D123:M123" ca="1" si="73">IF(AND(D28&lt;T_4,D112&lt;=Horizon),COUNTIFS(E_4,"&gt;"&amp;(D112-HLead),E_4,"&lt;="&amp;D112,Life,"&lt;"&amp;T_4),0)</f>
        <v>2</v>
      </c>
      <c r="E123" s="45">
        <f t="shared" ca="1" si="73"/>
        <v>0</v>
      </c>
      <c r="F123" s="45">
        <f t="shared" ca="1" si="73"/>
        <v>0</v>
      </c>
      <c r="G123" s="45">
        <f t="shared" ca="1" si="73"/>
        <v>0</v>
      </c>
      <c r="H123" s="45">
        <f t="shared" ca="1" si="73"/>
        <v>0</v>
      </c>
      <c r="I123" s="45">
        <f t="shared" ca="1" si="73"/>
        <v>0</v>
      </c>
      <c r="J123" s="45">
        <f t="shared" ca="1" si="73"/>
        <v>0</v>
      </c>
      <c r="K123" s="45">
        <f t="shared" ca="1" si="73"/>
        <v>0</v>
      </c>
      <c r="L123" s="45">
        <f t="shared" ca="1" si="73"/>
        <v>0</v>
      </c>
      <c r="M123" s="45">
        <f t="shared" ca="1" si="73"/>
        <v>0</v>
      </c>
      <c r="N123" s="28"/>
      <c r="O123" s="28"/>
    </row>
    <row r="124" spans="2:15" x14ac:dyDescent="0.45">
      <c r="B124" s="25" t="s">
        <v>183</v>
      </c>
      <c r="C124" s="26" t="s">
        <v>192</v>
      </c>
      <c r="D124" s="45">
        <f t="shared" ref="D124:M124" ca="1" si="74">IF(AND(D29&lt;T_4,D113&lt;=Horizon),COUNTIFS(E_4,"&gt;"&amp;(D113-HLead),E_4,"&lt;="&amp;D113,Life,"&lt;"&amp;T_4),0)</f>
        <v>0</v>
      </c>
      <c r="E124" s="45">
        <f t="shared" ca="1" si="74"/>
        <v>0</v>
      </c>
      <c r="F124" s="45">
        <f t="shared" ca="1" si="74"/>
        <v>0</v>
      </c>
      <c r="G124" s="45">
        <f t="shared" ca="1" si="74"/>
        <v>0</v>
      </c>
      <c r="H124" s="45">
        <f t="shared" ca="1" si="74"/>
        <v>0</v>
      </c>
      <c r="I124" s="45">
        <f t="shared" ca="1" si="74"/>
        <v>0</v>
      </c>
      <c r="J124" s="45">
        <f t="shared" ca="1" si="74"/>
        <v>0</v>
      </c>
      <c r="K124" s="45">
        <f t="shared" ca="1" si="74"/>
        <v>0</v>
      </c>
      <c r="L124" s="45">
        <f t="shared" ca="1" si="74"/>
        <v>0</v>
      </c>
      <c r="M124" s="45">
        <f t="shared" ca="1" si="74"/>
        <v>0</v>
      </c>
      <c r="N124" s="28"/>
      <c r="O124" s="28"/>
    </row>
    <row r="125" spans="2:15" x14ac:dyDescent="0.45">
      <c r="B125" s="25" t="s">
        <v>184</v>
      </c>
      <c r="C125" s="26" t="s">
        <v>192</v>
      </c>
      <c r="D125" s="45">
        <f t="shared" ref="D125:M125" ca="1" si="75">IF(AND(D30&lt;T_4,D114&lt;=Horizon),COUNTIFS(E_4,"&gt;"&amp;(D114-HLead),E_4,"&lt;="&amp;D114,Life,"&lt;"&amp;T_4),0)</f>
        <v>0</v>
      </c>
      <c r="E125" s="45">
        <f t="shared" ca="1" si="75"/>
        <v>0</v>
      </c>
      <c r="F125" s="45">
        <f t="shared" ca="1" si="75"/>
        <v>0</v>
      </c>
      <c r="G125" s="45">
        <f t="shared" ca="1" si="75"/>
        <v>0</v>
      </c>
      <c r="H125" s="45">
        <f t="shared" ca="1" si="75"/>
        <v>0</v>
      </c>
      <c r="I125" s="45">
        <f t="shared" ca="1" si="75"/>
        <v>0</v>
      </c>
      <c r="J125" s="45">
        <f t="shared" ca="1" si="75"/>
        <v>0</v>
      </c>
      <c r="K125" s="45">
        <f t="shared" ca="1" si="75"/>
        <v>0</v>
      </c>
      <c r="L125" s="45">
        <f t="shared" ca="1" si="75"/>
        <v>0</v>
      </c>
      <c r="M125" s="45">
        <f t="shared" ca="1" si="75"/>
        <v>0</v>
      </c>
      <c r="N125" s="28"/>
      <c r="O125" s="28"/>
    </row>
    <row r="126" spans="2:15" x14ac:dyDescent="0.45">
      <c r="B126" s="46" t="s">
        <v>193</v>
      </c>
    </row>
    <row r="127" spans="2:15" ht="8" customHeight="1" x14ac:dyDescent="0.45"/>
    <row r="128" spans="2:15" ht="22.05" customHeight="1" x14ac:dyDescent="0.5">
      <c r="B128" s="7" t="s">
        <v>197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2:15" ht="18" customHeight="1" x14ac:dyDescent="0.45">
      <c r="B129" s="13" t="s">
        <v>198</v>
      </c>
    </row>
    <row r="130" spans="2:15" ht="18" customHeight="1" x14ac:dyDescent="0.45">
      <c r="B130" s="35" t="s">
        <v>199</v>
      </c>
      <c r="C130" s="5"/>
      <c r="D130" s="47" t="s">
        <v>188</v>
      </c>
      <c r="E130" s="47" t="s">
        <v>189</v>
      </c>
      <c r="F130" s="47" t="s">
        <v>200</v>
      </c>
      <c r="G130" s="47" t="s">
        <v>201</v>
      </c>
      <c r="H130" s="47" t="s">
        <v>202</v>
      </c>
      <c r="I130" s="5"/>
      <c r="J130" s="5"/>
      <c r="K130" s="5"/>
      <c r="L130" s="5"/>
      <c r="M130" s="5"/>
      <c r="N130" s="5"/>
      <c r="O130" s="5"/>
    </row>
    <row r="131" spans="2:15" x14ac:dyDescent="0.45">
      <c r="D131" s="48" t="s">
        <v>203</v>
      </c>
      <c r="E131" s="48" t="s">
        <v>203</v>
      </c>
      <c r="F131" s="48" t="s">
        <v>203</v>
      </c>
      <c r="G131" s="48" t="s">
        <v>192</v>
      </c>
      <c r="H131" s="48" t="s">
        <v>119</v>
      </c>
    </row>
    <row r="132" spans="2:15" x14ac:dyDescent="0.45">
      <c r="B132" s="25" t="s">
        <v>204</v>
      </c>
      <c r="C132" s="28"/>
      <c r="D132" s="49" cm="1">
        <f t="array" aca="1" ref="D132" ca="1">_xll.VoseOutput("Failures, run to failure","failures")+NFail_1</f>
        <v>10</v>
      </c>
      <c r="E132" s="49" cm="1">
        <f t="array" aca="1" ref="E132" ca="1">_xll.VoseOutput("Planned, run to failure","replacements")+NPlan_1</f>
        <v>0</v>
      </c>
      <c r="F132" s="49" cm="1">
        <f t="array" aca="1" ref="F132" ca="1">_xll.VoseOutput("Kits used, run to failure","kits")+NFail_1+NPlan_1</f>
        <v>10</v>
      </c>
      <c r="G132" s="49" cm="1">
        <f t="array" aca="1" ref="G132" ca="1">_xll.VoseOutput("No kit, run to failure, kits held","failures")+CHOOSE(Spares+1,SO_1_0,SO_1_1,SO_1_2,SO_1_3)</f>
        <v>2</v>
      </c>
      <c r="H132" s="50" cm="1">
        <f t="array" aca="1" ref="H132" ca="1">_xll.VoseOutput("Cost, run to failure, kits held","US$k")+CHOOSE(Spares+1,Cost_1_0,Cost_1_1,Cost_1_2,Cost_1_3)</f>
        <v>284.5</v>
      </c>
      <c r="I132" s="28"/>
      <c r="J132" s="28"/>
      <c r="K132" s="28"/>
      <c r="L132" s="28"/>
      <c r="M132" s="28"/>
      <c r="N132" s="28"/>
      <c r="O132" s="28"/>
    </row>
    <row r="133" spans="2:15" x14ac:dyDescent="0.45">
      <c r="B133" s="25" t="s">
        <v>205</v>
      </c>
      <c r="C133" s="28"/>
      <c r="D133" s="49" cm="1">
        <f t="array" aca="1" ref="D133" ca="1">_xll.VoseOutput("Failures, early replacement","failures")+NFail_2</f>
        <v>0</v>
      </c>
      <c r="E133" s="49" cm="1">
        <f t="array" aca="1" ref="E133" ca="1">_xll.VoseOutput("Planned, early replacement","replacements")+NPlan_2</f>
        <v>32</v>
      </c>
      <c r="F133" s="49" cm="1">
        <f t="array" aca="1" ref="F133" ca="1">_xll.VoseOutput("Kits used, early replacement","kits")+NFail_2+NPlan_2</f>
        <v>32</v>
      </c>
      <c r="G133" s="49" cm="1">
        <f t="array" aca="1" ref="G133" ca="1">_xll.VoseOutput("No kit, early replacement, kits held","failures")+CHOOSE(Spares+1,SO_2_0,SO_2_1,SO_2_2,SO_2_3)</f>
        <v>0</v>
      </c>
      <c r="H133" s="50" cm="1">
        <f t="array" aca="1" ref="H133" ca="1">_xll.VoseOutput("Cost, early replacement, kits held","US$k")+CHOOSE(Spares+1,Cost_2_0,Cost_2_1,Cost_2_2,Cost_2_3)</f>
        <v>130.5</v>
      </c>
      <c r="I133" s="28"/>
      <c r="J133" s="28"/>
      <c r="K133" s="28"/>
      <c r="L133" s="28"/>
      <c r="M133" s="28"/>
      <c r="N133" s="28"/>
      <c r="O133" s="28"/>
    </row>
    <row r="134" spans="2:15" x14ac:dyDescent="0.45">
      <c r="B134" s="25" t="s">
        <v>206</v>
      </c>
      <c r="C134" s="28"/>
      <c r="D134" s="49" cm="1">
        <f t="array" aca="1" ref="D134" ca="1">_xll.VoseOutput("Failures, mid-life replacement","failures")+NFail_3</f>
        <v>2</v>
      </c>
      <c r="E134" s="49" cm="1">
        <f t="array" aca="1" ref="E134" ca="1">_xll.VoseOutput("Planned, mid-life replacement","replacements")+NPlan_3</f>
        <v>22</v>
      </c>
      <c r="F134" s="49" cm="1">
        <f t="array" aca="1" ref="F134" ca="1">_xll.VoseOutput("Kits used, mid-life replacement","kits")+NFail_3+NPlan_3</f>
        <v>24</v>
      </c>
      <c r="G134" s="49" cm="1">
        <f t="array" aca="1" ref="G134" ca="1">_xll.VoseOutput("No kit, mid-life replacement, kits held","failures")+CHOOSE(Spares+1,SO_3_0,SO_3_1,SO_3_2,SO_3_3)</f>
        <v>0</v>
      </c>
      <c r="H134" s="50" cm="1">
        <f t="array" aca="1" ref="H134" ca="1">_xll.VoseOutput("Cost, mid-life replacement, kits held","US$k")+CHOOSE(Spares+1,Cost_3_0,Cost_3_1,Cost_3_2,Cost_3_3)</f>
        <v>132.5</v>
      </c>
      <c r="I134" s="28"/>
      <c r="J134" s="28"/>
      <c r="K134" s="28"/>
      <c r="L134" s="28"/>
      <c r="M134" s="28"/>
      <c r="N134" s="28"/>
      <c r="O134" s="28"/>
    </row>
    <row r="135" spans="2:15" x14ac:dyDescent="0.45">
      <c r="B135" s="25" t="s">
        <v>207</v>
      </c>
      <c r="C135" s="28"/>
      <c r="D135" s="49" cm="1">
        <f t="array" aca="1" ref="D135" ca="1">_xll.VoseOutput("Failures, late replacement","failures")+NFail_4</f>
        <v>3</v>
      </c>
      <c r="E135" s="49" cm="1">
        <f t="array" aca="1" ref="E135" ca="1">_xll.VoseOutput("Planned, late replacement","replacements")+NPlan_4</f>
        <v>13</v>
      </c>
      <c r="F135" s="49" cm="1">
        <f t="array" aca="1" ref="F135" ca="1">_xll.VoseOutput("Kits used, late replacement","kits")+NFail_4+NPlan_4</f>
        <v>16</v>
      </c>
      <c r="G135" s="49" cm="1">
        <f t="array" aca="1" ref="G135" ca="1">_xll.VoseOutput("No kit, late replacement, kits held","failures")+CHOOSE(Spares+1,SO_4_0,SO_4_1,SO_4_2,SO_4_3)</f>
        <v>0</v>
      </c>
      <c r="H135" s="50" cm="1">
        <f t="array" aca="1" ref="H135" ca="1">_xll.VoseOutput("Cost, late replacement, kits held","US$k")+CHOOSE(Spares+1,Cost_4_0,Cost_4_1,Cost_4_2,Cost_4_3)</f>
        <v>117.5</v>
      </c>
      <c r="I135" s="28"/>
      <c r="J135" s="28"/>
      <c r="K135" s="28"/>
      <c r="L135" s="28"/>
      <c r="M135" s="28"/>
      <c r="N135" s="28"/>
      <c r="O135" s="28"/>
    </row>
    <row r="136" spans="2:15" x14ac:dyDescent="0.45">
      <c r="B136" s="46" t="s">
        <v>208</v>
      </c>
    </row>
    <row r="137" spans="2:15" ht="8" customHeight="1" x14ac:dyDescent="0.45"/>
    <row r="138" spans="2:15" ht="18" customHeight="1" x14ac:dyDescent="0.45">
      <c r="B138" s="35" t="s">
        <v>209</v>
      </c>
      <c r="C138" s="5"/>
      <c r="D138" s="36" t="s">
        <v>210</v>
      </c>
      <c r="E138" s="36" t="s">
        <v>211</v>
      </c>
      <c r="F138" s="36" t="s">
        <v>212</v>
      </c>
      <c r="G138" s="36" t="s">
        <v>213</v>
      </c>
      <c r="H138" s="5"/>
      <c r="I138" s="5"/>
      <c r="J138" s="5"/>
      <c r="K138" s="5"/>
      <c r="L138" s="5"/>
      <c r="M138" s="5"/>
      <c r="N138" s="5"/>
      <c r="O138" s="5"/>
    </row>
    <row r="139" spans="2:15" x14ac:dyDescent="0.45">
      <c r="B139" s="25" t="s">
        <v>204</v>
      </c>
      <c r="C139" s="28"/>
      <c r="D139" s="49" cm="1">
        <f t="array" aca="1" ref="D139" ca="1">_xll.VoseOutput("No kit, run to failure, 0 kits","failures")+COUNTIF(W_1,"&gt;"&amp;0)</f>
        <v>10</v>
      </c>
      <c r="E139" s="49" cm="1">
        <f t="array" aca="1" ref="E139" ca="1">_xll.VoseOutput("No kit, run to failure, 1 kits","failures")+COUNTIF(W_1,"&gt;"&amp;1)</f>
        <v>6</v>
      </c>
      <c r="F139" s="49" cm="1">
        <f t="array" aca="1" ref="F139" ca="1">_xll.VoseOutput("No kit, run to failure, 2 kits","failures")+COUNTIF(W_1,"&gt;"&amp;2)</f>
        <v>2</v>
      </c>
      <c r="G139" s="49" cm="1">
        <f t="array" aca="1" ref="G139" ca="1">_xll.VoseOutput("No kit, run to failure, 3 kits","failures")+COUNTIF(W_1,"&gt;"&amp;3)</f>
        <v>1</v>
      </c>
      <c r="H139" s="28"/>
      <c r="I139" s="28"/>
      <c r="J139" s="28"/>
      <c r="K139" s="28"/>
      <c r="L139" s="28"/>
      <c r="M139" s="28"/>
      <c r="N139" s="28"/>
      <c r="O139" s="28"/>
    </row>
    <row r="140" spans="2:15" x14ac:dyDescent="0.45">
      <c r="B140" s="25" t="s">
        <v>205</v>
      </c>
      <c r="C140" s="28"/>
      <c r="D140" s="49" cm="1">
        <f t="array" aca="1" ref="D140" ca="1">_xll.VoseOutput("No kit, early replacement, 0 kits","failures")+COUNTIF(W_2,"&gt;"&amp;0)</f>
        <v>0</v>
      </c>
      <c r="E140" s="49" cm="1">
        <f t="array" aca="1" ref="E140" ca="1">_xll.VoseOutput("No kit, early replacement, 1 kits","failures")+COUNTIF(W_2,"&gt;"&amp;1)</f>
        <v>0</v>
      </c>
      <c r="F140" s="49" cm="1">
        <f t="array" aca="1" ref="F140" ca="1">_xll.VoseOutput("No kit, early replacement, 2 kits","failures")+COUNTIF(W_2,"&gt;"&amp;2)</f>
        <v>0</v>
      </c>
      <c r="G140" s="49" cm="1">
        <f t="array" aca="1" ref="G140" ca="1">_xll.VoseOutput("No kit, early replacement, 3 kits","failures")+COUNTIF(W_2,"&gt;"&amp;3)</f>
        <v>0</v>
      </c>
      <c r="H140" s="28"/>
      <c r="I140" s="28"/>
      <c r="J140" s="28"/>
      <c r="K140" s="28"/>
      <c r="L140" s="28"/>
      <c r="M140" s="28"/>
      <c r="N140" s="28"/>
      <c r="O140" s="28"/>
    </row>
    <row r="141" spans="2:15" x14ac:dyDescent="0.45">
      <c r="B141" s="25" t="s">
        <v>206</v>
      </c>
      <c r="C141" s="28"/>
      <c r="D141" s="49" cm="1">
        <f t="array" aca="1" ref="D141" ca="1">_xll.VoseOutput("No kit, mid-life replacement, 0 kits","failures")+COUNTIF(W_3,"&gt;"&amp;0)</f>
        <v>2</v>
      </c>
      <c r="E141" s="49" cm="1">
        <f t="array" aca="1" ref="E141" ca="1">_xll.VoseOutput("No kit, mid-life replacement, 1 kits","failures")+COUNTIF(W_3,"&gt;"&amp;1)</f>
        <v>1</v>
      </c>
      <c r="F141" s="49" cm="1">
        <f t="array" aca="1" ref="F141" ca="1">_xll.VoseOutput("No kit, mid-life replacement, 2 kits","failures")+COUNTIF(W_3,"&gt;"&amp;2)</f>
        <v>0</v>
      </c>
      <c r="G141" s="49" cm="1">
        <f t="array" aca="1" ref="G141" ca="1">_xll.VoseOutput("No kit, mid-life replacement, 3 kits","failures")+COUNTIF(W_3,"&gt;"&amp;3)</f>
        <v>0</v>
      </c>
      <c r="H141" s="28"/>
      <c r="I141" s="28"/>
      <c r="J141" s="28"/>
      <c r="K141" s="28"/>
      <c r="L141" s="28"/>
      <c r="M141" s="28"/>
      <c r="N141" s="28"/>
      <c r="O141" s="28"/>
    </row>
    <row r="142" spans="2:15" x14ac:dyDescent="0.45">
      <c r="B142" s="25" t="s">
        <v>207</v>
      </c>
      <c r="C142" s="28"/>
      <c r="D142" s="49" cm="1">
        <f t="array" aca="1" ref="D142" ca="1">_xll.VoseOutput("No kit, late replacement, 0 kits","failures")+COUNTIF(W_4,"&gt;"&amp;0)</f>
        <v>3</v>
      </c>
      <c r="E142" s="49" cm="1">
        <f t="array" aca="1" ref="E142" ca="1">_xll.VoseOutput("No kit, late replacement, 1 kits","failures")+COUNTIF(W_4,"&gt;"&amp;1)</f>
        <v>2</v>
      </c>
      <c r="F142" s="49" cm="1">
        <f t="array" aca="1" ref="F142" ca="1">_xll.VoseOutput("No kit, late replacement, 2 kits","failures")+COUNTIF(W_4,"&gt;"&amp;2)</f>
        <v>0</v>
      </c>
      <c r="G142" s="49" cm="1">
        <f t="array" aca="1" ref="G142" ca="1">_xll.VoseOutput("No kit, late replacement, 3 kits","failures")+COUNTIF(W_4,"&gt;"&amp;3)</f>
        <v>0</v>
      </c>
      <c r="H142" s="28"/>
      <c r="I142" s="28"/>
      <c r="J142" s="28"/>
      <c r="K142" s="28"/>
      <c r="L142" s="28"/>
      <c r="M142" s="28"/>
      <c r="N142" s="28"/>
      <c r="O142" s="28"/>
    </row>
    <row r="143" spans="2:15" x14ac:dyDescent="0.45">
      <c r="B143" s="46" t="s">
        <v>214</v>
      </c>
    </row>
    <row r="144" spans="2:15" ht="8" customHeight="1" x14ac:dyDescent="0.45"/>
    <row r="145" spans="2:15" ht="18" customHeight="1" x14ac:dyDescent="0.45">
      <c r="B145" s="35" t="s">
        <v>215</v>
      </c>
      <c r="C145" s="5"/>
      <c r="D145" s="36" t="s">
        <v>210</v>
      </c>
      <c r="E145" s="36" t="s">
        <v>211</v>
      </c>
      <c r="F145" s="36" t="s">
        <v>212</v>
      </c>
      <c r="G145" s="36" t="s">
        <v>213</v>
      </c>
      <c r="H145" s="5"/>
      <c r="I145" s="5"/>
      <c r="J145" s="5"/>
      <c r="K145" s="5"/>
      <c r="L145" s="5"/>
      <c r="M145" s="5"/>
      <c r="N145" s="5"/>
      <c r="O145" s="5"/>
    </row>
    <row r="146" spans="2:15" x14ac:dyDescent="0.45">
      <c r="B146" s="25" t="s">
        <v>204</v>
      </c>
      <c r="C146" s="28"/>
      <c r="D146" s="50" cm="1">
        <f t="array" aca="1" ref="D146" ca="1">_xll.VoseOutput("Cost, run to failure, 0 kits","US$k")+NFail_1*CostFail+NPlan_1*CostPlan+SO_1_0*CostWait+0*HoldKit</f>
        <v>570</v>
      </c>
      <c r="E146" s="50" cm="1">
        <f t="array" aca="1" ref="E146" ca="1">_xll.VoseOutput("Cost, run to failure, 1 kits","US$k")+NFail_1*CostFail+NPlan_1*CostPlan+SO_1_1*CostWait+1*HoldKit</f>
        <v>427.25</v>
      </c>
      <c r="F146" s="50" cm="1">
        <f t="array" aca="1" ref="F146" ca="1">_xll.VoseOutput("Cost, run to failure, 2 kits","US$k")+NFail_1*CostFail+NPlan_1*CostPlan+SO_1_2*CostWait+2*HoldKit</f>
        <v>284.5</v>
      </c>
      <c r="G146" s="50" cm="1">
        <f t="array" aca="1" ref="G146" ca="1">_xll.VoseOutput("Cost, run to failure, 3 kits","US$k")+NFail_1*CostFail+NPlan_1*CostPlan+SO_1_3*CostWait+3*HoldKit</f>
        <v>249.75</v>
      </c>
      <c r="H146" s="28"/>
      <c r="I146" s="28"/>
      <c r="J146" s="28"/>
      <c r="K146" s="28"/>
      <c r="L146" s="28"/>
      <c r="M146" s="28"/>
      <c r="N146" s="28"/>
      <c r="O146" s="28"/>
    </row>
    <row r="147" spans="2:15" x14ac:dyDescent="0.45">
      <c r="B147" s="25" t="s">
        <v>205</v>
      </c>
      <c r="C147" s="28"/>
      <c r="D147" s="50" cm="1">
        <f t="array" aca="1" ref="D147" ca="1">_xll.VoseOutput("Cost, early replacement, 0 kits","US$k")+NFail_2*CostFail+NPlan_2*CostPlan+SO_2_0*CostWait+0*HoldKit</f>
        <v>128</v>
      </c>
      <c r="E147" s="50" cm="1">
        <f t="array" aca="1" ref="E147" ca="1">_xll.VoseOutput("Cost, early replacement, 1 kits","US$k")+NFail_2*CostFail+NPlan_2*CostPlan+SO_2_1*CostWait+1*HoldKit</f>
        <v>129.25</v>
      </c>
      <c r="F147" s="50" cm="1">
        <f t="array" aca="1" ref="F147" ca="1">_xll.VoseOutput("Cost, early replacement, 2 kits","US$k")+NFail_2*CostFail+NPlan_2*CostPlan+SO_2_2*CostWait+2*HoldKit</f>
        <v>130.5</v>
      </c>
      <c r="G147" s="50" cm="1">
        <f t="array" aca="1" ref="G147" ca="1">_xll.VoseOutput("Cost, early replacement, 3 kits","US$k")+NFail_2*CostFail+NPlan_2*CostPlan+SO_2_3*CostWait+3*HoldKit</f>
        <v>131.75</v>
      </c>
      <c r="H147" s="28"/>
      <c r="I147" s="28"/>
      <c r="J147" s="28"/>
      <c r="K147" s="28"/>
      <c r="L147" s="28"/>
      <c r="M147" s="28"/>
      <c r="N147" s="28"/>
      <c r="O147" s="28"/>
    </row>
    <row r="148" spans="2:15" x14ac:dyDescent="0.45">
      <c r="B148" s="25" t="s">
        <v>206</v>
      </c>
      <c r="C148" s="28"/>
      <c r="D148" s="50" cm="1">
        <f t="array" aca="1" ref="D148" ca="1">_xll.VoseOutput("Cost, mid-life replacement, 0 kits","US$k")+NFail_3*CostFail+NPlan_3*CostPlan+SO_3_0*CostWait+0*HoldKit</f>
        <v>202</v>
      </c>
      <c r="E148" s="50" cm="1">
        <f t="array" aca="1" ref="E148" ca="1">_xll.VoseOutput("Cost, mid-life replacement, 1 kits","US$k")+NFail_3*CostFail+NPlan_3*CostPlan+SO_3_1*CostWait+1*HoldKit</f>
        <v>167.25</v>
      </c>
      <c r="F148" s="50" cm="1">
        <f t="array" aca="1" ref="F148" ca="1">_xll.VoseOutput("Cost, mid-life replacement, 2 kits","US$k")+NFail_3*CostFail+NPlan_3*CostPlan+SO_3_2*CostWait+2*HoldKit</f>
        <v>132.5</v>
      </c>
      <c r="G148" s="50" cm="1">
        <f t="array" aca="1" ref="G148" ca="1">_xll.VoseOutput("Cost, mid-life replacement, 3 kits","US$k")+NFail_3*CostFail+NPlan_3*CostPlan+SO_3_3*CostWait+3*HoldKit</f>
        <v>133.75</v>
      </c>
      <c r="H148" s="28"/>
      <c r="I148" s="28"/>
      <c r="J148" s="28"/>
      <c r="K148" s="28"/>
      <c r="L148" s="28"/>
      <c r="M148" s="28"/>
      <c r="N148" s="28"/>
      <c r="O148" s="28"/>
    </row>
    <row r="149" spans="2:15" x14ac:dyDescent="0.45">
      <c r="B149" s="25" t="s">
        <v>207</v>
      </c>
      <c r="C149" s="28"/>
      <c r="D149" s="50" cm="1">
        <f t="array" aca="1" ref="D149" ca="1">_xll.VoseOutput("Cost, late replacement, 0 kits","US$k")+NFail_4*CostFail+NPlan_4*CostPlan+SO_4_0*CostWait+0*HoldKit</f>
        <v>223</v>
      </c>
      <c r="E149" s="50" cm="1">
        <f t="array" aca="1" ref="E149" ca="1">_xll.VoseOutput("Cost, late replacement, 1 kits","US$k")+NFail_4*CostFail+NPlan_4*CostPlan+SO_4_1*CostWait+1*HoldKit</f>
        <v>188.25</v>
      </c>
      <c r="F149" s="50" cm="1">
        <f t="array" aca="1" ref="F149" ca="1">_xll.VoseOutput("Cost, late replacement, 2 kits","US$k")+NFail_4*CostFail+NPlan_4*CostPlan+SO_4_2*CostWait+2*HoldKit</f>
        <v>117.5</v>
      </c>
      <c r="G149" s="50" cm="1">
        <f t="array" aca="1" ref="G149" ca="1">_xll.VoseOutput("Cost, late replacement, 3 kits","US$k")+NFail_4*CostFail+NPlan_4*CostPlan+SO_4_3*CostWait+3*HoldKit</f>
        <v>118.75</v>
      </c>
      <c r="H149" s="28"/>
      <c r="I149" s="28"/>
      <c r="J149" s="28"/>
      <c r="K149" s="28"/>
      <c r="L149" s="28"/>
      <c r="M149" s="28"/>
      <c r="N149" s="28"/>
      <c r="O149" s="28"/>
    </row>
    <row r="150" spans="2:15" ht="8" customHeight="1" x14ac:dyDescent="0.45"/>
    <row r="151" spans="2:15" ht="18" customHeight="1" x14ac:dyDescent="0.45">
      <c r="B151" s="35" t="s">
        <v>216</v>
      </c>
      <c r="C151" s="5"/>
      <c r="D151" s="36" t="s">
        <v>217</v>
      </c>
      <c r="E151" s="36" t="s">
        <v>218</v>
      </c>
      <c r="F151" s="36" t="s">
        <v>219</v>
      </c>
      <c r="G151" s="36" t="s">
        <v>220</v>
      </c>
      <c r="H151" s="36" t="s">
        <v>221</v>
      </c>
      <c r="I151" s="36" t="s">
        <v>222</v>
      </c>
      <c r="J151" s="36" t="s">
        <v>223</v>
      </c>
      <c r="K151" s="36" t="s">
        <v>224</v>
      </c>
      <c r="L151" s="5"/>
      <c r="M151" s="5"/>
      <c r="N151" s="5"/>
      <c r="O151" s="5"/>
    </row>
    <row r="152" spans="2:15" x14ac:dyDescent="0.45">
      <c r="B152" s="25" t="s">
        <v>204</v>
      </c>
      <c r="C152" s="28"/>
      <c r="D152" s="49" cm="1">
        <f t="array" aca="1" ref="D152" ca="1">_xll.VoseOutput("Failures, run to failure, Y1 Q1","failures")+COUNTIFS(E_1,"&gt;"&amp;0*Horizon/8,E_1,"&lt;="&amp;1*Horizon/8,Life,"&lt;"&amp;T_1)</f>
        <v>0</v>
      </c>
      <c r="E152" s="49" cm="1">
        <f t="array" aca="1" ref="E152" ca="1">_xll.VoseOutput("Failures, run to failure, Y1 Q2","failures")+COUNTIFS(E_1,"&gt;"&amp;1*Horizon/8,E_1,"&lt;="&amp;2*Horizon/8,Life,"&lt;"&amp;T_1)</f>
        <v>0</v>
      </c>
      <c r="F152" s="49" cm="1">
        <f t="array" aca="1" ref="F152" ca="1">_xll.VoseOutput("Failures, run to failure, Y1 Q3","failures")+COUNTIFS(E_1,"&gt;"&amp;2*Horizon/8,E_1,"&lt;="&amp;3*Horizon/8,Life,"&lt;"&amp;T_1)</f>
        <v>2</v>
      </c>
      <c r="G152" s="49" cm="1">
        <f t="array" aca="1" ref="G152" ca="1">_xll.VoseOutput("Failures, run to failure, Y1 Q4","failures")+COUNTIFS(E_1,"&gt;"&amp;3*Horizon/8,E_1,"&lt;="&amp;4*Horizon/8,Life,"&lt;"&amp;T_1)</f>
        <v>1</v>
      </c>
      <c r="H152" s="49" cm="1">
        <f t="array" aca="1" ref="H152" ca="1">_xll.VoseOutput("Failures, run to failure, Y2 Q1","failures")+COUNTIFS(E_1,"&gt;"&amp;4*Horizon/8,E_1,"&lt;="&amp;5*Horizon/8,Life,"&lt;"&amp;T_1)</f>
        <v>2</v>
      </c>
      <c r="I152" s="49" cm="1">
        <f t="array" aca="1" ref="I152" ca="1">_xll.VoseOutput("Failures, run to failure, Y2 Q2","failures")+COUNTIFS(E_1,"&gt;"&amp;5*Horizon/8,E_1,"&lt;="&amp;6*Horizon/8,Life,"&lt;"&amp;T_1)</f>
        <v>1</v>
      </c>
      <c r="J152" s="49" cm="1">
        <f t="array" aca="1" ref="J152" ca="1">_xll.VoseOutput("Failures, run to failure, Y2 Q3","failures")+COUNTIFS(E_1,"&gt;"&amp;6*Horizon/8,E_1,"&lt;="&amp;7*Horizon/8,Life,"&lt;"&amp;T_1)</f>
        <v>0</v>
      </c>
      <c r="K152" s="49" cm="1">
        <f t="array" aca="1" ref="K152" ca="1">_xll.VoseOutput("Failures, run to failure, Y2 Q4","failures")+COUNTIFS(E_1,"&gt;"&amp;7*Horizon/8,E_1,"&lt;="&amp;8*Horizon/8,Life,"&lt;"&amp;T_1)</f>
        <v>4</v>
      </c>
      <c r="L152" s="28"/>
      <c r="M152" s="28"/>
      <c r="N152" s="28"/>
      <c r="O152" s="28"/>
    </row>
    <row r="153" spans="2:15" x14ac:dyDescent="0.45">
      <c r="B153" s="25" t="s">
        <v>205</v>
      </c>
      <c r="C153" s="28"/>
      <c r="D153" s="49" cm="1">
        <f t="array" aca="1" ref="D153" ca="1">_xll.VoseOutput("Failures, early replacement, Y1 Q1","failures")+COUNTIFS(E_2,"&gt;"&amp;0*Horizon/8,E_2,"&lt;="&amp;1*Horizon/8,Life,"&lt;"&amp;T_2)</f>
        <v>0</v>
      </c>
      <c r="E153" s="49" cm="1">
        <f t="array" aca="1" ref="E153" ca="1">_xll.VoseOutput("Failures, early replacement, Y1 Q2","failures")+COUNTIFS(E_2,"&gt;"&amp;1*Horizon/8,E_2,"&lt;="&amp;2*Horizon/8,Life,"&lt;"&amp;T_2)</f>
        <v>0</v>
      </c>
      <c r="F153" s="49" cm="1">
        <f t="array" aca="1" ref="F153" ca="1">_xll.VoseOutput("Failures, early replacement, Y1 Q3","failures")+COUNTIFS(E_2,"&gt;"&amp;2*Horizon/8,E_2,"&lt;="&amp;3*Horizon/8,Life,"&lt;"&amp;T_2)</f>
        <v>0</v>
      </c>
      <c r="G153" s="49" cm="1">
        <f t="array" aca="1" ref="G153" ca="1">_xll.VoseOutput("Failures, early replacement, Y1 Q4","failures")+COUNTIFS(E_2,"&gt;"&amp;3*Horizon/8,E_2,"&lt;="&amp;4*Horizon/8,Life,"&lt;"&amp;T_2)</f>
        <v>0</v>
      </c>
      <c r="H153" s="49" cm="1">
        <f t="array" aca="1" ref="H153" ca="1">_xll.VoseOutput("Failures, early replacement, Y2 Q1","failures")+COUNTIFS(E_2,"&gt;"&amp;4*Horizon/8,E_2,"&lt;="&amp;5*Horizon/8,Life,"&lt;"&amp;T_2)</f>
        <v>0</v>
      </c>
      <c r="I153" s="49" cm="1">
        <f t="array" aca="1" ref="I153" ca="1">_xll.VoseOutput("Failures, early replacement, Y2 Q2","failures")+COUNTIFS(E_2,"&gt;"&amp;5*Horizon/8,E_2,"&lt;="&amp;6*Horizon/8,Life,"&lt;"&amp;T_2)</f>
        <v>0</v>
      </c>
      <c r="J153" s="49" cm="1">
        <f t="array" aca="1" ref="J153" ca="1">_xll.VoseOutput("Failures, early replacement, Y2 Q3","failures")+COUNTIFS(E_2,"&gt;"&amp;6*Horizon/8,E_2,"&lt;="&amp;7*Horizon/8,Life,"&lt;"&amp;T_2)</f>
        <v>0</v>
      </c>
      <c r="K153" s="49" cm="1">
        <f t="array" aca="1" ref="K153" ca="1">_xll.VoseOutput("Failures, early replacement, Y2 Q4","failures")+COUNTIFS(E_2,"&gt;"&amp;7*Horizon/8,E_2,"&lt;="&amp;8*Horizon/8,Life,"&lt;"&amp;T_2)</f>
        <v>0</v>
      </c>
      <c r="L153" s="28"/>
      <c r="M153" s="28"/>
      <c r="N153" s="28"/>
      <c r="O153" s="28"/>
    </row>
    <row r="154" spans="2:15" x14ac:dyDescent="0.45">
      <c r="B154" s="25" t="s">
        <v>206</v>
      </c>
      <c r="C154" s="28"/>
      <c r="D154" s="49" cm="1">
        <f t="array" aca="1" ref="D154" ca="1">_xll.VoseOutput("Failures, mid-life replacement, Y1 Q1","failures")+COUNTIFS(E_3,"&gt;"&amp;0*Horizon/8,E_3,"&lt;="&amp;1*Horizon/8,Life,"&lt;"&amp;T_3)</f>
        <v>0</v>
      </c>
      <c r="E154" s="49" cm="1">
        <f t="array" aca="1" ref="E154" ca="1">_xll.VoseOutput("Failures, mid-life replacement, Y1 Q2","failures")+COUNTIFS(E_3,"&gt;"&amp;1*Horizon/8,E_3,"&lt;="&amp;2*Horizon/8,Life,"&lt;"&amp;T_3)</f>
        <v>0</v>
      </c>
      <c r="F154" s="49" cm="1">
        <f t="array" aca="1" ref="F154" ca="1">_xll.VoseOutput("Failures, mid-life replacement, Y1 Q3","failures")+COUNTIFS(E_3,"&gt;"&amp;2*Horizon/8,E_3,"&lt;="&amp;3*Horizon/8,Life,"&lt;"&amp;T_3)</f>
        <v>0</v>
      </c>
      <c r="G154" s="49" cm="1">
        <f t="array" aca="1" ref="G154" ca="1">_xll.VoseOutput("Failures, mid-life replacement, Y1 Q4","failures")+COUNTIFS(E_3,"&gt;"&amp;3*Horizon/8,E_3,"&lt;="&amp;4*Horizon/8,Life,"&lt;"&amp;T_3)</f>
        <v>0</v>
      </c>
      <c r="H154" s="49" cm="1">
        <f t="array" aca="1" ref="H154" ca="1">_xll.VoseOutput("Failures, mid-life replacement, Y2 Q1","failures")+COUNTIFS(E_3,"&gt;"&amp;4*Horizon/8,E_3,"&lt;="&amp;5*Horizon/8,Life,"&lt;"&amp;T_3)</f>
        <v>0</v>
      </c>
      <c r="I154" s="49" cm="1">
        <f t="array" aca="1" ref="I154" ca="1">_xll.VoseOutput("Failures, mid-life replacement, Y2 Q2","failures")+COUNTIFS(E_3,"&gt;"&amp;5*Horizon/8,E_3,"&lt;="&amp;6*Horizon/8,Life,"&lt;"&amp;T_3)</f>
        <v>0</v>
      </c>
      <c r="J154" s="49" cm="1">
        <f t="array" aca="1" ref="J154" ca="1">_xll.VoseOutput("Failures, mid-life replacement, Y2 Q3","failures")+COUNTIFS(E_3,"&gt;"&amp;6*Horizon/8,E_3,"&lt;="&amp;7*Horizon/8,Life,"&lt;"&amp;T_3)</f>
        <v>2</v>
      </c>
      <c r="K154" s="49" cm="1">
        <f t="array" aca="1" ref="K154" ca="1">_xll.VoseOutput("Failures, mid-life replacement, Y2 Q4","failures")+COUNTIFS(E_3,"&gt;"&amp;7*Horizon/8,E_3,"&lt;="&amp;8*Horizon/8,Life,"&lt;"&amp;T_3)</f>
        <v>0</v>
      </c>
      <c r="L154" s="28"/>
      <c r="M154" s="28"/>
      <c r="N154" s="28"/>
      <c r="O154" s="28"/>
    </row>
    <row r="155" spans="2:15" x14ac:dyDescent="0.45">
      <c r="B155" s="25" t="s">
        <v>207</v>
      </c>
      <c r="C155" s="28"/>
      <c r="D155" s="49" cm="1">
        <f t="array" aca="1" ref="D155" ca="1">_xll.VoseOutput("Failures, late replacement, Y1 Q1","failures")+COUNTIFS(E_4,"&gt;"&amp;0*Horizon/8,E_4,"&lt;="&amp;1*Horizon/8,Life,"&lt;"&amp;T_4)</f>
        <v>0</v>
      </c>
      <c r="E155" s="49" cm="1">
        <f t="array" aca="1" ref="E155" ca="1">_xll.VoseOutput("Failures, late replacement, Y1 Q2","failures")+COUNTIFS(E_4,"&gt;"&amp;1*Horizon/8,E_4,"&lt;="&amp;2*Horizon/8,Life,"&lt;"&amp;T_4)</f>
        <v>0</v>
      </c>
      <c r="F155" s="49" cm="1">
        <f t="array" aca="1" ref="F155" ca="1">_xll.VoseOutput("Failures, late replacement, Y1 Q3","failures")+COUNTIFS(E_4,"&gt;"&amp;2*Horizon/8,E_4,"&lt;="&amp;3*Horizon/8,Life,"&lt;"&amp;T_4)</f>
        <v>2</v>
      </c>
      <c r="G155" s="49" cm="1">
        <f t="array" aca="1" ref="G155" ca="1">_xll.VoseOutput("Failures, late replacement, Y1 Q4","failures")+COUNTIFS(E_4,"&gt;"&amp;3*Horizon/8,E_4,"&lt;="&amp;4*Horizon/8,Life,"&lt;"&amp;T_4)</f>
        <v>1</v>
      </c>
      <c r="H155" s="49" cm="1">
        <f t="array" aca="1" ref="H155" ca="1">_xll.VoseOutput("Failures, late replacement, Y2 Q1","failures")+COUNTIFS(E_4,"&gt;"&amp;4*Horizon/8,E_4,"&lt;="&amp;5*Horizon/8,Life,"&lt;"&amp;T_4)</f>
        <v>0</v>
      </c>
      <c r="I155" s="49" cm="1">
        <f t="array" aca="1" ref="I155" ca="1">_xll.VoseOutput("Failures, late replacement, Y2 Q2","failures")+COUNTIFS(E_4,"&gt;"&amp;5*Horizon/8,E_4,"&lt;="&amp;6*Horizon/8,Life,"&lt;"&amp;T_4)</f>
        <v>0</v>
      </c>
      <c r="J155" s="49" cm="1">
        <f t="array" aca="1" ref="J155" ca="1">_xll.VoseOutput("Failures, late replacement, Y2 Q3","failures")+COUNTIFS(E_4,"&gt;"&amp;6*Horizon/8,E_4,"&lt;="&amp;7*Horizon/8,Life,"&lt;"&amp;T_4)</f>
        <v>0</v>
      </c>
      <c r="K155" s="49" cm="1">
        <f t="array" aca="1" ref="K155" ca="1">_xll.VoseOutput("Failures, late replacement, Y2 Q4","failures")+COUNTIFS(E_4,"&gt;"&amp;7*Horizon/8,E_4,"&lt;="&amp;8*Horizon/8,Life,"&lt;"&amp;T_4)</f>
        <v>0</v>
      </c>
      <c r="L155" s="28"/>
      <c r="M155" s="28"/>
      <c r="N155" s="28"/>
      <c r="O155" s="28"/>
    </row>
    <row r="156" spans="2:15" ht="8" customHeight="1" x14ac:dyDescent="0.45"/>
    <row r="157" spans="2:15" ht="22.05" customHeight="1" x14ac:dyDescent="0.5">
      <c r="B157" s="7" t="s">
        <v>225</v>
      </c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2:15" ht="18" customHeight="1" x14ac:dyDescent="0.45">
      <c r="B158" s="13" t="s">
        <v>226</v>
      </c>
    </row>
    <row r="159" spans="2:15" x14ac:dyDescent="0.45">
      <c r="B159" s="25" t="s">
        <v>227</v>
      </c>
      <c r="C159" s="28"/>
      <c r="D159" s="51" t="str">
        <f ca="1">IF(MIN(INDEX(E_1,0,10),INDEX(E_2,0,10),INDEX(E_3,0,10),INDEX(E_4,0,10))&gt;Horizon,"OK","CHECK")</f>
        <v>OK</v>
      </c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2:15" x14ac:dyDescent="0.45">
      <c r="B160" s="25" t="s">
        <v>228</v>
      </c>
      <c r="C160" s="28"/>
      <c r="D160" s="51" t="str">
        <f>IF(AND(AgeEarly&lt;AgeMid,AgeMid&lt;AgeLate),"OK","CHECK")</f>
        <v>OK</v>
      </c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2:15" x14ac:dyDescent="0.45">
      <c r="B161" s="25" t="s">
        <v>229</v>
      </c>
      <c r="C161" s="28"/>
      <c r="D161" s="51" t="str">
        <f>IF(AND(Spares&gt;=0,Spares&lt;=3,Spares=INT(Spares)),"OK","CHECK")</f>
        <v>OK</v>
      </c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</row>
    <row r="162" spans="2:15" x14ac:dyDescent="0.45">
      <c r="B162" s="25" t="s">
        <v>230</v>
      </c>
      <c r="C162" s="28"/>
      <c r="D162" s="51" t="str">
        <f ca="1">IF(ABS(SUM(D152:K152)-NFail_1)+ABS(SUM(D153:K153)-NFail_2)+ABS(SUM(D154:K154)-NFail_3)+ABS(SUM(D155:K155)-NFail_4)=0,"OK","CHECK")</f>
        <v>OK</v>
      </c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</row>
    <row r="163" spans="2:15" ht="14" customHeight="1" x14ac:dyDescent="0.45"/>
    <row r="164" spans="2:15" ht="22.05" customHeight="1" x14ac:dyDescent="0.5">
      <c r="B164" s="7" t="s">
        <v>231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spans="2:15" ht="18" customHeight="1" x14ac:dyDescent="0.45">
      <c r="B165" s="13" t="s">
        <v>232</v>
      </c>
    </row>
    <row r="166" spans="2:15" ht="18" customHeight="1" x14ac:dyDescent="0.45">
      <c r="B166" s="35" t="s">
        <v>142</v>
      </c>
      <c r="C166" s="35" t="s">
        <v>98</v>
      </c>
      <c r="D166" s="36" t="s">
        <v>143</v>
      </c>
      <c r="E166" s="5"/>
      <c r="F166" s="35" t="s">
        <v>144</v>
      </c>
      <c r="G166" s="5"/>
      <c r="H166" s="5"/>
      <c r="I166" s="5"/>
      <c r="J166" s="5"/>
      <c r="K166" s="5"/>
      <c r="L166" s="5"/>
      <c r="M166" s="5"/>
      <c r="N166" s="5"/>
      <c r="O166" s="5"/>
    </row>
    <row r="167" spans="2:15" x14ac:dyDescent="0.45">
      <c r="B167" s="25" t="s">
        <v>233</v>
      </c>
      <c r="C167" s="26" t="s">
        <v>103</v>
      </c>
      <c r="D167" s="37">
        <f>Scale*EXP(GAMMALN(1+1/Shape))</f>
        <v>6210.8467225215272</v>
      </c>
      <c r="E167" s="28"/>
      <c r="F167" s="26" t="s">
        <v>234</v>
      </c>
      <c r="G167" s="28"/>
      <c r="H167" s="28"/>
      <c r="I167" s="28"/>
      <c r="J167" s="28"/>
      <c r="K167" s="28"/>
      <c r="L167" s="28"/>
      <c r="M167" s="28"/>
      <c r="N167" s="28"/>
      <c r="O167" s="28"/>
    </row>
    <row r="168" spans="2:15" x14ac:dyDescent="0.45">
      <c r="B168" s="25" t="s">
        <v>41</v>
      </c>
      <c r="C168" s="26" t="s">
        <v>235</v>
      </c>
      <c r="D168" s="52">
        <f>ROWS(Life)</f>
        <v>8</v>
      </c>
      <c r="E168" s="28"/>
      <c r="F168" s="26" t="s">
        <v>236</v>
      </c>
      <c r="G168" s="28"/>
      <c r="H168" s="28"/>
      <c r="I168" s="28"/>
      <c r="J168" s="28"/>
      <c r="K168" s="28"/>
      <c r="L168" s="28"/>
      <c r="M168" s="28"/>
      <c r="N168" s="28"/>
      <c r="O168" s="28"/>
    </row>
    <row r="169" spans="2:15" ht="6" customHeight="1" x14ac:dyDescent="0.45"/>
    <row r="170" spans="2:15" ht="18" customHeight="1" x14ac:dyDescent="0.45">
      <c r="B170" s="35" t="s">
        <v>61</v>
      </c>
      <c r="C170" s="5"/>
      <c r="D170" s="47" t="s">
        <v>237</v>
      </c>
      <c r="E170" s="47" t="s">
        <v>238</v>
      </c>
      <c r="F170" s="47" t="s">
        <v>239</v>
      </c>
      <c r="G170" s="47" t="s">
        <v>240</v>
      </c>
      <c r="H170" s="47" t="s">
        <v>241</v>
      </c>
      <c r="I170" s="47" t="s">
        <v>242</v>
      </c>
      <c r="J170" s="47" t="s">
        <v>243</v>
      </c>
      <c r="K170" s="47" t="s">
        <v>244</v>
      </c>
      <c r="L170" s="5"/>
      <c r="M170" s="5"/>
      <c r="N170" s="5"/>
      <c r="O170" s="5"/>
    </row>
    <row r="171" spans="2:15" x14ac:dyDescent="0.45">
      <c r="D171" s="48" t="s">
        <v>103</v>
      </c>
      <c r="E171" s="48"/>
      <c r="F171" s="48" t="s">
        <v>245</v>
      </c>
      <c r="G171" s="48" t="s">
        <v>246</v>
      </c>
      <c r="H171" s="48" t="s">
        <v>247</v>
      </c>
      <c r="I171" s="48" t="s">
        <v>248</v>
      </c>
      <c r="J171" s="48" t="s">
        <v>119</v>
      </c>
      <c r="K171" s="48" t="s">
        <v>119</v>
      </c>
    </row>
    <row r="172" spans="2:15" x14ac:dyDescent="0.45">
      <c r="B172" s="25" t="s">
        <v>204</v>
      </c>
      <c r="C172" s="28"/>
      <c r="D172" s="40">
        <f>T_1</f>
        <v>1000000000</v>
      </c>
      <c r="E172" s="53">
        <f>(D172/Scale)^Shape</f>
        <v>7713560673657.6797</v>
      </c>
      <c r="F172" s="54" cm="1">
        <f t="array" ref="F172">_xll.VoseProb(D172,_xll.VoseWeibullObject(Shape,Scale),TRUE)</f>
        <v>1</v>
      </c>
      <c r="G172" s="54">
        <f>GAMMADIST(E172,1/Shape,1,TRUE)</f>
        <v>1</v>
      </c>
      <c r="H172" s="37">
        <f>MeanLife*G172</f>
        <v>6210.8467225215272</v>
      </c>
      <c r="I172" s="39">
        <f>CostPlan*(1-F172)+CostFail*F172</f>
        <v>21</v>
      </c>
      <c r="J172" s="39">
        <f>I172/H172*1000</f>
        <v>3.3811814939580827</v>
      </c>
      <c r="K172" s="38">
        <f>I172/H172*NSpindles*Horizon</f>
        <v>324.59342341997598</v>
      </c>
      <c r="L172" s="28"/>
      <c r="M172" s="28"/>
      <c r="N172" s="28"/>
      <c r="O172" s="28"/>
    </row>
    <row r="173" spans="2:15" x14ac:dyDescent="0.45">
      <c r="B173" s="25" t="s">
        <v>205</v>
      </c>
      <c r="C173" s="28"/>
      <c r="D173" s="40">
        <f>T_2</f>
        <v>2500</v>
      </c>
      <c r="E173" s="53">
        <f>(D173/Scale)^Shape</f>
        <v>7.6226314370815937E-2</v>
      </c>
      <c r="F173" s="54" cm="1">
        <f t="array" ref="F173">_xll.VoseProb(D173,_xll.VoseWeibullObject(Shape,Scale),TRUE)</f>
        <v>7.3393521534131409E-2</v>
      </c>
      <c r="G173" s="54">
        <f>GAMMADIST(E173,1/Shape,1,TRUE)</f>
        <v>0.39394656752475427</v>
      </c>
      <c r="H173" s="37">
        <f>MeanLife*G173</f>
        <v>2446.7417477597255</v>
      </c>
      <c r="I173" s="39">
        <f>CostPlan*(1-F173)+CostFail*F173</f>
        <v>5.2476898660802345</v>
      </c>
      <c r="J173" s="39">
        <f>I173/H173*1000</f>
        <v>2.1447665536769871</v>
      </c>
      <c r="K173" s="38">
        <f>I173/H173*NSpindles*Horizon</f>
        <v>205.89758915299078</v>
      </c>
      <c r="L173" s="28"/>
      <c r="M173" s="28"/>
      <c r="N173" s="28"/>
      <c r="O173" s="28"/>
    </row>
    <row r="174" spans="2:15" x14ac:dyDescent="0.45">
      <c r="B174" s="25" t="s">
        <v>206</v>
      </c>
      <c r="C174" s="28"/>
      <c r="D174" s="40">
        <f>T_3</f>
        <v>3500</v>
      </c>
      <c r="E174" s="53">
        <f>(D174/Scale)^Shape</f>
        <v>0.17677669529663689</v>
      </c>
      <c r="F174" s="54" cm="1">
        <f t="array" ref="F174">_xll.VoseProb(D174,_xll.VoseWeibullObject(Shape,Scale),TRUE)</f>
        <v>0.1620331144212443</v>
      </c>
      <c r="G174" s="54">
        <f>GAMMADIST(E174,1/Shape,1,TRUE)</f>
        <v>0.5364761848361429</v>
      </c>
      <c r="H174" s="37">
        <f>MeanLife*G174</f>
        <v>3331.9713543004113</v>
      </c>
      <c r="I174" s="39">
        <f>CostPlan*(1-F174)+CostFail*F174</f>
        <v>6.7545629451611529</v>
      </c>
      <c r="J174" s="39">
        <f>I174/H174*1000</f>
        <v>2.0271971835662304</v>
      </c>
      <c r="K174" s="38">
        <f>I174/H174*NSpindles*Horizon</f>
        <v>194.61092962235813</v>
      </c>
      <c r="L174" s="28"/>
      <c r="M174" s="28"/>
      <c r="N174" s="28"/>
      <c r="O174" s="28"/>
    </row>
    <row r="175" spans="2:15" x14ac:dyDescent="0.45">
      <c r="B175" s="25" t="s">
        <v>207</v>
      </c>
      <c r="C175" s="28"/>
      <c r="D175" s="40">
        <f>T_4</f>
        <v>5000</v>
      </c>
      <c r="E175" s="53">
        <f>(D175/Scale)^Shape</f>
        <v>0.43120115037169215</v>
      </c>
      <c r="F175" s="54" cm="1">
        <f t="array" ref="F175">_xll.VoseProb(D175,_xll.VoseWeibullObject(Shape,Scale),TRUE)</f>
        <v>0.35027179544045778</v>
      </c>
      <c r="G175" s="54">
        <f>GAMMADIST(E175,1/Shape,1,TRUE)</f>
        <v>0.71716825916658478</v>
      </c>
      <c r="H175" s="37">
        <f>MeanLife*G175</f>
        <v>4454.222131941252</v>
      </c>
      <c r="I175" s="39">
        <f>CostPlan*(1-F175)+CostFail*F175</f>
        <v>9.9546205224877831</v>
      </c>
      <c r="J175" s="39">
        <f>I175/H175*1000</f>
        <v>2.2348729424837486</v>
      </c>
      <c r="K175" s="38">
        <f>I175/H175*NSpindles*Horizon</f>
        <v>214.54780247843988</v>
      </c>
      <c r="L175" s="28"/>
      <c r="M175" s="28"/>
      <c r="N175" s="28"/>
      <c r="O175" s="28"/>
    </row>
    <row r="176" spans="2:15" x14ac:dyDescent="0.45">
      <c r="B176" s="46" t="s">
        <v>249</v>
      </c>
    </row>
    <row r="177" spans="2:2" x14ac:dyDescent="0.45">
      <c r="B177" s="46" t="s">
        <v>250</v>
      </c>
    </row>
  </sheetData>
  <conditionalFormatting sqref="D159:D162">
    <cfRule type="expression" dxfId="5" priority="1">
      <formula>D159="CHECK"</formula>
    </cfRule>
  </conditionalFormatting>
  <hyperlinks>
    <hyperlink ref="B4" location="'Inputs'!A1" display="◂  Inputs" xr:uid="{00000000-0004-0000-0200-000000000000}"/>
    <hyperlink ref="O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89" fitToHeight="0" orientation="landscape" r:id="rId1"/>
  <headerFooter>
    <oddFooter>&amp;L&amp;K3F5876&amp;8&amp;F · &amp;A&amp;R&amp;K3F5876&amp;8Page &amp;P of &amp;N</oddFooter>
  </headerFooter>
  <rowBreaks count="6" manualBreakCount="6">
    <brk id="31" max="16383" man="1"/>
    <brk id="55" max="16383" man="1"/>
    <brk id="79" max="16383" man="1"/>
    <brk id="103" max="16383" man="1"/>
    <brk id="127" max="16383" man="1"/>
    <brk id="1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11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252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5" t="str" cm="1">
        <f t="array" aca="1" ref="B6" ca="1">IF(ISNUMBER(_xll.VoseSimMean(CostS_3)),"✔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56"/>
      <c r="D6" s="56"/>
      <c r="E6" s="56"/>
      <c r="F6" s="56"/>
      <c r="G6" s="56"/>
    </row>
    <row r="7" spans="1:18" x14ac:dyDescent="0.45">
      <c r="B7" s="57" t="str">
        <f ca="1"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253</v>
      </c>
      <c r="C9" s="8"/>
      <c r="D9" s="8"/>
      <c r="E9" s="8"/>
      <c r="F9" s="8"/>
      <c r="G9" s="8"/>
      <c r="I9" s="58" t="s">
        <v>254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255</v>
      </c>
    </row>
    <row r="11" spans="1:18" ht="18" customHeight="1" x14ac:dyDescent="0.45">
      <c r="B11" s="59" t="s">
        <v>61</v>
      </c>
      <c r="C11" s="60" t="s">
        <v>256</v>
      </c>
      <c r="D11" s="60" t="s">
        <v>210</v>
      </c>
      <c r="E11" s="60" t="s">
        <v>211</v>
      </c>
      <c r="F11" s="60" t="s">
        <v>212</v>
      </c>
      <c r="G11" s="60" t="s">
        <v>213</v>
      </c>
    </row>
    <row r="12" spans="1:18" x14ac:dyDescent="0.45">
      <c r="B12" s="48"/>
      <c r="C12" s="48" t="s">
        <v>257</v>
      </c>
      <c r="D12" s="48" t="s">
        <v>258</v>
      </c>
      <c r="E12" s="48" t="s">
        <v>258</v>
      </c>
      <c r="F12" s="48" t="s">
        <v>258</v>
      </c>
      <c r="G12" s="48" t="s">
        <v>258</v>
      </c>
    </row>
    <row r="13" spans="1:18" x14ac:dyDescent="0.45">
      <c r="B13" s="25" t="s">
        <v>204</v>
      </c>
      <c r="C13" s="38">
        <f>LR_1</f>
        <v>324.59342341997598</v>
      </c>
      <c r="D13" s="61" cm="1">
        <f t="array" aca="1" ref="D13" ca="1">_xll.VoseSimMean(Cost_1_0)</f>
        <v>696.98879999999997</v>
      </c>
      <c r="E13" s="61" cm="1">
        <f t="array" aca="1" ref="E13" ca="1">_xll.VoseSimMean(Cost_1_1)</f>
        <v>541.00160000000005</v>
      </c>
      <c r="F13" s="61" cm="1">
        <f t="array" aca="1" ref="F13" ca="1">_xll.VoseSimMean(Cost_1_2)</f>
        <v>376.48239999999998</v>
      </c>
      <c r="G13" s="61" cm="1">
        <f t="array" aca="1" ref="G13" ca="1">_xll.VoseSimMean(Cost_1_3)</f>
        <v>291.75720000000001</v>
      </c>
    </row>
    <row r="14" spans="1:18" x14ac:dyDescent="0.45">
      <c r="B14" s="25" t="str">
        <f>"2  Replace at "&amp;TEXT(AgeEarly,"#,##0")&amp;" hours"</f>
        <v>2  Replace at 2,500 hours</v>
      </c>
      <c r="C14" s="38">
        <f>LR_2</f>
        <v>205.89758915299078</v>
      </c>
      <c r="D14" s="61" cm="1">
        <f t="array" aca="1" ref="D14" ca="1">_xll.VoseSimMean(Cost_2_0)</f>
        <v>280.82429999999999</v>
      </c>
      <c r="E14" s="61" cm="1">
        <f t="array" aca="1" ref="E14" ca="1">_xll.VoseSimMean(Cost_2_1)</f>
        <v>201.7655</v>
      </c>
      <c r="F14" s="61" cm="1">
        <f t="array" aca="1" ref="F14" ca="1">_xll.VoseSimMean(Cost_2_2)</f>
        <v>186.0163</v>
      </c>
      <c r="G14" s="61" cm="1">
        <f t="array" aca="1" ref="G14" ca="1">_xll.VoseSimMean(Cost_2_3)</f>
        <v>185.28630000000001</v>
      </c>
    </row>
    <row r="15" spans="1:18" x14ac:dyDescent="0.45">
      <c r="B15" s="25" t="str">
        <f>"3  Replace at "&amp;TEXT(AgeMid,"#,##0")&amp;" hours"</f>
        <v>3  Replace at 3,500 hours</v>
      </c>
      <c r="C15" s="38">
        <f>LR_3</f>
        <v>194.61092962235813</v>
      </c>
      <c r="D15" s="61" cm="1">
        <f t="array" aca="1" ref="D15" ca="1">_xll.VoseSimMean(Cost_3_0)</f>
        <v>327.13560000000001</v>
      </c>
      <c r="E15" s="61" cm="1">
        <f t="array" aca="1" ref="E15" ca="1">_xll.VoseSimMean(Cost_3_1)</f>
        <v>220.5224</v>
      </c>
      <c r="F15" s="61" cm="1">
        <f t="array" aca="1" ref="F15" ca="1">_xll.VoseSimMean(Cost_3_2)</f>
        <v>183.4144</v>
      </c>
      <c r="G15" s="61" cm="1">
        <f t="array" aca="1" ref="G15" ca="1">_xll.VoseSimMean(Cost_3_3)</f>
        <v>177.2628</v>
      </c>
    </row>
    <row r="16" spans="1:18" x14ac:dyDescent="0.45">
      <c r="B16" s="25" t="str">
        <f>"4  Replace at "&amp;TEXT(AgeLate,"#,##0")&amp;" hours"</f>
        <v>4  Replace at 5,000 hours</v>
      </c>
      <c r="C16" s="38">
        <f>LR_4</f>
        <v>214.54780247843988</v>
      </c>
      <c r="D16" s="61" cm="1">
        <f t="array" aca="1" ref="D16" ca="1">_xll.VoseSimMean(Cost_4_0)</f>
        <v>428.38310000000001</v>
      </c>
      <c r="E16" s="61" cm="1">
        <f t="array" aca="1" ref="E16" ca="1">_xll.VoseSimMean(Cost_4_1)</f>
        <v>292.1995</v>
      </c>
      <c r="F16" s="61" cm="1">
        <f t="array" aca="1" ref="F16" ca="1">_xll.VoseSimMean(Cost_4_2)</f>
        <v>216.37710000000001</v>
      </c>
      <c r="G16" s="61" cm="1">
        <f t="array" aca="1" ref="G16" ca="1">_xll.VoseSimMean(Cost_4_3)</f>
        <v>194.2955</v>
      </c>
    </row>
    <row r="17" spans="2:18" x14ac:dyDescent="0.45">
      <c r="B17" s="46" t="s">
        <v>259</v>
      </c>
    </row>
    <row r="18" spans="2:18" ht="8" customHeight="1" x14ac:dyDescent="0.45"/>
    <row r="25" spans="2:18" ht="22.05" customHeight="1" x14ac:dyDescent="0.5">
      <c r="B25" s="7" t="s">
        <v>260</v>
      </c>
      <c r="C25" s="8"/>
      <c r="D25" s="8"/>
      <c r="E25" s="8"/>
      <c r="F25" s="8"/>
      <c r="G25" s="8"/>
      <c r="I25" s="58" t="s">
        <v>261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ht="18" customHeight="1" x14ac:dyDescent="0.45">
      <c r="B26" s="13" t="s">
        <v>262</v>
      </c>
    </row>
    <row r="27" spans="2:18" ht="18" customHeight="1" x14ac:dyDescent="0.45">
      <c r="B27" s="59" t="s">
        <v>61</v>
      </c>
      <c r="C27" s="60" t="s">
        <v>188</v>
      </c>
      <c r="D27" s="60" t="s">
        <v>188</v>
      </c>
      <c r="E27" s="60" t="s">
        <v>189</v>
      </c>
      <c r="F27" s="60" t="s">
        <v>200</v>
      </c>
      <c r="G27" s="60" t="s">
        <v>263</v>
      </c>
    </row>
    <row r="28" spans="2:18" x14ac:dyDescent="0.45">
      <c r="B28" s="48"/>
      <c r="C28" s="48" t="s">
        <v>264</v>
      </c>
      <c r="D28" s="48" t="s">
        <v>265</v>
      </c>
      <c r="E28" s="48" t="s">
        <v>264</v>
      </c>
      <c r="F28" s="48" t="s">
        <v>265</v>
      </c>
      <c r="G28" s="48" t="s">
        <v>266</v>
      </c>
    </row>
    <row r="29" spans="2:18" x14ac:dyDescent="0.45">
      <c r="B29" s="25" t="s">
        <v>204</v>
      </c>
      <c r="C29" s="61" cm="1">
        <f t="array" aca="1" ref="C29" ca="1">_xll.VoseSimMean(Fail_1)</f>
        <v>12.228</v>
      </c>
      <c r="D29" s="62" cm="1">
        <f t="array" aca="1" ref="D29" ca="1">_xll.VoseSimPercentile(Fail_1,0.9)</f>
        <v>15</v>
      </c>
      <c r="E29" s="61" cm="1">
        <f t="array" aca="1" ref="E29" ca="1">_xll.VoseSimMean(Plan_1)</f>
        <v>0</v>
      </c>
      <c r="F29" s="62" cm="1">
        <f t="array" aca="1" ref="F29" ca="1">_xll.VoseSimPercentile(Kits_1,0.9)</f>
        <v>15</v>
      </c>
      <c r="G29" s="63" cm="1">
        <f t="array" aca="1" ref="G29" ca="1">IFERROR(1-_xll.VoseSimProbability(SOS_1,0),"–")</f>
        <v>0.9619038096190381</v>
      </c>
    </row>
    <row r="30" spans="2:18" x14ac:dyDescent="0.45">
      <c r="B30" s="25" t="str">
        <f>"2  Replace at "&amp;TEXT(AgeEarly,"#,##0")&amp;" hours"</f>
        <v>2  Replace at 2,500 hours</v>
      </c>
      <c r="C30" s="61" cm="1">
        <f t="array" aca="1" ref="C30" ca="1">_xll.VoseSimMean(Fail_2)</f>
        <v>2.7610999999999999</v>
      </c>
      <c r="D30" s="62" cm="1">
        <f t="array" aca="1" ref="D30" ca="1">_xll.VoseSimPercentile(Fail_2,0.9)</f>
        <v>5</v>
      </c>
      <c r="E30" s="61" cm="1">
        <f t="array" aca="1" ref="E30" ca="1">_xll.VoseSimMean(Plan_2)</f>
        <v>30.862200000000001</v>
      </c>
      <c r="F30" s="62" cm="1">
        <f t="array" aca="1" ref="F30" ca="1">_xll.VoseSimPercentile(Kits_2,0.9)</f>
        <v>35</v>
      </c>
      <c r="G30" s="63" cm="1">
        <f t="array" aca="1" ref="G30" ca="1">IFERROR(1-_xll.VoseSimProbability(SOS_2,0),"–")</f>
        <v>5.1094890510948954E-2</v>
      </c>
    </row>
    <row r="31" spans="2:18" x14ac:dyDescent="0.45">
      <c r="B31" s="25" t="str">
        <f>"3  Replace at "&amp;TEXT(AgeMid,"#,##0")&amp;" hours"</f>
        <v>3  Replace at 3,500 hours</v>
      </c>
      <c r="C31" s="61" cm="1">
        <f t="array" aca="1" ref="C31" ca="1">_xll.VoseSimMean(Fail_3)</f>
        <v>4.2896000000000001</v>
      </c>
      <c r="D31" s="62" cm="1">
        <f t="array" aca="1" ref="D31" ca="1">_xll.VoseSimPercentile(Fail_3,0.9)</f>
        <v>7</v>
      </c>
      <c r="E31" s="61" cm="1">
        <f t="array" aca="1" ref="E31" ca="1">_xll.VoseSimMean(Plan_3)</f>
        <v>20.658899999999999</v>
      </c>
      <c r="F31" s="62" cm="1">
        <f t="array" aca="1" ref="F31" ca="1">_xll.VoseSimPercentile(Kits_3,0.9)</f>
        <v>26</v>
      </c>
      <c r="G31" s="63" cm="1">
        <f t="array" aca="1" ref="G31" ca="1">IFERROR(1-_xll.VoseSimProbability(SOS_3,0),"–")</f>
        <v>0.17458254174582544</v>
      </c>
    </row>
    <row r="32" spans="2:18" x14ac:dyDescent="0.45">
      <c r="B32" s="25" t="str">
        <f>"4  Replace at "&amp;TEXT(AgeLate,"#,##0")&amp;" hours"</f>
        <v>4  Replace at 5,000 hours</v>
      </c>
      <c r="C32" s="61" cm="1">
        <f t="array" aca="1" ref="C32" ca="1">_xll.VoseSimMean(Fail_4)</f>
        <v>6.7443</v>
      </c>
      <c r="D32" s="62" cm="1">
        <f t="array" aca="1" ref="D32" ca="1">_xll.VoseSimPercentile(Fail_4,0.9)</f>
        <v>10</v>
      </c>
      <c r="E32" s="61" cm="1">
        <f t="array" aca="1" ref="E32" ca="1">_xll.VoseSimMean(Plan_4)</f>
        <v>10.9922</v>
      </c>
      <c r="F32" s="62" cm="1">
        <f t="array" aca="1" ref="F32" ca="1">_xll.VoseSimPercentile(Kits_4,0.9)</f>
        <v>19</v>
      </c>
      <c r="G32" s="63" cm="1">
        <f t="array" aca="1" ref="G32" ca="1">IFERROR(1-_xll.VoseSimProbability(SOS_4,0),"–")</f>
        <v>0.45995400459954006</v>
      </c>
    </row>
    <row r="33" spans="2:7" x14ac:dyDescent="0.45">
      <c r="B33" s="46" t="s">
        <v>267</v>
      </c>
    </row>
    <row r="34" spans="2:7" ht="8" customHeight="1" x14ac:dyDescent="0.45"/>
    <row r="35" spans="2:7" ht="18" customHeight="1" x14ac:dyDescent="0.45">
      <c r="B35" s="23" t="s">
        <v>268</v>
      </c>
      <c r="C35" s="24" t="s">
        <v>210</v>
      </c>
      <c r="D35" s="24" t="s">
        <v>211</v>
      </c>
      <c r="E35" s="24" t="s">
        <v>212</v>
      </c>
      <c r="F35" s="24" t="s">
        <v>213</v>
      </c>
      <c r="G35" s="5"/>
    </row>
    <row r="36" spans="2:7" x14ac:dyDescent="0.45">
      <c r="B36" s="25" t="s">
        <v>204</v>
      </c>
      <c r="C36" s="63" cm="1">
        <f t="array" aca="1" ref="C36" ca="1">IFERROR(1-_xll.VoseSimProbability(SO_1_0,0),"–")</f>
        <v>1</v>
      </c>
      <c r="D36" s="63" cm="1">
        <f t="array" aca="1" ref="D36" ca="1">IFERROR(1-_xll.VoseSimProbability(SO_1_1,0),"–")</f>
        <v>0.99990000999900008</v>
      </c>
      <c r="E36" s="63" cm="1">
        <f t="array" aca="1" ref="E36" ca="1">IFERROR(1-_xll.VoseSimProbability(SO_1_2,0),"–")</f>
        <v>0.9619038096190381</v>
      </c>
      <c r="F36" s="63" cm="1">
        <f t="array" aca="1" ref="F36" ca="1">IFERROR(1-_xll.VoseSimProbability(SO_1_3,0),"–")</f>
        <v>0.50404959504049596</v>
      </c>
      <c r="G36" s="28"/>
    </row>
    <row r="37" spans="2:7" x14ac:dyDescent="0.45">
      <c r="B37" s="25" t="str">
        <f>"2  Replace at "&amp;TEXT(AgeEarly,"#,##0")&amp;" hours"</f>
        <v>2  Replace at 2,500 hours</v>
      </c>
      <c r="C37" s="63" cm="1">
        <f t="array" aca="1" ref="C37" ca="1">IFERROR(1-_xll.VoseSimProbability(SO_2_0,0),"–")</f>
        <v>0.93980601939806019</v>
      </c>
      <c r="D37" s="63" cm="1">
        <f t="array" aca="1" ref="D37" ca="1">IFERROR(1-_xll.VoseSimProbability(SO_2_1,0),"–")</f>
        <v>0.36776322367763226</v>
      </c>
      <c r="E37" s="63" cm="1">
        <f t="array" aca="1" ref="E37" ca="1">IFERROR(1-_xll.VoseSimProbability(SO_2_2,0),"–")</f>
        <v>5.1094890510948954E-2</v>
      </c>
      <c r="F37" s="63" cm="1">
        <f t="array" aca="1" ref="F37" ca="1">IFERROR(1-_xll.VoseSimProbability(SO_2_3,0),"–")</f>
        <v>2.9997000299970544E-3</v>
      </c>
      <c r="G37" s="28"/>
    </row>
    <row r="38" spans="2:7" x14ac:dyDescent="0.45">
      <c r="B38" s="25" t="str">
        <f>"3  Replace at "&amp;TEXT(AgeMid,"#,##0")&amp;" hours"</f>
        <v>3  Replace at 3,500 hours</v>
      </c>
      <c r="C38" s="63" cm="1">
        <f t="array" aca="1" ref="C38" ca="1">IFERROR(1-_xll.VoseSimProbability(SO_3_0,0),"–")</f>
        <v>0.9873012698730127</v>
      </c>
      <c r="D38" s="63" cm="1">
        <f t="array" aca="1" ref="D38" ca="1">IFERROR(1-_xll.VoseSimProbability(SO_3_1,0),"–")</f>
        <v>0.66613338666133393</v>
      </c>
      <c r="E38" s="63" cm="1">
        <f t="array" aca="1" ref="E38" ca="1">IFERROR(1-_xll.VoseSimProbability(SO_3_2,0),"–")</f>
        <v>0.17458254174582544</v>
      </c>
      <c r="F38" s="63" cm="1">
        <f t="array" aca="1" ref="F38" ca="1">IFERROR(1-_xll.VoseSimProbability(SO_3_3,0),"–")</f>
        <v>1.9298070192980687E-2</v>
      </c>
      <c r="G38" s="28"/>
    </row>
    <row r="39" spans="2:7" x14ac:dyDescent="0.45">
      <c r="B39" s="25" t="str">
        <f>"4  Replace at "&amp;TEXT(AgeLate,"#,##0")&amp;" hours"</f>
        <v>4  Replace at 5,000 hours</v>
      </c>
      <c r="C39" s="63" cm="1">
        <f t="array" aca="1" ref="C39" ca="1">IFERROR(1-_xll.VoseSimProbability(SO_4_0,0),"–")</f>
        <v>0.99940005999400061</v>
      </c>
      <c r="D39" s="63" cm="1">
        <f t="array" aca="1" ref="D39" ca="1">IFERROR(1-_xll.VoseSimProbability(SO_4_1,0),"–")</f>
        <v>0.90750924907509245</v>
      </c>
      <c r="E39" s="63" cm="1">
        <f t="array" aca="1" ref="E39" ca="1">IFERROR(1-_xll.VoseSimProbability(SO_4_2,0),"–")</f>
        <v>0.45995400459954006</v>
      </c>
      <c r="F39" s="63" cm="1">
        <f t="array" aca="1" ref="F39" ca="1">IFERROR(1-_xll.VoseSimProbability(SO_4_3,0),"–")</f>
        <v>0.10398960103989596</v>
      </c>
      <c r="G39" s="28"/>
    </row>
    <row r="40" spans="2:7" ht="8" customHeight="1" x14ac:dyDescent="0.45"/>
    <row r="41" spans="2:7" ht="22.05" customHeight="1" x14ac:dyDescent="0.5">
      <c r="B41" s="7" t="s">
        <v>269</v>
      </c>
      <c r="C41" s="8"/>
      <c r="D41" s="8"/>
      <c r="E41" s="8"/>
      <c r="F41" s="8"/>
      <c r="G41" s="8"/>
    </row>
    <row r="42" spans="2:7" ht="45" customHeight="1" x14ac:dyDescent="0.45">
      <c r="B42" s="67" t="s">
        <v>270</v>
      </c>
      <c r="C42" s="68"/>
      <c r="D42" s="68"/>
      <c r="E42" s="68"/>
      <c r="F42" s="68"/>
      <c r="G42" s="68"/>
    </row>
    <row r="43" spans="2:7" ht="45" customHeight="1" x14ac:dyDescent="0.45">
      <c r="B43" s="67" t="s">
        <v>271</v>
      </c>
      <c r="C43" s="68"/>
      <c r="D43" s="68"/>
      <c r="E43" s="68"/>
      <c r="F43" s="68"/>
      <c r="G43" s="68"/>
    </row>
    <row r="44" spans="2:7" ht="45" customHeight="1" x14ac:dyDescent="0.45">
      <c r="B44" s="67" t="s">
        <v>272</v>
      </c>
      <c r="C44" s="68"/>
      <c r="D44" s="68"/>
      <c r="E44" s="68"/>
      <c r="F44" s="68"/>
      <c r="G44" s="68"/>
    </row>
    <row r="45" spans="2:7" ht="45" customHeight="1" x14ac:dyDescent="0.45">
      <c r="B45" s="67" t="s">
        <v>273</v>
      </c>
      <c r="C45" s="68"/>
      <c r="D45" s="68"/>
      <c r="E45" s="68"/>
      <c r="F45" s="68"/>
      <c r="G45" s="68"/>
    </row>
    <row r="46" spans="2:7" ht="32" customHeight="1" x14ac:dyDescent="0.45">
      <c r="B46" s="67" t="s">
        <v>274</v>
      </c>
      <c r="C46" s="68"/>
      <c r="D46" s="68"/>
      <c r="E46" s="68"/>
      <c r="F46" s="68"/>
      <c r="G46" s="68"/>
    </row>
    <row r="47" spans="2:7" ht="14" customHeight="1" x14ac:dyDescent="0.45"/>
    <row r="48" spans="2:7" ht="14" customHeight="1" x14ac:dyDescent="0.45"/>
    <row r="49" spans="2:7" ht="22.05" customHeight="1" x14ac:dyDescent="0.5">
      <c r="B49" s="7" t="s">
        <v>275</v>
      </c>
      <c r="C49" s="8"/>
      <c r="D49" s="8"/>
      <c r="E49" s="8"/>
      <c r="F49" s="8"/>
      <c r="G49" s="8"/>
    </row>
    <row r="50" spans="2:7" ht="18" customHeight="1" x14ac:dyDescent="0.45">
      <c r="B50" s="13" t="s">
        <v>276</v>
      </c>
    </row>
    <row r="51" spans="2:7" ht="28.05" hidden="1" customHeight="1" outlineLevel="1" x14ac:dyDescent="0.45">
      <c r="B51" s="24" t="s">
        <v>277</v>
      </c>
      <c r="C51" s="24" t="s">
        <v>278</v>
      </c>
      <c r="D51" s="24" t="s">
        <v>279</v>
      </c>
      <c r="E51" s="24" t="s">
        <v>280</v>
      </c>
      <c r="F51" s="24" t="s">
        <v>281</v>
      </c>
      <c r="G51" s="24" t="s">
        <v>282</v>
      </c>
    </row>
    <row r="52" spans="2:7" hidden="1" outlineLevel="1" x14ac:dyDescent="0.45">
      <c r="B52" s="64">
        <v>0.01</v>
      </c>
      <c r="C52" s="64">
        <f t="shared" ref="C52:C83" si="0">1-B52</f>
        <v>0.99</v>
      </c>
      <c r="D52" s="65" cm="1">
        <f t="array" aca="1" ref="D52" ca="1">IF(ISNUMBER(_xll.VoseSimPercentile(CostS_1,$B52)),_xll.VoseSimPercentile(CostS_1,$B52),NA())</f>
        <v>191.5</v>
      </c>
      <c r="E52" s="65" cm="1">
        <f t="array" aca="1" ref="E52" ca="1">IF(ISNUMBER(_xll.VoseSimPercentile(CostS_2,$B52)),_xll.VoseSimPercentile(CostS_2,$B52),NA())</f>
        <v>130.5</v>
      </c>
      <c r="F52" s="65" cm="1">
        <f t="array" aca="1" ref="F52" ca="1">IF(ISNUMBER(_xll.VoseSimPercentile(CostS_3,$B52)),_xll.VoseSimPercentile(CostS_3,$B52),NA())</f>
        <v>98.5</v>
      </c>
      <c r="G52" s="65" cm="1">
        <f t="array" aca="1" ref="G52" ca="1">IF(ISNUMBER(_xll.VoseSimPercentile(CostS_4,$B52)),_xll.VoseSimPercentile(CostS_4,$B52),NA())</f>
        <v>100.5</v>
      </c>
    </row>
    <row r="53" spans="2:7" hidden="1" outlineLevel="1" x14ac:dyDescent="0.45">
      <c r="B53" s="64">
        <v>0.03</v>
      </c>
      <c r="C53" s="64">
        <f t="shared" si="0"/>
        <v>0.97</v>
      </c>
      <c r="D53" s="65" cm="1">
        <f t="array" aca="1" ref="D53" ca="1">IF(ISNUMBER(_xll.VoseSimPercentile(CostS_1,$B53)),_xll.VoseSimPercentile(CostS_1,$B53),NA())</f>
        <v>227.5</v>
      </c>
      <c r="E53" s="65" cm="1">
        <f t="array" aca="1" ref="E53" ca="1">IF(ISNUMBER(_xll.VoseSimPercentile(CostS_2,$B53)),_xll.VoseSimPercentile(CostS_2,$B53),NA())</f>
        <v>130.5</v>
      </c>
      <c r="F53" s="65" cm="1">
        <f t="array" aca="1" ref="F53" ca="1">IF(ISNUMBER(_xll.VoseSimPercentile(CostS_3,$B53)),_xll.VoseSimPercentile(CostS_3,$B53),NA())</f>
        <v>115.5</v>
      </c>
      <c r="G53" s="65" cm="1">
        <f t="array" aca="1" ref="G53" ca="1">IF(ISNUMBER(_xll.VoseSimPercentile(CostS_4,$B53)),_xll.VoseSimPercentile(CostS_4,$B53),NA())</f>
        <v>117.5</v>
      </c>
    </row>
    <row r="54" spans="2:7" hidden="1" outlineLevel="1" x14ac:dyDescent="0.45">
      <c r="B54" s="64">
        <v>0.05</v>
      </c>
      <c r="C54" s="64">
        <f t="shared" si="0"/>
        <v>0.95</v>
      </c>
      <c r="D54" s="65" cm="1">
        <f t="array" aca="1" ref="D54" ca="1">IF(ISNUMBER(_xll.VoseSimPercentile(CostS_1,$B54)),_xll.VoseSimPercentile(CostS_1,$B54),NA())</f>
        <v>233.5</v>
      </c>
      <c r="E54" s="65" cm="1">
        <f t="array" aca="1" ref="E54" ca="1">IF(ISNUMBER(_xll.VoseSimPercentile(CostS_2,$B54)),_xll.VoseSimPercentile(CostS_2,$B54),NA())</f>
        <v>130.5</v>
      </c>
      <c r="F54" s="65" cm="1">
        <f t="array" aca="1" ref="F54" ca="1">IF(ISNUMBER(_xll.VoseSimPercentile(CostS_3,$B54)),_xll.VoseSimPercentile(CostS_3,$B54),NA())</f>
        <v>115.5</v>
      </c>
      <c r="G54" s="65" cm="1">
        <f t="array" aca="1" ref="G54" ca="1">IF(ISNUMBER(_xll.VoseSimPercentile(CostS_4,$B54)),_xll.VoseSimPercentile(CostS_4,$B54),NA())</f>
        <v>117.5</v>
      </c>
    </row>
    <row r="55" spans="2:7" hidden="1" outlineLevel="1" x14ac:dyDescent="0.45">
      <c r="B55" s="64">
        <v>7.0000000000000007E-2</v>
      </c>
      <c r="C55" s="64">
        <f t="shared" si="0"/>
        <v>0.92999999999999994</v>
      </c>
      <c r="D55" s="65" cm="1">
        <f t="array" aca="1" ref="D55" ca="1">IF(ISNUMBER(_xll.VoseSimPercentile(CostS_1,$B55)),_xll.VoseSimPercentile(CostS_1,$B55),NA())</f>
        <v>248.5</v>
      </c>
      <c r="E55" s="65" cm="1">
        <f t="array" aca="1" ref="E55" ca="1">IF(ISNUMBER(_xll.VoseSimPercentile(CostS_2,$B55)),_xll.VoseSimPercentile(CostS_2,$B55),NA())</f>
        <v>147.5</v>
      </c>
      <c r="F55" s="65" cm="1">
        <f t="array" aca="1" ref="F55" ca="1">IF(ISNUMBER(_xll.VoseSimPercentile(CostS_3,$B55)),_xll.VoseSimPercentile(CostS_3,$B55),NA())</f>
        <v>119.5</v>
      </c>
      <c r="G55" s="65" cm="1">
        <f t="array" aca="1" ref="G55" ca="1">IF(ISNUMBER(_xll.VoseSimPercentile(CostS_4,$B55)),_xll.VoseSimPercentile(CostS_4,$B55),NA())</f>
        <v>121.5</v>
      </c>
    </row>
    <row r="56" spans="2:7" hidden="1" outlineLevel="1" x14ac:dyDescent="0.45">
      <c r="B56" s="64">
        <v>0.09</v>
      </c>
      <c r="C56" s="64">
        <f t="shared" si="0"/>
        <v>0.91</v>
      </c>
      <c r="D56" s="65" cm="1">
        <f t="array" aca="1" ref="D56" ca="1">IF(ISNUMBER(_xll.VoseSimPercentile(CostS_1,$B56)),_xll.VoseSimPercentile(CostS_1,$B56),NA())</f>
        <v>263.5</v>
      </c>
      <c r="E56" s="65" cm="1">
        <f t="array" aca="1" ref="E56" ca="1">IF(ISNUMBER(_xll.VoseSimPercentile(CostS_2,$B56)),_xll.VoseSimPercentile(CostS_2,$B56),NA())</f>
        <v>147.5</v>
      </c>
      <c r="F56" s="65" cm="1">
        <f t="array" aca="1" ref="F56" ca="1">IF(ISNUMBER(_xll.VoseSimPercentile(CostS_3,$B56)),_xll.VoseSimPercentile(CostS_3,$B56),NA())</f>
        <v>132.5</v>
      </c>
      <c r="G56" s="65" cm="1">
        <f t="array" aca="1" ref="G56" ca="1">IF(ISNUMBER(_xll.VoseSimPercentile(CostS_4,$B56)),_xll.VoseSimPercentile(CostS_4,$B56),NA())</f>
        <v>134.5</v>
      </c>
    </row>
    <row r="57" spans="2:7" hidden="1" outlineLevel="1" x14ac:dyDescent="0.45">
      <c r="B57" s="64">
        <v>0.11</v>
      </c>
      <c r="C57" s="64">
        <f t="shared" si="0"/>
        <v>0.89</v>
      </c>
      <c r="D57" s="65" cm="1">
        <f t="array" aca="1" ref="D57" ca="1">IF(ISNUMBER(_xll.VoseSimPercentile(CostS_1,$B57)),_xll.VoseSimPercentile(CostS_1,$B57),NA())</f>
        <v>269.5</v>
      </c>
      <c r="E57" s="65" cm="1">
        <f t="array" aca="1" ref="E57" ca="1">IF(ISNUMBER(_xll.VoseSimPercentile(CostS_2,$B57)),_xll.VoseSimPercentile(CostS_2,$B57),NA())</f>
        <v>147.5</v>
      </c>
      <c r="F57" s="65" cm="1">
        <f t="array" aca="1" ref="F57" ca="1">IF(ISNUMBER(_xll.VoseSimPercentile(CostS_3,$B57)),_xll.VoseSimPercentile(CostS_3,$B57),NA())</f>
        <v>132.5</v>
      </c>
      <c r="G57" s="65" cm="1">
        <f t="array" aca="1" ref="G57" ca="1">IF(ISNUMBER(_xll.VoseSimPercentile(CostS_4,$B57)),_xll.VoseSimPercentile(CostS_4,$B57),NA())</f>
        <v>138.5</v>
      </c>
    </row>
    <row r="58" spans="2:7" hidden="1" outlineLevel="1" x14ac:dyDescent="0.45">
      <c r="B58" s="64">
        <v>0.13</v>
      </c>
      <c r="C58" s="64">
        <f t="shared" si="0"/>
        <v>0.87</v>
      </c>
      <c r="D58" s="65" cm="1">
        <f t="array" aca="1" ref="D58" ca="1">IF(ISNUMBER(_xll.VoseSimPercentile(CostS_1,$B58)),_xll.VoseSimPercentile(CostS_1,$B58),NA())</f>
        <v>269.5</v>
      </c>
      <c r="E58" s="65" cm="1">
        <f t="array" aca="1" ref="E58" ca="1">IF(ISNUMBER(_xll.VoseSimPercentile(CostS_2,$B58)),_xll.VoseSimPercentile(CostS_2,$B58),NA())</f>
        <v>151.5</v>
      </c>
      <c r="F58" s="65" cm="1">
        <f t="array" aca="1" ref="F58" ca="1">IF(ISNUMBER(_xll.VoseSimPercentile(CostS_3,$B58)),_xll.VoseSimPercentile(CostS_3,$B58),NA())</f>
        <v>132.5</v>
      </c>
      <c r="G58" s="65" cm="1">
        <f t="array" aca="1" ref="G58" ca="1">IF(ISNUMBER(_xll.VoseSimPercentile(CostS_4,$B58)),_xll.VoseSimPercentile(CostS_4,$B58),NA())</f>
        <v>138.5</v>
      </c>
    </row>
    <row r="59" spans="2:7" hidden="1" outlineLevel="1" x14ac:dyDescent="0.45">
      <c r="B59" s="64">
        <v>0.15</v>
      </c>
      <c r="C59" s="64">
        <f t="shared" si="0"/>
        <v>0.85</v>
      </c>
      <c r="D59" s="65" cm="1">
        <f t="array" aca="1" ref="D59" ca="1">IF(ISNUMBER(_xll.VoseSimPercentile(CostS_1,$B59)),_xll.VoseSimPercentile(CostS_1,$B59),NA())</f>
        <v>284.5</v>
      </c>
      <c r="E59" s="65" cm="1">
        <f t="array" aca="1" ref="E59" ca="1">IF(ISNUMBER(_xll.VoseSimPercentile(CostS_2,$B59)),_xll.VoseSimPercentile(CostS_2,$B59),NA())</f>
        <v>151.5</v>
      </c>
      <c r="F59" s="65" cm="1">
        <f t="array" aca="1" ref="F59" ca="1">IF(ISNUMBER(_xll.VoseSimPercentile(CostS_3,$B59)),_xll.VoseSimPercentile(CostS_3,$B59),NA())</f>
        <v>132.5</v>
      </c>
      <c r="G59" s="65" cm="1">
        <f t="array" aca="1" ref="G59" ca="1">IF(ISNUMBER(_xll.VoseSimPercentile(CostS_4,$B59)),_xll.VoseSimPercentile(CostS_4,$B59),NA())</f>
        <v>142.5</v>
      </c>
    </row>
    <row r="60" spans="2:7" hidden="1" outlineLevel="1" x14ac:dyDescent="0.45">
      <c r="B60" s="64">
        <v>0.17</v>
      </c>
      <c r="C60" s="64">
        <f t="shared" si="0"/>
        <v>0.83</v>
      </c>
      <c r="D60" s="65" cm="1">
        <f t="array" aca="1" ref="D60" ca="1">IF(ISNUMBER(_xll.VoseSimPercentile(CostS_1,$B60)),_xll.VoseSimPercentile(CostS_1,$B60),NA())</f>
        <v>284.5</v>
      </c>
      <c r="E60" s="65" cm="1">
        <f t="array" aca="1" ref="E60" ca="1">IF(ISNUMBER(_xll.VoseSimPercentile(CostS_2,$B60)),_xll.VoseSimPercentile(CostS_2,$B60),NA())</f>
        <v>151.5</v>
      </c>
      <c r="F60" s="65" cm="1">
        <f t="array" aca="1" ref="F60" ca="1">IF(ISNUMBER(_xll.VoseSimPercentile(CostS_3,$B60)),_xll.VoseSimPercentile(CostS_3,$B60),NA())</f>
        <v>136.5</v>
      </c>
      <c r="G60" s="65" cm="1">
        <f t="array" aca="1" ref="G60" ca="1">IF(ISNUMBER(_xll.VoseSimPercentile(CostS_4,$B60)),_xll.VoseSimPercentile(CostS_4,$B60),NA())</f>
        <v>151.5</v>
      </c>
    </row>
    <row r="61" spans="2:7" hidden="1" outlineLevel="1" x14ac:dyDescent="0.45">
      <c r="B61" s="64">
        <v>0.19</v>
      </c>
      <c r="C61" s="64">
        <f t="shared" si="0"/>
        <v>0.81</v>
      </c>
      <c r="D61" s="65" cm="1">
        <f t="array" aca="1" ref="D61" ca="1">IF(ISNUMBER(_xll.VoseSimPercentile(CostS_1,$B61)),_xll.VoseSimPercentile(CostS_1,$B61),NA())</f>
        <v>290.5</v>
      </c>
      <c r="E61" s="65" cm="1">
        <f t="array" aca="1" ref="E61" ca="1">IF(ISNUMBER(_xll.VoseSimPercentile(CostS_2,$B61)),_xll.VoseSimPercentile(CostS_2,$B61),NA())</f>
        <v>151.5</v>
      </c>
      <c r="F61" s="65" cm="1">
        <f t="array" aca="1" ref="F61" ca="1">IF(ISNUMBER(_xll.VoseSimPercentile(CostS_3,$B61)),_xll.VoseSimPercentile(CostS_3,$B61),NA())</f>
        <v>140.5</v>
      </c>
      <c r="G61" s="65" cm="1">
        <f t="array" aca="1" ref="G61" ca="1">IF(ISNUMBER(_xll.VoseSimPercentile(CostS_4,$B61)),_xll.VoseSimPercentile(CostS_4,$B61),NA())</f>
        <v>155.5</v>
      </c>
    </row>
    <row r="62" spans="2:7" hidden="1" outlineLevel="1" x14ac:dyDescent="0.45">
      <c r="B62" s="64">
        <v>0.21</v>
      </c>
      <c r="C62" s="64">
        <f t="shared" si="0"/>
        <v>0.79</v>
      </c>
      <c r="D62" s="65" cm="1">
        <f t="array" aca="1" ref="D62" ca="1">IF(ISNUMBER(_xll.VoseSimPercentile(CostS_1,$B62)),_xll.VoseSimPercentile(CostS_1,$B62),NA())</f>
        <v>305.5</v>
      </c>
      <c r="E62" s="65" cm="1">
        <f t="array" aca="1" ref="E62" ca="1">IF(ISNUMBER(_xll.VoseSimPercentile(CostS_2,$B62)),_xll.VoseSimPercentile(CostS_2,$B62),NA())</f>
        <v>151.5</v>
      </c>
      <c r="F62" s="65" cm="1">
        <f t="array" aca="1" ref="F62" ca="1">IF(ISNUMBER(_xll.VoseSimPercentile(CostS_3,$B62)),_xll.VoseSimPercentile(CostS_3,$B62),NA())</f>
        <v>149.5</v>
      </c>
      <c r="G62" s="65" cm="1">
        <f t="array" aca="1" ref="G62" ca="1">IF(ISNUMBER(_xll.VoseSimPercentile(CostS_4,$B62)),_xll.VoseSimPercentile(CostS_4,$B62),NA())</f>
        <v>155.5</v>
      </c>
    </row>
    <row r="63" spans="2:7" hidden="1" outlineLevel="1" x14ac:dyDescent="0.45">
      <c r="B63" s="64">
        <v>0.23</v>
      </c>
      <c r="C63" s="64">
        <f t="shared" si="0"/>
        <v>0.77</v>
      </c>
      <c r="D63" s="65" cm="1">
        <f t="array" aca="1" ref="D63" ca="1">IF(ISNUMBER(_xll.VoseSimPercentile(CostS_1,$B63)),_xll.VoseSimPercentile(CostS_1,$B63),NA())</f>
        <v>305.5</v>
      </c>
      <c r="E63" s="65" cm="1">
        <f t="array" aca="1" ref="E63" ca="1">IF(ISNUMBER(_xll.VoseSimPercentile(CostS_2,$B63)),_xll.VoseSimPercentile(CostS_2,$B63),NA())</f>
        <v>151.5</v>
      </c>
      <c r="F63" s="65" cm="1">
        <f t="array" aca="1" ref="F63" ca="1">IF(ISNUMBER(_xll.VoseSimPercentile(CostS_3,$B63)),_xll.VoseSimPercentile(CostS_3,$B63),NA())</f>
        <v>149.5</v>
      </c>
      <c r="G63" s="65" cm="1">
        <f t="array" aca="1" ref="G63" ca="1">IF(ISNUMBER(_xll.VoseSimPercentile(CostS_4,$B63)),_xll.VoseSimPercentile(CostS_4,$B63),NA())</f>
        <v>155.5</v>
      </c>
    </row>
    <row r="64" spans="2:7" hidden="1" outlineLevel="1" x14ac:dyDescent="0.45">
      <c r="B64" s="64">
        <v>0.25</v>
      </c>
      <c r="C64" s="64">
        <f t="shared" si="0"/>
        <v>0.75</v>
      </c>
      <c r="D64" s="65" cm="1">
        <f t="array" aca="1" ref="D64" ca="1">IF(ISNUMBER(_xll.VoseSimPercentile(CostS_1,$B64)),_xll.VoseSimPercentile(CostS_1,$B64),NA())</f>
        <v>305.5</v>
      </c>
      <c r="E64" s="65" cm="1">
        <f t="array" aca="1" ref="E64" ca="1">IF(ISNUMBER(_xll.VoseSimPercentile(CostS_2,$B64)),_xll.VoseSimPercentile(CostS_2,$B64),NA())</f>
        <v>164.5</v>
      </c>
      <c r="F64" s="65" cm="1">
        <f t="array" aca="1" ref="F64" ca="1">IF(ISNUMBER(_xll.VoseSimPercentile(CostS_3,$B64)),_xll.VoseSimPercentile(CostS_3,$B64),NA())</f>
        <v>149.5</v>
      </c>
      <c r="G64" s="65" cm="1">
        <f t="array" aca="1" ref="G64" ca="1">IF(ISNUMBER(_xll.VoseSimPercentile(CostS_4,$B64)),_xll.VoseSimPercentile(CostS_4,$B64),NA())</f>
        <v>159.5</v>
      </c>
    </row>
    <row r="65" spans="2:7" hidden="1" outlineLevel="1" x14ac:dyDescent="0.45">
      <c r="B65" s="64">
        <v>0.27</v>
      </c>
      <c r="C65" s="64">
        <f t="shared" si="0"/>
        <v>0.73</v>
      </c>
      <c r="D65" s="65" cm="1">
        <f t="array" aca="1" ref="D65" ca="1">IF(ISNUMBER(_xll.VoseSimPercentile(CostS_1,$B65)),_xll.VoseSimPercentile(CostS_1,$B65),NA())</f>
        <v>311.5</v>
      </c>
      <c r="E65" s="65" cm="1">
        <f t="array" aca="1" ref="E65" ca="1">IF(ISNUMBER(_xll.VoseSimPercentile(CostS_2,$B65)),_xll.VoseSimPercentile(CostS_2,$B65),NA())</f>
        <v>168.5</v>
      </c>
      <c r="F65" s="65" cm="1">
        <f t="array" aca="1" ref="F65" ca="1">IF(ISNUMBER(_xll.VoseSimPercentile(CostS_3,$B65)),_xll.VoseSimPercentile(CostS_3,$B65),NA())</f>
        <v>149.5</v>
      </c>
      <c r="G65" s="65" cm="1">
        <f t="array" aca="1" ref="G65" ca="1">IF(ISNUMBER(_xll.VoseSimPercentile(CostS_4,$B65)),_xll.VoseSimPercentile(CostS_4,$B65),NA())</f>
        <v>163.5</v>
      </c>
    </row>
    <row r="66" spans="2:7" hidden="1" outlineLevel="1" x14ac:dyDescent="0.45">
      <c r="B66" s="64">
        <v>0.28999999999999998</v>
      </c>
      <c r="C66" s="64">
        <f t="shared" si="0"/>
        <v>0.71</v>
      </c>
      <c r="D66" s="65" cm="1">
        <f t="array" aca="1" ref="D66" ca="1">IF(ISNUMBER(_xll.VoseSimPercentile(CostS_1,$B66)),_xll.VoseSimPercentile(CostS_1,$B66),NA())</f>
        <v>320.5</v>
      </c>
      <c r="E66" s="65" cm="1">
        <f t="array" aca="1" ref="E66" ca="1">IF(ISNUMBER(_xll.VoseSimPercentile(CostS_2,$B66)),_xll.VoseSimPercentile(CostS_2,$B66),NA())</f>
        <v>168.5</v>
      </c>
      <c r="F66" s="65" cm="1">
        <f t="array" aca="1" ref="F66" ca="1">IF(ISNUMBER(_xll.VoseSimPercentile(CostS_3,$B66)),_xll.VoseSimPercentile(CostS_3,$B66),NA())</f>
        <v>153.5</v>
      </c>
      <c r="G66" s="65" cm="1">
        <f t="array" aca="1" ref="G66" ca="1">IF(ISNUMBER(_xll.VoseSimPercentile(CostS_4,$B66)),_xll.VoseSimPercentile(CostS_4,$B66),NA())</f>
        <v>172.5</v>
      </c>
    </row>
    <row r="67" spans="2:7" hidden="1" outlineLevel="1" x14ac:dyDescent="0.45">
      <c r="B67" s="64">
        <v>0.31</v>
      </c>
      <c r="C67" s="64">
        <f t="shared" si="0"/>
        <v>0.69</v>
      </c>
      <c r="D67" s="65" cm="1">
        <f t="array" aca="1" ref="D67" ca="1">IF(ISNUMBER(_xll.VoseSimPercentile(CostS_1,$B67)),_xll.VoseSimPercentile(CostS_1,$B67),NA())</f>
        <v>326.5</v>
      </c>
      <c r="E67" s="65" cm="1">
        <f t="array" aca="1" ref="E67" ca="1">IF(ISNUMBER(_xll.VoseSimPercentile(CostS_2,$B67)),_xll.VoseSimPercentile(CostS_2,$B67),NA())</f>
        <v>168.5</v>
      </c>
      <c r="F67" s="65" cm="1">
        <f t="array" aca="1" ref="F67" ca="1">IF(ISNUMBER(_xll.VoseSimPercentile(CostS_3,$B67)),_xll.VoseSimPercentile(CostS_3,$B67),NA())</f>
        <v>153.5</v>
      </c>
      <c r="G67" s="65" cm="1">
        <f t="array" aca="1" ref="G67" ca="1">IF(ISNUMBER(_xll.VoseSimPercentile(CostS_4,$B67)),_xll.VoseSimPercentile(CostS_4,$B67),NA())</f>
        <v>172.5</v>
      </c>
    </row>
    <row r="68" spans="2:7" hidden="1" outlineLevel="1" x14ac:dyDescent="0.45">
      <c r="B68" s="64">
        <v>0.33</v>
      </c>
      <c r="C68" s="64">
        <f t="shared" si="0"/>
        <v>0.66999999999999993</v>
      </c>
      <c r="D68" s="65" cm="1">
        <f t="array" aca="1" ref="D68" ca="1">IF(ISNUMBER(_xll.VoseSimPercentile(CostS_1,$B68)),_xll.VoseSimPercentile(CostS_1,$B68),NA())</f>
        <v>326.5</v>
      </c>
      <c r="E68" s="65" cm="1">
        <f t="array" aca="1" ref="E68" ca="1">IF(ISNUMBER(_xll.VoseSimPercentile(CostS_2,$B68)),_xll.VoseSimPercentile(CostS_2,$B68),NA())</f>
        <v>168.5</v>
      </c>
      <c r="F68" s="65" cm="1">
        <f t="array" aca="1" ref="F68" ca="1">IF(ISNUMBER(_xll.VoseSimPercentile(CostS_3,$B68)),_xll.VoseSimPercentile(CostS_3,$B68),NA())</f>
        <v>153.5</v>
      </c>
      <c r="G68" s="65" cm="1">
        <f t="array" aca="1" ref="G68" ca="1">IF(ISNUMBER(_xll.VoseSimPercentile(CostS_4,$B68)),_xll.VoseSimPercentile(CostS_4,$B68),NA())</f>
        <v>174.5</v>
      </c>
    </row>
    <row r="69" spans="2:7" hidden="1" outlineLevel="1" x14ac:dyDescent="0.45">
      <c r="B69" s="64">
        <v>0.35</v>
      </c>
      <c r="C69" s="64">
        <f t="shared" si="0"/>
        <v>0.65</v>
      </c>
      <c r="D69" s="65" cm="1">
        <f t="array" aca="1" ref="D69" ca="1">IF(ISNUMBER(_xll.VoseSimPercentile(CostS_1,$B69)),_xll.VoseSimPercentile(CostS_1,$B69),NA())</f>
        <v>335.5</v>
      </c>
      <c r="E69" s="65" cm="1">
        <f t="array" aca="1" ref="E69" ca="1">IF(ISNUMBER(_xll.VoseSimPercentile(CostS_2,$B69)),_xll.VoseSimPercentile(CostS_2,$B69),NA())</f>
        <v>168.5</v>
      </c>
      <c r="F69" s="65" cm="1">
        <f t="array" aca="1" ref="F69" ca="1">IF(ISNUMBER(_xll.VoseSimPercentile(CostS_3,$B69)),_xll.VoseSimPercentile(CostS_3,$B69),NA())</f>
        <v>157.5</v>
      </c>
      <c r="G69" s="65" cm="1">
        <f t="array" aca="1" ref="G69" ca="1">IF(ISNUMBER(_xll.VoseSimPercentile(CostS_4,$B69)),_xll.VoseSimPercentile(CostS_4,$B69),NA())</f>
        <v>176.5</v>
      </c>
    </row>
    <row r="70" spans="2:7" hidden="1" outlineLevel="1" x14ac:dyDescent="0.45">
      <c r="B70" s="64">
        <v>0.37</v>
      </c>
      <c r="C70" s="64">
        <f t="shared" si="0"/>
        <v>0.63</v>
      </c>
      <c r="D70" s="65" cm="1">
        <f t="array" aca="1" ref="D70" ca="1">IF(ISNUMBER(_xll.VoseSimPercentile(CostS_1,$B70)),_xll.VoseSimPercentile(CostS_1,$B70),NA())</f>
        <v>341.5</v>
      </c>
      <c r="E70" s="65" cm="1">
        <f t="array" aca="1" ref="E70" ca="1">IF(ISNUMBER(_xll.VoseSimPercentile(CostS_2,$B70)),_xll.VoseSimPercentile(CostS_2,$B70),NA())</f>
        <v>168.5</v>
      </c>
      <c r="F70" s="65" cm="1">
        <f t="array" aca="1" ref="F70" ca="1">IF(ISNUMBER(_xll.VoseSimPercentile(CostS_3,$B70)),_xll.VoseSimPercentile(CostS_3,$B70),NA())</f>
        <v>166.5</v>
      </c>
      <c r="G70" s="65" cm="1">
        <f t="array" aca="1" ref="G70" ca="1">IF(ISNUMBER(_xll.VoseSimPercentile(CostS_4,$B70)),_xll.VoseSimPercentile(CostS_4,$B70),NA())</f>
        <v>176.5</v>
      </c>
    </row>
    <row r="71" spans="2:7" hidden="1" outlineLevel="1" x14ac:dyDescent="0.45">
      <c r="B71" s="64">
        <v>0.39</v>
      </c>
      <c r="C71" s="64">
        <f t="shared" si="0"/>
        <v>0.61</v>
      </c>
      <c r="D71" s="65" cm="1">
        <f t="array" aca="1" ref="D71" ca="1">IF(ISNUMBER(_xll.VoseSimPercentile(CostS_1,$B71)),_xll.VoseSimPercentile(CostS_1,$B71),NA())</f>
        <v>341.5</v>
      </c>
      <c r="E71" s="65" cm="1">
        <f t="array" aca="1" ref="E71" ca="1">IF(ISNUMBER(_xll.VoseSimPercentile(CostS_2,$B71)),_xll.VoseSimPercentile(CostS_2,$B71),NA())</f>
        <v>172.5</v>
      </c>
      <c r="F71" s="65" cm="1">
        <f t="array" aca="1" ref="F71" ca="1">IF(ISNUMBER(_xll.VoseSimPercentile(CostS_3,$B71)),_xll.VoseSimPercentile(CostS_3,$B71),NA())</f>
        <v>166.5</v>
      </c>
      <c r="G71" s="65" cm="1">
        <f t="array" aca="1" ref="G71" ca="1">IF(ISNUMBER(_xll.VoseSimPercentile(CostS_4,$B71)),_xll.VoseSimPercentile(CostS_4,$B71),NA())</f>
        <v>187.5</v>
      </c>
    </row>
    <row r="72" spans="2:7" hidden="1" outlineLevel="1" x14ac:dyDescent="0.45">
      <c r="B72" s="64">
        <v>0.41</v>
      </c>
      <c r="C72" s="64">
        <f t="shared" si="0"/>
        <v>0.59000000000000008</v>
      </c>
      <c r="D72" s="65" cm="1">
        <f t="array" aca="1" ref="D72" ca="1">IF(ISNUMBER(_xll.VoseSimPercentile(CostS_1,$B72)),_xll.VoseSimPercentile(CostS_1,$B72),NA())</f>
        <v>347.5</v>
      </c>
      <c r="E72" s="65" cm="1">
        <f t="array" aca="1" ref="E72" ca="1">IF(ISNUMBER(_xll.VoseSimPercentile(CostS_2,$B72)),_xll.VoseSimPercentile(CostS_2,$B72),NA())</f>
        <v>172.5</v>
      </c>
      <c r="F72" s="65" cm="1">
        <f t="array" aca="1" ref="F72" ca="1">IF(ISNUMBER(_xll.VoseSimPercentile(CostS_3,$B72)),_xll.VoseSimPercentile(CostS_3,$B72),NA())</f>
        <v>166.5</v>
      </c>
      <c r="G72" s="65" cm="1">
        <f t="array" aca="1" ref="G72" ca="1">IF(ISNUMBER(_xll.VoseSimPercentile(CostS_4,$B72)),_xll.VoseSimPercentile(CostS_4,$B72),NA())</f>
        <v>189.5</v>
      </c>
    </row>
    <row r="73" spans="2:7" hidden="1" outlineLevel="1" x14ac:dyDescent="0.45">
      <c r="B73" s="64">
        <v>0.43</v>
      </c>
      <c r="C73" s="64">
        <f t="shared" si="0"/>
        <v>0.57000000000000006</v>
      </c>
      <c r="D73" s="65" cm="1">
        <f t="array" aca="1" ref="D73" ca="1">IF(ISNUMBER(_xll.VoseSimPercentile(CostS_1,$B73)),_xll.VoseSimPercentile(CostS_1,$B73),NA())</f>
        <v>356.5</v>
      </c>
      <c r="E73" s="65" cm="1">
        <f t="array" aca="1" ref="E73" ca="1">IF(ISNUMBER(_xll.VoseSimPercentile(CostS_2,$B73)),_xll.VoseSimPercentile(CostS_2,$B73),NA())</f>
        <v>172.5</v>
      </c>
      <c r="F73" s="65" cm="1">
        <f t="array" aca="1" ref="F73" ca="1">IF(ISNUMBER(_xll.VoseSimPercentile(CostS_3,$B73)),_xll.VoseSimPercentile(CostS_3,$B73),NA())</f>
        <v>170.5</v>
      </c>
      <c r="G73" s="65" cm="1">
        <f t="array" aca="1" ref="G73" ca="1">IF(ISNUMBER(_xll.VoseSimPercentile(CostS_4,$B73)),_xll.VoseSimPercentile(CostS_4,$B73),NA())</f>
        <v>191.5</v>
      </c>
    </row>
    <row r="74" spans="2:7" hidden="1" outlineLevel="1" x14ac:dyDescent="0.45">
      <c r="B74" s="64">
        <v>0.45</v>
      </c>
      <c r="C74" s="64">
        <f t="shared" si="0"/>
        <v>0.55000000000000004</v>
      </c>
      <c r="D74" s="65" cm="1">
        <f t="array" aca="1" ref="D74" ca="1">IF(ISNUMBER(_xll.VoseSimPercentile(CostS_1,$B74)),_xll.VoseSimPercentile(CostS_1,$B74),NA())</f>
        <v>362.5</v>
      </c>
      <c r="E74" s="65" cm="1">
        <f t="array" aca="1" ref="E74" ca="1">IF(ISNUMBER(_xll.VoseSimPercentile(CostS_2,$B74)),_xll.VoseSimPercentile(CostS_2,$B74),NA())</f>
        <v>172.5</v>
      </c>
      <c r="F74" s="65" cm="1">
        <f t="array" aca="1" ref="F74" ca="1">IF(ISNUMBER(_xll.VoseSimPercentile(CostS_3,$B74)),_xll.VoseSimPercentile(CostS_3,$B74),NA())</f>
        <v>170.5</v>
      </c>
      <c r="G74" s="65" cm="1">
        <f t="array" aca="1" ref="G74" ca="1">IF(ISNUMBER(_xll.VoseSimPercentile(CostS_4,$B74)),_xll.VoseSimPercentile(CostS_4,$B74),NA())</f>
        <v>193.5</v>
      </c>
    </row>
    <row r="75" spans="2:7" hidden="1" outlineLevel="1" x14ac:dyDescent="0.45">
      <c r="B75" s="64">
        <v>0.47</v>
      </c>
      <c r="C75" s="64">
        <f t="shared" si="0"/>
        <v>0.53</v>
      </c>
      <c r="D75" s="65" cm="1">
        <f t="array" aca="1" ref="D75" ca="1">IF(ISNUMBER(_xll.VoseSimPercentile(CostS_1,$B75)),_xll.VoseSimPercentile(CostS_1,$B75),NA())</f>
        <v>362.5</v>
      </c>
      <c r="E75" s="65" cm="1">
        <f t="array" aca="1" ref="E75" ca="1">IF(ISNUMBER(_xll.VoseSimPercentile(CostS_2,$B75)),_xll.VoseSimPercentile(CostS_2,$B75),NA())</f>
        <v>172.5</v>
      </c>
      <c r="F75" s="65" cm="1">
        <f t="array" aca="1" ref="F75" ca="1">IF(ISNUMBER(_xll.VoseSimPercentile(CostS_3,$B75)),_xll.VoseSimPercentile(CostS_3,$B75),NA())</f>
        <v>170.5</v>
      </c>
      <c r="G75" s="65" cm="1">
        <f t="array" aca="1" ref="G75" ca="1">IF(ISNUMBER(_xll.VoseSimPercentile(CostS_4,$B75)),_xll.VoseSimPercentile(CostS_4,$B75),NA())</f>
        <v>195.5</v>
      </c>
    </row>
    <row r="76" spans="2:7" hidden="1" outlineLevel="1" x14ac:dyDescent="0.45">
      <c r="B76" s="64">
        <v>0.49</v>
      </c>
      <c r="C76" s="64">
        <f t="shared" si="0"/>
        <v>0.51</v>
      </c>
      <c r="D76" s="65" cm="1">
        <f t="array" aca="1" ref="D76" ca="1">IF(ISNUMBER(_xll.VoseSimPercentile(CostS_1,$B76)),_xll.VoseSimPercentile(CostS_1,$B76),NA())</f>
        <v>362.5</v>
      </c>
      <c r="E76" s="65" cm="1">
        <f t="array" aca="1" ref="E76" ca="1">IF(ISNUMBER(_xll.VoseSimPercentile(CostS_2,$B76)),_xll.VoseSimPercentile(CostS_2,$B76),NA())</f>
        <v>181.5</v>
      </c>
      <c r="F76" s="65" cm="1">
        <f t="array" aca="1" ref="F76" ca="1">IF(ISNUMBER(_xll.VoseSimPercentile(CostS_3,$B76)),_xll.VoseSimPercentile(CostS_3,$B76),NA())</f>
        <v>170.5</v>
      </c>
      <c r="G76" s="65" cm="1">
        <f t="array" aca="1" ref="G76" ca="1">IF(ISNUMBER(_xll.VoseSimPercentile(CostS_4,$B76)),_xll.VoseSimPercentile(CostS_4,$B76),NA())</f>
        <v>201.5</v>
      </c>
    </row>
    <row r="77" spans="2:7" hidden="1" outlineLevel="1" x14ac:dyDescent="0.45">
      <c r="B77" s="64">
        <v>0.51</v>
      </c>
      <c r="C77" s="64">
        <f t="shared" si="0"/>
        <v>0.49</v>
      </c>
      <c r="D77" s="65" cm="1">
        <f t="array" aca="1" ref="D77" ca="1">IF(ISNUMBER(_xll.VoseSimPercentile(CostS_1,$B77)),_xll.VoseSimPercentile(CostS_1,$B77),NA())</f>
        <v>368.5</v>
      </c>
      <c r="E77" s="65" cm="1">
        <f t="array" aca="1" ref="E77" ca="1">IF(ISNUMBER(_xll.VoseSimPercentile(CostS_2,$B77)),_xll.VoseSimPercentile(CostS_2,$B77),NA())</f>
        <v>185.5</v>
      </c>
      <c r="F77" s="65" cm="1">
        <f t="array" aca="1" ref="F77" ca="1">IF(ISNUMBER(_xll.VoseSimPercentile(CostS_3,$B77)),_xll.VoseSimPercentile(CostS_3,$B77),NA())</f>
        <v>170.5</v>
      </c>
      <c r="G77" s="65" cm="1">
        <f t="array" aca="1" ref="G77" ca="1">IF(ISNUMBER(_xll.VoseSimPercentile(CostS_4,$B77)),_xll.VoseSimPercentile(CostS_4,$B77),NA())</f>
        <v>206.5</v>
      </c>
    </row>
    <row r="78" spans="2:7" hidden="1" outlineLevel="1" x14ac:dyDescent="0.45">
      <c r="B78" s="64">
        <v>0.53</v>
      </c>
      <c r="C78" s="64">
        <f t="shared" si="0"/>
        <v>0.47</v>
      </c>
      <c r="D78" s="65" cm="1">
        <f t="array" aca="1" ref="D78" ca="1">IF(ISNUMBER(_xll.VoseSimPercentile(CostS_1,$B78)),_xll.VoseSimPercentile(CostS_1,$B78),NA())</f>
        <v>377.5</v>
      </c>
      <c r="E78" s="65" cm="1">
        <f t="array" aca="1" ref="E78" ca="1">IF(ISNUMBER(_xll.VoseSimPercentile(CostS_2,$B78)),_xll.VoseSimPercentile(CostS_2,$B78),NA())</f>
        <v>185.5</v>
      </c>
      <c r="F78" s="65" cm="1">
        <f t="array" aca="1" ref="F78" ca="1">IF(ISNUMBER(_xll.VoseSimPercentile(CostS_3,$B78)),_xll.VoseSimPercentile(CostS_3,$B78),NA())</f>
        <v>174.5</v>
      </c>
      <c r="G78" s="65" cm="1">
        <f t="array" aca="1" ref="G78" ca="1">IF(ISNUMBER(_xll.VoseSimPercentile(CostS_4,$B78)),_xll.VoseSimPercentile(CostS_4,$B78),NA())</f>
        <v>208.5</v>
      </c>
    </row>
    <row r="79" spans="2:7" hidden="1" outlineLevel="1" x14ac:dyDescent="0.45">
      <c r="B79" s="64">
        <v>0.55000000000000004</v>
      </c>
      <c r="C79" s="64">
        <f t="shared" si="0"/>
        <v>0.44999999999999996</v>
      </c>
      <c r="D79" s="65" cm="1">
        <f t="array" aca="1" ref="D79" ca="1">IF(ISNUMBER(_xll.VoseSimPercentile(CostS_1,$B79)),_xll.VoseSimPercentile(CostS_1,$B79),NA())</f>
        <v>383.5</v>
      </c>
      <c r="E79" s="65" cm="1">
        <f t="array" aca="1" ref="E79" ca="1">IF(ISNUMBER(_xll.VoseSimPercentile(CostS_2,$B79)),_xll.VoseSimPercentile(CostS_2,$B79),NA())</f>
        <v>185.5</v>
      </c>
      <c r="F79" s="65" cm="1">
        <f t="array" aca="1" ref="F79" ca="1">IF(ISNUMBER(_xll.VoseSimPercentile(CostS_3,$B79)),_xll.VoseSimPercentile(CostS_3,$B79),NA())</f>
        <v>183.5</v>
      </c>
      <c r="G79" s="65" cm="1">
        <f t="array" aca="1" ref="G79" ca="1">IF(ISNUMBER(_xll.VoseSimPercentile(CostS_4,$B79)),_xll.VoseSimPercentile(CostS_4,$B79),NA())</f>
        <v>210.5</v>
      </c>
    </row>
    <row r="80" spans="2:7" hidden="1" outlineLevel="1" x14ac:dyDescent="0.45">
      <c r="B80" s="64">
        <v>0.56999999999999995</v>
      </c>
      <c r="C80" s="64">
        <f t="shared" si="0"/>
        <v>0.43000000000000005</v>
      </c>
      <c r="D80" s="65" cm="1">
        <f t="array" aca="1" ref="D80" ca="1">IF(ISNUMBER(_xll.VoseSimPercentile(CostS_1,$B80)),_xll.VoseSimPercentile(CostS_1,$B80),NA())</f>
        <v>383.5</v>
      </c>
      <c r="E80" s="65" cm="1">
        <f t="array" aca="1" ref="E80" ca="1">IF(ISNUMBER(_xll.VoseSimPercentile(CostS_2,$B80)),_xll.VoseSimPercentile(CostS_2,$B80),NA())</f>
        <v>189.5</v>
      </c>
      <c r="F80" s="65" cm="1">
        <f t="array" aca="1" ref="F80" ca="1">IF(ISNUMBER(_xll.VoseSimPercentile(CostS_3,$B80)),_xll.VoseSimPercentile(CostS_3,$B80),NA())</f>
        <v>185.5</v>
      </c>
      <c r="G80" s="65" cm="1">
        <f t="array" aca="1" ref="G80" ca="1">IF(ISNUMBER(_xll.VoseSimPercentile(CostS_4,$B80)),_xll.VoseSimPercentile(CostS_4,$B80),NA())</f>
        <v>214.5</v>
      </c>
    </row>
    <row r="81" spans="2:7" hidden="1" outlineLevel="1" x14ac:dyDescent="0.45">
      <c r="B81" s="64">
        <v>0.59</v>
      </c>
      <c r="C81" s="64">
        <f t="shared" si="0"/>
        <v>0.41000000000000003</v>
      </c>
      <c r="D81" s="65" cm="1">
        <f t="array" aca="1" ref="D81" ca="1">IF(ISNUMBER(_xll.VoseSimPercentile(CostS_1,$B81)),_xll.VoseSimPercentile(CostS_1,$B81),NA())</f>
        <v>389.5</v>
      </c>
      <c r="E81" s="65" cm="1">
        <f t="array" aca="1" ref="E81" ca="1">IF(ISNUMBER(_xll.VoseSimPercentile(CostS_2,$B81)),_xll.VoseSimPercentile(CostS_2,$B81),NA())</f>
        <v>189.5</v>
      </c>
      <c r="F81" s="65" cm="1">
        <f t="array" aca="1" ref="F81" ca="1">IF(ISNUMBER(_xll.VoseSimPercentile(CostS_3,$B81)),_xll.VoseSimPercentile(CostS_3,$B81),NA())</f>
        <v>187.5</v>
      </c>
      <c r="G81" s="65" cm="1">
        <f t="array" aca="1" ref="G81" ca="1">IF(ISNUMBER(_xll.VoseSimPercentile(CostS_4,$B81)),_xll.VoseSimPercentile(CostS_4,$B81),NA())</f>
        <v>221.5</v>
      </c>
    </row>
    <row r="82" spans="2:7" hidden="1" outlineLevel="1" x14ac:dyDescent="0.45">
      <c r="B82" s="64">
        <v>0.61</v>
      </c>
      <c r="C82" s="64">
        <f t="shared" si="0"/>
        <v>0.39</v>
      </c>
      <c r="D82" s="65" cm="1">
        <f t="array" aca="1" ref="D82" ca="1">IF(ISNUMBER(_xll.VoseSimPercentile(CostS_1,$B82)),_xll.VoseSimPercentile(CostS_1,$B82),NA())</f>
        <v>398.5</v>
      </c>
      <c r="E82" s="65" cm="1">
        <f t="array" aca="1" ref="E82" ca="1">IF(ISNUMBER(_xll.VoseSimPercentile(CostS_2,$B82)),_xll.VoseSimPercentile(CostS_2,$B82),NA())</f>
        <v>189.5</v>
      </c>
      <c r="F82" s="65" cm="1">
        <f t="array" aca="1" ref="F82" ca="1">IF(ISNUMBER(_xll.VoseSimPercentile(CostS_3,$B82)),_xll.VoseSimPercentile(CostS_3,$B82),NA())</f>
        <v>187.5</v>
      </c>
      <c r="G82" s="65" cm="1">
        <f t="array" aca="1" ref="G82" ca="1">IF(ISNUMBER(_xll.VoseSimPercentile(CostS_4,$B82)),_xll.VoseSimPercentile(CostS_4,$B82),NA())</f>
        <v>225.5</v>
      </c>
    </row>
    <row r="83" spans="2:7" hidden="1" outlineLevel="1" x14ac:dyDescent="0.45">
      <c r="B83" s="64">
        <v>0.63</v>
      </c>
      <c r="C83" s="64">
        <f t="shared" si="0"/>
        <v>0.37</v>
      </c>
      <c r="D83" s="65" cm="1">
        <f t="array" aca="1" ref="D83" ca="1">IF(ISNUMBER(_xll.VoseSimPercentile(CostS_1,$B83)),_xll.VoseSimPercentile(CostS_1,$B83),NA())</f>
        <v>398.5</v>
      </c>
      <c r="E83" s="65" cm="1">
        <f t="array" aca="1" ref="E83" ca="1">IF(ISNUMBER(_xll.VoseSimPercentile(CostS_2,$B83)),_xll.VoseSimPercentile(CostS_2,$B83),NA())</f>
        <v>189.5</v>
      </c>
      <c r="F83" s="65" cm="1">
        <f t="array" aca="1" ref="F83" ca="1">IF(ISNUMBER(_xll.VoseSimPercentile(CostS_3,$B83)),_xll.VoseSimPercentile(CostS_3,$B83),NA())</f>
        <v>187.5</v>
      </c>
      <c r="G83" s="65" cm="1">
        <f t="array" aca="1" ref="G83" ca="1">IF(ISNUMBER(_xll.VoseSimPercentile(CostS_4,$B83)),_xll.VoseSimPercentile(CostS_4,$B83),NA())</f>
        <v>229.5</v>
      </c>
    </row>
    <row r="84" spans="2:7" hidden="1" outlineLevel="1" x14ac:dyDescent="0.45">
      <c r="B84" s="64">
        <v>0.65</v>
      </c>
      <c r="C84" s="64">
        <f t="shared" ref="C84:C115" si="1">1-B84</f>
        <v>0.35</v>
      </c>
      <c r="D84" s="65" cm="1">
        <f t="array" aca="1" ref="D84" ca="1">IF(ISNUMBER(_xll.VoseSimPercentile(CostS_1,$B84)),_xll.VoseSimPercentile(CostS_1,$B84),NA())</f>
        <v>404.5</v>
      </c>
      <c r="E84" s="65" cm="1">
        <f t="array" aca="1" ref="E84" ca="1">IF(ISNUMBER(_xll.VoseSimPercentile(CostS_2,$B84)),_xll.VoseSimPercentile(CostS_2,$B84),NA())</f>
        <v>189.5</v>
      </c>
      <c r="F84" s="65" cm="1">
        <f t="array" aca="1" ref="F84" ca="1">IF(ISNUMBER(_xll.VoseSimPercentile(CostS_3,$B84)),_xll.VoseSimPercentile(CostS_3,$B84),NA())</f>
        <v>191.5</v>
      </c>
      <c r="G84" s="65" cm="1">
        <f t="array" aca="1" ref="G84" ca="1">IF(ISNUMBER(_xll.VoseSimPercentile(CostS_4,$B84)),_xll.VoseSimPercentile(CostS_4,$B84),NA())</f>
        <v>231.5</v>
      </c>
    </row>
    <row r="85" spans="2:7" hidden="1" outlineLevel="1" x14ac:dyDescent="0.45">
      <c r="B85" s="64">
        <v>0.67</v>
      </c>
      <c r="C85" s="64">
        <f t="shared" si="1"/>
        <v>0.32999999999999996</v>
      </c>
      <c r="D85" s="65" cm="1">
        <f t="array" aca="1" ref="D85" ca="1">IF(ISNUMBER(_xll.VoseSimPercentile(CostS_1,$B85)),_xll.VoseSimPercentile(CostS_1,$B85),NA())</f>
        <v>413.5</v>
      </c>
      <c r="E85" s="65" cm="1">
        <f t="array" aca="1" ref="E85" ca="1">IF(ISNUMBER(_xll.VoseSimPercentile(CostS_2,$B85)),_xll.VoseSimPercentile(CostS_2,$B85),NA())</f>
        <v>193.5</v>
      </c>
      <c r="F85" s="65" cm="1">
        <f t="array" aca="1" ref="F85" ca="1">IF(ISNUMBER(_xll.VoseSimPercentile(CostS_3,$B85)),_xll.VoseSimPercentile(CostS_3,$B85),NA())</f>
        <v>191.5</v>
      </c>
      <c r="G85" s="65" cm="1">
        <f t="array" aca="1" ref="G85" ca="1">IF(ISNUMBER(_xll.VoseSimPercentile(CostS_4,$B85)),_xll.VoseSimPercentile(CostS_4,$B85),NA())</f>
        <v>235.5</v>
      </c>
    </row>
    <row r="86" spans="2:7" hidden="1" outlineLevel="1" x14ac:dyDescent="0.45">
      <c r="B86" s="64">
        <v>0.69</v>
      </c>
      <c r="C86" s="64">
        <f t="shared" si="1"/>
        <v>0.31000000000000005</v>
      </c>
      <c r="D86" s="65" cm="1">
        <f t="array" aca="1" ref="D86" ca="1">IF(ISNUMBER(_xll.VoseSimPercentile(CostS_1,$B86)),_xll.VoseSimPercentile(CostS_1,$B86),NA())</f>
        <v>419.5</v>
      </c>
      <c r="E86" s="65" cm="1">
        <f t="array" aca="1" ref="E86" ca="1">IF(ISNUMBER(_xll.VoseSimPercentile(CostS_2,$B86)),_xll.VoseSimPercentile(CostS_2,$B86),NA())</f>
        <v>193.5</v>
      </c>
      <c r="F86" s="65" cm="1">
        <f t="array" aca="1" ref="F86" ca="1">IF(ISNUMBER(_xll.VoseSimPercentile(CostS_3,$B86)),_xll.VoseSimPercentile(CostS_3,$B86),NA())</f>
        <v>195.5</v>
      </c>
      <c r="G86" s="65" cm="1">
        <f t="array" aca="1" ref="G86" ca="1">IF(ISNUMBER(_xll.VoseSimPercentile(CostS_4,$B86)),_xll.VoseSimPercentile(CostS_4,$B86),NA())</f>
        <v>242.5</v>
      </c>
    </row>
    <row r="87" spans="2:7" hidden="1" outlineLevel="1" x14ac:dyDescent="0.45">
      <c r="B87" s="64">
        <v>0.71</v>
      </c>
      <c r="C87" s="64">
        <f t="shared" si="1"/>
        <v>0.29000000000000004</v>
      </c>
      <c r="D87" s="65" cm="1">
        <f t="array" aca="1" ref="D87" ca="1">IF(ISNUMBER(_xll.VoseSimPercentile(CostS_1,$B87)),_xll.VoseSimPercentile(CostS_1,$B87),NA())</f>
        <v>419.5</v>
      </c>
      <c r="E87" s="65" cm="1">
        <f t="array" aca="1" ref="E87" ca="1">IF(ISNUMBER(_xll.VoseSimPercentile(CostS_2,$B87)),_xll.VoseSimPercentile(CostS_2,$B87),NA())</f>
        <v>202.5</v>
      </c>
      <c r="F87" s="65" cm="1">
        <f t="array" aca="1" ref="F87" ca="1">IF(ISNUMBER(_xll.VoseSimPercentile(CostS_3,$B87)),_xll.VoseSimPercentile(CostS_3,$B87),NA())</f>
        <v>202.5</v>
      </c>
      <c r="G87" s="65" cm="1">
        <f t="array" aca="1" ref="G87" ca="1">IF(ISNUMBER(_xll.VoseSimPercentile(CostS_4,$B87)),_xll.VoseSimPercentile(CostS_4,$B87),NA())</f>
        <v>246.5</v>
      </c>
    </row>
    <row r="88" spans="2:7" hidden="1" outlineLevel="1" x14ac:dyDescent="0.45">
      <c r="B88" s="64">
        <v>0.73</v>
      </c>
      <c r="C88" s="64">
        <f t="shared" si="1"/>
        <v>0.27</v>
      </c>
      <c r="D88" s="65" cm="1">
        <f t="array" aca="1" ref="D88" ca="1">IF(ISNUMBER(_xll.VoseSimPercentile(CostS_1,$B88)),_xll.VoseSimPercentile(CostS_1,$B88),NA())</f>
        <v>428.5</v>
      </c>
      <c r="E88" s="65" cm="1">
        <f t="array" aca="1" ref="E88" ca="1">IF(ISNUMBER(_xll.VoseSimPercentile(CostS_2,$B88)),_xll.VoseSimPercentile(CostS_2,$B88),NA())</f>
        <v>206.5</v>
      </c>
      <c r="F88" s="65" cm="1">
        <f t="array" aca="1" ref="F88" ca="1">IF(ISNUMBER(_xll.VoseSimPercentile(CostS_3,$B88)),_xll.VoseSimPercentile(CostS_3,$B88),NA())</f>
        <v>204.5</v>
      </c>
      <c r="G88" s="65" cm="1">
        <f t="array" aca="1" ref="G88" ca="1">IF(ISNUMBER(_xll.VoseSimPercentile(CostS_4,$B88)),_xll.VoseSimPercentile(CostS_4,$B88),NA())</f>
        <v>250.5</v>
      </c>
    </row>
    <row r="89" spans="2:7" hidden="1" outlineLevel="1" x14ac:dyDescent="0.45">
      <c r="B89" s="64">
        <v>0.75</v>
      </c>
      <c r="C89" s="64">
        <f t="shared" si="1"/>
        <v>0.25</v>
      </c>
      <c r="D89" s="65" cm="1">
        <f t="array" aca="1" ref="D89" ca="1">IF(ISNUMBER(_xll.VoseSimPercentile(CostS_1,$B89)),_xll.VoseSimPercentile(CostS_1,$B89),NA())</f>
        <v>434.5</v>
      </c>
      <c r="E89" s="65" cm="1">
        <f t="array" aca="1" ref="E89" ca="1">IF(ISNUMBER(_xll.VoseSimPercentile(CostS_2,$B89)),_xll.VoseSimPercentile(CostS_2,$B89),NA())</f>
        <v>206.5</v>
      </c>
      <c r="F89" s="65" cm="1">
        <f t="array" aca="1" ref="F89" ca="1">IF(ISNUMBER(_xll.VoseSimPercentile(CostS_3,$B89)),_xll.VoseSimPercentile(CostS_3,$B89),NA())</f>
        <v>206.5</v>
      </c>
      <c r="G89" s="65" cm="1">
        <f t="array" aca="1" ref="G89" ca="1">IF(ISNUMBER(_xll.VoseSimPercentile(CostS_4,$B89)),_xll.VoseSimPercentile(CostS_4,$B89),NA())</f>
        <v>257.5</v>
      </c>
    </row>
    <row r="90" spans="2:7" hidden="1" outlineLevel="1" x14ac:dyDescent="0.45">
      <c r="B90" s="64">
        <v>0.77</v>
      </c>
      <c r="C90" s="64">
        <f t="shared" si="1"/>
        <v>0.22999999999999998</v>
      </c>
      <c r="D90" s="65" cm="1">
        <f t="array" aca="1" ref="D90" ca="1">IF(ISNUMBER(_xll.VoseSimPercentile(CostS_1,$B90)),_xll.VoseSimPercentile(CostS_1,$B90),NA())</f>
        <v>440.5</v>
      </c>
      <c r="E90" s="65" cm="1">
        <f t="array" aca="1" ref="E90" ca="1">IF(ISNUMBER(_xll.VoseSimPercentile(CostS_2,$B90)),_xll.VoseSimPercentile(CostS_2,$B90),NA())</f>
        <v>206.5</v>
      </c>
      <c r="F90" s="65" cm="1">
        <f t="array" aca="1" ref="F90" ca="1">IF(ISNUMBER(_xll.VoseSimPercentile(CostS_3,$B90)),_xll.VoseSimPercentile(CostS_3,$B90),NA())</f>
        <v>208.5</v>
      </c>
      <c r="G90" s="65" cm="1">
        <f t="array" aca="1" ref="G90" ca="1">IF(ISNUMBER(_xll.VoseSimPercentile(CostS_4,$B90)),_xll.VoseSimPercentile(CostS_4,$B90),NA())</f>
        <v>263.5</v>
      </c>
    </row>
    <row r="91" spans="2:7" hidden="1" outlineLevel="1" x14ac:dyDescent="0.45">
      <c r="B91" s="64">
        <v>0.79</v>
      </c>
      <c r="C91" s="64">
        <f t="shared" si="1"/>
        <v>0.20999999999999996</v>
      </c>
      <c r="D91" s="65" cm="1">
        <f t="array" aca="1" ref="D91" ca="1">IF(ISNUMBER(_xll.VoseSimPercentile(CostS_1,$B91)),_xll.VoseSimPercentile(CostS_1,$B91),NA())</f>
        <v>455.5</v>
      </c>
      <c r="E91" s="65" cm="1">
        <f t="array" aca="1" ref="E91" ca="1">IF(ISNUMBER(_xll.VoseSimPercentile(CostS_2,$B91)),_xll.VoseSimPercentile(CostS_2,$B91),NA())</f>
        <v>210.5</v>
      </c>
      <c r="F91" s="65" cm="1">
        <f t="array" aca="1" ref="F91" ca="1">IF(ISNUMBER(_xll.VoseSimPercentile(CostS_3,$B91)),_xll.VoseSimPercentile(CostS_3,$B91),NA())</f>
        <v>212.5</v>
      </c>
      <c r="G91" s="65" cm="1">
        <f t="array" aca="1" ref="G91" ca="1">IF(ISNUMBER(_xll.VoseSimPercentile(CostS_4,$B91)),_xll.VoseSimPercentile(CostS_4,$B91),NA())</f>
        <v>267.5</v>
      </c>
    </row>
    <row r="92" spans="2:7" hidden="1" outlineLevel="1" x14ac:dyDescent="0.45">
      <c r="B92" s="64">
        <v>0.81</v>
      </c>
      <c r="C92" s="64">
        <f t="shared" si="1"/>
        <v>0.18999999999999995</v>
      </c>
      <c r="D92" s="65" cm="1">
        <f t="array" aca="1" ref="D92" ca="1">IF(ISNUMBER(_xll.VoseSimPercentile(CostS_1,$B92)),_xll.VoseSimPercentile(CostS_1,$B92),NA())</f>
        <v>455.5</v>
      </c>
      <c r="E92" s="65" cm="1">
        <f t="array" aca="1" ref="E92" ca="1">IF(ISNUMBER(_xll.VoseSimPercentile(CostS_2,$B92)),_xll.VoseSimPercentile(CostS_2,$B92),NA())</f>
        <v>210.5</v>
      </c>
      <c r="F92" s="65" cm="1">
        <f t="array" aca="1" ref="F92" ca="1">IF(ISNUMBER(_xll.VoseSimPercentile(CostS_3,$B92)),_xll.VoseSimPercentile(CostS_3,$B92),NA())</f>
        <v>221.5</v>
      </c>
      <c r="G92" s="65" cm="1">
        <f t="array" aca="1" ref="G92" ca="1">IF(ISNUMBER(_xll.VoseSimPercentile(CostS_4,$B92)),_xll.VoseSimPercentile(CostS_4,$B92),NA())</f>
        <v>278.5</v>
      </c>
    </row>
    <row r="93" spans="2:7" hidden="1" outlineLevel="1" x14ac:dyDescent="0.45">
      <c r="B93" s="64">
        <v>0.83</v>
      </c>
      <c r="C93" s="64">
        <f t="shared" si="1"/>
        <v>0.17000000000000004</v>
      </c>
      <c r="D93" s="65" cm="1">
        <f t="array" aca="1" ref="D93" ca="1">IF(ISNUMBER(_xll.VoseSimPercentile(CostS_1,$B93)),_xll.VoseSimPercentile(CostS_1,$B93),NA())</f>
        <v>461.5</v>
      </c>
      <c r="E93" s="65" cm="1">
        <f t="array" aca="1" ref="E93" ca="1">IF(ISNUMBER(_xll.VoseSimPercentile(CostS_2,$B93)),_xll.VoseSimPercentile(CostS_2,$B93),NA())</f>
        <v>210.5</v>
      </c>
      <c r="F93" s="65" cm="1">
        <f t="array" aca="1" ref="F93" ca="1">IF(ISNUMBER(_xll.VoseSimPercentile(CostS_3,$B93)),_xll.VoseSimPercentile(CostS_3,$B93),NA())</f>
        <v>225.5</v>
      </c>
      <c r="G93" s="65" cm="1">
        <f t="array" aca="1" ref="G93" ca="1">IF(ISNUMBER(_xll.VoseSimPercentile(CostS_4,$B93)),_xll.VoseSimPercentile(CostS_4,$B93),NA())</f>
        <v>282.5</v>
      </c>
    </row>
    <row r="94" spans="2:7" hidden="1" outlineLevel="1" x14ac:dyDescent="0.45">
      <c r="B94" s="64">
        <v>0.85</v>
      </c>
      <c r="C94" s="64">
        <f t="shared" si="1"/>
        <v>0.15000000000000002</v>
      </c>
      <c r="D94" s="65" cm="1">
        <f t="array" aca="1" ref="D94" ca="1">IF(ISNUMBER(_xll.VoseSimPercentile(CostS_1,$B94)),_xll.VoseSimPercentile(CostS_1,$B94),NA())</f>
        <v>476.5</v>
      </c>
      <c r="E94" s="65" cm="1">
        <f t="array" aca="1" ref="E94" ca="1">IF(ISNUMBER(_xll.VoseSimPercentile(CostS_2,$B94)),_xll.VoseSimPercentile(CostS_2,$B94),NA())</f>
        <v>223.5</v>
      </c>
      <c r="F94" s="65" cm="1">
        <f t="array" aca="1" ref="F94" ca="1">IF(ISNUMBER(_xll.VoseSimPercentile(CostS_3,$B94)),_xll.VoseSimPercentile(CostS_3,$B94),NA())</f>
        <v>229.5</v>
      </c>
      <c r="G94" s="65" cm="1">
        <f t="array" aca="1" ref="G94" ca="1">IF(ISNUMBER(_xll.VoseSimPercentile(CostS_4,$B94)),_xll.VoseSimPercentile(CostS_4,$B94),NA())</f>
        <v>290.5</v>
      </c>
    </row>
    <row r="95" spans="2:7" hidden="1" outlineLevel="1" x14ac:dyDescent="0.45">
      <c r="B95" s="64">
        <v>0.87</v>
      </c>
      <c r="C95" s="64">
        <f t="shared" si="1"/>
        <v>0.13</v>
      </c>
      <c r="D95" s="65" cm="1">
        <f t="array" aca="1" ref="D95" ca="1">IF(ISNUMBER(_xll.VoseSimPercentile(CostS_1,$B95)),_xll.VoseSimPercentile(CostS_1,$B95),NA())</f>
        <v>482.5</v>
      </c>
      <c r="E95" s="65" cm="1">
        <f t="array" aca="1" ref="E95" ca="1">IF(ISNUMBER(_xll.VoseSimPercentile(CostS_2,$B95)),_xll.VoseSimPercentile(CostS_2,$B95),NA())</f>
        <v>227.5</v>
      </c>
      <c r="F95" s="65" cm="1">
        <f t="array" aca="1" ref="F95" ca="1">IF(ISNUMBER(_xll.VoseSimPercentile(CostS_3,$B95)),_xll.VoseSimPercentile(CostS_3,$B95),NA())</f>
        <v>240.5</v>
      </c>
      <c r="G95" s="65" cm="1">
        <f t="array" aca="1" ref="G95" ca="1">IF(ISNUMBER(_xll.VoseSimPercentile(CostS_4,$B95)),_xll.VoseSimPercentile(CostS_4,$B95),NA())</f>
        <v>299.5</v>
      </c>
    </row>
    <row r="96" spans="2:7" hidden="1" outlineLevel="1" x14ac:dyDescent="0.45">
      <c r="B96" s="64">
        <v>0.89</v>
      </c>
      <c r="C96" s="64">
        <f t="shared" si="1"/>
        <v>0.10999999999999999</v>
      </c>
      <c r="D96" s="65" cm="1">
        <f t="array" aca="1" ref="D96" ca="1">IF(ISNUMBER(_xll.VoseSimPercentile(CostS_1,$B96)),_xll.VoseSimPercentile(CostS_1,$B96),NA())</f>
        <v>497.5</v>
      </c>
      <c r="E96" s="65" cm="1">
        <f t="array" aca="1" ref="E96" ca="1">IF(ISNUMBER(_xll.VoseSimPercentile(CostS_2,$B96)),_xll.VoseSimPercentile(CostS_2,$B96),NA())</f>
        <v>227.5</v>
      </c>
      <c r="F96" s="65" cm="1">
        <f t="array" aca="1" ref="F96" ca="1">IF(ISNUMBER(_xll.VoseSimPercentile(CostS_3,$B96)),_xll.VoseSimPercentile(CostS_3,$B96),NA())</f>
        <v>242.5</v>
      </c>
      <c r="G96" s="65" cm="1">
        <f t="array" aca="1" ref="G96" ca="1">IF(ISNUMBER(_xll.VoseSimPercentile(CostS_4,$B96)),_xll.VoseSimPercentile(CostS_4,$B96),NA())</f>
        <v>312.5</v>
      </c>
    </row>
    <row r="97" spans="2:7" hidden="1" outlineLevel="1" x14ac:dyDescent="0.45">
      <c r="B97" s="64">
        <v>0.91</v>
      </c>
      <c r="C97" s="64">
        <f t="shared" si="1"/>
        <v>8.9999999999999969E-2</v>
      </c>
      <c r="D97" s="65" cm="1">
        <f t="array" aca="1" ref="D97" ca="1">IF(ISNUMBER(_xll.VoseSimPercentile(CostS_1,$B97)),_xll.VoseSimPercentile(CostS_1,$B97),NA())</f>
        <v>512.5</v>
      </c>
      <c r="E97" s="65" cm="1">
        <f t="array" aca="1" ref="E97" ca="1">IF(ISNUMBER(_xll.VoseSimPercentile(CostS_2,$B97)),_xll.VoseSimPercentile(CostS_2,$B97),NA())</f>
        <v>231.5</v>
      </c>
      <c r="F97" s="65" cm="1">
        <f t="array" aca="1" ref="F97" ca="1">IF(ISNUMBER(_xll.VoseSimPercentile(CostS_3,$B97)),_xll.VoseSimPercentile(CostS_3,$B97),NA())</f>
        <v>255.5</v>
      </c>
      <c r="G97" s="65" cm="1">
        <f t="array" aca="1" ref="G97" ca="1">IF(ISNUMBER(_xll.VoseSimPercentile(CostS_4,$B97)),_xll.VoseSimPercentile(CostS_4,$B97),NA())</f>
        <v>324.5</v>
      </c>
    </row>
    <row r="98" spans="2:7" hidden="1" outlineLevel="1" x14ac:dyDescent="0.45">
      <c r="B98" s="64">
        <v>0.93</v>
      </c>
      <c r="C98" s="64">
        <f t="shared" si="1"/>
        <v>6.9999999999999951E-2</v>
      </c>
      <c r="D98" s="65" cm="1">
        <f t="array" aca="1" ref="D98" ca="1">IF(ISNUMBER(_xll.VoseSimPercentile(CostS_1,$B98)),_xll.VoseSimPercentile(CostS_1,$B98),NA())</f>
        <v>518.5</v>
      </c>
      <c r="E98" s="65" cm="1">
        <f t="array" aca="1" ref="E98" ca="1">IF(ISNUMBER(_xll.VoseSimPercentile(CostS_2,$B98)),_xll.VoseSimPercentile(CostS_2,$B98),NA())</f>
        <v>244.5</v>
      </c>
      <c r="F98" s="65" cm="1">
        <f t="array" aca="1" ref="F98" ca="1">IF(ISNUMBER(_xll.VoseSimPercentile(CostS_3,$B98)),_xll.VoseSimPercentile(CostS_3,$B98),NA())</f>
        <v>263.5</v>
      </c>
      <c r="G98" s="65" cm="1">
        <f t="array" aca="1" ref="G98" ca="1">IF(ISNUMBER(_xll.VoseSimPercentile(CostS_4,$B98)),_xll.VoseSimPercentile(CostS_4,$B98),NA())</f>
        <v>337.5</v>
      </c>
    </row>
    <row r="99" spans="2:7" hidden="1" outlineLevel="1" x14ac:dyDescent="0.45">
      <c r="B99" s="64">
        <v>0.95</v>
      </c>
      <c r="C99" s="64">
        <f t="shared" si="1"/>
        <v>5.0000000000000044E-2</v>
      </c>
      <c r="D99" s="65" cm="1">
        <f t="array" aca="1" ref="D99" ca="1">IF(ISNUMBER(_xll.VoseSimPercentile(CostS_1,$B99)),_xll.VoseSimPercentile(CostS_1,$B99),NA())</f>
        <v>539.5</v>
      </c>
      <c r="E99" s="65" cm="1">
        <f t="array" aca="1" ref="E99" ca="1">IF(ISNUMBER(_xll.VoseSimPercentile(CostS_2,$B99)),_xll.VoseSimPercentile(CostS_2,$B99),NA())</f>
        <v>252.5</v>
      </c>
      <c r="F99" s="65" cm="1">
        <f t="array" aca="1" ref="F99" ca="1">IF(ISNUMBER(_xll.VoseSimPercentile(CostS_3,$B99)),_xll.VoseSimPercentile(CostS_3,$B99),NA())</f>
        <v>278.5</v>
      </c>
      <c r="G99" s="65" cm="1">
        <f t="array" aca="1" ref="G99" ca="1">IF(ISNUMBER(_xll.VoseSimPercentile(CostS_4,$B99)),_xll.VoseSimPercentile(CostS_4,$B99),NA())</f>
        <v>358.5</v>
      </c>
    </row>
    <row r="100" spans="2:7" hidden="1" outlineLevel="1" x14ac:dyDescent="0.45">
      <c r="B100" s="64">
        <v>0.97</v>
      </c>
      <c r="C100" s="64">
        <f t="shared" si="1"/>
        <v>3.0000000000000027E-2</v>
      </c>
      <c r="D100" s="65" cm="1">
        <f t="array" aca="1" ref="D100" ca="1">IF(ISNUMBER(_xll.VoseSimPercentile(CostS_1,$B100)),_xll.VoseSimPercentile(CostS_1,$B100),NA())</f>
        <v>569.5</v>
      </c>
      <c r="E100" s="65" cm="1">
        <f t="array" aca="1" ref="E100" ca="1">IF(ISNUMBER(_xll.VoseSimPercentile(CostS_2,$B100)),_xll.VoseSimPercentile(CostS_2,$B100),NA())</f>
        <v>267.5</v>
      </c>
      <c r="F100" s="65" cm="1">
        <f t="array" aca="1" ref="F100" ca="1">IF(ISNUMBER(_xll.VoseSimPercentile(CostS_3,$B100)),_xll.VoseSimPercentile(CostS_3,$B100),NA())</f>
        <v>299.5</v>
      </c>
      <c r="G100" s="65" cm="1">
        <f t="array" aca="1" ref="G100" ca="1">IF(ISNUMBER(_xll.VoseSimPercentile(CostS_4,$B100)),_xll.VoseSimPercentile(CostS_4,$B100),NA())</f>
        <v>390.5</v>
      </c>
    </row>
    <row r="101" spans="2:7" hidden="1" outlineLevel="1" x14ac:dyDescent="0.45">
      <c r="B101" s="64">
        <v>0.99</v>
      </c>
      <c r="C101" s="64">
        <f t="shared" si="1"/>
        <v>1.0000000000000009E-2</v>
      </c>
      <c r="D101" s="65" cm="1">
        <f t="array" aca="1" ref="D101" ca="1">IF(ISNUMBER(_xll.VoseSimPercentile(CostS_1,$B101)),_xll.VoseSimPercentile(CostS_1,$B101),NA())</f>
        <v>611.5</v>
      </c>
      <c r="E101" s="65" cm="1">
        <f t="array" aca="1" ref="E101" ca="1">IF(ISNUMBER(_xll.VoseSimPercentile(CostS_2,$B101)),_xll.VoseSimPercentile(CostS_2,$B101),NA())</f>
        <v>303.5</v>
      </c>
      <c r="F101" s="65" cm="1">
        <f t="array" aca="1" ref="F101" ca="1">IF(ISNUMBER(_xll.VoseSimPercentile(CostS_3,$B101)),_xll.VoseSimPercentile(CostS_3,$B101),NA())</f>
        <v>337.5</v>
      </c>
      <c r="G101" s="65" cm="1">
        <f t="array" aca="1" ref="G101" ca="1">IF(ISNUMBER(_xll.VoseSimPercentile(CostS_4,$B101)),_xll.VoseSimPercentile(CostS_4,$B101),NA())</f>
        <v>438.5</v>
      </c>
    </row>
    <row r="102" spans="2:7" hidden="1" outlineLevel="1" x14ac:dyDescent="0.45"/>
    <row r="103" spans="2:7" ht="28.05" hidden="1" customHeight="1" outlineLevel="1" x14ac:dyDescent="0.45">
      <c r="B103" s="23" t="s">
        <v>283</v>
      </c>
      <c r="C103" s="24" t="s">
        <v>284</v>
      </c>
      <c r="D103" s="24" t="s">
        <v>285</v>
      </c>
      <c r="E103" s="24" t="s">
        <v>286</v>
      </c>
      <c r="F103" s="24" t="s">
        <v>287</v>
      </c>
      <c r="G103" s="5"/>
    </row>
    <row r="104" spans="2:7" hidden="1" outlineLevel="1" x14ac:dyDescent="0.45">
      <c r="B104" s="66" t="s">
        <v>217</v>
      </c>
      <c r="C104" s="65" cm="1">
        <f t="array" aca="1" ref="C104" ca="1">IF(ISNUMBER(_xll.VoseSimMean(Spindles!D152)),_xll.VoseSimMean(Spindles!D152),NA())</f>
        <v>0.17730886544327215</v>
      </c>
      <c r="D104" s="65" cm="1">
        <f t="array" aca="1" ref="D104" ca="1">IF(ISNUMBER(_xll.VoseSimMean(Spindles!D153)),_xll.VoseSimMean(Spindles!D153),NA())</f>
        <v>0.17730886544327215</v>
      </c>
      <c r="E104" s="65" cm="1">
        <f t="array" aca="1" ref="E104" ca="1">IF(ISNUMBER(_xll.VoseSimMean(Spindles!D154)),_xll.VoseSimMean(Spindles!D154),NA())</f>
        <v>0.17730886544327215</v>
      </c>
      <c r="F104" s="65" cm="1">
        <f t="array" aca="1" ref="F104" ca="1">IF(ISNUMBER(_xll.VoseSimMean(Spindles!D155)),_xll.VoseSimMean(Spindles!D155),NA())</f>
        <v>0.17730886544327215</v>
      </c>
    </row>
    <row r="105" spans="2:7" hidden="1" outlineLevel="1" x14ac:dyDescent="0.45">
      <c r="B105" s="66" t="s">
        <v>218</v>
      </c>
      <c r="C105" s="65" cm="1">
        <f t="array" aca="1" ref="C105" ca="1">IF(ISNUMBER(_xll.VoseSimMean(Spindles!E152)),_xll.VoseSimMean(Spindles!E152),NA())</f>
        <v>0.7367368368418421</v>
      </c>
      <c r="D105" s="65" cm="1">
        <f t="array" aca="1" ref="D105" ca="1">IF(ISNUMBER(_xll.VoseSimMean(Spindles!E153)),_xll.VoseSimMean(Spindles!E153),NA())</f>
        <v>0.4385219260963048</v>
      </c>
      <c r="E105" s="65" cm="1">
        <f t="array" aca="1" ref="E105" ca="1">IF(ISNUMBER(_xll.VoseSimMean(Spindles!E154)),_xll.VoseSimMean(Spindles!E154),NA())</f>
        <v>0.7367368368418421</v>
      </c>
      <c r="F105" s="65" cm="1">
        <f t="array" aca="1" ref="F105" ca="1">IF(ISNUMBER(_xll.VoseSimMean(Spindles!E155)),_xll.VoseSimMean(Spindles!E155),NA())</f>
        <v>0.7367368368418421</v>
      </c>
    </row>
    <row r="106" spans="2:7" hidden="1" outlineLevel="1" x14ac:dyDescent="0.45">
      <c r="B106" s="66" t="s">
        <v>219</v>
      </c>
      <c r="C106" s="65" cm="1">
        <f t="array" aca="1" ref="C106" ca="1">IF(ISNUMBER(_xll.VoseSimMean(Spindles!F152)),_xll.VoseSimMean(Spindles!F152),NA())</f>
        <v>1.425121256062803</v>
      </c>
      <c r="D106" s="65" cm="1">
        <f t="array" aca="1" ref="D106" ca="1">IF(ISNUMBER(_xll.VoseSimMean(Spindles!F153)),_xll.VoseSimMean(Spindles!F153),NA())</f>
        <v>0.33231661583079153</v>
      </c>
      <c r="E106" s="65" cm="1">
        <f t="array" aca="1" ref="E106" ca="1">IF(ISNUMBER(_xll.VoseSimMean(Spindles!F154)),_xll.VoseSimMean(Spindles!F154),NA())</f>
        <v>0.50197509875493773</v>
      </c>
      <c r="F106" s="65" cm="1">
        <f t="array" aca="1" ref="F106" ca="1">IF(ISNUMBER(_xll.VoseSimMean(Spindles!F155)),_xll.VoseSimMean(Spindles!F155),NA())</f>
        <v>1.425121256062803</v>
      </c>
    </row>
    <row r="107" spans="2:7" hidden="1" outlineLevel="1" x14ac:dyDescent="0.45">
      <c r="B107" s="66" t="s">
        <v>220</v>
      </c>
      <c r="C107" s="65" cm="1">
        <f t="array" aca="1" ref="C107" ca="1">IF(ISNUMBER(_xll.VoseSimMean(Spindles!G152)),_xll.VoseSimMean(Spindles!G152),NA())</f>
        <v>1.8970948547427371</v>
      </c>
      <c r="D107" s="65" cm="1">
        <f t="array" aca="1" ref="D107" ca="1">IF(ISNUMBER(_xll.VoseSimMean(Spindles!G153)),_xll.VoseSimMean(Spindles!G153),NA())</f>
        <v>0.32421621081054053</v>
      </c>
      <c r="E107" s="65" cm="1">
        <f t="array" aca="1" ref="E107" ca="1">IF(ISNUMBER(_xll.VoseSimMean(Spindles!G154)),_xll.VoseSimMean(Spindles!G154),NA())</f>
        <v>0.55552777638881945</v>
      </c>
      <c r="F107" s="65" cm="1">
        <f t="array" aca="1" ref="F107" ca="1">IF(ISNUMBER(_xll.VoseSimMean(Spindles!G155)),_xll.VoseSimMean(Spindles!G155),NA())</f>
        <v>0.80184009200460027</v>
      </c>
    </row>
    <row r="108" spans="2:7" hidden="1" outlineLevel="1" x14ac:dyDescent="0.45">
      <c r="B108" s="66" t="s">
        <v>221</v>
      </c>
      <c r="C108" s="65" cm="1">
        <f t="array" aca="1" ref="C108" ca="1">IF(ISNUMBER(_xll.VoseSimMean(Spindles!H152)),_xll.VoseSimMean(Spindles!H152),NA())</f>
        <v>2.0798539926996349</v>
      </c>
      <c r="D108" s="65" cm="1">
        <f t="array" aca="1" ref="D108" ca="1">IF(ISNUMBER(_xll.VoseSimMean(Spindles!H153)),_xll.VoseSimMean(Spindles!H153),NA())</f>
        <v>0.51892594629731481</v>
      </c>
      <c r="E108" s="65" cm="1">
        <f t="array" aca="1" ref="E108" ca="1">IF(ISNUMBER(_xll.VoseSimMean(Spindles!H154)),_xll.VoseSimMean(Spindles!H154),NA())</f>
        <v>0.71708585429271465</v>
      </c>
      <c r="F108" s="65" cm="1">
        <f t="array" aca="1" ref="F108" ca="1">IF(ISNUMBER(_xll.VoseSimMean(Spindles!H155)),_xll.VoseSimMean(Spindles!H155),NA())</f>
        <v>0.69828491424571226</v>
      </c>
    </row>
    <row r="109" spans="2:7" hidden="1" outlineLevel="1" x14ac:dyDescent="0.45">
      <c r="B109" s="66" t="s">
        <v>222</v>
      </c>
      <c r="C109" s="65" cm="1">
        <f t="array" aca="1" ref="C109" ca="1">IF(ISNUMBER(_xll.VoseSimMean(Spindles!I152)),_xll.VoseSimMean(Spindles!I152),NA())</f>
        <v>2.0552527626381321</v>
      </c>
      <c r="D109" s="65" cm="1">
        <f t="array" aca="1" ref="D109" ca="1">IF(ISNUMBER(_xll.VoseSimMean(Spindles!I153)),_xll.VoseSimMean(Spindles!I153),NA())</f>
        <v>0.20431021551077555</v>
      </c>
      <c r="E109" s="65" cm="1">
        <f t="array" aca="1" ref="E109" ca="1">IF(ISNUMBER(_xll.VoseSimMean(Spindles!I154)),_xll.VoseSimMean(Spindles!I154),NA())</f>
        <v>0.42312115605780287</v>
      </c>
      <c r="F109" s="65" cm="1">
        <f t="array" aca="1" ref="F109" ca="1">IF(ISNUMBER(_xll.VoseSimMean(Spindles!I155)),_xll.VoseSimMean(Spindles!I155),NA())</f>
        <v>1.1714585729286464</v>
      </c>
    </row>
    <row r="110" spans="2:7" hidden="1" outlineLevel="1" x14ac:dyDescent="0.45">
      <c r="B110" s="66" t="s">
        <v>223</v>
      </c>
      <c r="C110" s="65" cm="1">
        <f t="array" aca="1" ref="C110" ca="1">IF(ISNUMBER(_xll.VoseSimMean(Spindles!J152)),_xll.VoseSimMean(Spindles!J152),NA())</f>
        <v>1.9554477723886194</v>
      </c>
      <c r="D110" s="65" cm="1">
        <f t="array" aca="1" ref="D110" ca="1">IF(ISNUMBER(_xll.VoseSimMean(Spindles!J153)),_xll.VoseSimMean(Spindles!J153),NA())</f>
        <v>0.41182059102955149</v>
      </c>
      <c r="E110" s="65" cm="1">
        <f t="array" aca="1" ref="E110" ca="1">IF(ISNUMBER(_xll.VoseSimMean(Spindles!J154)),_xll.VoseSimMean(Spindles!J154),NA())</f>
        <v>0.85879293964698233</v>
      </c>
      <c r="F110" s="65" cm="1">
        <f t="array" aca="1" ref="F110" ca="1">IF(ISNUMBER(_xll.VoseSimMean(Spindles!J155)),_xll.VoseSimMean(Spindles!J155),NA())</f>
        <v>1.0652032601630081</v>
      </c>
    </row>
    <row r="111" spans="2:7" hidden="1" outlineLevel="1" x14ac:dyDescent="0.45">
      <c r="B111" s="66" t="s">
        <v>224</v>
      </c>
      <c r="C111" s="65" cm="1">
        <f t="array" aca="1" ref="C111" ca="1">IF(ISNUMBER(_xll.VoseSimMean(Spindles!K152)),_xll.VoseSimMean(Spindles!K152),NA())</f>
        <v>1.9011950597529876</v>
      </c>
      <c r="D111" s="65" cm="1">
        <f t="array" aca="1" ref="D111" ca="1">IF(ISNUMBER(_xll.VoseSimMean(Spindles!K153)),_xll.VoseSimMean(Spindles!K153),NA())</f>
        <v>0.35381769088454423</v>
      </c>
      <c r="E111" s="65" cm="1">
        <f t="array" aca="1" ref="E111" ca="1">IF(ISNUMBER(_xll.VoseSimMean(Spindles!K154)),_xll.VoseSimMean(Spindles!K154),NA())</f>
        <v>0.3191159557977899</v>
      </c>
      <c r="F111" s="65" cm="1">
        <f t="array" aca="1" ref="F111" ca="1">IF(ISNUMBER(_xll.VoseSimMean(Spindles!K155)),_xll.VoseSimMean(Spindles!K155),NA())</f>
        <v>0.66833341667083357</v>
      </c>
    </row>
  </sheetData>
  <mergeCells count="5">
    <mergeCell ref="B42:G42"/>
    <mergeCell ref="B46:G46"/>
    <mergeCell ref="B45:G45"/>
    <mergeCell ref="B43:G43"/>
    <mergeCell ref="B44:G44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104:F111">
    <cfRule type="expression" dxfId="2" priority="5">
      <formula>ISNA(C104)</formula>
    </cfRule>
  </conditionalFormatting>
  <conditionalFormatting sqref="D13:G16">
    <cfRule type="expression" dxfId="1" priority="3">
      <formula>AND(ISNUMBER(D13),D13=MIN($D$13:$G$16))</formula>
    </cfRule>
  </conditionalFormatting>
  <conditionalFormatting sqref="D52:G101">
    <cfRule type="expression" dxfId="0" priority="4">
      <formula>ISNA(D52)</formula>
    </cfRule>
  </conditionalFormatting>
  <hyperlinks>
    <hyperlink ref="B4" location="'Spindles'!A1" display="◂  Spindles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0D0A-26D2-4FA1-AB07-310779BDF9C6}">
  <dimension ref="A1:B1"/>
  <sheetViews>
    <sheetView workbookViewId="0"/>
  </sheetViews>
  <sheetFormatPr defaultRowHeight="14.25" x14ac:dyDescent="0.45"/>
  <sheetData>
    <row r="1" spans="1:2" x14ac:dyDescent="0.45">
      <c r="A1" s="71" t="s">
        <v>288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D105-99C9-49EC-8BEF-13DF24858A54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29DF5-FE88-46C5-9649-71E2A3A4FA53}">
  <dimension ref="B3:B842"/>
  <sheetViews>
    <sheetView workbookViewId="0"/>
  </sheetViews>
  <sheetFormatPr defaultRowHeight="14.25" x14ac:dyDescent="0.45"/>
  <sheetData>
    <row r="3" spans="2:2" x14ac:dyDescent="0.45">
      <c r="B3">
        <v>37</v>
      </c>
    </row>
    <row r="4" spans="2:2" x14ac:dyDescent="0.45">
      <c r="B4">
        <v>108</v>
      </c>
    </row>
    <row r="5" spans="2:2" x14ac:dyDescent="0.45">
      <c r="B5">
        <v>234</v>
      </c>
    </row>
    <row r="6" spans="2:2" x14ac:dyDescent="0.45">
      <c r="B6">
        <v>343</v>
      </c>
    </row>
    <row r="7" spans="2:2" x14ac:dyDescent="0.45">
      <c r="B7">
        <v>774</v>
      </c>
    </row>
    <row r="8" spans="2:2" x14ac:dyDescent="0.45">
      <c r="B8">
        <v>264</v>
      </c>
    </row>
    <row r="9" spans="2:2" x14ac:dyDescent="0.45">
      <c r="B9">
        <v>145</v>
      </c>
    </row>
    <row r="10" spans="2:2" x14ac:dyDescent="0.45">
      <c r="B10">
        <v>63</v>
      </c>
    </row>
    <row r="11" spans="2:2" x14ac:dyDescent="0.45">
      <c r="B11">
        <v>24</v>
      </c>
    </row>
    <row r="12" spans="2:2" x14ac:dyDescent="0.45">
      <c r="B12">
        <v>8</v>
      </c>
    </row>
    <row r="13" spans="2:2" x14ac:dyDescent="0.45">
      <c r="B13">
        <v>0</v>
      </c>
    </row>
    <row r="14" spans="2:2" x14ac:dyDescent="0.45">
      <c r="B14">
        <v>0</v>
      </c>
    </row>
    <row r="15" spans="2:2" x14ac:dyDescent="0.45">
      <c r="B15">
        <v>0</v>
      </c>
    </row>
    <row r="16" spans="2:2" x14ac:dyDescent="0.45">
      <c r="B16">
        <v>0</v>
      </c>
    </row>
    <row r="17" spans="2:2" x14ac:dyDescent="0.45">
      <c r="B17">
        <v>0</v>
      </c>
    </row>
    <row r="18" spans="2:2" x14ac:dyDescent="0.45">
      <c r="B18">
        <v>2000</v>
      </c>
    </row>
    <row r="19" spans="2:2" x14ac:dyDescent="0.45">
      <c r="B19">
        <v>0</v>
      </c>
    </row>
    <row r="20" spans="2:2" x14ac:dyDescent="0.45">
      <c r="B20">
        <v>0</v>
      </c>
    </row>
    <row r="21" spans="2:2" x14ac:dyDescent="0.45">
      <c r="B21">
        <v>0</v>
      </c>
    </row>
    <row r="22" spans="2:2" x14ac:dyDescent="0.45">
      <c r="B22">
        <v>0</v>
      </c>
    </row>
    <row r="23" spans="2:2" x14ac:dyDescent="0.45">
      <c r="B23">
        <v>37</v>
      </c>
    </row>
    <row r="24" spans="2:2" x14ac:dyDescent="0.45">
      <c r="B24">
        <v>108</v>
      </c>
    </row>
    <row r="25" spans="2:2" x14ac:dyDescent="0.45">
      <c r="B25">
        <v>234</v>
      </c>
    </row>
    <row r="26" spans="2:2" x14ac:dyDescent="0.45">
      <c r="B26">
        <v>343</v>
      </c>
    </row>
    <row r="27" spans="2:2" x14ac:dyDescent="0.45">
      <c r="B27">
        <v>774</v>
      </c>
    </row>
    <row r="28" spans="2:2" x14ac:dyDescent="0.45">
      <c r="B28">
        <v>264</v>
      </c>
    </row>
    <row r="29" spans="2:2" x14ac:dyDescent="0.45">
      <c r="B29">
        <v>145</v>
      </c>
    </row>
    <row r="30" spans="2:2" x14ac:dyDescent="0.45">
      <c r="B30">
        <v>63</v>
      </c>
    </row>
    <row r="31" spans="2:2" x14ac:dyDescent="0.45">
      <c r="B31">
        <v>24</v>
      </c>
    </row>
    <row r="32" spans="2:2" x14ac:dyDescent="0.45">
      <c r="B32">
        <v>8</v>
      </c>
    </row>
    <row r="33" spans="2:2" x14ac:dyDescent="0.45">
      <c r="B33">
        <v>308</v>
      </c>
    </row>
    <row r="34" spans="2:2" x14ac:dyDescent="0.45">
      <c r="B34">
        <v>383</v>
      </c>
    </row>
    <row r="35" spans="2:2" x14ac:dyDescent="0.45">
      <c r="B35">
        <v>482</v>
      </c>
    </row>
    <row r="36" spans="2:2" x14ac:dyDescent="0.45">
      <c r="B36">
        <v>350</v>
      </c>
    </row>
    <row r="37" spans="2:2" x14ac:dyDescent="0.45">
      <c r="B37">
        <v>249</v>
      </c>
    </row>
    <row r="38" spans="2:2" x14ac:dyDescent="0.45">
      <c r="B38">
        <v>143</v>
      </c>
    </row>
    <row r="39" spans="2:2" x14ac:dyDescent="0.45">
      <c r="B39">
        <v>58</v>
      </c>
    </row>
    <row r="40" spans="2:2" x14ac:dyDescent="0.45">
      <c r="B40">
        <v>19</v>
      </c>
    </row>
    <row r="41" spans="2:2" x14ac:dyDescent="0.45">
      <c r="B41">
        <v>5</v>
      </c>
    </row>
    <row r="42" spans="2:2" x14ac:dyDescent="0.45">
      <c r="B42">
        <v>3</v>
      </c>
    </row>
    <row r="43" spans="2:2" x14ac:dyDescent="0.45">
      <c r="B43">
        <v>39</v>
      </c>
    </row>
    <row r="44" spans="2:2" x14ac:dyDescent="0.45">
      <c r="B44">
        <v>161</v>
      </c>
    </row>
    <row r="45" spans="2:2" x14ac:dyDescent="0.45">
      <c r="B45">
        <v>478</v>
      </c>
    </row>
    <row r="46" spans="2:2" x14ac:dyDescent="0.45">
      <c r="B46">
        <v>486</v>
      </c>
    </row>
    <row r="47" spans="2:2" x14ac:dyDescent="0.45">
      <c r="B47">
        <v>394</v>
      </c>
    </row>
    <row r="48" spans="2:2" x14ac:dyDescent="0.45">
      <c r="B48">
        <v>252</v>
      </c>
    </row>
    <row r="49" spans="2:2" x14ac:dyDescent="0.45">
      <c r="B49">
        <v>122</v>
      </c>
    </row>
    <row r="50" spans="2:2" x14ac:dyDescent="0.45">
      <c r="B50">
        <v>47</v>
      </c>
    </row>
    <row r="51" spans="2:2" x14ac:dyDescent="0.45">
      <c r="B51">
        <v>14</v>
      </c>
    </row>
    <row r="52" spans="2:2" x14ac:dyDescent="0.45">
      <c r="B52">
        <v>7</v>
      </c>
    </row>
    <row r="53" spans="2:2" x14ac:dyDescent="0.45">
      <c r="B53">
        <v>108</v>
      </c>
    </row>
    <row r="54" spans="2:2" x14ac:dyDescent="0.45">
      <c r="B54">
        <v>371</v>
      </c>
    </row>
    <row r="55" spans="2:2" x14ac:dyDescent="0.45">
      <c r="B55">
        <v>517</v>
      </c>
    </row>
    <row r="56" spans="2:2" x14ac:dyDescent="0.45">
      <c r="B56">
        <v>462</v>
      </c>
    </row>
    <row r="57" spans="2:2" x14ac:dyDescent="0.45">
      <c r="B57">
        <v>289</v>
      </c>
    </row>
    <row r="58" spans="2:2" x14ac:dyDescent="0.45">
      <c r="B58">
        <v>156</v>
      </c>
    </row>
    <row r="59" spans="2:2" x14ac:dyDescent="0.45">
      <c r="B59">
        <v>65</v>
      </c>
    </row>
    <row r="60" spans="2:2" x14ac:dyDescent="0.45">
      <c r="B60">
        <v>23</v>
      </c>
    </row>
    <row r="61" spans="2:2" x14ac:dyDescent="0.45">
      <c r="B61">
        <v>6</v>
      </c>
    </row>
    <row r="62" spans="2:2" x14ac:dyDescent="0.45">
      <c r="B62">
        <v>3</v>
      </c>
    </row>
    <row r="63" spans="2:2" x14ac:dyDescent="0.45">
      <c r="B63">
        <v>1</v>
      </c>
    </row>
    <row r="64" spans="2:2" x14ac:dyDescent="0.45">
      <c r="B64">
        <v>10</v>
      </c>
    </row>
    <row r="65" spans="2:2" x14ac:dyDescent="0.45">
      <c r="B65">
        <v>0</v>
      </c>
    </row>
    <row r="66" spans="2:2" x14ac:dyDescent="0.45">
      <c r="B66">
        <v>40</v>
      </c>
    </row>
    <row r="67" spans="2:2" x14ac:dyDescent="0.45">
      <c r="B67">
        <v>131</v>
      </c>
    </row>
    <row r="68" spans="2:2" x14ac:dyDescent="0.45">
      <c r="B68">
        <v>0</v>
      </c>
    </row>
    <row r="69" spans="2:2" x14ac:dyDescent="0.45">
      <c r="B69">
        <v>441</v>
      </c>
    </row>
    <row r="70" spans="2:2" x14ac:dyDescent="0.45">
      <c r="B70">
        <v>0</v>
      </c>
    </row>
    <row r="71" spans="2:2" x14ac:dyDescent="0.45">
      <c r="B71">
        <v>733</v>
      </c>
    </row>
    <row r="72" spans="2:2" x14ac:dyDescent="0.45">
      <c r="B72">
        <v>644</v>
      </c>
    </row>
    <row r="73" spans="2:2" x14ac:dyDescent="0.45">
      <c r="B73">
        <v>325</v>
      </c>
    </row>
    <row r="74" spans="2:2" x14ac:dyDescent="0.45">
      <c r="B74">
        <v>715</v>
      </c>
    </row>
    <row r="75" spans="2:2" x14ac:dyDescent="0.45">
      <c r="B75">
        <v>0</v>
      </c>
    </row>
    <row r="76" spans="2:2" x14ac:dyDescent="0.45">
      <c r="B76">
        <v>586</v>
      </c>
    </row>
    <row r="77" spans="2:2" x14ac:dyDescent="0.45">
      <c r="B77">
        <v>271</v>
      </c>
    </row>
    <row r="78" spans="2:2" x14ac:dyDescent="0.45">
      <c r="B78">
        <v>0</v>
      </c>
    </row>
    <row r="79" spans="2:2" x14ac:dyDescent="0.45">
      <c r="B79">
        <v>89</v>
      </c>
    </row>
    <row r="80" spans="2:2" x14ac:dyDescent="0.45">
      <c r="B80">
        <v>0</v>
      </c>
    </row>
    <row r="81" spans="2:2" x14ac:dyDescent="0.45">
      <c r="B81">
        <v>11</v>
      </c>
    </row>
    <row r="82" spans="2:2" x14ac:dyDescent="0.45">
      <c r="B82">
        <v>3</v>
      </c>
    </row>
    <row r="83" spans="2:2" x14ac:dyDescent="0.45">
      <c r="B83">
        <v>1904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86</v>
      </c>
    </row>
    <row r="87" spans="2:2" x14ac:dyDescent="0.45">
      <c r="B87">
        <v>0</v>
      </c>
    </row>
    <row r="88" spans="2:2" x14ac:dyDescent="0.45">
      <c r="B88">
        <v>0</v>
      </c>
    </row>
    <row r="89" spans="2:2" x14ac:dyDescent="0.45">
      <c r="B89">
        <v>9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1</v>
      </c>
    </row>
    <row r="93" spans="2:2" x14ac:dyDescent="0.45">
      <c r="B93">
        <v>479</v>
      </c>
    </row>
    <row r="94" spans="2:2" x14ac:dyDescent="0.45">
      <c r="B94">
        <v>532</v>
      </c>
    </row>
    <row r="95" spans="2:2" x14ac:dyDescent="0.45">
      <c r="B95">
        <v>594</v>
      </c>
    </row>
    <row r="96" spans="2:2" x14ac:dyDescent="0.45">
      <c r="B96">
        <v>246</v>
      </c>
    </row>
    <row r="97" spans="2:2" x14ac:dyDescent="0.45">
      <c r="B97">
        <v>74</v>
      </c>
    </row>
    <row r="98" spans="2:2" x14ac:dyDescent="0.45">
      <c r="B98">
        <v>43</v>
      </c>
    </row>
    <row r="99" spans="2:2" x14ac:dyDescent="0.45">
      <c r="B99">
        <v>24</v>
      </c>
    </row>
    <row r="100" spans="2:2" x14ac:dyDescent="0.45">
      <c r="B100">
        <v>4</v>
      </c>
    </row>
    <row r="101" spans="2:2" x14ac:dyDescent="0.45">
      <c r="B101">
        <v>3</v>
      </c>
    </row>
    <row r="102" spans="2:2" x14ac:dyDescent="0.45">
      <c r="B102">
        <v>1</v>
      </c>
    </row>
    <row r="103" spans="2:2" x14ac:dyDescent="0.45">
      <c r="B103">
        <v>140</v>
      </c>
    </row>
    <row r="104" spans="2:2" x14ac:dyDescent="0.45">
      <c r="B104">
        <v>250</v>
      </c>
    </row>
    <row r="105" spans="2:2" x14ac:dyDescent="0.45">
      <c r="B105">
        <v>352</v>
      </c>
    </row>
    <row r="106" spans="2:2" x14ac:dyDescent="0.45">
      <c r="B106">
        <v>438</v>
      </c>
    </row>
    <row r="107" spans="2:2" x14ac:dyDescent="0.45">
      <c r="B107">
        <v>582</v>
      </c>
    </row>
    <row r="108" spans="2:2" x14ac:dyDescent="0.45">
      <c r="B108">
        <v>129</v>
      </c>
    </row>
    <row r="109" spans="2:2" x14ac:dyDescent="0.45">
      <c r="B109">
        <v>62</v>
      </c>
    </row>
    <row r="110" spans="2:2" x14ac:dyDescent="0.45">
      <c r="B110">
        <v>32</v>
      </c>
    </row>
    <row r="111" spans="2:2" x14ac:dyDescent="0.45">
      <c r="B111">
        <v>8</v>
      </c>
    </row>
    <row r="112" spans="2:2" x14ac:dyDescent="0.45">
      <c r="B112">
        <v>7</v>
      </c>
    </row>
    <row r="113" spans="2:2" x14ac:dyDescent="0.45">
      <c r="B113">
        <v>5</v>
      </c>
    </row>
    <row r="114" spans="2:2" x14ac:dyDescent="0.45">
      <c r="B114">
        <v>7</v>
      </c>
    </row>
    <row r="115" spans="2:2" x14ac:dyDescent="0.45">
      <c r="B115">
        <v>55</v>
      </c>
    </row>
    <row r="116" spans="2:2" x14ac:dyDescent="0.45">
      <c r="B116">
        <v>124</v>
      </c>
    </row>
    <row r="117" spans="2:2" x14ac:dyDescent="0.45">
      <c r="B117">
        <v>245</v>
      </c>
    </row>
    <row r="118" spans="2:2" x14ac:dyDescent="0.45">
      <c r="B118">
        <v>421</v>
      </c>
    </row>
    <row r="119" spans="2:2" x14ac:dyDescent="0.45">
      <c r="B119">
        <v>488</v>
      </c>
    </row>
    <row r="120" spans="2:2" x14ac:dyDescent="0.45">
      <c r="B120">
        <v>412</v>
      </c>
    </row>
    <row r="121" spans="2:2" x14ac:dyDescent="0.45">
      <c r="B121">
        <v>189</v>
      </c>
    </row>
    <row r="122" spans="2:2" x14ac:dyDescent="0.45">
      <c r="B122">
        <v>54</v>
      </c>
    </row>
    <row r="123" spans="2:2" x14ac:dyDescent="0.45">
      <c r="B123">
        <v>757</v>
      </c>
    </row>
    <row r="124" spans="2:2" x14ac:dyDescent="0.45">
      <c r="B124">
        <v>813</v>
      </c>
    </row>
    <row r="125" spans="2:2" x14ac:dyDescent="0.45">
      <c r="B125">
        <v>0</v>
      </c>
    </row>
    <row r="126" spans="2:2" x14ac:dyDescent="0.45">
      <c r="B126">
        <v>328</v>
      </c>
    </row>
    <row r="127" spans="2:2" x14ac:dyDescent="0.45">
      <c r="B127">
        <v>0</v>
      </c>
    </row>
    <row r="128" spans="2:2" x14ac:dyDescent="0.45">
      <c r="B128">
        <v>82</v>
      </c>
    </row>
    <row r="129" spans="2:2" x14ac:dyDescent="0.45">
      <c r="B129">
        <v>0</v>
      </c>
    </row>
    <row r="130" spans="2:2" x14ac:dyDescent="0.45">
      <c r="B130">
        <v>19</v>
      </c>
    </row>
    <row r="131" spans="2:2" x14ac:dyDescent="0.45">
      <c r="B131">
        <v>0</v>
      </c>
    </row>
    <row r="132" spans="2:2" x14ac:dyDescent="0.45">
      <c r="B132">
        <v>1</v>
      </c>
    </row>
    <row r="133" spans="2:2" x14ac:dyDescent="0.45">
      <c r="B133">
        <v>1638</v>
      </c>
    </row>
    <row r="134" spans="2:2" x14ac:dyDescent="0.45">
      <c r="B134">
        <v>0</v>
      </c>
    </row>
    <row r="135" spans="2:2" x14ac:dyDescent="0.45">
      <c r="B135">
        <v>277</v>
      </c>
    </row>
    <row r="136" spans="2:2" x14ac:dyDescent="0.45">
      <c r="B136">
        <v>0</v>
      </c>
    </row>
    <row r="137" spans="2:2" x14ac:dyDescent="0.45">
      <c r="B137">
        <v>69</v>
      </c>
    </row>
    <row r="138" spans="2:2" x14ac:dyDescent="0.45">
      <c r="B138">
        <v>0</v>
      </c>
    </row>
    <row r="139" spans="2:2" x14ac:dyDescent="0.45">
      <c r="B139">
        <v>0</v>
      </c>
    </row>
    <row r="140" spans="2:2" x14ac:dyDescent="0.45">
      <c r="B140">
        <v>15</v>
      </c>
    </row>
    <row r="141" spans="2:2" x14ac:dyDescent="0.45">
      <c r="B141">
        <v>0</v>
      </c>
    </row>
    <row r="142" spans="2:2" x14ac:dyDescent="0.45">
      <c r="B142">
        <v>1</v>
      </c>
    </row>
    <row r="143" spans="2:2" x14ac:dyDescent="0.45">
      <c r="B143">
        <v>140</v>
      </c>
    </row>
    <row r="144" spans="2:2" x14ac:dyDescent="0.45">
      <c r="B144">
        <v>587</v>
      </c>
    </row>
    <row r="145" spans="2:2" x14ac:dyDescent="0.45">
      <c r="B145">
        <v>676</v>
      </c>
    </row>
    <row r="146" spans="2:2" x14ac:dyDescent="0.45">
      <c r="B146">
        <v>305</v>
      </c>
    </row>
    <row r="147" spans="2:2" x14ac:dyDescent="0.45">
      <c r="B147">
        <v>156</v>
      </c>
    </row>
    <row r="148" spans="2:2" x14ac:dyDescent="0.45">
      <c r="B148">
        <v>62</v>
      </c>
    </row>
    <row r="149" spans="2:2" x14ac:dyDescent="0.45">
      <c r="B149">
        <v>44</v>
      </c>
    </row>
    <row r="150" spans="2:2" x14ac:dyDescent="0.45">
      <c r="B150">
        <v>19</v>
      </c>
    </row>
    <row r="151" spans="2:2" x14ac:dyDescent="0.45">
      <c r="B151">
        <v>7</v>
      </c>
    </row>
    <row r="152" spans="2:2" x14ac:dyDescent="0.45">
      <c r="B152">
        <v>4</v>
      </c>
    </row>
    <row r="153" spans="2:2" x14ac:dyDescent="0.45">
      <c r="B153">
        <v>59</v>
      </c>
    </row>
    <row r="154" spans="2:2" x14ac:dyDescent="0.45">
      <c r="B154">
        <v>278</v>
      </c>
    </row>
    <row r="155" spans="2:2" x14ac:dyDescent="0.45">
      <c r="B155">
        <v>281</v>
      </c>
    </row>
    <row r="156" spans="2:2" x14ac:dyDescent="0.45">
      <c r="B156">
        <v>686</v>
      </c>
    </row>
    <row r="157" spans="2:2" x14ac:dyDescent="0.45">
      <c r="B157">
        <v>261</v>
      </c>
    </row>
    <row r="158" spans="2:2" x14ac:dyDescent="0.45">
      <c r="B158">
        <v>304</v>
      </c>
    </row>
    <row r="159" spans="2:2" x14ac:dyDescent="0.45">
      <c r="B159">
        <v>70</v>
      </c>
    </row>
    <row r="160" spans="2:2" x14ac:dyDescent="0.45">
      <c r="B160">
        <v>51</v>
      </c>
    </row>
    <row r="161" spans="2:2" x14ac:dyDescent="0.45">
      <c r="B161">
        <v>8</v>
      </c>
    </row>
    <row r="162" spans="2:2" x14ac:dyDescent="0.45">
      <c r="B162">
        <v>2</v>
      </c>
    </row>
    <row r="163" spans="2:2" x14ac:dyDescent="0.45">
      <c r="B163">
        <v>25</v>
      </c>
    </row>
    <row r="164" spans="2:2" x14ac:dyDescent="0.45">
      <c r="B164">
        <v>47</v>
      </c>
    </row>
    <row r="165" spans="2:2" x14ac:dyDescent="0.45">
      <c r="B165">
        <v>108</v>
      </c>
    </row>
    <row r="166" spans="2:2" x14ac:dyDescent="0.45">
      <c r="B166">
        <v>230</v>
      </c>
    </row>
    <row r="167" spans="2:2" x14ac:dyDescent="0.45">
      <c r="B167">
        <v>374</v>
      </c>
    </row>
    <row r="168" spans="2:2" x14ac:dyDescent="0.45">
      <c r="B168">
        <v>432</v>
      </c>
    </row>
    <row r="169" spans="2:2" x14ac:dyDescent="0.45">
      <c r="B169">
        <v>384</v>
      </c>
    </row>
    <row r="170" spans="2:2" x14ac:dyDescent="0.45">
      <c r="B170">
        <v>241</v>
      </c>
    </row>
    <row r="171" spans="2:2" x14ac:dyDescent="0.45">
      <c r="B171">
        <v>121</v>
      </c>
    </row>
    <row r="172" spans="2:2" x14ac:dyDescent="0.45">
      <c r="B172">
        <v>38</v>
      </c>
    </row>
    <row r="173" spans="2:2" x14ac:dyDescent="0.45">
      <c r="B173">
        <v>324</v>
      </c>
    </row>
    <row r="174" spans="2:2" x14ac:dyDescent="0.45">
      <c r="B174">
        <v>635</v>
      </c>
    </row>
    <row r="175" spans="2:2" x14ac:dyDescent="0.45">
      <c r="B175">
        <v>572</v>
      </c>
    </row>
    <row r="176" spans="2:2" x14ac:dyDescent="0.45">
      <c r="B176">
        <v>0</v>
      </c>
    </row>
    <row r="177" spans="2:2" x14ac:dyDescent="0.45">
      <c r="B177">
        <v>324</v>
      </c>
    </row>
    <row r="178" spans="2:2" x14ac:dyDescent="0.45">
      <c r="B178">
        <v>116</v>
      </c>
    </row>
    <row r="179" spans="2:2" x14ac:dyDescent="0.45">
      <c r="B179">
        <v>0</v>
      </c>
    </row>
    <row r="180" spans="2:2" x14ac:dyDescent="0.45">
      <c r="B180">
        <v>24</v>
      </c>
    </row>
    <row r="181" spans="2:2" x14ac:dyDescent="0.45">
      <c r="B181">
        <v>4</v>
      </c>
    </row>
    <row r="182" spans="2:2" x14ac:dyDescent="0.45">
      <c r="B182">
        <v>1</v>
      </c>
    </row>
    <row r="183" spans="2:2" x14ac:dyDescent="0.45">
      <c r="B183">
        <v>1572</v>
      </c>
    </row>
    <row r="184" spans="2:2" x14ac:dyDescent="0.45">
      <c r="B184">
        <v>265</v>
      </c>
    </row>
    <row r="185" spans="2:2" x14ac:dyDescent="0.45">
      <c r="B185">
        <v>99</v>
      </c>
    </row>
    <row r="186" spans="2:2" x14ac:dyDescent="0.45">
      <c r="B186">
        <v>45</v>
      </c>
    </row>
    <row r="187" spans="2:2" x14ac:dyDescent="0.45">
      <c r="B187">
        <v>11</v>
      </c>
    </row>
    <row r="188" spans="2:2" x14ac:dyDescent="0.45">
      <c r="B188">
        <v>5</v>
      </c>
    </row>
    <row r="189" spans="2:2" x14ac:dyDescent="0.45">
      <c r="B189">
        <v>2</v>
      </c>
    </row>
    <row r="190" spans="2:2" x14ac:dyDescent="0.45">
      <c r="B190">
        <v>0</v>
      </c>
    </row>
    <row r="191" spans="2:2" x14ac:dyDescent="0.45">
      <c r="B191">
        <v>0</v>
      </c>
    </row>
    <row r="192" spans="2:2" x14ac:dyDescent="0.45">
      <c r="B192">
        <v>1</v>
      </c>
    </row>
    <row r="193" spans="2:2" x14ac:dyDescent="0.45">
      <c r="B193">
        <v>311</v>
      </c>
    </row>
    <row r="194" spans="2:2" x14ac:dyDescent="0.45">
      <c r="B194">
        <v>808</v>
      </c>
    </row>
    <row r="195" spans="2:2" x14ac:dyDescent="0.45">
      <c r="B195">
        <v>485</v>
      </c>
    </row>
    <row r="196" spans="2:2" x14ac:dyDescent="0.45">
      <c r="B196">
        <v>263</v>
      </c>
    </row>
    <row r="197" spans="2:2" x14ac:dyDescent="0.45">
      <c r="B197">
        <v>77</v>
      </c>
    </row>
    <row r="198" spans="2:2" x14ac:dyDescent="0.45">
      <c r="B198">
        <v>42</v>
      </c>
    </row>
    <row r="199" spans="2:2" x14ac:dyDescent="0.45">
      <c r="B199">
        <v>10</v>
      </c>
    </row>
    <row r="200" spans="2:2" x14ac:dyDescent="0.45">
      <c r="B200">
        <v>3</v>
      </c>
    </row>
    <row r="201" spans="2:2" x14ac:dyDescent="0.45">
      <c r="B201">
        <v>0</v>
      </c>
    </row>
    <row r="202" spans="2:2" x14ac:dyDescent="0.45">
      <c r="B202">
        <v>1</v>
      </c>
    </row>
    <row r="203" spans="2:2" x14ac:dyDescent="0.45">
      <c r="B203">
        <v>37</v>
      </c>
    </row>
    <row r="204" spans="2:2" x14ac:dyDescent="0.45">
      <c r="B204">
        <v>108</v>
      </c>
    </row>
    <row r="205" spans="2:2" x14ac:dyDescent="0.45">
      <c r="B205">
        <v>234</v>
      </c>
    </row>
    <row r="206" spans="2:2" x14ac:dyDescent="0.45">
      <c r="B206">
        <v>343</v>
      </c>
    </row>
    <row r="207" spans="2:2" x14ac:dyDescent="0.45">
      <c r="B207">
        <v>774</v>
      </c>
    </row>
    <row r="208" spans="2:2" x14ac:dyDescent="0.45">
      <c r="B208">
        <v>264</v>
      </c>
    </row>
    <row r="209" spans="2:2" x14ac:dyDescent="0.45">
      <c r="B209">
        <v>145</v>
      </c>
    </row>
    <row r="210" spans="2:2" x14ac:dyDescent="0.45">
      <c r="B210">
        <v>63</v>
      </c>
    </row>
    <row r="211" spans="2:2" x14ac:dyDescent="0.45">
      <c r="B211">
        <v>24</v>
      </c>
    </row>
    <row r="212" spans="2:2" x14ac:dyDescent="0.45">
      <c r="B212">
        <v>8</v>
      </c>
    </row>
    <row r="213" spans="2:2" x14ac:dyDescent="0.45">
      <c r="B213">
        <v>18</v>
      </c>
    </row>
    <row r="214" spans="2:2" x14ac:dyDescent="0.45">
      <c r="B214">
        <v>64</v>
      </c>
    </row>
    <row r="215" spans="2:2" x14ac:dyDescent="0.45">
      <c r="B215">
        <v>433</v>
      </c>
    </row>
    <row r="216" spans="2:2" x14ac:dyDescent="0.45">
      <c r="B216">
        <v>374</v>
      </c>
    </row>
    <row r="217" spans="2:2" x14ac:dyDescent="0.45">
      <c r="B217">
        <v>682</v>
      </c>
    </row>
    <row r="218" spans="2:2" x14ac:dyDescent="0.45">
      <c r="B218">
        <v>222</v>
      </c>
    </row>
    <row r="219" spans="2:2" x14ac:dyDescent="0.45">
      <c r="B219">
        <v>110</v>
      </c>
    </row>
    <row r="220" spans="2:2" x14ac:dyDescent="0.45">
      <c r="B220">
        <v>84</v>
      </c>
    </row>
    <row r="221" spans="2:2" x14ac:dyDescent="0.45">
      <c r="B221">
        <v>10</v>
      </c>
    </row>
    <row r="222" spans="2:2" x14ac:dyDescent="0.45">
      <c r="B222">
        <v>3</v>
      </c>
    </row>
    <row r="223" spans="2:2" x14ac:dyDescent="0.45">
      <c r="B223">
        <v>308</v>
      </c>
    </row>
    <row r="224" spans="2:2" x14ac:dyDescent="0.45">
      <c r="B224">
        <v>383</v>
      </c>
    </row>
    <row r="225" spans="2:2" x14ac:dyDescent="0.45">
      <c r="B225">
        <v>482</v>
      </c>
    </row>
    <row r="226" spans="2:2" x14ac:dyDescent="0.45">
      <c r="B226">
        <v>350</v>
      </c>
    </row>
    <row r="227" spans="2:2" x14ac:dyDescent="0.45">
      <c r="B227">
        <v>249</v>
      </c>
    </row>
    <row r="228" spans="2:2" x14ac:dyDescent="0.45">
      <c r="B228">
        <v>143</v>
      </c>
    </row>
    <row r="229" spans="2:2" x14ac:dyDescent="0.45">
      <c r="B229">
        <v>58</v>
      </c>
    </row>
    <row r="230" spans="2:2" x14ac:dyDescent="0.45">
      <c r="B230">
        <v>19</v>
      </c>
    </row>
    <row r="231" spans="2:2" x14ac:dyDescent="0.45">
      <c r="B231">
        <v>5</v>
      </c>
    </row>
    <row r="232" spans="2:2" x14ac:dyDescent="0.45">
      <c r="B232">
        <v>3</v>
      </c>
    </row>
    <row r="233" spans="2:2" x14ac:dyDescent="0.45">
      <c r="B233">
        <v>996</v>
      </c>
    </row>
    <row r="234" spans="2:2" x14ac:dyDescent="0.45">
      <c r="B234">
        <v>509</v>
      </c>
    </row>
    <row r="235" spans="2:2" x14ac:dyDescent="0.45">
      <c r="B235">
        <v>0</v>
      </c>
    </row>
    <row r="236" spans="2:2" x14ac:dyDescent="0.45">
      <c r="B236">
        <v>308</v>
      </c>
    </row>
    <row r="237" spans="2:2" x14ac:dyDescent="0.45">
      <c r="B237">
        <v>132</v>
      </c>
    </row>
    <row r="238" spans="2:2" x14ac:dyDescent="0.45">
      <c r="B238">
        <v>0</v>
      </c>
    </row>
    <row r="239" spans="2:2" x14ac:dyDescent="0.45">
      <c r="B239">
        <v>41</v>
      </c>
    </row>
    <row r="240" spans="2:2" x14ac:dyDescent="0.45">
      <c r="B240">
        <v>0</v>
      </c>
    </row>
    <row r="241" spans="2:2" x14ac:dyDescent="0.45">
      <c r="B241">
        <v>9</v>
      </c>
    </row>
    <row r="242" spans="2:2" x14ac:dyDescent="0.45">
      <c r="B242">
        <v>5</v>
      </c>
    </row>
    <row r="243" spans="2:2" x14ac:dyDescent="0.45">
      <c r="B243">
        <v>108</v>
      </c>
    </row>
    <row r="244" spans="2:2" x14ac:dyDescent="0.45">
      <c r="B244">
        <v>371</v>
      </c>
    </row>
    <row r="245" spans="2:2" x14ac:dyDescent="0.45">
      <c r="B245">
        <v>517</v>
      </c>
    </row>
    <row r="246" spans="2:2" x14ac:dyDescent="0.45">
      <c r="B246">
        <v>462</v>
      </c>
    </row>
    <row r="247" spans="2:2" x14ac:dyDescent="0.45">
      <c r="B247">
        <v>289</v>
      </c>
    </row>
    <row r="248" spans="2:2" x14ac:dyDescent="0.45">
      <c r="B248">
        <v>156</v>
      </c>
    </row>
    <row r="249" spans="2:2" x14ac:dyDescent="0.45">
      <c r="B249">
        <v>65</v>
      </c>
    </row>
    <row r="250" spans="2:2" x14ac:dyDescent="0.45">
      <c r="B250">
        <v>23</v>
      </c>
    </row>
    <row r="251" spans="2:2" x14ac:dyDescent="0.45">
      <c r="B251">
        <v>6</v>
      </c>
    </row>
    <row r="252" spans="2:2" x14ac:dyDescent="0.45">
      <c r="B252">
        <v>3</v>
      </c>
    </row>
    <row r="253" spans="2:2" x14ac:dyDescent="0.45">
      <c r="B253">
        <v>1290</v>
      </c>
    </row>
    <row r="254" spans="2:2" x14ac:dyDescent="0.45">
      <c r="B254">
        <v>491</v>
      </c>
    </row>
    <row r="255" spans="2:2" x14ac:dyDescent="0.45">
      <c r="B255">
        <v>0</v>
      </c>
    </row>
    <row r="256" spans="2:2" x14ac:dyDescent="0.45">
      <c r="B256">
        <v>161</v>
      </c>
    </row>
    <row r="257" spans="2:2" x14ac:dyDescent="0.45">
      <c r="B257">
        <v>0</v>
      </c>
    </row>
    <row r="258" spans="2:2" x14ac:dyDescent="0.45">
      <c r="B258">
        <v>46</v>
      </c>
    </row>
    <row r="259" spans="2:2" x14ac:dyDescent="0.45">
      <c r="B259">
        <v>0</v>
      </c>
    </row>
    <row r="260" spans="2:2" x14ac:dyDescent="0.45">
      <c r="B260">
        <v>8</v>
      </c>
    </row>
    <row r="261" spans="2:2" x14ac:dyDescent="0.45">
      <c r="B261">
        <v>0</v>
      </c>
    </row>
    <row r="262" spans="2:2" x14ac:dyDescent="0.45">
      <c r="B262">
        <v>4</v>
      </c>
    </row>
    <row r="263" spans="2:2" x14ac:dyDescent="0.45">
      <c r="B263">
        <v>1904</v>
      </c>
    </row>
    <row r="264" spans="2:2" x14ac:dyDescent="0.45">
      <c r="B264">
        <v>0</v>
      </c>
    </row>
    <row r="265" spans="2:2" x14ac:dyDescent="0.45">
      <c r="B265">
        <v>0</v>
      </c>
    </row>
    <row r="266" spans="2:2" x14ac:dyDescent="0.45">
      <c r="B266">
        <v>86</v>
      </c>
    </row>
    <row r="267" spans="2:2" x14ac:dyDescent="0.45">
      <c r="B267">
        <v>0</v>
      </c>
    </row>
    <row r="268" spans="2:2" x14ac:dyDescent="0.45">
      <c r="B268">
        <v>0</v>
      </c>
    </row>
    <row r="269" spans="2:2" x14ac:dyDescent="0.45">
      <c r="B269">
        <v>9</v>
      </c>
    </row>
    <row r="270" spans="2:2" x14ac:dyDescent="0.45">
      <c r="B270">
        <v>0</v>
      </c>
    </row>
    <row r="271" spans="2:2" x14ac:dyDescent="0.45">
      <c r="B271">
        <v>0</v>
      </c>
    </row>
    <row r="272" spans="2:2" x14ac:dyDescent="0.45">
      <c r="B272">
        <v>1</v>
      </c>
    </row>
    <row r="273" spans="2:2" x14ac:dyDescent="0.45">
      <c r="B273">
        <v>1995</v>
      </c>
    </row>
    <row r="274" spans="2:2" x14ac:dyDescent="0.45">
      <c r="B274">
        <v>0</v>
      </c>
    </row>
    <row r="275" spans="2:2" x14ac:dyDescent="0.45">
      <c r="B275">
        <v>0</v>
      </c>
    </row>
    <row r="276" spans="2:2" x14ac:dyDescent="0.45">
      <c r="B276">
        <v>0</v>
      </c>
    </row>
    <row r="277" spans="2:2" x14ac:dyDescent="0.45">
      <c r="B277">
        <v>0</v>
      </c>
    </row>
    <row r="278" spans="2:2" x14ac:dyDescent="0.45">
      <c r="B278">
        <v>0</v>
      </c>
    </row>
    <row r="279" spans="2:2" x14ac:dyDescent="0.45">
      <c r="B279">
        <v>0</v>
      </c>
    </row>
    <row r="280" spans="2:2" x14ac:dyDescent="0.45">
      <c r="B280">
        <v>0</v>
      </c>
    </row>
    <row r="281" spans="2:2" x14ac:dyDescent="0.45">
      <c r="B281">
        <v>0</v>
      </c>
    </row>
    <row r="282" spans="2:2" x14ac:dyDescent="0.45">
      <c r="B282">
        <v>5</v>
      </c>
    </row>
    <row r="283" spans="2:2" x14ac:dyDescent="0.45">
      <c r="B283">
        <v>140</v>
      </c>
    </row>
    <row r="284" spans="2:2" x14ac:dyDescent="0.45">
      <c r="B284">
        <v>250</v>
      </c>
    </row>
    <row r="285" spans="2:2" x14ac:dyDescent="0.45">
      <c r="B285">
        <v>352</v>
      </c>
    </row>
    <row r="286" spans="2:2" x14ac:dyDescent="0.45">
      <c r="B286">
        <v>438</v>
      </c>
    </row>
    <row r="287" spans="2:2" x14ac:dyDescent="0.45">
      <c r="B287">
        <v>582</v>
      </c>
    </row>
    <row r="288" spans="2:2" x14ac:dyDescent="0.45">
      <c r="B288">
        <v>129</v>
      </c>
    </row>
    <row r="289" spans="2:2" x14ac:dyDescent="0.45">
      <c r="B289">
        <v>62</v>
      </c>
    </row>
    <row r="290" spans="2:2" x14ac:dyDescent="0.45">
      <c r="B290">
        <v>32</v>
      </c>
    </row>
    <row r="291" spans="2:2" x14ac:dyDescent="0.45">
      <c r="B291">
        <v>8</v>
      </c>
    </row>
    <row r="292" spans="2:2" x14ac:dyDescent="0.45">
      <c r="B292">
        <v>7</v>
      </c>
    </row>
    <row r="293" spans="2:2" x14ac:dyDescent="0.45">
      <c r="B293">
        <v>681</v>
      </c>
    </row>
    <row r="294" spans="2:2" x14ac:dyDescent="0.45">
      <c r="B294">
        <v>601</v>
      </c>
    </row>
    <row r="295" spans="2:2" x14ac:dyDescent="0.45">
      <c r="B295">
        <v>395</v>
      </c>
    </row>
    <row r="296" spans="2:2" x14ac:dyDescent="0.45">
      <c r="B296">
        <v>195</v>
      </c>
    </row>
    <row r="297" spans="2:2" x14ac:dyDescent="0.45">
      <c r="B297">
        <v>88</v>
      </c>
    </row>
    <row r="298" spans="2:2" x14ac:dyDescent="0.45">
      <c r="B298">
        <v>0</v>
      </c>
    </row>
    <row r="299" spans="2:2" x14ac:dyDescent="0.45">
      <c r="B299">
        <v>26</v>
      </c>
    </row>
    <row r="300" spans="2:2" x14ac:dyDescent="0.45">
      <c r="B300">
        <v>10</v>
      </c>
    </row>
    <row r="301" spans="2:2" x14ac:dyDescent="0.45">
      <c r="B301">
        <v>2</v>
      </c>
    </row>
    <row r="302" spans="2:2" x14ac:dyDescent="0.45">
      <c r="B302">
        <v>2</v>
      </c>
    </row>
    <row r="303" spans="2:2" x14ac:dyDescent="0.45">
      <c r="B303">
        <v>1638</v>
      </c>
    </row>
    <row r="304" spans="2:2" x14ac:dyDescent="0.45">
      <c r="B304">
        <v>0</v>
      </c>
    </row>
    <row r="305" spans="2:2" x14ac:dyDescent="0.45">
      <c r="B305">
        <v>277</v>
      </c>
    </row>
    <row r="306" spans="2:2" x14ac:dyDescent="0.45">
      <c r="B306">
        <v>0</v>
      </c>
    </row>
    <row r="307" spans="2:2" x14ac:dyDescent="0.45">
      <c r="B307">
        <v>69</v>
      </c>
    </row>
    <row r="308" spans="2:2" x14ac:dyDescent="0.45">
      <c r="B308">
        <v>0</v>
      </c>
    </row>
    <row r="309" spans="2:2" x14ac:dyDescent="0.45">
      <c r="B309">
        <v>0</v>
      </c>
    </row>
    <row r="310" spans="2:2" x14ac:dyDescent="0.45">
      <c r="B310">
        <v>15</v>
      </c>
    </row>
    <row r="311" spans="2:2" x14ac:dyDescent="0.45">
      <c r="B311">
        <v>0</v>
      </c>
    </row>
    <row r="312" spans="2:2" x14ac:dyDescent="0.45">
      <c r="B312">
        <v>1</v>
      </c>
    </row>
    <row r="313" spans="2:2" x14ac:dyDescent="0.45">
      <c r="B313">
        <v>1964</v>
      </c>
    </row>
    <row r="314" spans="2:2" x14ac:dyDescent="0.45">
      <c r="B314">
        <v>0</v>
      </c>
    </row>
    <row r="315" spans="2:2" x14ac:dyDescent="0.45">
      <c r="B315">
        <v>0</v>
      </c>
    </row>
    <row r="316" spans="2:2" x14ac:dyDescent="0.45">
      <c r="B316">
        <v>0</v>
      </c>
    </row>
    <row r="317" spans="2:2" x14ac:dyDescent="0.45">
      <c r="B317">
        <v>32</v>
      </c>
    </row>
    <row r="318" spans="2:2" x14ac:dyDescent="0.45">
      <c r="B318">
        <v>0</v>
      </c>
    </row>
    <row r="319" spans="2:2" x14ac:dyDescent="0.45">
      <c r="B319">
        <v>0</v>
      </c>
    </row>
    <row r="320" spans="2:2" x14ac:dyDescent="0.45">
      <c r="B320">
        <v>0</v>
      </c>
    </row>
    <row r="321" spans="2:2" x14ac:dyDescent="0.45">
      <c r="B321">
        <v>0</v>
      </c>
    </row>
    <row r="322" spans="2:2" x14ac:dyDescent="0.45">
      <c r="B322">
        <v>4</v>
      </c>
    </row>
    <row r="323" spans="2:2" x14ac:dyDescent="0.45">
      <c r="B323">
        <v>59</v>
      </c>
    </row>
    <row r="324" spans="2:2" x14ac:dyDescent="0.45">
      <c r="B324">
        <v>278</v>
      </c>
    </row>
    <row r="325" spans="2:2" x14ac:dyDescent="0.45">
      <c r="B325">
        <v>281</v>
      </c>
    </row>
    <row r="326" spans="2:2" x14ac:dyDescent="0.45">
      <c r="B326">
        <v>686</v>
      </c>
    </row>
    <row r="327" spans="2:2" x14ac:dyDescent="0.45">
      <c r="B327">
        <v>261</v>
      </c>
    </row>
    <row r="328" spans="2:2" x14ac:dyDescent="0.45">
      <c r="B328">
        <v>304</v>
      </c>
    </row>
    <row r="329" spans="2:2" x14ac:dyDescent="0.45">
      <c r="B329">
        <v>70</v>
      </c>
    </row>
    <row r="330" spans="2:2" x14ac:dyDescent="0.45">
      <c r="B330">
        <v>51</v>
      </c>
    </row>
    <row r="331" spans="2:2" x14ac:dyDescent="0.45">
      <c r="B331">
        <v>8</v>
      </c>
    </row>
    <row r="332" spans="2:2" x14ac:dyDescent="0.45">
      <c r="B332">
        <v>2</v>
      </c>
    </row>
    <row r="333" spans="2:2" x14ac:dyDescent="0.45">
      <c r="B333">
        <v>519</v>
      </c>
    </row>
    <row r="334" spans="2:2" x14ac:dyDescent="0.45">
      <c r="B334">
        <v>400</v>
      </c>
    </row>
    <row r="335" spans="2:2" x14ac:dyDescent="0.45">
      <c r="B335">
        <v>391</v>
      </c>
    </row>
    <row r="336" spans="2:2" x14ac:dyDescent="0.45">
      <c r="B336">
        <v>283</v>
      </c>
    </row>
    <row r="337" spans="2:2" x14ac:dyDescent="0.45">
      <c r="B337">
        <v>299</v>
      </c>
    </row>
    <row r="338" spans="2:2" x14ac:dyDescent="0.45">
      <c r="B338">
        <v>55</v>
      </c>
    </row>
    <row r="339" spans="2:2" x14ac:dyDescent="0.45">
      <c r="B339">
        <v>29</v>
      </c>
    </row>
    <row r="340" spans="2:2" x14ac:dyDescent="0.45">
      <c r="B340">
        <v>9</v>
      </c>
    </row>
    <row r="341" spans="2:2" x14ac:dyDescent="0.45">
      <c r="B341">
        <v>8</v>
      </c>
    </row>
    <row r="342" spans="2:2" x14ac:dyDescent="0.45">
      <c r="B342">
        <v>7</v>
      </c>
    </row>
    <row r="343" spans="2:2" x14ac:dyDescent="0.45">
      <c r="B343">
        <v>1572</v>
      </c>
    </row>
    <row r="344" spans="2:2" x14ac:dyDescent="0.45">
      <c r="B344">
        <v>265</v>
      </c>
    </row>
    <row r="345" spans="2:2" x14ac:dyDescent="0.45">
      <c r="B345">
        <v>99</v>
      </c>
    </row>
    <row r="346" spans="2:2" x14ac:dyDescent="0.45">
      <c r="B346">
        <v>45</v>
      </c>
    </row>
    <row r="347" spans="2:2" x14ac:dyDescent="0.45">
      <c r="B347">
        <v>11</v>
      </c>
    </row>
    <row r="348" spans="2:2" x14ac:dyDescent="0.45">
      <c r="B348">
        <v>5</v>
      </c>
    </row>
    <row r="349" spans="2:2" x14ac:dyDescent="0.45">
      <c r="B349">
        <v>2</v>
      </c>
    </row>
    <row r="350" spans="2:2" x14ac:dyDescent="0.45">
      <c r="B350">
        <v>0</v>
      </c>
    </row>
    <row r="351" spans="2:2" x14ac:dyDescent="0.45">
      <c r="B351">
        <v>0</v>
      </c>
    </row>
    <row r="352" spans="2:2" x14ac:dyDescent="0.45">
      <c r="B352">
        <v>1</v>
      </c>
    </row>
    <row r="353" spans="2:2" x14ac:dyDescent="0.45">
      <c r="B353">
        <v>1790</v>
      </c>
    </row>
    <row r="354" spans="2:2" x14ac:dyDescent="0.45">
      <c r="B354">
        <v>154</v>
      </c>
    </row>
    <row r="355" spans="2:2" x14ac:dyDescent="0.45">
      <c r="B355">
        <v>0</v>
      </c>
    </row>
    <row r="356" spans="2:2" x14ac:dyDescent="0.45">
      <c r="B356">
        <v>37</v>
      </c>
    </row>
    <row r="357" spans="2:2" x14ac:dyDescent="0.45">
      <c r="B357">
        <v>0</v>
      </c>
    </row>
    <row r="358" spans="2:2" x14ac:dyDescent="0.45">
      <c r="B358">
        <v>15</v>
      </c>
    </row>
    <row r="359" spans="2:2" x14ac:dyDescent="0.45">
      <c r="B359">
        <v>0</v>
      </c>
    </row>
    <row r="360" spans="2:2" x14ac:dyDescent="0.45">
      <c r="B360">
        <v>3</v>
      </c>
    </row>
    <row r="361" spans="2:2" x14ac:dyDescent="0.45">
      <c r="B361">
        <v>0</v>
      </c>
    </row>
    <row r="362" spans="2:2" x14ac:dyDescent="0.45">
      <c r="B362">
        <v>1</v>
      </c>
    </row>
    <row r="363" spans="2:2" x14ac:dyDescent="0.45">
      <c r="B363">
        <v>37</v>
      </c>
    </row>
    <row r="364" spans="2:2" x14ac:dyDescent="0.45">
      <c r="B364">
        <v>108</v>
      </c>
    </row>
    <row r="365" spans="2:2" x14ac:dyDescent="0.45">
      <c r="B365">
        <v>234</v>
      </c>
    </row>
    <row r="366" spans="2:2" x14ac:dyDescent="0.45">
      <c r="B366">
        <v>343</v>
      </c>
    </row>
    <row r="367" spans="2:2" x14ac:dyDescent="0.45">
      <c r="B367">
        <v>774</v>
      </c>
    </row>
    <row r="368" spans="2:2" x14ac:dyDescent="0.45">
      <c r="B368">
        <v>264</v>
      </c>
    </row>
    <row r="369" spans="2:2" x14ac:dyDescent="0.45">
      <c r="B369">
        <v>145</v>
      </c>
    </row>
    <row r="370" spans="2:2" x14ac:dyDescent="0.45">
      <c r="B370">
        <v>63</v>
      </c>
    </row>
    <row r="371" spans="2:2" x14ac:dyDescent="0.45">
      <c r="B371">
        <v>24</v>
      </c>
    </row>
    <row r="372" spans="2:2" x14ac:dyDescent="0.45">
      <c r="B372">
        <v>8</v>
      </c>
    </row>
    <row r="373" spans="2:2" x14ac:dyDescent="0.45">
      <c r="B373">
        <v>11</v>
      </c>
    </row>
    <row r="374" spans="2:2" x14ac:dyDescent="0.45">
      <c r="B374">
        <v>79</v>
      </c>
    </row>
    <row r="375" spans="2:2" x14ac:dyDescent="0.45">
      <c r="B375">
        <v>270</v>
      </c>
    </row>
    <row r="376" spans="2:2" x14ac:dyDescent="0.45">
      <c r="B376">
        <v>493</v>
      </c>
    </row>
    <row r="377" spans="2:2" x14ac:dyDescent="0.45">
      <c r="B377">
        <v>483</v>
      </c>
    </row>
    <row r="378" spans="2:2" x14ac:dyDescent="0.45">
      <c r="B378">
        <v>394</v>
      </c>
    </row>
    <row r="379" spans="2:2" x14ac:dyDescent="0.45">
      <c r="B379">
        <v>184</v>
      </c>
    </row>
    <row r="380" spans="2:2" x14ac:dyDescent="0.45">
      <c r="B380">
        <v>61</v>
      </c>
    </row>
    <row r="381" spans="2:2" x14ac:dyDescent="0.45">
      <c r="B381">
        <v>19</v>
      </c>
    </row>
    <row r="382" spans="2:2" x14ac:dyDescent="0.45">
      <c r="B382">
        <v>6</v>
      </c>
    </row>
    <row r="383" spans="2:2" x14ac:dyDescent="0.45">
      <c r="B383">
        <v>39</v>
      </c>
    </row>
    <row r="384" spans="2:2" x14ac:dyDescent="0.45">
      <c r="B384">
        <v>161</v>
      </c>
    </row>
    <row r="385" spans="2:2" x14ac:dyDescent="0.45">
      <c r="B385">
        <v>478</v>
      </c>
    </row>
    <row r="386" spans="2:2" x14ac:dyDescent="0.45">
      <c r="B386">
        <v>486</v>
      </c>
    </row>
    <row r="387" spans="2:2" x14ac:dyDescent="0.45">
      <c r="B387">
        <v>394</v>
      </c>
    </row>
    <row r="388" spans="2:2" x14ac:dyDescent="0.45">
      <c r="B388">
        <v>252</v>
      </c>
    </row>
    <row r="389" spans="2:2" x14ac:dyDescent="0.45">
      <c r="B389">
        <v>122</v>
      </c>
    </row>
    <row r="390" spans="2:2" x14ac:dyDescent="0.45">
      <c r="B390">
        <v>47</v>
      </c>
    </row>
    <row r="391" spans="2:2" x14ac:dyDescent="0.45">
      <c r="B391">
        <v>14</v>
      </c>
    </row>
    <row r="392" spans="2:2" x14ac:dyDescent="0.45">
      <c r="B392">
        <v>7</v>
      </c>
    </row>
    <row r="393" spans="2:2" x14ac:dyDescent="0.45">
      <c r="B393">
        <v>107</v>
      </c>
    </row>
    <row r="394" spans="2:2" x14ac:dyDescent="0.45">
      <c r="B394">
        <v>385</v>
      </c>
    </row>
    <row r="395" spans="2:2" x14ac:dyDescent="0.45">
      <c r="B395">
        <v>526</v>
      </c>
    </row>
    <row r="396" spans="2:2" x14ac:dyDescent="0.45">
      <c r="B396">
        <v>409</v>
      </c>
    </row>
    <row r="397" spans="2:2" x14ac:dyDescent="0.45">
      <c r="B397">
        <v>297</v>
      </c>
    </row>
    <row r="398" spans="2:2" x14ac:dyDescent="0.45">
      <c r="B398">
        <v>152</v>
      </c>
    </row>
    <row r="399" spans="2:2" x14ac:dyDescent="0.45">
      <c r="B399">
        <v>84</v>
      </c>
    </row>
    <row r="400" spans="2:2" x14ac:dyDescent="0.45">
      <c r="B400">
        <v>27</v>
      </c>
    </row>
    <row r="401" spans="2:2" x14ac:dyDescent="0.45">
      <c r="B401">
        <v>7</v>
      </c>
    </row>
    <row r="402" spans="2:2" x14ac:dyDescent="0.45">
      <c r="B402">
        <v>6</v>
      </c>
    </row>
    <row r="403" spans="2:2" x14ac:dyDescent="0.45">
      <c r="B403">
        <v>108</v>
      </c>
    </row>
    <row r="404" spans="2:2" x14ac:dyDescent="0.45">
      <c r="B404">
        <v>371</v>
      </c>
    </row>
    <row r="405" spans="2:2" x14ac:dyDescent="0.45">
      <c r="B405">
        <v>517</v>
      </c>
    </row>
    <row r="406" spans="2:2" x14ac:dyDescent="0.45">
      <c r="B406">
        <v>462</v>
      </c>
    </row>
    <row r="407" spans="2:2" x14ac:dyDescent="0.45">
      <c r="B407">
        <v>289</v>
      </c>
    </row>
    <row r="408" spans="2:2" x14ac:dyDescent="0.45">
      <c r="B408">
        <v>156</v>
      </c>
    </row>
    <row r="409" spans="2:2" x14ac:dyDescent="0.45">
      <c r="B409">
        <v>65</v>
      </c>
    </row>
    <row r="410" spans="2:2" x14ac:dyDescent="0.45">
      <c r="B410">
        <v>23</v>
      </c>
    </row>
    <row r="411" spans="2:2" x14ac:dyDescent="0.45">
      <c r="B411">
        <v>6</v>
      </c>
    </row>
    <row r="412" spans="2:2" x14ac:dyDescent="0.45">
      <c r="B412">
        <v>3</v>
      </c>
    </row>
    <row r="413" spans="2:2" x14ac:dyDescent="0.45">
      <c r="B413">
        <v>479</v>
      </c>
    </row>
    <row r="414" spans="2:2" x14ac:dyDescent="0.45">
      <c r="B414">
        <v>703</v>
      </c>
    </row>
    <row r="415" spans="2:2" x14ac:dyDescent="0.45">
      <c r="B415">
        <v>357</v>
      </c>
    </row>
    <row r="416" spans="2:2" x14ac:dyDescent="0.45">
      <c r="B416">
        <v>197</v>
      </c>
    </row>
    <row r="417" spans="2:2" x14ac:dyDescent="0.45">
      <c r="B417">
        <v>130</v>
      </c>
    </row>
    <row r="418" spans="2:2" x14ac:dyDescent="0.45">
      <c r="B418">
        <v>69</v>
      </c>
    </row>
    <row r="419" spans="2:2" x14ac:dyDescent="0.45">
      <c r="B419">
        <v>43</v>
      </c>
    </row>
    <row r="420" spans="2:2" x14ac:dyDescent="0.45">
      <c r="B420">
        <v>11</v>
      </c>
    </row>
    <row r="421" spans="2:2" x14ac:dyDescent="0.45">
      <c r="B421">
        <v>4</v>
      </c>
    </row>
    <row r="422" spans="2:2" x14ac:dyDescent="0.45">
      <c r="B422">
        <v>7</v>
      </c>
    </row>
    <row r="423" spans="2:2" x14ac:dyDescent="0.45">
      <c r="B423">
        <v>479</v>
      </c>
    </row>
    <row r="424" spans="2:2" x14ac:dyDescent="0.45">
      <c r="B424">
        <v>532</v>
      </c>
    </row>
    <row r="425" spans="2:2" x14ac:dyDescent="0.45">
      <c r="B425">
        <v>594</v>
      </c>
    </row>
    <row r="426" spans="2:2" x14ac:dyDescent="0.45">
      <c r="B426">
        <v>246</v>
      </c>
    </row>
    <row r="427" spans="2:2" x14ac:dyDescent="0.45">
      <c r="B427">
        <v>74</v>
      </c>
    </row>
    <row r="428" spans="2:2" x14ac:dyDescent="0.45">
      <c r="B428">
        <v>43</v>
      </c>
    </row>
    <row r="429" spans="2:2" x14ac:dyDescent="0.45">
      <c r="B429">
        <v>24</v>
      </c>
    </row>
    <row r="430" spans="2:2" x14ac:dyDescent="0.45">
      <c r="B430">
        <v>4</v>
      </c>
    </row>
    <row r="431" spans="2:2" x14ac:dyDescent="0.45">
      <c r="B431">
        <v>3</v>
      </c>
    </row>
    <row r="432" spans="2:2" x14ac:dyDescent="0.45">
      <c r="B432">
        <v>1</v>
      </c>
    </row>
    <row r="433" spans="2:2" x14ac:dyDescent="0.45">
      <c r="B433">
        <v>235</v>
      </c>
    </row>
    <row r="434" spans="2:2" x14ac:dyDescent="0.45">
      <c r="B434">
        <v>309</v>
      </c>
    </row>
    <row r="435" spans="2:2" x14ac:dyDescent="0.45">
      <c r="B435">
        <v>629</v>
      </c>
    </row>
    <row r="436" spans="2:2" x14ac:dyDescent="0.45">
      <c r="B436">
        <v>335</v>
      </c>
    </row>
    <row r="437" spans="2:2" x14ac:dyDescent="0.45">
      <c r="B437">
        <v>249</v>
      </c>
    </row>
    <row r="438" spans="2:2" x14ac:dyDescent="0.45">
      <c r="B438">
        <v>159</v>
      </c>
    </row>
    <row r="439" spans="2:2" x14ac:dyDescent="0.45">
      <c r="B439">
        <v>53</v>
      </c>
    </row>
    <row r="440" spans="2:2" x14ac:dyDescent="0.45">
      <c r="B440">
        <v>21</v>
      </c>
    </row>
    <row r="441" spans="2:2" x14ac:dyDescent="0.45">
      <c r="B441">
        <v>5</v>
      </c>
    </row>
    <row r="442" spans="2:2" x14ac:dyDescent="0.45">
      <c r="B442">
        <v>5</v>
      </c>
    </row>
    <row r="443" spans="2:2" x14ac:dyDescent="0.45">
      <c r="B443">
        <v>140</v>
      </c>
    </row>
    <row r="444" spans="2:2" x14ac:dyDescent="0.45">
      <c r="B444">
        <v>250</v>
      </c>
    </row>
    <row r="445" spans="2:2" x14ac:dyDescent="0.45">
      <c r="B445">
        <v>352</v>
      </c>
    </row>
    <row r="446" spans="2:2" x14ac:dyDescent="0.45">
      <c r="B446">
        <v>438</v>
      </c>
    </row>
    <row r="447" spans="2:2" x14ac:dyDescent="0.45">
      <c r="B447">
        <v>561</v>
      </c>
    </row>
    <row r="448" spans="2:2" x14ac:dyDescent="0.45">
      <c r="B448">
        <v>150</v>
      </c>
    </row>
    <row r="449" spans="2:2" x14ac:dyDescent="0.45">
      <c r="B449">
        <v>62</v>
      </c>
    </row>
    <row r="450" spans="2:2" x14ac:dyDescent="0.45">
      <c r="B450">
        <v>32</v>
      </c>
    </row>
    <row r="451" spans="2:2" x14ac:dyDescent="0.45">
      <c r="B451">
        <v>8</v>
      </c>
    </row>
    <row r="452" spans="2:2" x14ac:dyDescent="0.45">
      <c r="B452">
        <v>7</v>
      </c>
    </row>
    <row r="453" spans="2:2" x14ac:dyDescent="0.45">
      <c r="B453">
        <v>415</v>
      </c>
    </row>
    <row r="454" spans="2:2" x14ac:dyDescent="0.45">
      <c r="B454">
        <v>442</v>
      </c>
    </row>
    <row r="455" spans="2:2" x14ac:dyDescent="0.45">
      <c r="B455">
        <v>530</v>
      </c>
    </row>
    <row r="456" spans="2:2" x14ac:dyDescent="0.45">
      <c r="B456">
        <v>328</v>
      </c>
    </row>
    <row r="457" spans="2:2" x14ac:dyDescent="0.45">
      <c r="B457">
        <v>167</v>
      </c>
    </row>
    <row r="458" spans="2:2" x14ac:dyDescent="0.45">
      <c r="B458">
        <v>75</v>
      </c>
    </row>
    <row r="459" spans="2:2" x14ac:dyDescent="0.45">
      <c r="B459">
        <v>27</v>
      </c>
    </row>
    <row r="460" spans="2:2" x14ac:dyDescent="0.45">
      <c r="B460">
        <v>10</v>
      </c>
    </row>
    <row r="461" spans="2:2" x14ac:dyDescent="0.45">
      <c r="B461">
        <v>4</v>
      </c>
    </row>
    <row r="462" spans="2:2" x14ac:dyDescent="0.45">
      <c r="B462">
        <v>2</v>
      </c>
    </row>
    <row r="463" spans="2:2" x14ac:dyDescent="0.45">
      <c r="B463">
        <v>140</v>
      </c>
    </row>
    <row r="464" spans="2:2" x14ac:dyDescent="0.45">
      <c r="B464">
        <v>587</v>
      </c>
    </row>
    <row r="465" spans="2:2" x14ac:dyDescent="0.45">
      <c r="B465">
        <v>676</v>
      </c>
    </row>
    <row r="466" spans="2:2" x14ac:dyDescent="0.45">
      <c r="B466">
        <v>305</v>
      </c>
    </row>
    <row r="467" spans="2:2" x14ac:dyDescent="0.45">
      <c r="B467">
        <v>156</v>
      </c>
    </row>
    <row r="468" spans="2:2" x14ac:dyDescent="0.45">
      <c r="B468">
        <v>62</v>
      </c>
    </row>
    <row r="469" spans="2:2" x14ac:dyDescent="0.45">
      <c r="B469">
        <v>44</v>
      </c>
    </row>
    <row r="470" spans="2:2" x14ac:dyDescent="0.45">
      <c r="B470">
        <v>19</v>
      </c>
    </row>
    <row r="471" spans="2:2" x14ac:dyDescent="0.45">
      <c r="B471">
        <v>7</v>
      </c>
    </row>
    <row r="472" spans="2:2" x14ac:dyDescent="0.45">
      <c r="B472">
        <v>4</v>
      </c>
    </row>
    <row r="473" spans="2:2" x14ac:dyDescent="0.45">
      <c r="B473">
        <v>140</v>
      </c>
    </row>
    <row r="474" spans="2:2" x14ac:dyDescent="0.45">
      <c r="B474">
        <v>250</v>
      </c>
    </row>
    <row r="475" spans="2:2" x14ac:dyDescent="0.45">
      <c r="B475">
        <v>510</v>
      </c>
    </row>
    <row r="476" spans="2:2" x14ac:dyDescent="0.45">
      <c r="B476">
        <v>596</v>
      </c>
    </row>
    <row r="477" spans="2:2" x14ac:dyDescent="0.45">
      <c r="B477">
        <v>248</v>
      </c>
    </row>
    <row r="478" spans="2:2" x14ac:dyDescent="0.45">
      <c r="B478">
        <v>141</v>
      </c>
    </row>
    <row r="479" spans="2:2" x14ac:dyDescent="0.45">
      <c r="B479">
        <v>75</v>
      </c>
    </row>
    <row r="480" spans="2:2" x14ac:dyDescent="0.45">
      <c r="B480">
        <v>21</v>
      </c>
    </row>
    <row r="481" spans="2:2" x14ac:dyDescent="0.45">
      <c r="B481">
        <v>12</v>
      </c>
    </row>
    <row r="482" spans="2:2" x14ac:dyDescent="0.45">
      <c r="B482">
        <v>7</v>
      </c>
    </row>
    <row r="483" spans="2:2" x14ac:dyDescent="0.45">
      <c r="B483">
        <v>59</v>
      </c>
    </row>
    <row r="484" spans="2:2" x14ac:dyDescent="0.45">
      <c r="B484">
        <v>243</v>
      </c>
    </row>
    <row r="485" spans="2:2" x14ac:dyDescent="0.45">
      <c r="B485">
        <v>316</v>
      </c>
    </row>
    <row r="486" spans="2:2" x14ac:dyDescent="0.45">
      <c r="B486">
        <v>626</v>
      </c>
    </row>
    <row r="487" spans="2:2" x14ac:dyDescent="0.45">
      <c r="B487">
        <v>321</v>
      </c>
    </row>
    <row r="488" spans="2:2" x14ac:dyDescent="0.45">
      <c r="B488">
        <v>270</v>
      </c>
    </row>
    <row r="489" spans="2:2" x14ac:dyDescent="0.45">
      <c r="B489">
        <v>104</v>
      </c>
    </row>
    <row r="490" spans="2:2" x14ac:dyDescent="0.45">
      <c r="B490">
        <v>46</v>
      </c>
    </row>
    <row r="491" spans="2:2" x14ac:dyDescent="0.45">
      <c r="B491">
        <v>13</v>
      </c>
    </row>
    <row r="492" spans="2:2" x14ac:dyDescent="0.45">
      <c r="B492">
        <v>2</v>
      </c>
    </row>
    <row r="493" spans="2:2" x14ac:dyDescent="0.45">
      <c r="B493">
        <v>183</v>
      </c>
    </row>
    <row r="494" spans="2:2" x14ac:dyDescent="0.45">
      <c r="B494">
        <v>393</v>
      </c>
    </row>
    <row r="495" spans="2:2" x14ac:dyDescent="0.45">
      <c r="B495">
        <v>504</v>
      </c>
    </row>
    <row r="496" spans="2:2" x14ac:dyDescent="0.45">
      <c r="B496">
        <v>444</v>
      </c>
    </row>
    <row r="497" spans="2:2" x14ac:dyDescent="0.45">
      <c r="B497">
        <v>266</v>
      </c>
    </row>
    <row r="498" spans="2:2" x14ac:dyDescent="0.45">
      <c r="B498">
        <v>122</v>
      </c>
    </row>
    <row r="499" spans="2:2" x14ac:dyDescent="0.45">
      <c r="B499">
        <v>59</v>
      </c>
    </row>
    <row r="500" spans="2:2" x14ac:dyDescent="0.45">
      <c r="B500">
        <v>14</v>
      </c>
    </row>
    <row r="501" spans="2:2" x14ac:dyDescent="0.45">
      <c r="B501">
        <v>11</v>
      </c>
    </row>
    <row r="502" spans="2:2" x14ac:dyDescent="0.45">
      <c r="B502">
        <v>4</v>
      </c>
    </row>
    <row r="503" spans="2:2" x14ac:dyDescent="0.45">
      <c r="B503">
        <v>311</v>
      </c>
    </row>
    <row r="504" spans="2:2" x14ac:dyDescent="0.45">
      <c r="B504">
        <v>808</v>
      </c>
    </row>
    <row r="505" spans="2:2" x14ac:dyDescent="0.45">
      <c r="B505">
        <v>485</v>
      </c>
    </row>
    <row r="506" spans="2:2" x14ac:dyDescent="0.45">
      <c r="B506">
        <v>263</v>
      </c>
    </row>
    <row r="507" spans="2:2" x14ac:dyDescent="0.45">
      <c r="B507">
        <v>77</v>
      </c>
    </row>
    <row r="508" spans="2:2" x14ac:dyDescent="0.45">
      <c r="B508">
        <v>42</v>
      </c>
    </row>
    <row r="509" spans="2:2" x14ac:dyDescent="0.45">
      <c r="B509">
        <v>10</v>
      </c>
    </row>
    <row r="510" spans="2:2" x14ac:dyDescent="0.45">
      <c r="B510">
        <v>3</v>
      </c>
    </row>
    <row r="511" spans="2:2" x14ac:dyDescent="0.45">
      <c r="B511">
        <v>0</v>
      </c>
    </row>
    <row r="512" spans="2:2" x14ac:dyDescent="0.45">
      <c r="B512">
        <v>1</v>
      </c>
    </row>
    <row r="513" spans="2:2" x14ac:dyDescent="0.45">
      <c r="B513">
        <v>158</v>
      </c>
    </row>
    <row r="514" spans="2:2" x14ac:dyDescent="0.45">
      <c r="B514">
        <v>640</v>
      </c>
    </row>
    <row r="515" spans="2:2" x14ac:dyDescent="0.45">
      <c r="B515">
        <v>705</v>
      </c>
    </row>
    <row r="516" spans="2:2" x14ac:dyDescent="0.45">
      <c r="B516">
        <v>342</v>
      </c>
    </row>
    <row r="517" spans="2:2" x14ac:dyDescent="0.45">
      <c r="B517">
        <v>101</v>
      </c>
    </row>
    <row r="518" spans="2:2" x14ac:dyDescent="0.45">
      <c r="B518">
        <v>29</v>
      </c>
    </row>
    <row r="519" spans="2:2" x14ac:dyDescent="0.45">
      <c r="B519">
        <v>17</v>
      </c>
    </row>
    <row r="520" spans="2:2" x14ac:dyDescent="0.45">
      <c r="B520">
        <v>7</v>
      </c>
    </row>
    <row r="521" spans="2:2" x14ac:dyDescent="0.45">
      <c r="B521">
        <v>0</v>
      </c>
    </row>
    <row r="522" spans="2:2" x14ac:dyDescent="0.45">
      <c r="B522">
        <v>1</v>
      </c>
    </row>
    <row r="523" spans="2:2" x14ac:dyDescent="0.45">
      <c r="B523">
        <v>1710</v>
      </c>
    </row>
    <row r="524" spans="2:2" x14ac:dyDescent="0.45">
      <c r="B524">
        <v>0</v>
      </c>
    </row>
    <row r="525" spans="2:2" x14ac:dyDescent="0.45">
      <c r="B525">
        <v>0</v>
      </c>
    </row>
    <row r="526" spans="2:2" x14ac:dyDescent="0.45">
      <c r="B526">
        <v>0</v>
      </c>
    </row>
    <row r="527" spans="2:2" x14ac:dyDescent="0.45">
      <c r="B527">
        <v>269</v>
      </c>
    </row>
    <row r="528" spans="2:2" x14ac:dyDescent="0.45">
      <c r="B528">
        <v>0</v>
      </c>
    </row>
    <row r="529" spans="2:2" x14ac:dyDescent="0.45">
      <c r="B529">
        <v>0</v>
      </c>
    </row>
    <row r="530" spans="2:2" x14ac:dyDescent="0.45">
      <c r="B530">
        <v>0</v>
      </c>
    </row>
    <row r="531" spans="2:2" x14ac:dyDescent="0.45">
      <c r="B531">
        <v>0</v>
      </c>
    </row>
    <row r="532" spans="2:2" x14ac:dyDescent="0.45">
      <c r="B532">
        <v>21</v>
      </c>
    </row>
    <row r="533" spans="2:2" x14ac:dyDescent="0.45">
      <c r="B533">
        <v>959</v>
      </c>
    </row>
    <row r="534" spans="2:2" x14ac:dyDescent="0.45">
      <c r="B534">
        <v>713</v>
      </c>
    </row>
    <row r="535" spans="2:2" x14ac:dyDescent="0.45">
      <c r="B535">
        <v>0</v>
      </c>
    </row>
    <row r="536" spans="2:2" x14ac:dyDescent="0.45">
      <c r="B536">
        <v>277</v>
      </c>
    </row>
    <row r="537" spans="2:2" x14ac:dyDescent="0.45">
      <c r="B537">
        <v>0</v>
      </c>
    </row>
    <row r="538" spans="2:2" x14ac:dyDescent="0.45">
      <c r="B538">
        <v>47</v>
      </c>
    </row>
    <row r="539" spans="2:2" x14ac:dyDescent="0.45">
      <c r="B539">
        <v>0</v>
      </c>
    </row>
    <row r="540" spans="2:2" x14ac:dyDescent="0.45">
      <c r="B540">
        <v>3</v>
      </c>
    </row>
    <row r="541" spans="2:2" x14ac:dyDescent="0.45">
      <c r="B541">
        <v>0</v>
      </c>
    </row>
    <row r="542" spans="2:2" x14ac:dyDescent="0.45">
      <c r="B542">
        <v>1</v>
      </c>
    </row>
    <row r="543" spans="2:2" x14ac:dyDescent="0.45">
      <c r="B543">
        <v>413</v>
      </c>
    </row>
    <row r="544" spans="2:2" x14ac:dyDescent="0.45">
      <c r="B544">
        <v>718</v>
      </c>
    </row>
    <row r="545" spans="2:2" x14ac:dyDescent="0.45">
      <c r="B545">
        <v>548</v>
      </c>
    </row>
    <row r="546" spans="2:2" x14ac:dyDescent="0.45">
      <c r="B546">
        <v>0</v>
      </c>
    </row>
    <row r="547" spans="2:2" x14ac:dyDescent="0.45">
      <c r="B547">
        <v>234</v>
      </c>
    </row>
    <row r="548" spans="2:2" x14ac:dyDescent="0.45">
      <c r="B548">
        <v>69</v>
      </c>
    </row>
    <row r="549" spans="2:2" x14ac:dyDescent="0.45">
      <c r="B549">
        <v>0</v>
      </c>
    </row>
    <row r="550" spans="2:2" x14ac:dyDescent="0.45">
      <c r="B550">
        <v>13</v>
      </c>
    </row>
    <row r="551" spans="2:2" x14ac:dyDescent="0.45">
      <c r="B551">
        <v>4</v>
      </c>
    </row>
    <row r="552" spans="2:2" x14ac:dyDescent="0.45">
      <c r="B552">
        <v>1</v>
      </c>
    </row>
    <row r="553" spans="2:2" x14ac:dyDescent="0.45">
      <c r="B553">
        <v>247</v>
      </c>
    </row>
    <row r="554" spans="2:2" x14ac:dyDescent="0.45">
      <c r="B554">
        <v>578</v>
      </c>
    </row>
    <row r="555" spans="2:2" x14ac:dyDescent="0.45">
      <c r="B555">
        <v>0</v>
      </c>
    </row>
    <row r="556" spans="2:2" x14ac:dyDescent="0.45">
      <c r="B556">
        <v>587</v>
      </c>
    </row>
    <row r="557" spans="2:2" x14ac:dyDescent="0.45">
      <c r="B557">
        <v>376</v>
      </c>
    </row>
    <row r="558" spans="2:2" x14ac:dyDescent="0.45">
      <c r="B558">
        <v>0</v>
      </c>
    </row>
    <row r="559" spans="2:2" x14ac:dyDescent="0.45">
      <c r="B559">
        <v>163</v>
      </c>
    </row>
    <row r="560" spans="2:2" x14ac:dyDescent="0.45">
      <c r="B560">
        <v>0</v>
      </c>
    </row>
    <row r="561" spans="2:2" x14ac:dyDescent="0.45">
      <c r="B561">
        <v>41</v>
      </c>
    </row>
    <row r="562" spans="2:2" x14ac:dyDescent="0.45">
      <c r="B562">
        <v>8</v>
      </c>
    </row>
    <row r="563" spans="2:2" x14ac:dyDescent="0.45">
      <c r="B563">
        <v>161</v>
      </c>
    </row>
    <row r="564" spans="2:2" x14ac:dyDescent="0.45">
      <c r="B564">
        <v>508</v>
      </c>
    </row>
    <row r="565" spans="2:2" x14ac:dyDescent="0.45">
      <c r="B565">
        <v>626</v>
      </c>
    </row>
    <row r="566" spans="2:2" x14ac:dyDescent="0.45">
      <c r="B566">
        <v>0</v>
      </c>
    </row>
    <row r="567" spans="2:2" x14ac:dyDescent="0.45">
      <c r="B567">
        <v>451</v>
      </c>
    </row>
    <row r="568" spans="2:2" x14ac:dyDescent="0.45">
      <c r="B568">
        <v>191</v>
      </c>
    </row>
    <row r="569" spans="2:2" x14ac:dyDescent="0.45">
      <c r="B569">
        <v>0</v>
      </c>
    </row>
    <row r="570" spans="2:2" x14ac:dyDescent="0.45">
      <c r="B570">
        <v>49</v>
      </c>
    </row>
    <row r="571" spans="2:2" x14ac:dyDescent="0.45">
      <c r="B571">
        <v>12</v>
      </c>
    </row>
    <row r="572" spans="2:2" x14ac:dyDescent="0.45">
      <c r="B572">
        <v>2</v>
      </c>
    </row>
    <row r="573" spans="2:2" x14ac:dyDescent="0.45">
      <c r="B573">
        <v>206</v>
      </c>
    </row>
    <row r="574" spans="2:2" x14ac:dyDescent="0.45">
      <c r="B574">
        <v>509</v>
      </c>
    </row>
    <row r="575" spans="2:2" x14ac:dyDescent="0.45">
      <c r="B575">
        <v>640</v>
      </c>
    </row>
    <row r="576" spans="2:2" x14ac:dyDescent="0.45">
      <c r="B576">
        <v>0</v>
      </c>
    </row>
    <row r="577" spans="2:2" x14ac:dyDescent="0.45">
      <c r="B577">
        <v>401</v>
      </c>
    </row>
    <row r="578" spans="2:2" x14ac:dyDescent="0.45">
      <c r="B578">
        <v>172</v>
      </c>
    </row>
    <row r="579" spans="2:2" x14ac:dyDescent="0.45">
      <c r="B579">
        <v>0</v>
      </c>
    </row>
    <row r="580" spans="2:2" x14ac:dyDescent="0.45">
      <c r="B580">
        <v>59</v>
      </c>
    </row>
    <row r="581" spans="2:2" x14ac:dyDescent="0.45">
      <c r="B581">
        <v>11</v>
      </c>
    </row>
    <row r="582" spans="2:2" x14ac:dyDescent="0.45">
      <c r="B582">
        <v>2</v>
      </c>
    </row>
    <row r="583" spans="2:2" x14ac:dyDescent="0.45">
      <c r="B583">
        <v>183</v>
      </c>
    </row>
    <row r="584" spans="2:2" x14ac:dyDescent="0.45">
      <c r="B584">
        <v>557</v>
      </c>
    </row>
    <row r="585" spans="2:2" x14ac:dyDescent="0.45">
      <c r="B585">
        <v>0</v>
      </c>
    </row>
    <row r="586" spans="2:2" x14ac:dyDescent="0.45">
      <c r="B586">
        <v>626</v>
      </c>
    </row>
    <row r="587" spans="2:2" x14ac:dyDescent="0.45">
      <c r="B587">
        <v>408</v>
      </c>
    </row>
    <row r="588" spans="2:2" x14ac:dyDescent="0.45">
      <c r="B588">
        <v>0</v>
      </c>
    </row>
    <row r="589" spans="2:2" x14ac:dyDescent="0.45">
      <c r="B589">
        <v>173</v>
      </c>
    </row>
    <row r="590" spans="2:2" x14ac:dyDescent="0.45">
      <c r="B590">
        <v>0</v>
      </c>
    </row>
    <row r="591" spans="2:2" x14ac:dyDescent="0.45">
      <c r="B591">
        <v>44</v>
      </c>
    </row>
    <row r="592" spans="2:2" x14ac:dyDescent="0.45">
      <c r="B592">
        <v>9</v>
      </c>
    </row>
    <row r="593" spans="2:2" x14ac:dyDescent="0.45">
      <c r="B593">
        <v>245</v>
      </c>
    </row>
    <row r="594" spans="2:2" x14ac:dyDescent="0.45">
      <c r="B594">
        <v>581</v>
      </c>
    </row>
    <row r="595" spans="2:2" x14ac:dyDescent="0.45">
      <c r="B595">
        <v>597</v>
      </c>
    </row>
    <row r="596" spans="2:2" x14ac:dyDescent="0.45">
      <c r="B596">
        <v>0</v>
      </c>
    </row>
    <row r="597" spans="2:2" x14ac:dyDescent="0.45">
      <c r="B597">
        <v>366</v>
      </c>
    </row>
    <row r="598" spans="2:2" x14ac:dyDescent="0.45">
      <c r="B598">
        <v>163</v>
      </c>
    </row>
    <row r="599" spans="2:2" x14ac:dyDescent="0.45">
      <c r="B599">
        <v>0</v>
      </c>
    </row>
    <row r="600" spans="2:2" x14ac:dyDescent="0.45">
      <c r="B600">
        <v>39</v>
      </c>
    </row>
    <row r="601" spans="2:2" x14ac:dyDescent="0.45">
      <c r="B601">
        <v>8</v>
      </c>
    </row>
    <row r="602" spans="2:2" x14ac:dyDescent="0.45">
      <c r="B602">
        <v>1</v>
      </c>
    </row>
    <row r="603" spans="2:2" x14ac:dyDescent="0.45">
      <c r="B603">
        <v>1710</v>
      </c>
    </row>
    <row r="604" spans="2:2" x14ac:dyDescent="0.45">
      <c r="B604">
        <v>0</v>
      </c>
    </row>
    <row r="605" spans="2:2" x14ac:dyDescent="0.45">
      <c r="B605">
        <v>0</v>
      </c>
    </row>
    <row r="606" spans="2:2" x14ac:dyDescent="0.45">
      <c r="B606">
        <v>0</v>
      </c>
    </row>
    <row r="607" spans="2:2" x14ac:dyDescent="0.45">
      <c r="B607">
        <v>269</v>
      </c>
    </row>
    <row r="608" spans="2:2" x14ac:dyDescent="0.45">
      <c r="B608">
        <v>0</v>
      </c>
    </row>
    <row r="609" spans="2:2" x14ac:dyDescent="0.45">
      <c r="B609">
        <v>0</v>
      </c>
    </row>
    <row r="610" spans="2:2" x14ac:dyDescent="0.45">
      <c r="B610">
        <v>0</v>
      </c>
    </row>
    <row r="611" spans="2:2" x14ac:dyDescent="0.45">
      <c r="B611">
        <v>0</v>
      </c>
    </row>
    <row r="612" spans="2:2" x14ac:dyDescent="0.45">
      <c r="B612">
        <v>21</v>
      </c>
    </row>
    <row r="613" spans="2:2" x14ac:dyDescent="0.45">
      <c r="B613">
        <v>1313</v>
      </c>
    </row>
    <row r="614" spans="2:2" x14ac:dyDescent="0.45">
      <c r="B614">
        <v>0</v>
      </c>
    </row>
    <row r="615" spans="2:2" x14ac:dyDescent="0.45">
      <c r="B615">
        <v>0</v>
      </c>
    </row>
    <row r="616" spans="2:2" x14ac:dyDescent="0.45">
      <c r="B616">
        <v>541</v>
      </c>
    </row>
    <row r="617" spans="2:2" x14ac:dyDescent="0.45">
      <c r="B617">
        <v>0</v>
      </c>
    </row>
    <row r="618" spans="2:2" x14ac:dyDescent="0.45">
      <c r="B618">
        <v>0</v>
      </c>
    </row>
    <row r="619" spans="2:2" x14ac:dyDescent="0.45">
      <c r="B619">
        <v>134</v>
      </c>
    </row>
    <row r="620" spans="2:2" x14ac:dyDescent="0.45">
      <c r="B620">
        <v>0</v>
      </c>
    </row>
    <row r="621" spans="2:2" x14ac:dyDescent="0.45">
      <c r="B621">
        <v>0</v>
      </c>
    </row>
    <row r="622" spans="2:2" x14ac:dyDescent="0.45">
      <c r="B622">
        <v>12</v>
      </c>
    </row>
    <row r="623" spans="2:2" x14ac:dyDescent="0.45">
      <c r="B623">
        <v>1439</v>
      </c>
    </row>
    <row r="624" spans="2:2" x14ac:dyDescent="0.45">
      <c r="B624">
        <v>0</v>
      </c>
    </row>
    <row r="625" spans="2:2" x14ac:dyDescent="0.45">
      <c r="B625">
        <v>0</v>
      </c>
    </row>
    <row r="626" spans="2:2" x14ac:dyDescent="0.45">
      <c r="B626">
        <v>488</v>
      </c>
    </row>
    <row r="627" spans="2:2" x14ac:dyDescent="0.45">
      <c r="B627">
        <v>0</v>
      </c>
    </row>
    <row r="628" spans="2:2" x14ac:dyDescent="0.45">
      <c r="B628">
        <v>0</v>
      </c>
    </row>
    <row r="629" spans="2:2" x14ac:dyDescent="0.45">
      <c r="B629">
        <v>67</v>
      </c>
    </row>
    <row r="630" spans="2:2" x14ac:dyDescent="0.45">
      <c r="B630">
        <v>0</v>
      </c>
    </row>
    <row r="631" spans="2:2" x14ac:dyDescent="0.45">
      <c r="B631">
        <v>0</v>
      </c>
    </row>
    <row r="632" spans="2:2" x14ac:dyDescent="0.45">
      <c r="B632">
        <v>6</v>
      </c>
    </row>
    <row r="633" spans="2:2" x14ac:dyDescent="0.45">
      <c r="B633">
        <v>1462</v>
      </c>
    </row>
    <row r="634" spans="2:2" x14ac:dyDescent="0.45">
      <c r="B634">
        <v>0</v>
      </c>
    </row>
    <row r="635" spans="2:2" x14ac:dyDescent="0.45">
      <c r="B635">
        <v>450</v>
      </c>
    </row>
    <row r="636" spans="2:2" x14ac:dyDescent="0.45">
      <c r="B636">
        <v>0</v>
      </c>
    </row>
    <row r="637" spans="2:2" x14ac:dyDescent="0.45">
      <c r="B637">
        <v>76</v>
      </c>
    </row>
    <row r="638" spans="2:2" x14ac:dyDescent="0.45">
      <c r="B638">
        <v>0</v>
      </c>
    </row>
    <row r="639" spans="2:2" x14ac:dyDescent="0.45">
      <c r="B639">
        <v>0</v>
      </c>
    </row>
    <row r="640" spans="2:2" x14ac:dyDescent="0.45">
      <c r="B640">
        <v>9</v>
      </c>
    </row>
    <row r="641" spans="2:2" x14ac:dyDescent="0.45">
      <c r="B641">
        <v>0</v>
      </c>
    </row>
    <row r="642" spans="2:2" x14ac:dyDescent="0.45">
      <c r="B642">
        <v>3</v>
      </c>
    </row>
    <row r="643" spans="2:2" x14ac:dyDescent="0.45">
      <c r="B643">
        <v>1191</v>
      </c>
    </row>
    <row r="644" spans="2:2" x14ac:dyDescent="0.45">
      <c r="B644">
        <v>0</v>
      </c>
    </row>
    <row r="645" spans="2:2" x14ac:dyDescent="0.45">
      <c r="B645">
        <v>626</v>
      </c>
    </row>
    <row r="646" spans="2:2" x14ac:dyDescent="0.45">
      <c r="B646">
        <v>0</v>
      </c>
    </row>
    <row r="647" spans="2:2" x14ac:dyDescent="0.45">
      <c r="B647">
        <v>157</v>
      </c>
    </row>
    <row r="648" spans="2:2" x14ac:dyDescent="0.45">
      <c r="B648">
        <v>0</v>
      </c>
    </row>
    <row r="649" spans="2:2" x14ac:dyDescent="0.45">
      <c r="B649">
        <v>0</v>
      </c>
    </row>
    <row r="650" spans="2:2" x14ac:dyDescent="0.45">
      <c r="B650">
        <v>24</v>
      </c>
    </row>
    <row r="651" spans="2:2" x14ac:dyDescent="0.45">
      <c r="B651">
        <v>0</v>
      </c>
    </row>
    <row r="652" spans="2:2" x14ac:dyDescent="0.45">
      <c r="B652">
        <v>2</v>
      </c>
    </row>
    <row r="653" spans="2:2" x14ac:dyDescent="0.45">
      <c r="B653">
        <v>1642</v>
      </c>
    </row>
    <row r="654" spans="2:2" x14ac:dyDescent="0.45">
      <c r="B654">
        <v>0</v>
      </c>
    </row>
    <row r="655" spans="2:2" x14ac:dyDescent="0.45">
      <c r="B655">
        <v>0</v>
      </c>
    </row>
    <row r="656" spans="2:2" x14ac:dyDescent="0.45">
      <c r="B656">
        <v>328</v>
      </c>
    </row>
    <row r="657" spans="2:2" x14ac:dyDescent="0.45">
      <c r="B657">
        <v>0</v>
      </c>
    </row>
    <row r="658" spans="2:2" x14ac:dyDescent="0.45">
      <c r="B658">
        <v>0</v>
      </c>
    </row>
    <row r="659" spans="2:2" x14ac:dyDescent="0.45">
      <c r="B659">
        <v>29</v>
      </c>
    </row>
    <row r="660" spans="2:2" x14ac:dyDescent="0.45">
      <c r="B660">
        <v>0</v>
      </c>
    </row>
    <row r="661" spans="2:2" x14ac:dyDescent="0.45">
      <c r="B661">
        <v>0</v>
      </c>
    </row>
    <row r="662" spans="2:2" x14ac:dyDescent="0.45">
      <c r="B662">
        <v>1</v>
      </c>
    </row>
    <row r="663" spans="2:2" x14ac:dyDescent="0.45">
      <c r="B663">
        <v>1301</v>
      </c>
    </row>
    <row r="664" spans="2:2" x14ac:dyDescent="0.45">
      <c r="B664">
        <v>0</v>
      </c>
    </row>
    <row r="665" spans="2:2" x14ac:dyDescent="0.45">
      <c r="B665">
        <v>0</v>
      </c>
    </row>
    <row r="666" spans="2:2" x14ac:dyDescent="0.45">
      <c r="B666">
        <v>588</v>
      </c>
    </row>
    <row r="667" spans="2:2" x14ac:dyDescent="0.45">
      <c r="B667">
        <v>0</v>
      </c>
    </row>
    <row r="668" spans="2:2" x14ac:dyDescent="0.45">
      <c r="B668">
        <v>0</v>
      </c>
    </row>
    <row r="669" spans="2:2" x14ac:dyDescent="0.45">
      <c r="B669">
        <v>105</v>
      </c>
    </row>
    <row r="670" spans="2:2" x14ac:dyDescent="0.45">
      <c r="B670">
        <v>0</v>
      </c>
    </row>
    <row r="671" spans="2:2" x14ac:dyDescent="0.45">
      <c r="B671">
        <v>0</v>
      </c>
    </row>
    <row r="672" spans="2:2" x14ac:dyDescent="0.45">
      <c r="B672">
        <v>6</v>
      </c>
    </row>
    <row r="673" spans="2:2" x14ac:dyDescent="0.45">
      <c r="B673">
        <v>1400</v>
      </c>
    </row>
    <row r="674" spans="2:2" x14ac:dyDescent="0.45">
      <c r="B674">
        <v>0</v>
      </c>
    </row>
    <row r="675" spans="2:2" x14ac:dyDescent="0.45">
      <c r="B675">
        <v>518</v>
      </c>
    </row>
    <row r="676" spans="2:2" x14ac:dyDescent="0.45">
      <c r="B676">
        <v>0</v>
      </c>
    </row>
    <row r="677" spans="2:2" x14ac:dyDescent="0.45">
      <c r="B677">
        <v>74</v>
      </c>
    </row>
    <row r="678" spans="2:2" x14ac:dyDescent="0.45">
      <c r="B678">
        <v>0</v>
      </c>
    </row>
    <row r="679" spans="2:2" x14ac:dyDescent="0.45">
      <c r="B679">
        <v>0</v>
      </c>
    </row>
    <row r="680" spans="2:2" x14ac:dyDescent="0.45">
      <c r="B680">
        <v>7</v>
      </c>
    </row>
    <row r="681" spans="2:2" x14ac:dyDescent="0.45">
      <c r="B681">
        <v>0</v>
      </c>
    </row>
    <row r="682" spans="2:2" x14ac:dyDescent="0.45">
      <c r="B682">
        <v>1</v>
      </c>
    </row>
    <row r="683" spans="2:2" x14ac:dyDescent="0.45">
      <c r="B683">
        <v>1710</v>
      </c>
    </row>
    <row r="684" spans="2:2" x14ac:dyDescent="0.45">
      <c r="B684">
        <v>0</v>
      </c>
    </row>
    <row r="685" spans="2:2" x14ac:dyDescent="0.45">
      <c r="B685">
        <v>0</v>
      </c>
    </row>
    <row r="686" spans="2:2" x14ac:dyDescent="0.45">
      <c r="B686">
        <v>0</v>
      </c>
    </row>
    <row r="687" spans="2:2" x14ac:dyDescent="0.45">
      <c r="B687">
        <v>269</v>
      </c>
    </row>
    <row r="688" spans="2:2" x14ac:dyDescent="0.45">
      <c r="B688">
        <v>0</v>
      </c>
    </row>
    <row r="689" spans="2:2" x14ac:dyDescent="0.45">
      <c r="B689">
        <v>0</v>
      </c>
    </row>
    <row r="690" spans="2:2" x14ac:dyDescent="0.45">
      <c r="B690">
        <v>0</v>
      </c>
    </row>
    <row r="691" spans="2:2" x14ac:dyDescent="0.45">
      <c r="B691">
        <v>0</v>
      </c>
    </row>
    <row r="692" spans="2:2" x14ac:dyDescent="0.45">
      <c r="B692">
        <v>21</v>
      </c>
    </row>
    <row r="693" spans="2:2" x14ac:dyDescent="0.45">
      <c r="B693">
        <v>959</v>
      </c>
    </row>
    <row r="694" spans="2:2" x14ac:dyDescent="0.45">
      <c r="B694">
        <v>713</v>
      </c>
    </row>
    <row r="695" spans="2:2" x14ac:dyDescent="0.45">
      <c r="B695">
        <v>0</v>
      </c>
    </row>
    <row r="696" spans="2:2" x14ac:dyDescent="0.45">
      <c r="B696">
        <v>277</v>
      </c>
    </row>
    <row r="697" spans="2:2" x14ac:dyDescent="0.45">
      <c r="B697">
        <v>0</v>
      </c>
    </row>
    <row r="698" spans="2:2" x14ac:dyDescent="0.45">
      <c r="B698">
        <v>47</v>
      </c>
    </row>
    <row r="699" spans="2:2" x14ac:dyDescent="0.45">
      <c r="B699">
        <v>0</v>
      </c>
    </row>
    <row r="700" spans="2:2" x14ac:dyDescent="0.45">
      <c r="B700">
        <v>3</v>
      </c>
    </row>
    <row r="701" spans="2:2" x14ac:dyDescent="0.45">
      <c r="B701">
        <v>0</v>
      </c>
    </row>
    <row r="702" spans="2:2" x14ac:dyDescent="0.45">
      <c r="B702">
        <v>1</v>
      </c>
    </row>
    <row r="703" spans="2:2" x14ac:dyDescent="0.45">
      <c r="B703">
        <v>1205</v>
      </c>
    </row>
    <row r="704" spans="2:2" x14ac:dyDescent="0.45">
      <c r="B704">
        <v>0</v>
      </c>
    </row>
    <row r="705" spans="2:2" x14ac:dyDescent="0.45">
      <c r="B705">
        <v>639</v>
      </c>
    </row>
    <row r="706" spans="2:2" x14ac:dyDescent="0.45">
      <c r="B706">
        <v>0</v>
      </c>
    </row>
    <row r="707" spans="2:2" x14ac:dyDescent="0.45">
      <c r="B707">
        <v>125</v>
      </c>
    </row>
    <row r="708" spans="2:2" x14ac:dyDescent="0.45">
      <c r="B708">
        <v>0</v>
      </c>
    </row>
    <row r="709" spans="2:2" x14ac:dyDescent="0.45">
      <c r="B709">
        <v>0</v>
      </c>
    </row>
    <row r="710" spans="2:2" x14ac:dyDescent="0.45">
      <c r="B710">
        <v>27</v>
      </c>
    </row>
    <row r="711" spans="2:2" x14ac:dyDescent="0.45">
      <c r="B711">
        <v>0</v>
      </c>
    </row>
    <row r="712" spans="2:2" x14ac:dyDescent="0.45">
      <c r="B712">
        <v>4</v>
      </c>
    </row>
    <row r="713" spans="2:2" x14ac:dyDescent="0.45">
      <c r="B713">
        <v>1136</v>
      </c>
    </row>
    <row r="714" spans="2:2" x14ac:dyDescent="0.45">
      <c r="B714">
        <v>0</v>
      </c>
    </row>
    <row r="715" spans="2:2" x14ac:dyDescent="0.45">
      <c r="B715">
        <v>660</v>
      </c>
    </row>
    <row r="716" spans="2:2" x14ac:dyDescent="0.45">
      <c r="B716">
        <v>0</v>
      </c>
    </row>
    <row r="717" spans="2:2" x14ac:dyDescent="0.45">
      <c r="B717">
        <v>163</v>
      </c>
    </row>
    <row r="718" spans="2:2" x14ac:dyDescent="0.45">
      <c r="B718">
        <v>0</v>
      </c>
    </row>
    <row r="719" spans="2:2" x14ac:dyDescent="0.45">
      <c r="B719">
        <v>0</v>
      </c>
    </row>
    <row r="720" spans="2:2" x14ac:dyDescent="0.45">
      <c r="B720">
        <v>37</v>
      </c>
    </row>
    <row r="721" spans="2:2" x14ac:dyDescent="0.45">
      <c r="B721">
        <v>0</v>
      </c>
    </row>
    <row r="722" spans="2:2" x14ac:dyDescent="0.45">
      <c r="B722">
        <v>4</v>
      </c>
    </row>
    <row r="723" spans="2:2" x14ac:dyDescent="0.45">
      <c r="B723">
        <v>944</v>
      </c>
    </row>
    <row r="724" spans="2:2" x14ac:dyDescent="0.45">
      <c r="B724">
        <v>731</v>
      </c>
    </row>
    <row r="725" spans="2:2" x14ac:dyDescent="0.45">
      <c r="B725">
        <v>0</v>
      </c>
    </row>
    <row r="726" spans="2:2" x14ac:dyDescent="0.45">
      <c r="B726">
        <v>259</v>
      </c>
    </row>
    <row r="727" spans="2:2" x14ac:dyDescent="0.45">
      <c r="B727">
        <v>0</v>
      </c>
    </row>
    <row r="728" spans="2:2" x14ac:dyDescent="0.45">
      <c r="B728">
        <v>57</v>
      </c>
    </row>
    <row r="729" spans="2:2" x14ac:dyDescent="0.45">
      <c r="B729">
        <v>0</v>
      </c>
    </row>
    <row r="730" spans="2:2" x14ac:dyDescent="0.45">
      <c r="B730">
        <v>8</v>
      </c>
    </row>
    <row r="731" spans="2:2" x14ac:dyDescent="0.45">
      <c r="B731">
        <v>0</v>
      </c>
    </row>
    <row r="732" spans="2:2" x14ac:dyDescent="0.45">
      <c r="B732">
        <v>1</v>
      </c>
    </row>
    <row r="733" spans="2:2" x14ac:dyDescent="0.45">
      <c r="B733">
        <v>1310</v>
      </c>
    </row>
    <row r="734" spans="2:2" x14ac:dyDescent="0.45">
      <c r="B734">
        <v>0</v>
      </c>
    </row>
    <row r="735" spans="2:2" x14ac:dyDescent="0.45">
      <c r="B735">
        <v>573</v>
      </c>
    </row>
    <row r="736" spans="2:2" x14ac:dyDescent="0.45">
      <c r="B736">
        <v>0</v>
      </c>
    </row>
    <row r="737" spans="2:2" x14ac:dyDescent="0.45">
      <c r="B737">
        <v>107</v>
      </c>
    </row>
    <row r="738" spans="2:2" x14ac:dyDescent="0.45">
      <c r="B738">
        <v>0</v>
      </c>
    </row>
    <row r="739" spans="2:2" x14ac:dyDescent="0.45">
      <c r="B739">
        <v>0</v>
      </c>
    </row>
    <row r="740" spans="2:2" x14ac:dyDescent="0.45">
      <c r="B740">
        <v>9</v>
      </c>
    </row>
    <row r="741" spans="2:2" x14ac:dyDescent="0.45">
      <c r="B741">
        <v>0</v>
      </c>
    </row>
    <row r="742" spans="2:2" x14ac:dyDescent="0.45">
      <c r="B742">
        <v>1</v>
      </c>
    </row>
    <row r="743" spans="2:2" x14ac:dyDescent="0.45">
      <c r="B743">
        <v>837</v>
      </c>
    </row>
    <row r="744" spans="2:2" x14ac:dyDescent="0.45">
      <c r="B744">
        <v>761</v>
      </c>
    </row>
    <row r="745" spans="2:2" x14ac:dyDescent="0.45">
      <c r="B745">
        <v>0</v>
      </c>
    </row>
    <row r="746" spans="2:2" x14ac:dyDescent="0.45">
      <c r="B746">
        <v>289</v>
      </c>
    </row>
    <row r="747" spans="2:2" x14ac:dyDescent="0.45">
      <c r="B747">
        <v>0</v>
      </c>
    </row>
    <row r="748" spans="2:2" x14ac:dyDescent="0.45">
      <c r="B748">
        <v>97</v>
      </c>
    </row>
    <row r="749" spans="2:2" x14ac:dyDescent="0.45">
      <c r="B749">
        <v>0</v>
      </c>
    </row>
    <row r="750" spans="2:2" x14ac:dyDescent="0.45">
      <c r="B750">
        <v>15</v>
      </c>
    </row>
    <row r="751" spans="2:2" x14ac:dyDescent="0.45">
      <c r="B751">
        <v>0</v>
      </c>
    </row>
    <row r="752" spans="2:2" x14ac:dyDescent="0.45">
      <c r="B752">
        <v>1</v>
      </c>
    </row>
    <row r="753" spans="2:2" x14ac:dyDescent="0.45">
      <c r="B753">
        <v>1452</v>
      </c>
    </row>
    <row r="754" spans="2:2" x14ac:dyDescent="0.45">
      <c r="B754">
        <v>0</v>
      </c>
    </row>
    <row r="755" spans="2:2" x14ac:dyDescent="0.45">
      <c r="B755">
        <v>0</v>
      </c>
    </row>
    <row r="756" spans="2:2" x14ac:dyDescent="0.45">
      <c r="B756">
        <v>491</v>
      </c>
    </row>
    <row r="757" spans="2:2" x14ac:dyDescent="0.45">
      <c r="B757">
        <v>0</v>
      </c>
    </row>
    <row r="758" spans="2:2" x14ac:dyDescent="0.45">
      <c r="B758">
        <v>0</v>
      </c>
    </row>
    <row r="759" spans="2:2" x14ac:dyDescent="0.45">
      <c r="B759">
        <v>54</v>
      </c>
    </row>
    <row r="760" spans="2:2" x14ac:dyDescent="0.45">
      <c r="B760">
        <v>0</v>
      </c>
    </row>
    <row r="761" spans="2:2" x14ac:dyDescent="0.45">
      <c r="B761">
        <v>0</v>
      </c>
    </row>
    <row r="762" spans="2:2" x14ac:dyDescent="0.45">
      <c r="B762">
        <v>3</v>
      </c>
    </row>
    <row r="763" spans="2:2" x14ac:dyDescent="0.45">
      <c r="B763">
        <v>1710</v>
      </c>
    </row>
    <row r="764" spans="2:2" x14ac:dyDescent="0.45">
      <c r="B764">
        <v>0</v>
      </c>
    </row>
    <row r="765" spans="2:2" x14ac:dyDescent="0.45">
      <c r="B765">
        <v>0</v>
      </c>
    </row>
    <row r="766" spans="2:2" x14ac:dyDescent="0.45">
      <c r="B766">
        <v>0</v>
      </c>
    </row>
    <row r="767" spans="2:2" x14ac:dyDescent="0.45">
      <c r="B767">
        <v>269</v>
      </c>
    </row>
    <row r="768" spans="2:2" x14ac:dyDescent="0.45">
      <c r="B768">
        <v>0</v>
      </c>
    </row>
    <row r="769" spans="2:2" x14ac:dyDescent="0.45">
      <c r="B769">
        <v>0</v>
      </c>
    </row>
    <row r="770" spans="2:2" x14ac:dyDescent="0.45">
      <c r="B770">
        <v>0</v>
      </c>
    </row>
    <row r="771" spans="2:2" x14ac:dyDescent="0.45">
      <c r="B771">
        <v>0</v>
      </c>
    </row>
    <row r="772" spans="2:2" x14ac:dyDescent="0.45">
      <c r="B772">
        <v>21</v>
      </c>
    </row>
    <row r="773" spans="2:2" x14ac:dyDescent="0.45">
      <c r="B773">
        <v>959</v>
      </c>
    </row>
    <row r="774" spans="2:2" x14ac:dyDescent="0.45">
      <c r="B774">
        <v>713</v>
      </c>
    </row>
    <row r="775" spans="2:2" x14ac:dyDescent="0.45">
      <c r="B775">
        <v>0</v>
      </c>
    </row>
    <row r="776" spans="2:2" x14ac:dyDescent="0.45">
      <c r="B776">
        <v>277</v>
      </c>
    </row>
    <row r="777" spans="2:2" x14ac:dyDescent="0.45">
      <c r="B777">
        <v>0</v>
      </c>
    </row>
    <row r="778" spans="2:2" x14ac:dyDescent="0.45">
      <c r="B778">
        <v>47</v>
      </c>
    </row>
    <row r="779" spans="2:2" x14ac:dyDescent="0.45">
      <c r="B779">
        <v>0</v>
      </c>
    </row>
    <row r="780" spans="2:2" x14ac:dyDescent="0.45">
      <c r="B780">
        <v>3</v>
      </c>
    </row>
    <row r="781" spans="2:2" x14ac:dyDescent="0.45">
      <c r="B781">
        <v>0</v>
      </c>
    </row>
    <row r="782" spans="2:2" x14ac:dyDescent="0.45">
      <c r="B782">
        <v>1</v>
      </c>
    </row>
    <row r="783" spans="2:2" x14ac:dyDescent="0.45">
      <c r="B783">
        <v>413</v>
      </c>
    </row>
    <row r="784" spans="2:2" x14ac:dyDescent="0.45">
      <c r="B784">
        <v>718</v>
      </c>
    </row>
    <row r="785" spans="2:2" x14ac:dyDescent="0.45">
      <c r="B785">
        <v>548</v>
      </c>
    </row>
    <row r="786" spans="2:2" x14ac:dyDescent="0.45">
      <c r="B786">
        <v>0</v>
      </c>
    </row>
    <row r="787" spans="2:2" x14ac:dyDescent="0.45">
      <c r="B787">
        <v>234</v>
      </c>
    </row>
    <row r="788" spans="2:2" x14ac:dyDescent="0.45">
      <c r="B788">
        <v>69</v>
      </c>
    </row>
    <row r="789" spans="2:2" x14ac:dyDescent="0.45">
      <c r="B789">
        <v>0</v>
      </c>
    </row>
    <row r="790" spans="2:2" x14ac:dyDescent="0.45">
      <c r="B790">
        <v>13</v>
      </c>
    </row>
    <row r="791" spans="2:2" x14ac:dyDescent="0.45">
      <c r="B791">
        <v>4</v>
      </c>
    </row>
    <row r="792" spans="2:2" x14ac:dyDescent="0.45">
      <c r="B792">
        <v>1</v>
      </c>
    </row>
    <row r="793" spans="2:2" x14ac:dyDescent="0.45">
      <c r="B793">
        <v>889</v>
      </c>
    </row>
    <row r="794" spans="2:2" x14ac:dyDescent="0.45">
      <c r="B794">
        <v>736</v>
      </c>
    </row>
    <row r="795" spans="2:2" x14ac:dyDescent="0.45">
      <c r="B795">
        <v>0</v>
      </c>
    </row>
    <row r="796" spans="2:2" x14ac:dyDescent="0.45">
      <c r="B796">
        <v>289</v>
      </c>
    </row>
    <row r="797" spans="2:2" x14ac:dyDescent="0.45">
      <c r="B797">
        <v>70</v>
      </c>
    </row>
    <row r="798" spans="2:2" x14ac:dyDescent="0.45">
      <c r="B798">
        <v>0</v>
      </c>
    </row>
    <row r="799" spans="2:2" x14ac:dyDescent="0.45">
      <c r="B799">
        <v>14</v>
      </c>
    </row>
    <row r="800" spans="2:2" x14ac:dyDescent="0.45">
      <c r="B800">
        <v>0</v>
      </c>
    </row>
    <row r="801" spans="2:2" x14ac:dyDescent="0.45">
      <c r="B801">
        <v>1</v>
      </c>
    </row>
    <row r="802" spans="2:2" x14ac:dyDescent="0.45">
      <c r="B802">
        <v>1</v>
      </c>
    </row>
    <row r="803" spans="2:2" x14ac:dyDescent="0.45">
      <c r="B803">
        <v>992</v>
      </c>
    </row>
    <row r="804" spans="2:2" x14ac:dyDescent="0.45">
      <c r="B804">
        <v>0</v>
      </c>
    </row>
    <row r="805" spans="2:2" x14ac:dyDescent="0.45">
      <c r="B805">
        <v>709</v>
      </c>
    </row>
    <row r="806" spans="2:2" x14ac:dyDescent="0.45">
      <c r="B806">
        <v>0</v>
      </c>
    </row>
    <row r="807" spans="2:2" x14ac:dyDescent="0.45">
      <c r="B807">
        <v>251</v>
      </c>
    </row>
    <row r="808" spans="2:2" x14ac:dyDescent="0.45">
      <c r="B808">
        <v>0</v>
      </c>
    </row>
    <row r="809" spans="2:2" x14ac:dyDescent="0.45">
      <c r="B809">
        <v>0</v>
      </c>
    </row>
    <row r="810" spans="2:2" x14ac:dyDescent="0.45">
      <c r="B810">
        <v>43</v>
      </c>
    </row>
    <row r="811" spans="2:2" x14ac:dyDescent="0.45">
      <c r="B811">
        <v>0</v>
      </c>
    </row>
    <row r="812" spans="2:2" x14ac:dyDescent="0.45">
      <c r="B812">
        <v>5</v>
      </c>
    </row>
    <row r="813" spans="2:2" x14ac:dyDescent="0.45">
      <c r="B813">
        <v>558</v>
      </c>
    </row>
    <row r="814" spans="2:2" x14ac:dyDescent="0.45">
      <c r="B814">
        <v>743</v>
      </c>
    </row>
    <row r="815" spans="2:2" x14ac:dyDescent="0.45">
      <c r="B815">
        <v>0</v>
      </c>
    </row>
    <row r="816" spans="2:2" x14ac:dyDescent="0.45">
      <c r="B816">
        <v>468</v>
      </c>
    </row>
    <row r="817" spans="2:2" x14ac:dyDescent="0.45">
      <c r="B817">
        <v>188</v>
      </c>
    </row>
    <row r="818" spans="2:2" x14ac:dyDescent="0.45">
      <c r="B818">
        <v>0</v>
      </c>
    </row>
    <row r="819" spans="2:2" x14ac:dyDescent="0.45">
      <c r="B819">
        <v>39</v>
      </c>
    </row>
    <row r="820" spans="2:2" x14ac:dyDescent="0.45">
      <c r="B820">
        <v>0</v>
      </c>
    </row>
    <row r="821" spans="2:2" x14ac:dyDescent="0.45">
      <c r="B821">
        <v>3</v>
      </c>
    </row>
    <row r="822" spans="2:2" x14ac:dyDescent="0.45">
      <c r="B822">
        <v>1</v>
      </c>
    </row>
    <row r="823" spans="2:2" x14ac:dyDescent="0.45">
      <c r="B823">
        <v>618</v>
      </c>
    </row>
    <row r="824" spans="2:2" x14ac:dyDescent="0.45">
      <c r="B824">
        <v>791</v>
      </c>
    </row>
    <row r="825" spans="2:2" x14ac:dyDescent="0.45">
      <c r="B825">
        <v>0</v>
      </c>
    </row>
    <row r="826" spans="2:2" x14ac:dyDescent="0.45">
      <c r="B826">
        <v>431</v>
      </c>
    </row>
    <row r="827" spans="2:2" x14ac:dyDescent="0.45">
      <c r="B827">
        <v>0</v>
      </c>
    </row>
    <row r="828" spans="2:2" x14ac:dyDescent="0.45">
      <c r="B828">
        <v>130</v>
      </c>
    </row>
    <row r="829" spans="2:2" x14ac:dyDescent="0.45">
      <c r="B829">
        <v>0</v>
      </c>
    </row>
    <row r="830" spans="2:2" x14ac:dyDescent="0.45">
      <c r="B830">
        <v>29</v>
      </c>
    </row>
    <row r="831" spans="2:2" x14ac:dyDescent="0.45">
      <c r="B831">
        <v>0</v>
      </c>
    </row>
    <row r="832" spans="2:2" x14ac:dyDescent="0.45">
      <c r="B832">
        <v>1</v>
      </c>
    </row>
    <row r="833" spans="2:2" x14ac:dyDescent="0.45">
      <c r="B833">
        <v>1009</v>
      </c>
    </row>
    <row r="834" spans="2:2" x14ac:dyDescent="0.45">
      <c r="B834">
        <v>0</v>
      </c>
    </row>
    <row r="835" spans="2:2" x14ac:dyDescent="0.45">
      <c r="B835">
        <v>724</v>
      </c>
    </row>
    <row r="836" spans="2:2" x14ac:dyDescent="0.45">
      <c r="B836">
        <v>0</v>
      </c>
    </row>
    <row r="837" spans="2:2" x14ac:dyDescent="0.45">
      <c r="B837">
        <v>224</v>
      </c>
    </row>
    <row r="838" spans="2:2" x14ac:dyDescent="0.45">
      <c r="B838">
        <v>0</v>
      </c>
    </row>
    <row r="839" spans="2:2" x14ac:dyDescent="0.45">
      <c r="B839">
        <v>0</v>
      </c>
    </row>
    <row r="840" spans="2:2" x14ac:dyDescent="0.45">
      <c r="B840">
        <v>41</v>
      </c>
    </row>
    <row r="841" spans="2:2" x14ac:dyDescent="0.45">
      <c r="B841">
        <v>0</v>
      </c>
    </row>
    <row r="842" spans="2:2" x14ac:dyDescent="0.45">
      <c r="B842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9AC6CE52-BCAE-4ECE-9215-8EDF516D272D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105</vt:i4>
      </vt:variant>
    </vt:vector>
  </HeadingPairs>
  <TitlesOfParts>
    <vt:vector size="112" baseType="lpstr">
      <vt:lpstr>About</vt:lpstr>
      <vt:lpstr>Inputs</vt:lpstr>
      <vt:lpstr>Spindles</vt:lpstr>
      <vt:lpstr>Results</vt:lpstr>
      <vt:lpstr>ModelRiskDSN</vt:lpstr>
      <vt:lpstr>ModelRiskSYS1</vt:lpstr>
      <vt:lpstr>ModelRiskCharts</vt:lpstr>
      <vt:lpstr>AgeEarly</vt:lpstr>
      <vt:lpstr>AgeLate</vt:lpstr>
      <vt:lpstr>AgeMid</vt:lpstr>
      <vt:lpstr>Checks</vt:lpstr>
      <vt:lpstr>Cost_1_0</vt:lpstr>
      <vt:lpstr>Cost_1_1</vt:lpstr>
      <vt:lpstr>Cost_1_2</vt:lpstr>
      <vt:lpstr>Cost_1_3</vt:lpstr>
      <vt:lpstr>Cost_2_0</vt:lpstr>
      <vt:lpstr>Cost_2_1</vt:lpstr>
      <vt:lpstr>Cost_2_2</vt:lpstr>
      <vt:lpstr>Cost_2_3</vt:lpstr>
      <vt:lpstr>Cost_3_0</vt:lpstr>
      <vt:lpstr>Cost_3_1</vt:lpstr>
      <vt:lpstr>Cost_3_2</vt:lpstr>
      <vt:lpstr>Cost_3_3</vt:lpstr>
      <vt:lpstr>Cost_4_0</vt:lpstr>
      <vt:lpstr>Cost_4_1</vt:lpstr>
      <vt:lpstr>Cost_4_2</vt:lpstr>
      <vt:lpstr>Cost_4_3</vt:lpstr>
      <vt:lpstr>CostFail</vt:lpstr>
      <vt:lpstr>CostPlan</vt:lpstr>
      <vt:lpstr>CostS_1</vt:lpstr>
      <vt:lpstr>CostS_2</vt:lpstr>
      <vt:lpstr>CostS_3</vt:lpstr>
      <vt:lpstr>CostS_4</vt:lpstr>
      <vt:lpstr>CostWait</vt:lpstr>
      <vt:lpstr>Damage</vt:lpstr>
      <vt:lpstr>DownCost</vt:lpstr>
      <vt:lpstr>DownFail</vt:lpstr>
      <vt:lpstr>E_1</vt:lpstr>
      <vt:lpstr>E_2</vt:lpstr>
      <vt:lpstr>E_3</vt:lpstr>
      <vt:lpstr>E_4</vt:lpstr>
      <vt:lpstr>Fail_1</vt:lpstr>
      <vt:lpstr>Fail_2</vt:lpstr>
      <vt:lpstr>Fail_3</vt:lpstr>
      <vt:lpstr>Fail_4</vt:lpstr>
      <vt:lpstr>HLead</vt:lpstr>
      <vt:lpstr>HoldKit</vt:lpstr>
      <vt:lpstr>HoldRate</vt:lpstr>
      <vt:lpstr>Horizon</vt:lpstr>
      <vt:lpstr>HoursYear</vt:lpstr>
      <vt:lpstr>KitPrice</vt:lpstr>
      <vt:lpstr>Kits_1</vt:lpstr>
      <vt:lpstr>Kits_2</vt:lpstr>
      <vt:lpstr>Kits_3</vt:lpstr>
      <vt:lpstr>Kits_4</vt:lpstr>
      <vt:lpstr>Labour</vt:lpstr>
      <vt:lpstr>LeadWeeks</vt:lpstr>
      <vt:lpstr>Life</vt:lpstr>
      <vt:lpstr>LR_1</vt:lpstr>
      <vt:lpstr>LR_2</vt:lpstr>
      <vt:lpstr>LR_3</vt:lpstr>
      <vt:lpstr>LR_4</vt:lpstr>
      <vt:lpstr>MeanLife</vt:lpstr>
      <vt:lpstr>Never</vt:lpstr>
      <vt:lpstr>NFail_1</vt:lpstr>
      <vt:lpstr>NFail_2</vt:lpstr>
      <vt:lpstr>NFail_3</vt:lpstr>
      <vt:lpstr>NFail_4</vt:lpstr>
      <vt:lpstr>NPlan_1</vt:lpstr>
      <vt:lpstr>NPlan_2</vt:lpstr>
      <vt:lpstr>NPlan_3</vt:lpstr>
      <vt:lpstr>NPlan_4</vt:lpstr>
      <vt:lpstr>NSpindles</vt:lpstr>
      <vt:lpstr>Plan_1</vt:lpstr>
      <vt:lpstr>Plan_2</vt:lpstr>
      <vt:lpstr>Plan_3</vt:lpstr>
      <vt:lpstr>Plan_4</vt:lpstr>
      <vt:lpstr>Results!Print_Area</vt:lpstr>
      <vt:lpstr>Inputs!Print_Titles</vt:lpstr>
      <vt:lpstr>Results!Print_Titles</vt:lpstr>
      <vt:lpstr>Scale</vt:lpstr>
      <vt:lpstr>Shape</vt:lpstr>
      <vt:lpstr>SO_1_0</vt:lpstr>
      <vt:lpstr>SO_1_1</vt:lpstr>
      <vt:lpstr>SO_1_2</vt:lpstr>
      <vt:lpstr>SO_1_3</vt:lpstr>
      <vt:lpstr>SO_2_0</vt:lpstr>
      <vt:lpstr>SO_2_1</vt:lpstr>
      <vt:lpstr>SO_2_2</vt:lpstr>
      <vt:lpstr>SO_2_3</vt:lpstr>
      <vt:lpstr>SO_3_0</vt:lpstr>
      <vt:lpstr>SO_3_1</vt:lpstr>
      <vt:lpstr>SO_3_2</vt:lpstr>
      <vt:lpstr>SO_3_3</vt:lpstr>
      <vt:lpstr>SO_4_0</vt:lpstr>
      <vt:lpstr>SO_4_1</vt:lpstr>
      <vt:lpstr>SO_4_2</vt:lpstr>
      <vt:lpstr>SO_4_3</vt:lpstr>
      <vt:lpstr>SOS_1</vt:lpstr>
      <vt:lpstr>SOS_2</vt:lpstr>
      <vt:lpstr>SOS_3</vt:lpstr>
      <vt:lpstr>SOS_4</vt:lpstr>
      <vt:lpstr>Spares</vt:lpstr>
      <vt:lpstr>T_1</vt:lpstr>
      <vt:lpstr>T_2</vt:lpstr>
      <vt:lpstr>T_3</vt:lpstr>
      <vt:lpstr>T_4</vt:lpstr>
      <vt:lpstr>W_1</vt:lpstr>
      <vt:lpstr>W_2</vt:lpstr>
      <vt:lpstr>W_3</vt:lpstr>
      <vt:lpstr>W_4</vt:lpstr>
      <vt:lpstr>WaitHours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MF-08 Spare Parts and Maintenance Strategy</dc:title>
  <dc:subject>ModelRisk industry example library — Manufacturing</dc:subject>
  <dc:creator>Vose Software</dc:creator>
  <cp:keywords>ModelRisk; Monte Carlo; Manufacturing</cp:keywords>
  <dc:description>Run to failure, or replace bearings at a fixed age: failures, planned replacements, the two-year cost and the spare kits each strategy needs.</dc:description>
  <cp:lastModifiedBy>Timour Koupeev</cp:lastModifiedBy>
  <cp:lastPrinted>2026-10-05T09:08:02Z</cp:lastPrinted>
  <dcterms:created xsi:type="dcterms:W3CDTF">2026-10-05T09:05:47Z</dcterms:created>
  <dcterms:modified xsi:type="dcterms:W3CDTF">2026-10-05T09:08:03Z</dcterms:modified>
</cp:coreProperties>
</file>