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Manufacturing\"/>
    </mc:Choice>
  </mc:AlternateContent>
  <xr:revisionPtr revIDLastSave="0" documentId="8_{F8D1A8C9-1AE2-49DA-97FF-7DC657EA719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Disruptions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IDays_A">Disruptions!$I$60</definedName>
    <definedName name="BIDays_B">Disruptions!$I$61</definedName>
    <definedName name="BIDays_C">Disruptions!$I$62</definedName>
    <definedName name="BIDays_D">Disruptions!$I$63</definedName>
    <definedName name="BIDays_R">Disruptions!$I$64</definedName>
    <definedName name="BIDaysAll">Disruptions!$I$65</definedName>
    <definedName name="BILimit">Inputs!$D$39</definedName>
    <definedName name="BIPrem">Inputs!$D$40</definedName>
    <definedName name="BIWait">Inputs!$D$38</definedName>
    <definedName name="Checks">Disruptions!$I$92:$I$93</definedName>
    <definedName name="Cost_Base">Disruptions!$D$70</definedName>
    <definedName name="Cost_Dual">Disruptions!$D$72</definedName>
    <definedName name="Cost_Ins">Disruptions!$D$74</definedName>
    <definedName name="Cost_Stock">Disruptions!$D$71</definedName>
    <definedName name="Cover">Inputs!$D$11</definedName>
    <definedName name="CoverHi">Inputs!$D$34</definedName>
    <definedName name="DayCost">Inputs!$D$10</definedName>
    <definedName name="DualCost">Inputs!$D$37</definedName>
    <definedName name="DurM_A">Inputs!$D$17</definedName>
    <definedName name="DurM_B">Inputs!$D$20</definedName>
    <definedName name="DurM_C">Inputs!$D$23</definedName>
    <definedName name="DurM_D">Inputs!$D$26</definedName>
    <definedName name="DurM_R">Inputs!$D$29</definedName>
    <definedName name="DurS_A">Inputs!$D$18</definedName>
    <definedName name="DurS_B">Inputs!$D$21</definedName>
    <definedName name="DurS_C">Inputs!$D$24</definedName>
    <definedName name="DurS_D">Inputs!$D$27</definedName>
    <definedName name="DurS_R">Inputs!$D$30</definedName>
    <definedName name="Lost_A">Disruptions!$I$30</definedName>
    <definedName name="Lost_B">Disruptions!$I$31</definedName>
    <definedName name="Lost_C">Disruptions!$I$32</definedName>
    <definedName name="Lost_D">Disruptions!$I$33</definedName>
    <definedName name="Lost_R">Disruptions!$I$34</definedName>
    <definedName name="LostAll">Disruptions!$I$35</definedName>
    <definedName name="LostAllDual">Disruptions!$I$55</definedName>
    <definedName name="LostAllStock">Disruptions!$I$45</definedName>
    <definedName name="LostDual_A">Disruptions!$I$50</definedName>
    <definedName name="LostDual_B">Disruptions!$I$51</definedName>
    <definedName name="LostDual_C">Disruptions!$I$52</definedName>
    <definedName name="LostDual_D">Disruptions!$I$53</definedName>
    <definedName name="LostDual_R">Disruptions!$I$54</definedName>
    <definedName name="LostStock_A">Disruptions!$I$40</definedName>
    <definedName name="LostStock_B">Disruptions!$I$41</definedName>
    <definedName name="LostStock_C">Disruptions!$I$42</definedName>
    <definedName name="LostStock_D">Disruptions!$I$43</definedName>
    <definedName name="LostStock_R">Disruptions!$I$44</definedName>
    <definedName name="NoLimit">Disruptions!$D$25</definedName>
    <definedName name="Out_Cost_Base">Disruptions!$D$80</definedName>
    <definedName name="Out_Cost_Dual">Disruptions!$D$82</definedName>
    <definedName name="Out_Cost_Ins">Disruptions!$D$83</definedName>
    <definedName name="Out_Cost_Stock">Disruptions!$D$81</definedName>
    <definedName name="Out_Lost">Disruptions!$D$79</definedName>
    <definedName name="Out_Lost_A">Disruptions!$D$84</definedName>
    <definedName name="Out_Lost_B">Disruptions!$D$85</definedName>
    <definedName name="Out_Lost_C">Disruptions!$D$86</definedName>
    <definedName name="Out_Lost_D">Disruptions!$D$87</definedName>
    <definedName name="Out_Lost_R">Disruptions!$D$88</definedName>
    <definedName name="_xlnm.Print_Area" localSheetId="3">Results!$A$1:$R$50</definedName>
    <definedName name="_xlnm.Print_Titles" localSheetId="1">Inputs!$1:$4</definedName>
    <definedName name="_xlnm.Print_Titles" localSheetId="3">Results!$1:$4</definedName>
    <definedName name="Ramp">Inputs!$D$36</definedName>
    <definedName name="Rate_A">Inputs!$D$16</definedName>
    <definedName name="Rate_B">Inputs!$D$19</definedName>
    <definedName name="Rate_C">Inputs!$D$22</definedName>
    <definedName name="Rate_D">Inputs!$D$25</definedName>
    <definedName name="Rate_R">Inputs!$D$28</definedName>
    <definedName name="Recovery">Disruptions!$D$73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ock_A">Disruptions!$D$20</definedName>
    <definedName name="Stock_B">Disruptions!$D$21</definedName>
    <definedName name="Stock_C">Disruptions!$D$22</definedName>
    <definedName name="Stock_D">Disruptions!$D$23</definedName>
    <definedName name="Stock_R">Disruptions!$D$24</definedName>
    <definedName name="StockCost">Inputs!$D$35</definedName>
    <definedName name="StockHi_A">Disruptions!$E$20</definedName>
    <definedName name="StockHi_B">Disruptions!$E$21</definedName>
    <definedName name="StockHi_C">Disruptions!$E$22</definedName>
    <definedName name="StockHi_D">Disruptions!$E$23</definedName>
    <definedName name="StockHi_R">Disruptions!$E$24</definedName>
    <definedName name="TakeOver_A">Disruptions!$F$20</definedName>
    <definedName name="TakeOver_B">Disruptions!$F$21</definedName>
    <definedName name="TakeOver_C">Disruptions!$F$22</definedName>
    <definedName name="TakeOver_D">Disruptions!$F$23</definedName>
    <definedName name="TakeOver_R">Disruptions!$F$24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5" i="4" l="1"/>
  <c r="C244" i="4"/>
  <c r="C243" i="4"/>
  <c r="C242" i="4"/>
  <c r="C241" i="4"/>
  <c r="C240" i="4"/>
  <c r="C239" i="4"/>
  <c r="C238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D27" i="4"/>
  <c r="C27" i="4"/>
  <c r="D26" i="4"/>
  <c r="C26" i="4"/>
  <c r="D25" i="4"/>
  <c r="C25" i="4"/>
  <c r="D24" i="4"/>
  <c r="C24" i="4"/>
  <c r="D23" i="4"/>
  <c r="C23" i="4"/>
  <c r="I93" i="3"/>
  <c r="I92" i="3"/>
  <c r="B7" i="4" s="1"/>
  <c r="D25" i="3"/>
  <c r="F22" i="3" s="1"/>
  <c r="E24" i="3"/>
  <c r="D24" i="3"/>
  <c r="E23" i="3"/>
  <c r="D23" i="3"/>
  <c r="E22" i="3"/>
  <c r="D22" i="3"/>
  <c r="F21" i="3"/>
  <c r="E21" i="3"/>
  <c r="D21" i="3"/>
  <c r="E20" i="3"/>
  <c r="D20" i="3"/>
  <c r="C10" i="3" a="1"/>
  <c r="C11" i="3" a="1"/>
  <c r="C14" i="3" a="1"/>
  <c r="C12" i="3" a="1"/>
  <c r="C13" i="3" a="1"/>
  <c r="F23" i="3" l="1"/>
  <c r="F20" i="3"/>
  <c r="F24" i="3"/>
  <c r="C13" i="3"/>
  <c r="C12" i="3"/>
  <c r="C14" i="3"/>
  <c r="C11" i="3"/>
  <c r="C10" i="3"/>
  <c r="G10" i="3" l="1" a="1"/>
  <c r="G10" i="3" s="1"/>
  <c r="F10" i="3" a="1"/>
  <c r="F10" i="3" s="1"/>
  <c r="H10" i="3" a="1"/>
  <c r="H10" i="3" s="1"/>
  <c r="E10" i="3" a="1"/>
  <c r="E10" i="3" s="1"/>
  <c r="G11" i="3" a="1"/>
  <c r="G11" i="3" s="1"/>
  <c r="F11" i="3" a="1"/>
  <c r="F11" i="3" s="1"/>
  <c r="H11" i="3" a="1"/>
  <c r="H11" i="3" s="1"/>
  <c r="F14" i="3" a="1"/>
  <c r="F14" i="3" s="1"/>
  <c r="E14" i="3" a="1"/>
  <c r="E14" i="3" s="1"/>
  <c r="G14" i="3" a="1"/>
  <c r="G14" i="3" s="1"/>
  <c r="H14" i="3" a="1"/>
  <c r="H14" i="3" s="1"/>
  <c r="G12" i="3" a="1"/>
  <c r="G12" i="3" s="1"/>
  <c r="F12" i="3" a="1"/>
  <c r="F12" i="3" s="1"/>
  <c r="E12" i="3" a="1"/>
  <c r="E12" i="3" s="1"/>
  <c r="H12" i="3" a="1"/>
  <c r="H12" i="3" s="1"/>
  <c r="G13" i="3" a="1"/>
  <c r="G13" i="3" s="1"/>
  <c r="H13" i="3" a="1"/>
  <c r="H13" i="3" s="1"/>
  <c r="D14" i="3" a="1"/>
  <c r="F13" i="3" a="1"/>
  <c r="E13" i="3" a="1"/>
  <c r="D10" i="3" a="1"/>
  <c r="D11" i="3" a="1"/>
  <c r="E11" i="3" a="1"/>
  <c r="D12" i="3" a="1"/>
  <c r="D13" i="3" a="1"/>
  <c r="D14" i="3" l="1"/>
  <c r="E13" i="3"/>
  <c r="E43" i="3" s="1"/>
  <c r="F13" i="3"/>
  <c r="F53" i="3" s="1"/>
  <c r="D10" i="3"/>
  <c r="D50" i="3" s="1"/>
  <c r="E11" i="3"/>
  <c r="E41" i="3" s="1"/>
  <c r="D11" i="3"/>
  <c r="D61" i="3" s="1"/>
  <c r="D12" i="3"/>
  <c r="D32" i="3" s="1"/>
  <c r="D13" i="3"/>
  <c r="H63" i="3"/>
  <c r="H33" i="3"/>
  <c r="H53" i="3"/>
  <c r="H43" i="3"/>
  <c r="G63" i="3"/>
  <c r="G53" i="3"/>
  <c r="G43" i="3"/>
  <c r="G33" i="3"/>
  <c r="E34" i="3"/>
  <c r="E64" i="3"/>
  <c r="E54" i="3"/>
  <c r="E44" i="3"/>
  <c r="E50" i="3"/>
  <c r="E60" i="3"/>
  <c r="E40" i="3"/>
  <c r="E30" i="3"/>
  <c r="H52" i="3"/>
  <c r="H62" i="3"/>
  <c r="H42" i="3"/>
  <c r="H32" i="3"/>
  <c r="D44" i="3"/>
  <c r="D54" i="3"/>
  <c r="D64" i="3"/>
  <c r="D34" i="3"/>
  <c r="H60" i="3"/>
  <c r="H50" i="3"/>
  <c r="H40" i="3"/>
  <c r="H30" i="3"/>
  <c r="E32" i="3"/>
  <c r="E42" i="3"/>
  <c r="E52" i="3"/>
  <c r="E62" i="3"/>
  <c r="F54" i="3"/>
  <c r="F34" i="3"/>
  <c r="F64" i="3"/>
  <c r="F44" i="3"/>
  <c r="D60" i="3"/>
  <c r="H34" i="3"/>
  <c r="H44" i="3"/>
  <c r="H54" i="3"/>
  <c r="H64" i="3"/>
  <c r="F42" i="3"/>
  <c r="F32" i="3"/>
  <c r="F52" i="3"/>
  <c r="F62" i="3"/>
  <c r="F60" i="3"/>
  <c r="F40" i="3"/>
  <c r="F30" i="3"/>
  <c r="F50" i="3"/>
  <c r="G42" i="3"/>
  <c r="G32" i="3"/>
  <c r="G62" i="3"/>
  <c r="G52" i="3"/>
  <c r="F31" i="3"/>
  <c r="F51" i="3"/>
  <c r="F41" i="3"/>
  <c r="F61" i="3"/>
  <c r="G54" i="3"/>
  <c r="G64" i="3"/>
  <c r="G44" i="3"/>
  <c r="G34" i="3"/>
  <c r="G51" i="3"/>
  <c r="G61" i="3"/>
  <c r="G31" i="3"/>
  <c r="G41" i="3"/>
  <c r="E33" i="3"/>
  <c r="E63" i="3"/>
  <c r="E53" i="3"/>
  <c r="H31" i="3"/>
  <c r="H41" i="3"/>
  <c r="H61" i="3"/>
  <c r="H51" i="3"/>
  <c r="G40" i="3"/>
  <c r="G60" i="3"/>
  <c r="G50" i="3"/>
  <c r="G30" i="3"/>
  <c r="D40" i="3" l="1"/>
  <c r="D30" i="3"/>
  <c r="D51" i="3"/>
  <c r="D41" i="3"/>
  <c r="E51" i="3"/>
  <c r="D31" i="3"/>
  <c r="E61" i="3"/>
  <c r="I61" i="3" s="1"/>
  <c r="E31" i="3"/>
  <c r="F43" i="3"/>
  <c r="F63" i="3"/>
  <c r="F33" i="3"/>
  <c r="D52" i="3"/>
  <c r="I52" i="3" s="1"/>
  <c r="D62" i="3"/>
  <c r="I62" i="3" s="1"/>
  <c r="D42" i="3"/>
  <c r="I42" i="3" s="1"/>
  <c r="I30" i="3"/>
  <c r="I41" i="3"/>
  <c r="I40" i="3"/>
  <c r="I54" i="3"/>
  <c r="I60" i="3"/>
  <c r="I64" i="3"/>
  <c r="I32" i="3"/>
  <c r="D86" i="3" s="1" a="1"/>
  <c r="D86" i="3" s="1"/>
  <c r="I44" i="3"/>
  <c r="D84" i="3" a="1"/>
  <c r="D84" i="3" s="1"/>
  <c r="I51" i="3"/>
  <c r="I50" i="3"/>
  <c r="I34" i="3"/>
  <c r="D88" i="3" s="1" a="1"/>
  <c r="D88" i="3" s="1"/>
  <c r="D43" i="3"/>
  <c r="D63" i="3"/>
  <c r="D53" i="3"/>
  <c r="I53" i="3" s="1"/>
  <c r="D33" i="3"/>
  <c r="E25" i="4" a="1"/>
  <c r="E27" i="4" a="1"/>
  <c r="E23" i="4" a="1"/>
  <c r="I31" i="3" l="1"/>
  <c r="D85" i="3" s="1" a="1"/>
  <c r="D85" i="3" s="1"/>
  <c r="I33" i="3"/>
  <c r="D87" i="3" s="1" a="1"/>
  <c r="D87" i="3" s="1"/>
  <c r="I43" i="3"/>
  <c r="I45" i="3" s="1"/>
  <c r="D71" i="3" s="1"/>
  <c r="D81" i="3" s="1" a="1"/>
  <c r="D81" i="3" s="1"/>
  <c r="I63" i="3"/>
  <c r="I65" i="3" s="1"/>
  <c r="D73" i="3" s="1"/>
  <c r="E23" i="4"/>
  <c r="E27" i="4"/>
  <c r="E25" i="4"/>
  <c r="I35" i="3"/>
  <c r="I55" i="3"/>
  <c r="D72" i="3" s="1"/>
  <c r="D82" i="3" s="1" a="1"/>
  <c r="D82" i="3" s="1"/>
  <c r="E24" i="4" a="1"/>
  <c r="E26" i="4" a="1"/>
  <c r="E34" i="4" a="1"/>
  <c r="E238" i="4" a="1"/>
  <c r="E245" i="4" a="1"/>
  <c r="D34" i="4" a="1"/>
  <c r="E244" i="4" a="1"/>
  <c r="C34" i="4" a="1"/>
  <c r="E243" i="4" a="1"/>
  <c r="E242" i="4" a="1"/>
  <c r="E240" i="4" a="1"/>
  <c r="F34" i="4" a="1"/>
  <c r="E241" i="4" a="1"/>
  <c r="E239" i="4" a="1"/>
  <c r="F243" i="4" a="1"/>
  <c r="F239" i="4" a="1"/>
  <c r="E35" i="4" a="1"/>
  <c r="D35" i="4" a="1"/>
  <c r="C35" i="4" a="1"/>
  <c r="F245" i="4" a="1"/>
  <c r="F244" i="4" a="1"/>
  <c r="F35" i="4" a="1"/>
  <c r="F238" i="4" a="1"/>
  <c r="F242" i="4" a="1"/>
  <c r="F241" i="4" a="1"/>
  <c r="F240" i="4" a="1"/>
  <c r="E24" i="4" l="1"/>
  <c r="E26" i="4"/>
  <c r="F26" i="4" s="1"/>
  <c r="E239" i="4"/>
  <c r="E241" i="4"/>
  <c r="F34" i="4"/>
  <c r="E240" i="4"/>
  <c r="E242" i="4"/>
  <c r="E243" i="4"/>
  <c r="C34" i="4"/>
  <c r="E244" i="4"/>
  <c r="D34" i="4"/>
  <c r="E245" i="4"/>
  <c r="E238" i="4"/>
  <c r="E34" i="4"/>
  <c r="F240" i="4"/>
  <c r="F241" i="4"/>
  <c r="F242" i="4"/>
  <c r="F238" i="4"/>
  <c r="F35" i="4"/>
  <c r="F244" i="4"/>
  <c r="F245" i="4"/>
  <c r="C35" i="4"/>
  <c r="D35" i="4"/>
  <c r="E35" i="4"/>
  <c r="F239" i="4"/>
  <c r="F243" i="4"/>
  <c r="D70" i="3"/>
  <c r="D79" i="3" a="1"/>
  <c r="D79" i="3" s="1"/>
  <c r="C169" i="4" a="1"/>
  <c r="C196" i="4" a="1"/>
  <c r="C173" i="4" a="1"/>
  <c r="C117" i="4" a="1"/>
  <c r="D71" i="4" a="1"/>
  <c r="D62" i="4" a="1"/>
  <c r="C152" i="4" a="1"/>
  <c r="C195" i="4" a="1"/>
  <c r="C131" i="4" a="1"/>
  <c r="D65" i="4" a="1"/>
  <c r="D100" i="4" a="1"/>
  <c r="C154" i="4" a="1"/>
  <c r="C113" i="4" a="1"/>
  <c r="D59" i="4" a="1"/>
  <c r="C204" i="4" a="1"/>
  <c r="C132" i="4" a="1"/>
  <c r="C179" i="4" a="1"/>
  <c r="C115" i="4" a="1"/>
  <c r="E12" i="4" a="1"/>
  <c r="C206" i="4" a="1"/>
  <c r="C170" i="4" a="1"/>
  <c r="C157" i="4" a="1"/>
  <c r="C116" i="4" a="1"/>
  <c r="C171" i="4" a="1"/>
  <c r="D105" i="4" a="1"/>
  <c r="C146" i="4" a="1"/>
  <c r="C142" i="4" a="1"/>
  <c r="D104" i="4" a="1"/>
  <c r="C205" i="4" a="1"/>
  <c r="C149" i="4" a="1"/>
  <c r="D103" i="4" a="1"/>
  <c r="C140" i="4" a="1"/>
  <c r="C192" i="4" a="1"/>
  <c r="C108" i="4" a="1"/>
  <c r="C167" i="4" a="1"/>
  <c r="D101" i="4" a="1"/>
  <c r="C114" i="4" a="1"/>
  <c r="D76" i="4" a="1"/>
  <c r="D72" i="4" a="1"/>
  <c r="C128" i="4" a="1"/>
  <c r="D97" i="4" a="1"/>
  <c r="C145" i="4" a="1"/>
  <c r="D91" i="4" a="1"/>
  <c r="D98" i="4" a="1"/>
  <c r="C194" i="4" a="1"/>
  <c r="C189" i="4" a="1"/>
  <c r="C141" i="4" a="1"/>
  <c r="D83" i="4" a="1"/>
  <c r="D94" i="4" a="1"/>
  <c r="C168" i="4" a="1"/>
  <c r="D66" i="4" a="1"/>
  <c r="C147" i="4" a="1"/>
  <c r="D81" i="4" a="1"/>
  <c r="C150" i="4" a="1"/>
  <c r="C182" i="4" a="1"/>
  <c r="D60" i="4" a="1"/>
  <c r="C188" i="4" a="1"/>
  <c r="C201" i="4" a="1"/>
  <c r="C163" i="4" a="1"/>
  <c r="C190" i="4" a="1"/>
  <c r="C137" i="4" a="1"/>
  <c r="D79" i="4" a="1"/>
  <c r="D86" i="4" a="1"/>
  <c r="C160" i="4" a="1"/>
  <c r="C203" i="4" a="1"/>
  <c r="C139" i="4" a="1"/>
  <c r="D73" i="4" a="1"/>
  <c r="C166" i="4" a="1"/>
  <c r="D84" i="4" a="1"/>
  <c r="C109" i="4" a="1"/>
  <c r="C184" i="4" a="1"/>
  <c r="D80" i="4" a="1"/>
  <c r="C181" i="4" a="1"/>
  <c r="C177" i="4" a="1"/>
  <c r="C125" i="4" a="1"/>
  <c r="D75" i="4" a="1"/>
  <c r="D70" i="4" a="1"/>
  <c r="C156" i="4" a="1"/>
  <c r="C199" i="4" a="1"/>
  <c r="C135" i="4" a="1"/>
  <c r="D69" i="4" a="1"/>
  <c r="C134" i="4" a="1"/>
  <c r="C186" i="4" a="1"/>
  <c r="C185" i="4" a="1"/>
  <c r="C153" i="4" a="1"/>
  <c r="C121" i="4" a="1"/>
  <c r="D87" i="4" a="1"/>
  <c r="G12" i="4" a="1"/>
  <c r="D90" i="4" a="1"/>
  <c r="C200" i="4" a="1"/>
  <c r="C164" i="4" a="1"/>
  <c r="C124" i="4" a="1"/>
  <c r="C207" i="4" a="1"/>
  <c r="C175" i="4" a="1"/>
  <c r="C143" i="4" a="1"/>
  <c r="C111" i="4" a="1"/>
  <c r="D77" i="4" a="1"/>
  <c r="C178" i="4" a="1"/>
  <c r="C198" i="4" a="1"/>
  <c r="C174" i="4" a="1"/>
  <c r="C118" i="4" a="1"/>
  <c r="C138" i="4" a="1"/>
  <c r="C120" i="4" a="1"/>
  <c r="D58" i="4" a="1"/>
  <c r="C180" i="4" a="1"/>
  <c r="C148" i="4" a="1"/>
  <c r="D82" i="4" a="1"/>
  <c r="C191" i="4" a="1"/>
  <c r="C159" i="4" a="1"/>
  <c r="C127" i="4" a="1"/>
  <c r="D93" i="4" a="1"/>
  <c r="D61" i="4" a="1"/>
  <c r="C110" i="4" a="1"/>
  <c r="D68" i="4" a="1"/>
  <c r="C130" i="4" a="1"/>
  <c r="D88" i="4" a="1"/>
  <c r="C158" i="4" a="1"/>
  <c r="C197" i="4" a="1"/>
  <c r="C165" i="4" a="1"/>
  <c r="C133" i="4" a="1"/>
  <c r="D67" i="4" a="1"/>
  <c r="C112" i="4" a="1"/>
  <c r="F12" i="4" a="1"/>
  <c r="C176" i="4" a="1"/>
  <c r="C144" i="4" a="1"/>
  <c r="D78" i="4" a="1"/>
  <c r="C187" i="4" a="1"/>
  <c r="C155" i="4" a="1"/>
  <c r="C123" i="4" a="1"/>
  <c r="D89" i="4" a="1"/>
  <c r="D57" i="4" a="1"/>
  <c r="C162" i="4" a="1"/>
  <c r="C122" i="4" a="1"/>
  <c r="D96" i="4" a="1"/>
  <c r="D12" i="4" a="1"/>
  <c r="C126" i="4" a="1"/>
  <c r="D99" i="4" a="1"/>
  <c r="C193" i="4" a="1"/>
  <c r="C161" i="4" a="1"/>
  <c r="C129" i="4" a="1"/>
  <c r="D95" i="4" a="1"/>
  <c r="D63" i="4" a="1"/>
  <c r="D102" i="4" a="1"/>
  <c r="C208" i="4" a="1"/>
  <c r="C172" i="4" a="1"/>
  <c r="C136" i="4" a="1"/>
  <c r="D74" i="4" a="1"/>
  <c r="C183" i="4" a="1"/>
  <c r="C151" i="4" a="1"/>
  <c r="C119" i="4" a="1"/>
  <c r="D85" i="4" a="1"/>
  <c r="D16" i="4" a="1"/>
  <c r="D64" i="4" a="1"/>
  <c r="D56" i="4" a="1"/>
  <c r="D15" i="4" a="1"/>
  <c r="C202" i="4" a="1"/>
  <c r="D92" i="4" a="1"/>
  <c r="F25" i="4" l="1"/>
  <c r="F27" i="4"/>
  <c r="F23" i="4"/>
  <c r="F24" i="4"/>
  <c r="D92" i="4"/>
  <c r="C202" i="4"/>
  <c r="D15" i="4"/>
  <c r="D56" i="4"/>
  <c r="D64" i="4"/>
  <c r="D16" i="4"/>
  <c r="D85" i="4"/>
  <c r="C119" i="4"/>
  <c r="C151" i="4"/>
  <c r="C183" i="4"/>
  <c r="D74" i="4"/>
  <c r="C136" i="4"/>
  <c r="C172" i="4"/>
  <c r="C208" i="4"/>
  <c r="D102" i="4"/>
  <c r="D63" i="4"/>
  <c r="D95" i="4"/>
  <c r="C129" i="4"/>
  <c r="C161" i="4"/>
  <c r="C193" i="4"/>
  <c r="D99" i="4"/>
  <c r="C126" i="4"/>
  <c r="D12" i="4"/>
  <c r="D96" i="4"/>
  <c r="C122" i="4"/>
  <c r="C162" i="4"/>
  <c r="D57" i="4"/>
  <c r="D89" i="4"/>
  <c r="C123" i="4"/>
  <c r="C155" i="4"/>
  <c r="C187" i="4"/>
  <c r="D78" i="4"/>
  <c r="C144" i="4"/>
  <c r="C176" i="4"/>
  <c r="F12" i="4"/>
  <c r="C112" i="4"/>
  <c r="D67" i="4"/>
  <c r="C133" i="4"/>
  <c r="C165" i="4"/>
  <c r="C197" i="4"/>
  <c r="C158" i="4"/>
  <c r="D88" i="4"/>
  <c r="C130" i="4"/>
  <c r="D68" i="4"/>
  <c r="C110" i="4"/>
  <c r="D61" i="4"/>
  <c r="D93" i="4"/>
  <c r="C127" i="4"/>
  <c r="C159" i="4"/>
  <c r="C191" i="4"/>
  <c r="D82" i="4"/>
  <c r="C148" i="4"/>
  <c r="C180" i="4"/>
  <c r="D58" i="4"/>
  <c r="C120" i="4"/>
  <c r="C138" i="4"/>
  <c r="C118" i="4"/>
  <c r="C174" i="4"/>
  <c r="C198" i="4"/>
  <c r="C178" i="4"/>
  <c r="D77" i="4"/>
  <c r="C111" i="4"/>
  <c r="C143" i="4"/>
  <c r="C175" i="4"/>
  <c r="C207" i="4"/>
  <c r="C124" i="4"/>
  <c r="C164" i="4"/>
  <c r="C200" i="4"/>
  <c r="D90" i="4"/>
  <c r="G12" i="4"/>
  <c r="D87" i="4"/>
  <c r="C121" i="4"/>
  <c r="C153" i="4"/>
  <c r="C185" i="4"/>
  <c r="C186" i="4"/>
  <c r="C134" i="4"/>
  <c r="D69" i="4"/>
  <c r="C135" i="4"/>
  <c r="C199" i="4"/>
  <c r="C156" i="4"/>
  <c r="D70" i="4"/>
  <c r="D75" i="4"/>
  <c r="C125" i="4"/>
  <c r="C177" i="4"/>
  <c r="C181" i="4"/>
  <c r="D80" i="4"/>
  <c r="C184" i="4"/>
  <c r="C109" i="4"/>
  <c r="D84" i="4"/>
  <c r="C166" i="4"/>
  <c r="D73" i="4"/>
  <c r="C139" i="4"/>
  <c r="C203" i="4"/>
  <c r="C160" i="4"/>
  <c r="D86" i="4"/>
  <c r="D79" i="4"/>
  <c r="C137" i="4"/>
  <c r="C190" i="4"/>
  <c r="C163" i="4"/>
  <c r="C201" i="4"/>
  <c r="C188" i="4"/>
  <c r="D60" i="4"/>
  <c r="C182" i="4"/>
  <c r="C150" i="4"/>
  <c r="D81" i="4"/>
  <c r="C147" i="4"/>
  <c r="D66" i="4"/>
  <c r="C168" i="4"/>
  <c r="D94" i="4"/>
  <c r="D83" i="4"/>
  <c r="C141" i="4"/>
  <c r="C189" i="4"/>
  <c r="C194" i="4"/>
  <c r="D98" i="4"/>
  <c r="D91" i="4"/>
  <c r="C145" i="4"/>
  <c r="D97" i="4"/>
  <c r="C128" i="4"/>
  <c r="D72" i="4"/>
  <c r="D76" i="4"/>
  <c r="C114" i="4"/>
  <c r="D101" i="4"/>
  <c r="C167" i="4"/>
  <c r="C108" i="4"/>
  <c r="C192" i="4"/>
  <c r="C140" i="4"/>
  <c r="D103" i="4"/>
  <c r="C149" i="4"/>
  <c r="C205" i="4"/>
  <c r="D104" i="4"/>
  <c r="C142" i="4"/>
  <c r="C146" i="4"/>
  <c r="D105" i="4"/>
  <c r="C171" i="4"/>
  <c r="C116" i="4"/>
  <c r="C157" i="4"/>
  <c r="C170" i="4"/>
  <c r="C206" i="4"/>
  <c r="E12" i="4"/>
  <c r="C115" i="4"/>
  <c r="C179" i="4"/>
  <c r="C132" i="4"/>
  <c r="C204" i="4"/>
  <c r="D59" i="4"/>
  <c r="C113" i="4"/>
  <c r="C154" i="4"/>
  <c r="D100" i="4"/>
  <c r="D65" i="4"/>
  <c r="C131" i="4"/>
  <c r="C195" i="4"/>
  <c r="C152" i="4"/>
  <c r="D62" i="4"/>
  <c r="D71" i="4"/>
  <c r="C117" i="4"/>
  <c r="C173" i="4"/>
  <c r="C196" i="4"/>
  <c r="C169" i="4"/>
  <c r="D80" i="3" a="1"/>
  <c r="D80" i="3" s="1"/>
  <c r="D74" i="3"/>
  <c r="D83" i="3" s="1" a="1"/>
  <c r="D83" i="3" s="1"/>
  <c r="E33" i="4" a="1"/>
  <c r="F33" i="4" a="1"/>
  <c r="D241" i="4" a="1"/>
  <c r="D243" i="4" a="1"/>
  <c r="G13" i="4" a="1"/>
  <c r="B6" i="4" a="1"/>
  <c r="D33" i="4" a="1"/>
  <c r="D242" i="4" a="1"/>
  <c r="E13" i="4" a="1"/>
  <c r="D238" i="4" a="1"/>
  <c r="D13" i="4" a="1"/>
  <c r="D240" i="4" a="1"/>
  <c r="D245" i="4" a="1"/>
  <c r="C33" i="4" a="1"/>
  <c r="D239" i="4" a="1"/>
  <c r="D17" i="4" a="1"/>
  <c r="F13" i="4" a="1"/>
  <c r="D244" i="4" a="1"/>
  <c r="G242" i="4" a="1"/>
  <c r="G240" i="4" a="1"/>
  <c r="G241" i="4" a="1"/>
  <c r="G239" i="4" a="1"/>
  <c r="G238" i="4" a="1"/>
  <c r="F36" i="4" a="1"/>
  <c r="G245" i="4" a="1"/>
  <c r="D36" i="4" a="1"/>
  <c r="G243" i="4" a="1"/>
  <c r="C36" i="4" a="1"/>
  <c r="G244" i="4" a="1"/>
  <c r="E36" i="4" a="1"/>
  <c r="E36" i="4" l="1"/>
  <c r="G244" i="4"/>
  <c r="C36" i="4"/>
  <c r="G36" i="4" s="1"/>
  <c r="G243" i="4"/>
  <c r="D36" i="4"/>
  <c r="G245" i="4"/>
  <c r="F36" i="4"/>
  <c r="G238" i="4"/>
  <c r="G239" i="4"/>
  <c r="G241" i="4"/>
  <c r="G240" i="4"/>
  <c r="G242" i="4"/>
  <c r="D244" i="4"/>
  <c r="F13" i="4"/>
  <c r="D17" i="4"/>
  <c r="D239" i="4"/>
  <c r="C33" i="4"/>
  <c r="D245" i="4"/>
  <c r="D240" i="4"/>
  <c r="D13" i="4"/>
  <c r="D238" i="4"/>
  <c r="E13" i="4"/>
  <c r="D242" i="4"/>
  <c r="D33" i="4"/>
  <c r="B6" i="4"/>
  <c r="G13" i="4"/>
  <c r="D243" i="4"/>
  <c r="D241" i="4"/>
  <c r="F33" i="4"/>
  <c r="E33" i="4"/>
  <c r="C223" i="4"/>
  <c r="C216" i="4"/>
  <c r="C231" i="4"/>
  <c r="C227" i="4"/>
  <c r="C232" i="4"/>
  <c r="C214" i="4"/>
  <c r="C228" i="4"/>
  <c r="C215" i="4"/>
  <c r="C219" i="4"/>
  <c r="C213" i="4"/>
  <c r="C229" i="4"/>
  <c r="C230" i="4"/>
  <c r="C224" i="4"/>
  <c r="C226" i="4"/>
  <c r="C235" i="4"/>
  <c r="D235" i="4" s="1"/>
  <c r="G235" i="4" s="1" a="1"/>
  <c r="G235" i="4" s="1"/>
  <c r="C221" i="4"/>
  <c r="C222" i="4"/>
  <c r="C211" i="4"/>
  <c r="C233" i="4"/>
  <c r="C218" i="4"/>
  <c r="C220" i="4"/>
  <c r="C225" i="4"/>
  <c r="C217" i="4"/>
  <c r="C212" i="4"/>
  <c r="C234" i="4"/>
  <c r="D213" i="4" l="1"/>
  <c r="G213" i="4" s="1" a="1"/>
  <c r="G213" i="4" s="1"/>
  <c r="E213" i="4"/>
  <c r="D216" i="4"/>
  <c r="G216" i="4" s="1" a="1"/>
  <c r="G216" i="4" s="1"/>
  <c r="E216" i="4"/>
  <c r="E234" i="4"/>
  <c r="D234" i="4"/>
  <c r="G234" i="4" s="1" a="1"/>
  <c r="G234" i="4" s="1"/>
  <c r="D222" i="4"/>
  <c r="G222" i="4" s="1" a="1"/>
  <c r="G222" i="4" s="1"/>
  <c r="F221" i="4" s="1"/>
  <c r="E222" i="4"/>
  <c r="D219" i="4"/>
  <c r="G219" i="4" s="1" a="1"/>
  <c r="G219" i="4" s="1"/>
  <c r="E219" i="4"/>
  <c r="D223" i="4"/>
  <c r="G223" i="4" s="1" a="1"/>
  <c r="G223" i="4" s="1"/>
  <c r="E223" i="4"/>
  <c r="D211" i="4"/>
  <c r="G211" i="4" s="1" a="1"/>
  <c r="G211" i="4" s="1"/>
  <c r="E211" i="4"/>
  <c r="D212" i="4"/>
  <c r="G212" i="4" s="1" a="1"/>
  <c r="G212" i="4" s="1"/>
  <c r="E212" i="4"/>
  <c r="D221" i="4"/>
  <c r="G221" i="4" s="1" a="1"/>
  <c r="G221" i="4" s="1"/>
  <c r="E221" i="4"/>
  <c r="D215" i="4"/>
  <c r="G215" i="4" s="1" a="1"/>
  <c r="G215" i="4" s="1"/>
  <c r="E215" i="4"/>
  <c r="D217" i="4"/>
  <c r="G217" i="4" s="1" a="1"/>
  <c r="G217" i="4" s="1"/>
  <c r="E217" i="4"/>
  <c r="D228" i="4"/>
  <c r="G228" i="4" s="1" a="1"/>
  <c r="G228" i="4" s="1"/>
  <c r="F227" i="4" s="1"/>
  <c r="E228" i="4"/>
  <c r="D226" i="4"/>
  <c r="G226" i="4" s="1" a="1"/>
  <c r="G226" i="4" s="1"/>
  <c r="E226" i="4"/>
  <c r="D220" i="4"/>
  <c r="G220" i="4" s="1" a="1"/>
  <c r="G220" i="4" s="1"/>
  <c r="F219" i="4" s="1"/>
  <c r="E220" i="4"/>
  <c r="E232" i="4"/>
  <c r="D232" i="4"/>
  <c r="G232" i="4" s="1" a="1"/>
  <c r="G232" i="4" s="1"/>
  <c r="D230" i="4"/>
  <c r="G230" i="4" s="1" a="1"/>
  <c r="G230" i="4" s="1"/>
  <c r="E230" i="4"/>
  <c r="E225" i="4"/>
  <c r="D225" i="4"/>
  <c r="G225" i="4" s="1" a="1"/>
  <c r="G225" i="4" s="1"/>
  <c r="D214" i="4"/>
  <c r="G214" i="4" s="1" a="1"/>
  <c r="G214" i="4" s="1"/>
  <c r="F213" i="4" s="1"/>
  <c r="E214" i="4"/>
  <c r="D224" i="4"/>
  <c r="G224" i="4" s="1" a="1"/>
  <c r="G224" i="4" s="1"/>
  <c r="F223" i="4" s="1"/>
  <c r="E224" i="4"/>
  <c r="E218" i="4"/>
  <c r="D218" i="4"/>
  <c r="G218" i="4" s="1" a="1"/>
  <c r="G218" i="4" s="1"/>
  <c r="D227" i="4"/>
  <c r="G227" i="4" s="1" a="1"/>
  <c r="G227" i="4" s="1"/>
  <c r="F226" i="4" s="1"/>
  <c r="E227" i="4"/>
  <c r="D233" i="4"/>
  <c r="G233" i="4" s="1" a="1"/>
  <c r="G233" i="4" s="1"/>
  <c r="E233" i="4"/>
  <c r="E229" i="4"/>
  <c r="D229" i="4"/>
  <c r="G229" i="4" s="1" a="1"/>
  <c r="G229" i="4" s="1"/>
  <c r="D231" i="4"/>
  <c r="G231" i="4" s="1" a="1"/>
  <c r="G231" i="4" s="1"/>
  <c r="E231" i="4"/>
  <c r="G33" i="4"/>
  <c r="G34" i="4"/>
  <c r="G35" i="4"/>
  <c r="F233" i="4" l="1"/>
  <c r="F216" i="4"/>
  <c r="F211" i="4"/>
  <c r="F231" i="4"/>
  <c r="F228" i="4"/>
  <c r="F230" i="4"/>
  <c r="F232" i="4"/>
  <c r="F224" i="4"/>
  <c r="F222" i="4"/>
  <c r="F215" i="4"/>
  <c r="F229" i="4"/>
  <c r="F214" i="4"/>
  <c r="F217" i="4"/>
  <c r="F234" i="4"/>
  <c r="F225" i="4"/>
  <c r="F220" i="4"/>
  <c r="F218" i="4"/>
  <c r="F21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<sst xmlns="http://schemas.openxmlformats.org/spreadsheetml/2006/main" count="461" uniqueCount="276">
  <si>
    <t>Supply-Chain Disruption</t>
  </si>
  <si>
    <t>ModelRisk example  ·  Manufacturing  ·  MF-06</t>
  </si>
  <si>
    <t>What do supplier disruptions cost us, and which protection pays?  Safety stock, a second source or insurance.</t>
  </si>
  <si>
    <t>Next:  Inputs  ▸</t>
  </si>
  <si>
    <t>Model card</t>
  </si>
  <si>
    <t>Industry</t>
  </si>
  <si>
    <t>Manufacturing</t>
  </si>
  <si>
    <t>Difficulty</t>
  </si>
  <si>
    <t>★★★★☆   Random disruptions at four suppliers and a regional disaster, safety stock, and three ways to protect the plant — compared on the same simulated years.</t>
  </si>
  <si>
    <t>Business question</t>
  </si>
  <si>
    <t>A manufacturer relies on four single suppliers; two of them are in the same region, exposed to typhoons and earthquakes. Ten days of safety stock absorb short disruptions, but longer ones stop the plant at US$250,000 a day. What do disruptions cost in an average year and in a bad one, which supplier matters most — and which protection is worth it: more safety stock, a second electronics supplier, or business-interruption insurance?</t>
  </si>
  <si>
    <t>Who it is for</t>
  </si>
  <si>
    <t>Supply-chain and procurement managers, risk managers, plant and finance directors.</t>
  </si>
  <si>
    <t>Main outputs</t>
  </si>
  <si>
    <t>The plant's lost days and lost contribution in a year, average and bad years · each supplier's share · the annual cost of each protection option, including its own cost, average, 1 in 20 and 1 in 100 years.</t>
  </si>
  <si>
    <t>ModelRisk techniques</t>
  </si>
  <si>
    <t>Disruptions as Poisson numbers of events with Lognormal durations, per supplier · a common-cause regional event · safety stock absorbing the first days of each disruption · three options applied to the same simulated disruptions (common random numbers) · return-period curves of the annual cost.</t>
  </si>
  <si>
    <t>File</t>
  </si>
  <si>
    <t>MF-06 Supply-chain disruption  ·  Version 1.0  ·  October 2026  ·  built with ModelRisk 10</t>
  </si>
  <si>
    <t>The business question</t>
  </si>
  <si>
    <t>An appliance maker buys castings and electronics from two suppliers in the same coastal region, motors from a supplier abroad and packaging locally — one source each. Every so often a supplier stops: a fire at the foundry, a chip allocation, a strike, a missed delivery. Ten days of safety stock absorb most of these, but a long disruption stops the plant, losing about US$250,000 of contribution a day; and a typhoon or an earthquake in the coastal region would stop castings and electronics together. The board is weighing three protections: thirty days of stock for the critical parts, a second electronics supplier elsewhere, or business-interruption insurance.</t>
  </si>
  <si>
    <t>How the model works</t>
  </si>
  <si>
    <t>Three sheets after this one, read from left to right. Each one feeds the next.</t>
  </si>
  <si>
    <t>1  Inputs</t>
  </si>
  <si>
    <t>The contribution lost per day stopped and today's safety stock; for each supplier and for the regional disaster, how often a disruption happens and how long it lasts; the cost and effect of each option.</t>
  </si>
  <si>
    <t>2  Disruptions</t>
  </si>
  <si>
    <t>Each iteration draws the number of disruptions of each source (Poisson) and the length of each (Lognormal). Safety stock covers the first days; the rest stops the plant. The same disruptions are then replayed with more stock, with a second electronics supplier and with insurance.</t>
  </si>
  <si>
    <t>3  Results</t>
  </si>
  <si>
    <t>Days lost and contribution lost in a year; each source's share; each option's total annual cost — its own cost plus the losses it leaves — on average, 1 year in 20 and 1 year in 100.</t>
  </si>
  <si>
    <t>How to use it</t>
  </si>
  <si>
    <t>Step 1</t>
  </si>
  <si>
    <t>Enter your daily contribution and safety stock.</t>
  </si>
  <si>
    <t>Step 2</t>
  </si>
  <si>
    <t>Enter how often each supplier is disrupted and for how long — and any common causes.</t>
  </si>
  <si>
    <t>Step 3</t>
  </si>
  <si>
    <t>Run a simulation from the ModelRisk ribbon (10,000 samples with a fixed seed are set).</t>
  </si>
  <si>
    <t>Step 4</t>
  </si>
  <si>
    <t>Compare the options on average cost and on bad years; they answer different questions.</t>
  </si>
  <si>
    <t>Workbook map</t>
  </si>
  <si>
    <t>Inputs</t>
  </si>
  <si>
    <t>The plant, the suppliers, the options.</t>
  </si>
  <si>
    <t>Disruptions</t>
  </si>
  <si>
    <t>Disruptions by source; the options' rules by source; days lost per disruption under each option; costs; outputs and checks.</t>
  </si>
  <si>
    <t>Results</t>
  </si>
  <si>
    <t>Losses, suppliers and options compared.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</si>
  <si>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</si>
  <si>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</si>
  <si>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</si>
  <si>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</si>
  <si>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</si>
  <si>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</si>
  <si>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</si>
  <si>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</si>
  <si>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</si>
  <si>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</si>
  <si>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</si>
  <si>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</si>
  <si>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Money</t>
  </si>
  <si>
    <t>US$ million (US$m) a year.</t>
  </si>
  <si>
    <t>Days lost</t>
  </si>
  <si>
    <t>Days the plant stands still: a disruption's length beyond the safety stock.</t>
  </si>
  <si>
    <t>Annual cost</t>
  </si>
  <si>
    <t>Contribution lost plus the option's own cost, less any insurance recovery.</t>
  </si>
  <si>
    <t>1 in 20, 1 in 100, 1 in 200</t>
  </si>
  <si>
    <t>The 95th, 99th and 99.5th percentiles of the annual cost.</t>
  </si>
  <si>
    <t>Key assumptions and limitations</t>
  </si>
  <si>
    <t>Independent between suppliers, apart from the regional disaster; at most five per source a year.</t>
  </si>
  <si>
    <t>Overlap</t>
  </si>
  <si>
    <t>Days lost to different disruptions are added: overlaps are rare.</t>
  </si>
  <si>
    <t>Recovery</t>
  </si>
  <si>
    <t>Production restarts as soon as parts arrive; lost sales are not recovered later.</t>
  </si>
  <si>
    <t>Data</t>
  </si>
  <si>
    <t>The plant, the suppliers and all figures are invented for this example.</t>
  </si>
  <si>
    <t>ModelRisk functions used</t>
  </si>
  <si>
    <t>VosePoisson</t>
  </si>
  <si>
    <t>The number of disruptions of a source in a year.</t>
  </si>
  <si>
    <t>VoseLognormal</t>
  </si>
  <si>
    <t>The length of a disruption, by its mean and standard deviation.</t>
  </si>
  <si>
    <t>VoseSimMean, VoseSimPercentile, VoseSimProbability</t>
  </si>
  <si>
    <t>Statistics of the simulation on the Results sheet.</t>
  </si>
  <si>
    <t>Further reading</t>
  </si>
  <si>
    <t>Supply-chain risk</t>
  </si>
  <si>
    <t>Sheffi, Y. (2005). The Resilient Enterprise. MIT Press.</t>
  </si>
  <si>
    <t>Risk analysis</t>
  </si>
  <si>
    <t>Vose, D. (2008). Risk Analysis: A Quantitative Guide, 3rd edition. Wiley — risk events.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</si>
  <si>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</si>
  <si>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</si>
  <si>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</si>
  <si>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Disruptions  ▸</t>
  </si>
  <si>
    <t>How to read this sheet:  yellow cells are inputs.</t>
  </si>
  <si>
    <t>1   The plant</t>
  </si>
  <si>
    <t>Assumption</t>
  </si>
  <si>
    <t>Unit</t>
  </si>
  <si>
    <t>Value in model</t>
  </si>
  <si>
    <t>Uncertainty</t>
  </si>
  <si>
    <t>Basis / source (illustrative)</t>
  </si>
  <si>
    <t>Contribution lost per day stopped</t>
  </si>
  <si>
    <t>US$m</t>
  </si>
  <si>
    <t>Fixed</t>
  </si>
  <si>
    <t>About US$62m a year over 250 days.</t>
  </si>
  <si>
    <t>Safety stock today</t>
  </si>
  <si>
    <t>days</t>
  </si>
  <si>
    <t>Of every purchased part.</t>
  </si>
  <si>
    <t>2   Suppliers</t>
  </si>
  <si>
    <t>How often each source is disrupted, and for how long.</t>
  </si>
  <si>
    <t>Castings  (East): disruptions</t>
  </si>
  <si>
    <t>a year</t>
  </si>
  <si>
    <t>Single foundry; fire or breakdown.</t>
  </si>
  <si>
    <t>Castings  (East): average length</t>
  </si>
  <si>
    <t>Castings  (East): standard deviation of length</t>
  </si>
  <si>
    <t>Electronics  (East): disruptions</t>
  </si>
  <si>
    <t>Chip allocation; long and uncertain.</t>
  </si>
  <si>
    <t>Electronics  (East): average length</t>
  </si>
  <si>
    <t>Electronics  (East): standard deviation of length</t>
  </si>
  <si>
    <t>Motors  (West): disruptions</t>
  </si>
  <si>
    <t>Quality holds and strikes.</t>
  </si>
  <si>
    <t>Motors  (West): average length</t>
  </si>
  <si>
    <t>Motors  (West): standard deviation of length</t>
  </si>
  <si>
    <t>Packaging  (local): disruptions</t>
  </si>
  <si>
    <t>Short hiccups.</t>
  </si>
  <si>
    <t>Packaging  (local): average length</t>
  </si>
  <si>
    <t>Packaging  (local): standard deviation of length</t>
  </si>
  <si>
    <t>Regional disaster, East: disruptions</t>
  </si>
  <si>
    <t>A typhoon or earthquake stops castings and electronics together.</t>
  </si>
  <si>
    <t>Regional disaster, East: average length</t>
  </si>
  <si>
    <t>Regional disaster, East: standard deviation of length</t>
  </si>
  <si>
    <t>3   Options</t>
  </si>
  <si>
    <t>1  More stock: safety stock of castings, electronics, motors</t>
  </si>
  <si>
    <t>1  More stock: cost of holding it</t>
  </si>
  <si>
    <t>US$m a year</t>
  </si>
  <si>
    <t>20 days × US$150,000 of parts a day × 25% a year.</t>
  </si>
  <si>
    <t>2  Second source: days to take over the electronics</t>
  </si>
  <si>
    <t>A qualified supplier in another region.</t>
  </si>
  <si>
    <t>2  Second source: price premium</t>
  </si>
  <si>
    <t>3% on US$20m of electronics.</t>
  </si>
  <si>
    <t>3  Insurance: waiting period</t>
  </si>
  <si>
    <t>Days stopped before cover starts, per event.</t>
  </si>
  <si>
    <t>3  Insurance: limit</t>
  </si>
  <si>
    <t>3  Insurance: premium</t>
  </si>
  <si>
    <t>The insurer's expected payout plus its margin.</t>
  </si>
  <si>
    <t>DISRUPTIONS   ·   This year's disruptions, source by source, and the days lost under each option.</t>
  </si>
  <si>
    <t>◂  Inputs</t>
  </si>
  <si>
    <t>Next:  Results  ▸</t>
  </si>
  <si>
    <t>1   This year's disruptions</t>
  </si>
  <si>
    <t>Number of events and the length of each (days). Press F9 for another year.</t>
  </si>
  <si>
    <t>Source</t>
  </si>
  <si>
    <t>Events</t>
  </si>
  <si>
    <t>#1</t>
  </si>
  <si>
    <t>#2</t>
  </si>
  <si>
    <t>#3</t>
  </si>
  <si>
    <t>#4</t>
  </si>
  <si>
    <t>#5</t>
  </si>
  <si>
    <t>number</t>
  </si>
  <si>
    <t>Castings  (East)</t>
  </si>
  <si>
    <t>Events: VosePoisson(rate); length: VoseLognormal(mean, sd)</t>
  </si>
  <si>
    <t>Electronics  (East)</t>
  </si>
  <si>
    <t>An event beyond the year's number has length 0; 5 are listed</t>
  </si>
  <si>
    <t>Motors  (West)</t>
  </si>
  <si>
    <t>Packaging  (local)</t>
  </si>
  <si>
    <t>Regional disaster, East</t>
  </si>
  <si>
    <t>2   The options, source by source</t>
  </si>
  <si>
    <t>Which stock protects each part, and which part the second source covers.</t>
  </si>
  <si>
    <t>Stock</t>
  </si>
  <si>
    <t>More stock</t>
  </si>
  <si>
    <t>2nd source</t>
  </si>
  <si>
    <t>days today</t>
  </si>
  <si>
    <t>stops after</t>
  </si>
  <si>
    <t>Packaging keeps today's stock under the more-stock option</t>
  </si>
  <si>
    <t>Only electronics have a second source</t>
  </si>
  <si>
    <t>As shipped, it takes over (7 days) before the stock (10 days) runs out:</t>
  </si>
  <si>
    <t>it ends every electronics stop, so its days lost are always 0</t>
  </si>
  <si>
    <t>No second source: a take-over no disruption reaches</t>
  </si>
  <si>
    <t>3   Days lost per disruption: doing nothing</t>
  </si>
  <si>
    <t>Each disruption's length beyond today's safety stock: MAX(0, length − stock).</t>
  </si>
  <si>
    <t>All</t>
  </si>
  <si>
    <t>All sources</t>
  </si>
  <si>
    <t>4   Days lost per disruption: more safety stock</t>
  </si>
  <si>
    <t>Beyond the larger stock: MAX(0, length − stock with the option).</t>
  </si>
  <si>
    <t>5   Days lost per disruption: second electronics supplier</t>
  </si>
  <si>
    <t>The second source ends a disruption after its take-over: MAX(0, MIN(length, take-over) − stock).</t>
  </si>
  <si>
    <t>6   Insured days per disruption</t>
  </si>
  <si>
    <t>Days stopped beyond the insurer's waiting period: MAX(0, length − stock − waiting period).</t>
  </si>
  <si>
    <t>7   This year's cost by option</t>
  </si>
  <si>
    <t>Contribution lost, plus the option's own cost, less any insurance recovery (US$m).</t>
  </si>
  <si>
    <t>Quantity</t>
  </si>
  <si>
    <t>Value</t>
  </si>
  <si>
    <t>How it is calculated</t>
  </si>
  <si>
    <t>Do nothing</t>
  </si>
  <si>
    <t>Days lost × contribution a day</t>
  </si>
  <si>
    <t>More safety stock</t>
  </si>
  <si>
    <t>+ the cost of holding it</t>
  </si>
  <si>
    <t>Second electronics supplier</t>
  </si>
  <si>
    <t>+ the price premium</t>
  </si>
  <si>
    <t>Insurance recovery</t>
  </si>
  <si>
    <t>Days beyond the waiting period × contribution a day, up to the limit</t>
  </si>
  <si>
    <t>Business-interruption insurance</t>
  </si>
  <si>
    <t>Losses − recovery + premium</t>
  </si>
  <si>
    <t>8   Value in this iteration</t>
  </si>
  <si>
    <t>Key outputs, recorded by ModelRisk at every sample (VoseOutput). Their statistics appear on the Results sheet.</t>
  </si>
  <si>
    <t>Output</t>
  </si>
  <si>
    <t>Meaning</t>
  </si>
  <si>
    <t>Annual cost: do nothing</t>
  </si>
  <si>
    <t>Ten days of safety stock</t>
  </si>
  <si>
    <t>Annual cost: more safety stock</t>
  </si>
  <si>
    <t>Thirty days for castings, electronics and motors</t>
  </si>
  <si>
    <t>Annual cost: second electronics supplier</t>
  </si>
  <si>
    <t>Takes over within a week</t>
  </si>
  <si>
    <t>Annual cost: business-interruption insurance</t>
  </si>
  <si>
    <t>Pays lost contribution after a waiting period</t>
  </si>
  <si>
    <t>Days lost to castings</t>
  </si>
  <si>
    <t>Days lost to electronics</t>
  </si>
  <si>
    <t>Days lost to motors</t>
  </si>
  <si>
    <t>Days lost to packaging</t>
  </si>
  <si>
    <t>Days lost to the regional disaster</t>
  </si>
  <si>
    <t>9   Model checks</t>
  </si>
  <si>
    <t>Should all read OK. A CHECK means an input has been set outside the range the model is built for.</t>
  </si>
  <si>
    <t>At most one disruption a year expected per source  (5 are listed)</t>
  </si>
  <si>
    <t>The bigger safety stock is at least today's</t>
  </si>
  <si>
    <t>RESULTS   ·   Filled in automatically from the last simulation. Run a simulation after changing any input.</t>
  </si>
  <si>
    <t>◂  Disruptions</t>
  </si>
  <si>
    <t>1   What do disruptions cost?</t>
  </si>
  <si>
    <t>Days lost in a year, doing nothing — distribution</t>
  </si>
  <si>
    <t>Doing nothing: days the plant stands still, and the contribution lost (US$m).</t>
  </si>
  <si>
    <t>Measure</t>
  </si>
  <si>
    <t>5th pct</t>
  </si>
  <si>
    <t>Median</t>
  </si>
  <si>
    <t>95th pct</t>
  </si>
  <si>
    <t>Mean</t>
  </si>
  <si>
    <t>Contribution lost</t>
  </si>
  <si>
    <t>Chance of losing any days in a year</t>
  </si>
  <si>
    <t>Chance of losing more than 30 days</t>
  </si>
  <si>
    <t>1 year in 100  (99th percentile)</t>
  </si>
  <si>
    <t>2   Which source stops the plant?</t>
  </si>
  <si>
    <t>Average days lost a year to each source, doing nothing.</t>
  </si>
  <si>
    <t>Rate</t>
  </si>
  <si>
    <t>Length</t>
  </si>
  <si>
    <t>Share</t>
  </si>
  <si>
    <t>days, mean</t>
  </si>
  <si>
    <t>of days lost</t>
  </si>
  <si>
    <t>3   Which protection pays?</t>
  </si>
  <si>
    <t>Annual cost by option — return periods</t>
  </si>
  <si>
    <t>Each option's annual cost: what it costs, plus the losses it leaves (US$m).</t>
  </si>
  <si>
    <t>Option</t>
  </si>
  <si>
    <t>Average</t>
  </si>
  <si>
    <t>1 in 20</t>
  </si>
  <si>
    <t>1 in 100</t>
  </si>
  <si>
    <t>1 in 200</t>
  </si>
  <si>
    <t>Lowest</t>
  </si>
  <si>
    <t>99th pct</t>
  </si>
  <si>
    <t>99.5th pct</t>
  </si>
  <si>
    <t>average</t>
  </si>
  <si>
    <t>4   How to read these results</t>
  </si>
  <si>
    <t>•  Doing nothing, disruptions stop the plant in about half of all years, for 13 days on average. One year in 20 it loses about 59 days — US$15 million of contribution — and one year in 100 about US$28 million.</t>
  </si>
  <si>
    <t>•  Electronics cause 40% of the days lost: disruptions there are no more frequent than at the foundry, but longer and more variable. The regional disaster is rare — one year in twenty — but stops two suppliers at once for weeks: 14% of the days lost.</t>
  </si>
  <si>
    <t>•  Thirty days of stock is the cheapest protection on average — about US$1.95 million a year with its holding cost, against US$3.25 million for doing nothing — and nearly halves the 1-in-20 loss. A second electronics supplier saves less on average but cuts the very worst years a little more. As shipped it takes over in 7 days, before the 10 days of stock run out, so it ends every electronics stop on its own: what it leaves is the other suppliers and the regional disaster.</t>
  </si>
  <si>
    <t>•  Insurance costs more on average than doing nothing — its premium is above its expected payout — but it protects best against bad years: about US$7 million 1 year in 20 and US$15 million 1 year in 100. The options answer different questions: what is cheapest on average, and what the company can survive.</t>
  </si>
  <si>
    <t>•  Combinations are worth testing: more stock for castings and motors, a second source for electronics, insurance for the regional disaster.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</si>
  <si>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</si>
  <si>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</si>
  <si>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</si>
  <si>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</si>
  <si>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Out_Lost</t>
  </si>
  <si>
    <t>Percentiles: Out_Lost</t>
  </si>
  <si>
    <t>Histogram: Out_Lost</t>
  </si>
  <si>
    <t>Edge</t>
  </si>
  <si>
    <t>Index</t>
  </si>
  <si>
    <t>Mid-point</t>
  </si>
  <si>
    <t>Probability</t>
  </si>
  <si>
    <t>Below edge</t>
  </si>
  <si>
    <t>Return period (years)</t>
  </si>
  <si>
    <t>Percentile</t>
  </si>
  <si>
    <t>Out_Cost_Base</t>
  </si>
  <si>
    <t>Out_Cost_Stock</t>
  </si>
  <si>
    <t>Out_Cost_Dual</t>
  </si>
  <si>
    <t>Out_Cost_Ins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</si>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</sst>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_);\(#,##0.00\);&quot;–&quot;_)"/>
    <numFmt numFmtId="165" formatCode="#,##0_);\(#,##0\);&quot;–&quot;_)"/>
    <numFmt numFmtId="166" formatCode="#,##0.0_);\(#,##0.0\);&quot;–&quot;_)"/>
    <numFmt numFmtId="167" formatCode="[&gt;=1000000000]&quot;none&quot;;0"/>
    <numFmt numFmtId="168" formatCode="#,##0.0_);\(#,##0.0\);&quot;–&quot;_);&quot;–&quot;"/>
    <numFmt numFmtId="169" formatCode="#,##0.00_);\(#,##0.00\);&quot;–&quot;_);&quot;–&quot;"/>
    <numFmt numFmtId="170" formatCode="0.0%;\-0.0%;0.0%;&quot;–&quot;"/>
    <numFmt numFmtId="171" formatCode="0%;\-0%;0%;&quot;–&quot;"/>
    <numFmt numFmtId="172" formatCode="0.0%"/>
  </numFmts>
  <fonts count="24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sz val="10"/>
      <color rgb="FF3F5876"/>
      <name val="Calibri"/>
    </font>
    <font>
      <b/>
      <sz val="10"/>
      <color rgb="FF15803D"/>
      <name val="Calibri"/>
    </font>
    <font>
      <sz val="9"/>
      <color rgb="FF8AA0BA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2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/>
      <right/>
      <top style="thin">
        <color rgb="FF3F5876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5" fontId="2" fillId="3" borderId="7" xfId="2" applyNumberFormat="1" applyBorder="1">
      <alignment horizontal="right" vertical="center"/>
    </xf>
    <xf numFmtId="0" fontId="0" fillId="7" borderId="2" xfId="0" applyFill="1" applyBorder="1"/>
    <xf numFmtId="165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6" fontId="3" fillId="0" borderId="8" xfId="3" applyNumberForma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0" fillId="0" borderId="9" xfId="0" applyBorder="1"/>
    <xf numFmtId="166" fontId="12" fillId="0" borderId="9" xfId="3" applyNumberFormat="1" applyFon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6" fontId="4" fillId="4" borderId="10" xfId="4" applyNumberForma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71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2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3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10"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8AA0BA"/>
      </font>
    </dxf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Days lost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Results!$E$211:$E$234</c:f>
              <c:numCache>
                <c:formatCode>#,##0.00</c:formatCode>
                <c:ptCount val="24"/>
                <c:pt idx="0">
                  <c:v>2.8907649615332933</c:v>
                </c:pt>
                <c:pt idx="1">
                  <c:v>8.6722948845998804</c:v>
                </c:pt>
                <c:pt idx="2">
                  <c:v>14.453824807666468</c:v>
                </c:pt>
                <c:pt idx="3">
                  <c:v>20.235354730733054</c:v>
                </c:pt>
                <c:pt idx="4">
                  <c:v>26.016884653799639</c:v>
                </c:pt>
                <c:pt idx="5">
                  <c:v>31.798414576866229</c:v>
                </c:pt>
                <c:pt idx="6">
                  <c:v>37.579944499932814</c:v>
                </c:pt>
                <c:pt idx="7">
                  <c:v>43.3614744229994</c:v>
                </c:pt>
                <c:pt idx="8">
                  <c:v>49.143004346065986</c:v>
                </c:pt>
                <c:pt idx="9">
                  <c:v>54.924534269132572</c:v>
                </c:pt>
                <c:pt idx="10">
                  <c:v>60.706064192199158</c:v>
                </c:pt>
                <c:pt idx="11">
                  <c:v>66.48759411526575</c:v>
                </c:pt>
                <c:pt idx="12">
                  <c:v>72.269124038332336</c:v>
                </c:pt>
                <c:pt idx="13">
                  <c:v>78.050653961398922</c:v>
                </c:pt>
                <c:pt idx="14">
                  <c:v>83.832183884465508</c:v>
                </c:pt>
                <c:pt idx="15">
                  <c:v>89.613713807532093</c:v>
                </c:pt>
                <c:pt idx="16">
                  <c:v>95.395243730598679</c:v>
                </c:pt>
                <c:pt idx="17">
                  <c:v>101.17677365366526</c:v>
                </c:pt>
                <c:pt idx="18">
                  <c:v>106.95830357673185</c:v>
                </c:pt>
                <c:pt idx="19">
                  <c:v>112.73983349979844</c:v>
                </c:pt>
                <c:pt idx="20">
                  <c:v>118.52136342286502</c:v>
                </c:pt>
                <c:pt idx="21">
                  <c:v>124.30289334593161</c:v>
                </c:pt>
                <c:pt idx="22">
                  <c:v>130.08442326899819</c:v>
                </c:pt>
                <c:pt idx="23">
                  <c:v>135.86595319206481</c:v>
                </c:pt>
              </c:numCache>
            </c:numRef>
          </c:cat>
          <c:val>
            <c:numRef>
              <c:f>Results!$F$211:$F$234</c:f>
              <c:numCache>
                <c:formatCode>0.0%</c:formatCode>
                <c:ptCount val="24"/>
                <c:pt idx="0">
                  <c:v>0.13958685292244649</c:v>
                </c:pt>
                <c:pt idx="1">
                  <c:v>9.9552906255638507E-2</c:v>
                </c:pt>
                <c:pt idx="2">
                  <c:v>7.2117802885912408E-2</c:v>
                </c:pt>
                <c:pt idx="3">
                  <c:v>5.1877565707809326E-2</c:v>
                </c:pt>
                <c:pt idx="4">
                  <c:v>3.9256645963945291E-2</c:v>
                </c:pt>
                <c:pt idx="5">
                  <c:v>2.8849893404985005E-2</c:v>
                </c:pt>
                <c:pt idx="6">
                  <c:v>2.3373624980300822E-2</c:v>
                </c:pt>
                <c:pt idx="7">
                  <c:v>1.7383524443426501E-2</c:v>
                </c:pt>
                <c:pt idx="8">
                  <c:v>1.567154130503301E-2</c:v>
                </c:pt>
                <c:pt idx="9">
                  <c:v>1.0846595635018552E-2</c:v>
                </c:pt>
                <c:pt idx="10">
                  <c:v>8.8788320633549356E-3</c:v>
                </c:pt>
                <c:pt idx="11">
                  <c:v>7.1265372173802133E-3</c:v>
                </c:pt>
                <c:pt idx="12">
                  <c:v>5.9963834829348528E-3</c:v>
                </c:pt>
                <c:pt idx="13">
                  <c:v>3.3972627235080433E-3</c:v>
                </c:pt>
                <c:pt idx="14">
                  <c:v>3.3972627235079322E-3</c:v>
                </c:pt>
                <c:pt idx="15">
                  <c:v>3.2209556042648302E-3</c:v>
                </c:pt>
                <c:pt idx="16">
                  <c:v>2.5542419038361297E-3</c:v>
                </c:pt>
                <c:pt idx="17">
                  <c:v>2.5542419038360187E-3</c:v>
                </c:pt>
                <c:pt idx="18">
                  <c:v>2.5542419038361297E-3</c:v>
                </c:pt>
                <c:pt idx="19">
                  <c:v>2.1455133648717872E-3</c:v>
                </c:pt>
                <c:pt idx="20">
                  <c:v>1.164393401038244E-3</c:v>
                </c:pt>
                <c:pt idx="21">
                  <c:v>1.164393401038355E-3</c:v>
                </c:pt>
                <c:pt idx="22">
                  <c:v>1.164393401038244E-3</c:v>
                </c:pt>
                <c:pt idx="23">
                  <c:v>1.164393401038355E-3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D3E-40C1-803B-5CBD2DFAF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days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Do nothing</c:v>
          </c:tx>
          <c:spPr>
            <a:ln w="22000">
              <a:solidFill>
                <a:srgbClr val="0E4F9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E4F92"/>
              </a:solidFill>
              <a:ln>
                <a:solidFill>
                  <a:srgbClr val="0E4F92"/>
                </a:solidFill>
                <a:prstDash val="solid"/>
              </a:ln>
            </c:spPr>
          </c:marker>
          <c:xVal>
            <c:numRef>
              <c:f>Results!$B$238:$B$245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Results!$D$238:$D$245</c:f>
              <c:numCache>
                <c:formatCode>#,##0.00</c:formatCode>
                <c:ptCount val="8"/>
                <c:pt idx="0">
                  <c:v>0.49190846445184588</c:v>
                </c:pt>
                <c:pt idx="1">
                  <c:v>5.3873880364325863</c:v>
                </c:pt>
                <c:pt idx="2">
                  <c:v>9.7816575503528007</c:v>
                </c:pt>
                <c:pt idx="3">
                  <c:v>14.66587175632505</c:v>
                </c:pt>
                <c:pt idx="4">
                  <c:v>22.823836266469673</c:v>
                </c:pt>
                <c:pt idx="5">
                  <c:v>28.482589568558694</c:v>
                </c:pt>
                <c:pt idx="6">
                  <c:v>34.689179538399522</c:v>
                </c:pt>
                <c:pt idx="7">
                  <c:v>43.777240021575821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10-4A66-80E5-36A533947484}"/>
            </c:ext>
          </c:extLst>
        </c:ser>
        <c:ser>
          <c:idx val="1"/>
          <c:order val="1"/>
          <c:tx>
            <c:v>More safety stock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Results!$B$238:$B$245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Results!$E$238:$E$245</c:f>
              <c:numCache>
                <c:formatCode>#,##0.00</c:formatCode>
                <c:ptCount val="8"/>
                <c:pt idx="0">
                  <c:v>0.75</c:v>
                </c:pt>
                <c:pt idx="1">
                  <c:v>1.0280265597387923</c:v>
                </c:pt>
                <c:pt idx="2">
                  <c:v>4.0540908328528769</c:v>
                </c:pt>
                <c:pt idx="3">
                  <c:v>8.3042719108400469</c:v>
                </c:pt>
                <c:pt idx="4">
                  <c:v>15.105406933002307</c:v>
                </c:pt>
                <c:pt idx="5">
                  <c:v>21.806169165766576</c:v>
                </c:pt>
                <c:pt idx="6">
                  <c:v>28.400768342567019</c:v>
                </c:pt>
                <c:pt idx="7">
                  <c:v>36.572229887143571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10-4A66-80E5-36A533947484}"/>
            </c:ext>
          </c:extLst>
        </c:ser>
        <c:ser>
          <c:idx val="2"/>
          <c:order val="2"/>
          <c:tx>
            <c:v>Second electronics supplier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Results!$B$238:$B$245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Results!$F$238:$F$245</c:f>
              <c:numCache>
                <c:formatCode>#,##0.00</c:formatCode>
                <c:ptCount val="8"/>
                <c:pt idx="0">
                  <c:v>0.6</c:v>
                </c:pt>
                <c:pt idx="1">
                  <c:v>3.7183219802137897</c:v>
                </c:pt>
                <c:pt idx="2">
                  <c:v>6.9541891964619991</c:v>
                </c:pt>
                <c:pt idx="3">
                  <c:v>10.334666829155005</c:v>
                </c:pt>
                <c:pt idx="4">
                  <c:v>15.8363316547532</c:v>
                </c:pt>
                <c:pt idx="5">
                  <c:v>19.787380480521715</c:v>
                </c:pt>
                <c:pt idx="6">
                  <c:v>23.980598973356159</c:v>
                </c:pt>
                <c:pt idx="7">
                  <c:v>31.797376109301567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10-4A66-80E5-36A533947484}"/>
            </c:ext>
          </c:extLst>
        </c:ser>
        <c:ser>
          <c:idx val="3"/>
          <c:order val="3"/>
          <c:tx>
            <c:v>Business-interruption insurance</c:v>
          </c:tx>
          <c:spPr>
            <a:ln w="22000">
              <a:solidFill>
                <a:srgbClr val="B91C1C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91C1C"/>
              </a:solidFill>
              <a:ln>
                <a:solidFill>
                  <a:srgbClr val="B91C1C"/>
                </a:solidFill>
                <a:prstDash val="solid"/>
              </a:ln>
            </c:spPr>
          </c:marker>
          <c:xVal>
            <c:numRef>
              <c:f>Results!$B$238:$B$245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Results!$G$238:$G$245</c:f>
              <c:numCache>
                <c:formatCode>#,##0.00</c:formatCode>
                <c:ptCount val="8"/>
                <c:pt idx="0">
                  <c:v>2.4919084644518459</c:v>
                </c:pt>
                <c:pt idx="1">
                  <c:v>4.5</c:v>
                </c:pt>
                <c:pt idx="2">
                  <c:v>6.211381365852735</c:v>
                </c:pt>
                <c:pt idx="3">
                  <c:v>7.1415902868447283</c:v>
                </c:pt>
                <c:pt idx="4">
                  <c:v>10.269696493242403</c:v>
                </c:pt>
                <c:pt idx="5">
                  <c:v>15.482589568558694</c:v>
                </c:pt>
                <c:pt idx="6">
                  <c:v>21.689179538399522</c:v>
                </c:pt>
                <c:pt idx="7">
                  <c:v>30.777240021575821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310-4A66-80E5-36A533947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Return period (years, logarithmic scale)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29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52.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0" t="s">
        <v>20</v>
      </c>
      <c r="C16" s="6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41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ht="12" customHeight="1" x14ac:dyDescent="0.45"/>
    <row r="62" spans="2:3" ht="22.05" customHeight="1" x14ac:dyDescent="0.5">
      <c r="B62" s="7" t="s">
        <v>73</v>
      </c>
      <c r="C62" s="8"/>
    </row>
    <row r="63" spans="2:3" x14ac:dyDescent="0.45">
      <c r="B63" s="20" t="s">
        <v>74</v>
      </c>
      <c r="C63" s="10" t="s">
        <v>75</v>
      </c>
    </row>
    <row r="64" spans="2:3" x14ac:dyDescent="0.45">
      <c r="B64" s="20" t="s">
        <v>76</v>
      </c>
      <c r="C64" s="10" t="s">
        <v>77</v>
      </c>
    </row>
    <row r="65" spans="2:3" ht="39.4" x14ac:dyDescent="0.45">
      <c r="B65" s="20" t="s">
        <v>78</v>
      </c>
      <c r="C65" s="10" t="s">
        <v>79</v>
      </c>
    </row>
    <row r="66" spans="2:3" ht="12" customHeight="1" x14ac:dyDescent="0.45"/>
    <row r="67" spans="2:3" ht="22.05" customHeight="1" x14ac:dyDescent="0.5">
      <c r="B67" s="7" t="s">
        <v>80</v>
      </c>
      <c r="C67" s="8"/>
    </row>
    <row r="68" spans="2:3" x14ac:dyDescent="0.45">
      <c r="B68" s="9" t="s">
        <v>81</v>
      </c>
      <c r="C68" s="10" t="s">
        <v>82</v>
      </c>
    </row>
    <row r="69" spans="2:3" x14ac:dyDescent="0.45">
      <c r="B69" s="9" t="s">
        <v>83</v>
      </c>
      <c r="C69" s="10" t="s">
        <v>84</v>
      </c>
    </row>
    <row r="70" spans="2:3" ht="16.05" customHeight="1" x14ac:dyDescent="0.45"/>
    <row r="71" spans="2:3" x14ac:dyDescent="0.45">
      <c r="B71" s="68" t="s">
        <v>85</v>
      </c>
      <c r="C71" s="69"/>
    </row>
  </sheetData>
  <mergeCells count="2">
    <mergeCell ref="B71:C71"/>
    <mergeCell ref="B16:C16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Disruptions'!A1" display="Disruptions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86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87</v>
      </c>
      <c r="C4" s="5"/>
      <c r="D4" s="5"/>
      <c r="E4" s="5"/>
      <c r="F4" s="5"/>
      <c r="G4" s="5"/>
      <c r="H4" s="5"/>
      <c r="I4" s="5"/>
      <c r="J4" s="6" t="s">
        <v>88</v>
      </c>
    </row>
    <row r="5" spans="1:10" ht="8" customHeight="1" x14ac:dyDescent="0.45"/>
    <row r="6" spans="1:10" ht="20" customHeight="1" x14ac:dyDescent="0.45">
      <c r="B6" s="71" t="s">
        <v>89</v>
      </c>
      <c r="C6" s="69"/>
      <c r="D6" s="69"/>
      <c r="E6" s="69"/>
      <c r="F6" s="69"/>
      <c r="G6" s="69"/>
      <c r="H6" s="69"/>
      <c r="I6" s="69"/>
      <c r="J6" s="69"/>
    </row>
    <row r="7" spans="1:10" ht="6" customHeight="1" x14ac:dyDescent="0.45"/>
    <row r="8" spans="1:10" ht="22.05" customHeight="1" x14ac:dyDescent="0.5">
      <c r="B8" s="7" t="s">
        <v>90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91</v>
      </c>
      <c r="C9" s="23" t="s">
        <v>92</v>
      </c>
      <c r="D9" s="24" t="s">
        <v>93</v>
      </c>
      <c r="E9" s="23" t="s">
        <v>94</v>
      </c>
      <c r="F9" s="5"/>
      <c r="G9" s="5"/>
      <c r="H9" s="5"/>
      <c r="I9" s="5"/>
      <c r="J9" s="23" t="s">
        <v>95</v>
      </c>
    </row>
    <row r="10" spans="1:10" x14ac:dyDescent="0.45">
      <c r="B10" s="25" t="s">
        <v>96</v>
      </c>
      <c r="C10" s="26" t="s">
        <v>97</v>
      </c>
      <c r="D10" s="27">
        <v>0.25</v>
      </c>
      <c r="E10" s="26" t="s">
        <v>98</v>
      </c>
      <c r="F10" s="28"/>
      <c r="G10" s="28"/>
      <c r="H10" s="28"/>
      <c r="I10" s="28"/>
      <c r="J10" s="29" t="s">
        <v>99</v>
      </c>
    </row>
    <row r="11" spans="1:10" x14ac:dyDescent="0.45">
      <c r="B11" s="25" t="s">
        <v>100</v>
      </c>
      <c r="C11" s="26" t="s">
        <v>101</v>
      </c>
      <c r="D11" s="30">
        <v>10</v>
      </c>
      <c r="E11" s="26" t="s">
        <v>98</v>
      </c>
      <c r="F11" s="28"/>
      <c r="G11" s="28"/>
      <c r="H11" s="28"/>
      <c r="I11" s="28"/>
      <c r="J11" s="29" t="s">
        <v>102</v>
      </c>
    </row>
    <row r="12" spans="1:10" ht="8" customHeight="1" x14ac:dyDescent="0.45"/>
    <row r="13" spans="1:10" ht="22.05" customHeight="1" x14ac:dyDescent="0.5">
      <c r="B13" s="7" t="s">
        <v>103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104</v>
      </c>
    </row>
    <row r="15" spans="1:10" ht="18" customHeight="1" x14ac:dyDescent="0.45">
      <c r="B15" s="23" t="s">
        <v>91</v>
      </c>
      <c r="C15" s="23" t="s">
        <v>92</v>
      </c>
      <c r="D15" s="24" t="s">
        <v>93</v>
      </c>
      <c r="E15" s="23" t="s">
        <v>94</v>
      </c>
      <c r="F15" s="5"/>
      <c r="G15" s="5"/>
      <c r="H15" s="5"/>
      <c r="I15" s="5"/>
      <c r="J15" s="23" t="s">
        <v>95</v>
      </c>
    </row>
    <row r="16" spans="1:10" x14ac:dyDescent="0.45">
      <c r="B16" s="25" t="s">
        <v>105</v>
      </c>
      <c r="C16" s="26" t="s">
        <v>106</v>
      </c>
      <c r="D16" s="27">
        <v>0.3</v>
      </c>
      <c r="E16" s="26" t="s">
        <v>98</v>
      </c>
      <c r="F16" s="28"/>
      <c r="G16" s="28"/>
      <c r="H16" s="28"/>
      <c r="I16" s="28"/>
      <c r="J16" s="29" t="s">
        <v>107</v>
      </c>
    </row>
    <row r="17" spans="2:10" x14ac:dyDescent="0.45">
      <c r="B17" s="25" t="s">
        <v>108</v>
      </c>
      <c r="C17" s="26" t="s">
        <v>101</v>
      </c>
      <c r="D17" s="30">
        <v>20</v>
      </c>
      <c r="E17" s="26" t="s">
        <v>98</v>
      </c>
      <c r="F17" s="28"/>
      <c r="G17" s="28"/>
      <c r="H17" s="28"/>
      <c r="I17" s="28"/>
      <c r="J17" s="29"/>
    </row>
    <row r="18" spans="2:10" x14ac:dyDescent="0.45">
      <c r="B18" s="25" t="s">
        <v>109</v>
      </c>
      <c r="C18" s="26" t="s">
        <v>101</v>
      </c>
      <c r="D18" s="30">
        <v>15</v>
      </c>
      <c r="E18" s="26" t="s">
        <v>98</v>
      </c>
      <c r="F18" s="28"/>
      <c r="G18" s="28"/>
      <c r="H18" s="28"/>
      <c r="I18" s="28"/>
      <c r="J18" s="29"/>
    </row>
    <row r="19" spans="2:10" x14ac:dyDescent="0.45">
      <c r="B19" s="25" t="s">
        <v>110</v>
      </c>
      <c r="C19" s="26" t="s">
        <v>106</v>
      </c>
      <c r="D19" s="27">
        <v>0.25</v>
      </c>
      <c r="E19" s="26" t="s">
        <v>98</v>
      </c>
      <c r="F19" s="28"/>
      <c r="G19" s="28"/>
      <c r="H19" s="28"/>
      <c r="I19" s="28"/>
      <c r="J19" s="29" t="s">
        <v>111</v>
      </c>
    </row>
    <row r="20" spans="2:10" x14ac:dyDescent="0.45">
      <c r="B20" s="25" t="s">
        <v>112</v>
      </c>
      <c r="C20" s="26" t="s">
        <v>101</v>
      </c>
      <c r="D20" s="30">
        <v>30</v>
      </c>
      <c r="E20" s="26" t="s">
        <v>98</v>
      </c>
      <c r="F20" s="28"/>
      <c r="G20" s="28"/>
      <c r="H20" s="28"/>
      <c r="I20" s="28"/>
      <c r="J20" s="29"/>
    </row>
    <row r="21" spans="2:10" x14ac:dyDescent="0.45">
      <c r="B21" s="25" t="s">
        <v>113</v>
      </c>
      <c r="C21" s="26" t="s">
        <v>101</v>
      </c>
      <c r="D21" s="30">
        <v>30</v>
      </c>
      <c r="E21" s="26" t="s">
        <v>98</v>
      </c>
      <c r="F21" s="28"/>
      <c r="G21" s="28"/>
      <c r="H21" s="28"/>
      <c r="I21" s="28"/>
      <c r="J21" s="29"/>
    </row>
    <row r="22" spans="2:10" x14ac:dyDescent="0.45">
      <c r="B22" s="25" t="s">
        <v>114</v>
      </c>
      <c r="C22" s="26" t="s">
        <v>106</v>
      </c>
      <c r="D22" s="27">
        <v>0.4</v>
      </c>
      <c r="E22" s="26" t="s">
        <v>98</v>
      </c>
      <c r="F22" s="28"/>
      <c r="G22" s="28"/>
      <c r="H22" s="28"/>
      <c r="I22" s="28"/>
      <c r="J22" s="29" t="s">
        <v>115</v>
      </c>
    </row>
    <row r="23" spans="2:10" x14ac:dyDescent="0.45">
      <c r="B23" s="25" t="s">
        <v>116</v>
      </c>
      <c r="C23" s="26" t="s">
        <v>101</v>
      </c>
      <c r="D23" s="30">
        <v>15</v>
      </c>
      <c r="E23" s="26" t="s">
        <v>98</v>
      </c>
      <c r="F23" s="28"/>
      <c r="G23" s="28"/>
      <c r="H23" s="28"/>
      <c r="I23" s="28"/>
      <c r="J23" s="29"/>
    </row>
    <row r="24" spans="2:10" x14ac:dyDescent="0.45">
      <c r="B24" s="25" t="s">
        <v>117</v>
      </c>
      <c r="C24" s="26" t="s">
        <v>101</v>
      </c>
      <c r="D24" s="30">
        <v>10</v>
      </c>
      <c r="E24" s="26" t="s">
        <v>98</v>
      </c>
      <c r="F24" s="28"/>
      <c r="G24" s="28"/>
      <c r="H24" s="28"/>
      <c r="I24" s="28"/>
      <c r="J24" s="29"/>
    </row>
    <row r="25" spans="2:10" x14ac:dyDescent="0.45">
      <c r="B25" s="25" t="s">
        <v>118</v>
      </c>
      <c r="C25" s="26" t="s">
        <v>106</v>
      </c>
      <c r="D25" s="27">
        <v>0.5</v>
      </c>
      <c r="E25" s="26" t="s">
        <v>98</v>
      </c>
      <c r="F25" s="28"/>
      <c r="G25" s="28"/>
      <c r="H25" s="28"/>
      <c r="I25" s="28"/>
      <c r="J25" s="29" t="s">
        <v>119</v>
      </c>
    </row>
    <row r="26" spans="2:10" x14ac:dyDescent="0.45">
      <c r="B26" s="25" t="s">
        <v>120</v>
      </c>
      <c r="C26" s="26" t="s">
        <v>101</v>
      </c>
      <c r="D26" s="30">
        <v>5</v>
      </c>
      <c r="E26" s="26" t="s">
        <v>98</v>
      </c>
      <c r="F26" s="28"/>
      <c r="G26" s="28"/>
      <c r="H26" s="28"/>
      <c r="I26" s="28"/>
      <c r="J26" s="29"/>
    </row>
    <row r="27" spans="2:10" x14ac:dyDescent="0.45">
      <c r="B27" s="25" t="s">
        <v>121</v>
      </c>
      <c r="C27" s="26" t="s">
        <v>101</v>
      </c>
      <c r="D27" s="30">
        <v>4</v>
      </c>
      <c r="E27" s="26" t="s">
        <v>98</v>
      </c>
      <c r="F27" s="28"/>
      <c r="G27" s="28"/>
      <c r="H27" s="28"/>
      <c r="I27" s="28"/>
      <c r="J27" s="29"/>
    </row>
    <row r="28" spans="2:10" x14ac:dyDescent="0.45">
      <c r="B28" s="25" t="s">
        <v>122</v>
      </c>
      <c r="C28" s="26" t="s">
        <v>106</v>
      </c>
      <c r="D28" s="27">
        <v>0.05</v>
      </c>
      <c r="E28" s="26" t="s">
        <v>98</v>
      </c>
      <c r="F28" s="28"/>
      <c r="G28" s="28"/>
      <c r="H28" s="28"/>
      <c r="I28" s="28"/>
      <c r="J28" s="29" t="s">
        <v>123</v>
      </c>
    </row>
    <row r="29" spans="2:10" x14ac:dyDescent="0.45">
      <c r="B29" s="25" t="s">
        <v>124</v>
      </c>
      <c r="C29" s="26" t="s">
        <v>101</v>
      </c>
      <c r="D29" s="30">
        <v>45</v>
      </c>
      <c r="E29" s="26" t="s">
        <v>98</v>
      </c>
      <c r="F29" s="28"/>
      <c r="G29" s="28"/>
      <c r="H29" s="28"/>
      <c r="I29" s="28"/>
      <c r="J29" s="29"/>
    </row>
    <row r="30" spans="2:10" x14ac:dyDescent="0.45">
      <c r="B30" s="25" t="s">
        <v>125</v>
      </c>
      <c r="C30" s="26" t="s">
        <v>101</v>
      </c>
      <c r="D30" s="30">
        <v>30</v>
      </c>
      <c r="E30" s="26" t="s">
        <v>98</v>
      </c>
      <c r="F30" s="28"/>
      <c r="G30" s="28"/>
      <c r="H30" s="28"/>
      <c r="I30" s="28"/>
      <c r="J30" s="29"/>
    </row>
    <row r="31" spans="2:10" ht="8" customHeight="1" x14ac:dyDescent="0.45"/>
    <row r="32" spans="2:10" ht="22.05" customHeight="1" x14ac:dyDescent="0.5">
      <c r="B32" s="7" t="s">
        <v>126</v>
      </c>
      <c r="C32" s="8"/>
      <c r="D32" s="8"/>
      <c r="E32" s="8"/>
      <c r="F32" s="8"/>
      <c r="G32" s="8"/>
      <c r="H32" s="8"/>
      <c r="I32" s="8"/>
      <c r="J32" s="8"/>
    </row>
    <row r="33" spans="2:10" ht="18" customHeight="1" x14ac:dyDescent="0.45">
      <c r="B33" s="23" t="s">
        <v>91</v>
      </c>
      <c r="C33" s="23" t="s">
        <v>92</v>
      </c>
      <c r="D33" s="24" t="s">
        <v>93</v>
      </c>
      <c r="E33" s="23" t="s">
        <v>94</v>
      </c>
      <c r="F33" s="5"/>
      <c r="G33" s="5"/>
      <c r="H33" s="5"/>
      <c r="I33" s="5"/>
      <c r="J33" s="23" t="s">
        <v>95</v>
      </c>
    </row>
    <row r="34" spans="2:10" x14ac:dyDescent="0.45">
      <c r="B34" s="25" t="s">
        <v>127</v>
      </c>
      <c r="C34" s="26" t="s">
        <v>101</v>
      </c>
      <c r="D34" s="30">
        <v>30</v>
      </c>
      <c r="E34" s="26" t="s">
        <v>98</v>
      </c>
      <c r="F34" s="28"/>
      <c r="G34" s="28"/>
      <c r="H34" s="28"/>
      <c r="I34" s="28"/>
      <c r="J34" s="29"/>
    </row>
    <row r="35" spans="2:10" x14ac:dyDescent="0.45">
      <c r="B35" s="25" t="s">
        <v>128</v>
      </c>
      <c r="C35" s="26" t="s">
        <v>129</v>
      </c>
      <c r="D35" s="27">
        <v>0.75</v>
      </c>
      <c r="E35" s="26" t="s">
        <v>98</v>
      </c>
      <c r="F35" s="28"/>
      <c r="G35" s="28"/>
      <c r="H35" s="28"/>
      <c r="I35" s="28"/>
      <c r="J35" s="29" t="s">
        <v>130</v>
      </c>
    </row>
    <row r="36" spans="2:10" x14ac:dyDescent="0.45">
      <c r="B36" s="25" t="s">
        <v>131</v>
      </c>
      <c r="C36" s="26" t="s">
        <v>101</v>
      </c>
      <c r="D36" s="30">
        <v>7</v>
      </c>
      <c r="E36" s="26" t="s">
        <v>98</v>
      </c>
      <c r="F36" s="28"/>
      <c r="G36" s="28"/>
      <c r="H36" s="28"/>
      <c r="I36" s="28"/>
      <c r="J36" s="29" t="s">
        <v>132</v>
      </c>
    </row>
    <row r="37" spans="2:10" x14ac:dyDescent="0.45">
      <c r="B37" s="25" t="s">
        <v>133</v>
      </c>
      <c r="C37" s="26" t="s">
        <v>129</v>
      </c>
      <c r="D37" s="27">
        <v>0.6</v>
      </c>
      <c r="E37" s="26" t="s">
        <v>98</v>
      </c>
      <c r="F37" s="28"/>
      <c r="G37" s="28"/>
      <c r="H37" s="28"/>
      <c r="I37" s="28"/>
      <c r="J37" s="29" t="s">
        <v>134</v>
      </c>
    </row>
    <row r="38" spans="2:10" x14ac:dyDescent="0.45">
      <c r="B38" s="25" t="s">
        <v>135</v>
      </c>
      <c r="C38" s="26" t="s">
        <v>101</v>
      </c>
      <c r="D38" s="30">
        <v>10</v>
      </c>
      <c r="E38" s="26" t="s">
        <v>98</v>
      </c>
      <c r="F38" s="28"/>
      <c r="G38" s="28"/>
      <c r="H38" s="28"/>
      <c r="I38" s="28"/>
      <c r="J38" s="29" t="s">
        <v>136</v>
      </c>
    </row>
    <row r="39" spans="2:10" x14ac:dyDescent="0.45">
      <c r="B39" s="25" t="s">
        <v>137</v>
      </c>
      <c r="C39" s="26" t="s">
        <v>129</v>
      </c>
      <c r="D39" s="31">
        <v>15</v>
      </c>
      <c r="E39" s="26" t="s">
        <v>98</v>
      </c>
      <c r="F39" s="28"/>
      <c r="G39" s="28"/>
      <c r="H39" s="28"/>
      <c r="I39" s="28"/>
      <c r="J39" s="29"/>
    </row>
    <row r="40" spans="2:10" x14ac:dyDescent="0.45">
      <c r="B40" s="25" t="s">
        <v>138</v>
      </c>
      <c r="C40" s="26" t="s">
        <v>129</v>
      </c>
      <c r="D40" s="27">
        <v>2</v>
      </c>
      <c r="E40" s="26" t="s">
        <v>98</v>
      </c>
      <c r="F40" s="28"/>
      <c r="G40" s="28"/>
      <c r="H40" s="28"/>
      <c r="I40" s="28"/>
      <c r="J40" s="29" t="s">
        <v>139</v>
      </c>
    </row>
    <row r="41" spans="2:10" ht="8" customHeight="1" x14ac:dyDescent="0.45"/>
  </sheetData>
  <mergeCells count="1">
    <mergeCell ref="B6:J6"/>
  </mergeCells>
  <dataValidations count="2">
    <dataValidation type="decimal" operator="greaterThan" showErrorMessage="1" errorTitle="Positive value" error="Enter a value greater than zero." sqref="D10 D39 D16:D30" xr:uid="{00000000-0002-0000-0100-000000000000}">
      <formula1>0</formula1>
    </dataValidation>
    <dataValidation type="decimal" showErrorMessage="1" errorTitle="Value" error="Enter a value of zero or more." sqref="D11 D40 D34:D38" xr:uid="{00000000-0002-0000-0100-000001000000}">
      <formula1>0</formula1>
      <formula2>1000000000000</formula2>
    </dataValidation>
  </dataValidations>
  <hyperlinks>
    <hyperlink ref="B4" location="'About'!A1" display="◂  About" xr:uid="{00000000-0004-0000-0100-000000000000}"/>
    <hyperlink ref="J4" location="'Disruptions'!A1" display="Next:  Disruptions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N94"/>
  <sheetViews>
    <sheetView showGridLines="0" workbookViewId="0"/>
  </sheetViews>
  <sheetFormatPr defaultRowHeight="14.25" x14ac:dyDescent="0.45"/>
  <cols>
    <col min="1" max="1" width="2" customWidth="1"/>
    <col min="2" max="2" width="36" customWidth="1"/>
    <col min="3" max="8" width="8" customWidth="1"/>
    <col min="9" max="9" width="10" customWidth="1"/>
    <col min="10" max="10" width="3" customWidth="1"/>
    <col min="11" max="12" width="10" customWidth="1"/>
    <col min="13" max="13" width="3" customWidth="1"/>
    <col min="14" max="14" width="44" customWidth="1"/>
  </cols>
  <sheetData>
    <row r="1" spans="1:14" ht="6" customHeight="1" x14ac:dyDescent="0.45"/>
    <row r="2" spans="1:14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</row>
    <row r="3" spans="1:14" ht="20" customHeight="1" x14ac:dyDescent="0.45">
      <c r="A3" s="1"/>
      <c r="B3" s="4" t="s">
        <v>140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" customHeight="1" x14ac:dyDescent="0.45">
      <c r="A4" s="5"/>
      <c r="B4" s="22" t="s">
        <v>141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142</v>
      </c>
    </row>
    <row r="5" spans="1:14" ht="8" customHeight="1" x14ac:dyDescent="0.45"/>
    <row r="6" spans="1:14" ht="22.05" customHeight="1" x14ac:dyDescent="0.5">
      <c r="B6" s="7" t="s">
        <v>143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8" customHeight="1" x14ac:dyDescent="0.45">
      <c r="B7" s="13" t="s">
        <v>144</v>
      </c>
    </row>
    <row r="8" spans="1:14" ht="18" customHeight="1" x14ac:dyDescent="0.45">
      <c r="B8" s="32" t="s">
        <v>145</v>
      </c>
      <c r="C8" s="33" t="s">
        <v>146</v>
      </c>
      <c r="D8" s="33" t="s">
        <v>147</v>
      </c>
      <c r="E8" s="33" t="s">
        <v>148</v>
      </c>
      <c r="F8" s="33" t="s">
        <v>149</v>
      </c>
      <c r="G8" s="33" t="s">
        <v>150</v>
      </c>
      <c r="H8" s="33" t="s">
        <v>151</v>
      </c>
      <c r="I8" s="5"/>
      <c r="J8" s="5"/>
      <c r="K8" s="5"/>
      <c r="L8" s="5"/>
      <c r="M8" s="5"/>
      <c r="N8" s="5"/>
    </row>
    <row r="9" spans="1:14" x14ac:dyDescent="0.45">
      <c r="B9" s="34"/>
      <c r="C9" s="34" t="s">
        <v>152</v>
      </c>
      <c r="D9" s="34" t="s">
        <v>101</v>
      </c>
      <c r="E9" s="34" t="s">
        <v>101</v>
      </c>
      <c r="F9" s="34" t="s">
        <v>101</v>
      </c>
      <c r="G9" s="34" t="s">
        <v>101</v>
      </c>
      <c r="H9" s="34" t="s">
        <v>101</v>
      </c>
    </row>
    <row r="10" spans="1:14" x14ac:dyDescent="0.45">
      <c r="B10" s="25" t="s">
        <v>153</v>
      </c>
      <c r="C10" s="35" cm="1">
        <f t="array" aca="1" ref="C10" ca="1">_xll.VosePoisson(Rate_A)</f>
        <v>0</v>
      </c>
      <c r="D10" s="35" cm="1">
        <f t="array" aca="1" ref="D10" ca="1">IF(1&lt;=C10,_xll.VoseLognormal(DurM_A,DurS_A),0)</f>
        <v>0</v>
      </c>
      <c r="E10" s="35" cm="1">
        <f t="array" aca="1" ref="E10" ca="1">IF(2&lt;=C10,_xll.VoseLognormal(DurM_A,DurS_A),0)</f>
        <v>0</v>
      </c>
      <c r="F10" s="35" cm="1">
        <f t="array" aca="1" ref="F10" ca="1">IF(3&lt;=C10,_xll.VoseLognormal(DurM_A,DurS_A),0)</f>
        <v>0</v>
      </c>
      <c r="G10" s="35" cm="1">
        <f t="array" aca="1" ref="G10" ca="1">IF(4&lt;=C10,_xll.VoseLognormal(DurM_A,DurS_A),0)</f>
        <v>0</v>
      </c>
      <c r="H10" s="35" cm="1">
        <f t="array" aca="1" ref="H10" ca="1">IF(5&lt;=C10,_xll.VoseLognormal(DurM_A,DurS_A),0)</f>
        <v>0</v>
      </c>
      <c r="I10" s="28"/>
      <c r="J10" s="28"/>
      <c r="K10" s="28"/>
      <c r="L10" s="28"/>
      <c r="M10" s="28"/>
      <c r="N10" s="26" t="s">
        <v>154</v>
      </c>
    </row>
    <row r="11" spans="1:14" x14ac:dyDescent="0.45">
      <c r="B11" s="25" t="s">
        <v>155</v>
      </c>
      <c r="C11" s="35" cm="1">
        <f t="array" aca="1" ref="C11" ca="1">_xll.VosePoisson(Rate_B)</f>
        <v>0</v>
      </c>
      <c r="D11" s="35" cm="1">
        <f t="array" aca="1" ref="D11" ca="1">IF(1&lt;=C11,_xll.VoseLognormal(DurM_B,DurS_B),0)</f>
        <v>0</v>
      </c>
      <c r="E11" s="35" cm="1">
        <f t="array" aca="1" ref="E11" ca="1">IF(2&lt;=C11,_xll.VoseLognormal(DurM_B,DurS_B),0)</f>
        <v>0</v>
      </c>
      <c r="F11" s="35" cm="1">
        <f t="array" aca="1" ref="F11" ca="1">IF(3&lt;=C11,_xll.VoseLognormal(DurM_B,DurS_B),0)</f>
        <v>0</v>
      </c>
      <c r="G11" s="35" cm="1">
        <f t="array" aca="1" ref="G11" ca="1">IF(4&lt;=C11,_xll.VoseLognormal(DurM_B,DurS_B),0)</f>
        <v>0</v>
      </c>
      <c r="H11" s="35" cm="1">
        <f t="array" aca="1" ref="H11" ca="1">IF(5&lt;=C11,_xll.VoseLognormal(DurM_B,DurS_B),0)</f>
        <v>0</v>
      </c>
      <c r="I11" s="28"/>
      <c r="J11" s="28"/>
      <c r="K11" s="28"/>
      <c r="L11" s="28"/>
      <c r="M11" s="28"/>
      <c r="N11" s="26" t="s">
        <v>156</v>
      </c>
    </row>
    <row r="12" spans="1:14" x14ac:dyDescent="0.45">
      <c r="B12" s="25" t="s">
        <v>157</v>
      </c>
      <c r="C12" s="35" cm="1">
        <f t="array" aca="1" ref="C12" ca="1">_xll.VosePoisson(Rate_C)</f>
        <v>0</v>
      </c>
      <c r="D12" s="35" cm="1">
        <f t="array" aca="1" ref="D12" ca="1">IF(1&lt;=C12,_xll.VoseLognormal(DurM_C,DurS_C),0)</f>
        <v>0</v>
      </c>
      <c r="E12" s="35" cm="1">
        <f t="array" aca="1" ref="E12" ca="1">IF(2&lt;=C12,_xll.VoseLognormal(DurM_C,DurS_C),0)</f>
        <v>0</v>
      </c>
      <c r="F12" s="35" cm="1">
        <f t="array" aca="1" ref="F12" ca="1">IF(3&lt;=C12,_xll.VoseLognormal(DurM_C,DurS_C),0)</f>
        <v>0</v>
      </c>
      <c r="G12" s="35" cm="1">
        <f t="array" aca="1" ref="G12" ca="1">IF(4&lt;=C12,_xll.VoseLognormal(DurM_C,DurS_C),0)</f>
        <v>0</v>
      </c>
      <c r="H12" s="35" cm="1">
        <f t="array" aca="1" ref="H12" ca="1">IF(5&lt;=C12,_xll.VoseLognormal(DurM_C,DurS_C),0)</f>
        <v>0</v>
      </c>
      <c r="I12" s="28"/>
      <c r="J12" s="28"/>
      <c r="K12" s="28"/>
      <c r="L12" s="28"/>
      <c r="M12" s="28"/>
      <c r="N12" s="28"/>
    </row>
    <row r="13" spans="1:14" x14ac:dyDescent="0.45">
      <c r="B13" s="25" t="s">
        <v>158</v>
      </c>
      <c r="C13" s="35" cm="1">
        <f t="array" aca="1" ref="C13" ca="1">_xll.VosePoisson(Rate_D)</f>
        <v>1</v>
      </c>
      <c r="D13" s="35" cm="1">
        <f t="array" aca="1" ref="D13" ca="1">IF(1&lt;=C13,_xll.VoseLognormal(DurM_D,DurS_D),0)</f>
        <v>2.1127349335101875</v>
      </c>
      <c r="E13" s="35" cm="1">
        <f t="array" aca="1" ref="E13" ca="1">IF(2&lt;=C13,_xll.VoseLognormal(DurM_D,DurS_D),0)</f>
        <v>0</v>
      </c>
      <c r="F13" s="35" cm="1">
        <f t="array" aca="1" ref="F13" ca="1">IF(3&lt;=C13,_xll.VoseLognormal(DurM_D,DurS_D),0)</f>
        <v>0</v>
      </c>
      <c r="G13" s="35" cm="1">
        <f t="array" aca="1" ref="G13" ca="1">IF(4&lt;=C13,_xll.VoseLognormal(DurM_D,DurS_D),0)</f>
        <v>0</v>
      </c>
      <c r="H13" s="35" cm="1">
        <f t="array" aca="1" ref="H13" ca="1">IF(5&lt;=C13,_xll.VoseLognormal(DurM_D,DurS_D),0)</f>
        <v>0</v>
      </c>
      <c r="I13" s="28"/>
      <c r="J13" s="28"/>
      <c r="K13" s="28"/>
      <c r="L13" s="28"/>
      <c r="M13" s="28"/>
      <c r="N13" s="28"/>
    </row>
    <row r="14" spans="1:14" x14ac:dyDescent="0.45">
      <c r="B14" s="25" t="s">
        <v>159</v>
      </c>
      <c r="C14" s="35" cm="1">
        <f t="array" aca="1" ref="C14" ca="1">_xll.VosePoisson(Rate_R)</f>
        <v>0</v>
      </c>
      <c r="D14" s="35" cm="1">
        <f t="array" aca="1" ref="D14" ca="1">IF(1&lt;=C14,_xll.VoseLognormal(DurM_R,DurS_R),0)</f>
        <v>0</v>
      </c>
      <c r="E14" s="35" cm="1">
        <f t="array" aca="1" ref="E14" ca="1">IF(2&lt;=C14,_xll.VoseLognormal(DurM_R,DurS_R),0)</f>
        <v>0</v>
      </c>
      <c r="F14" s="35" cm="1">
        <f t="array" aca="1" ref="F14" ca="1">IF(3&lt;=C14,_xll.VoseLognormal(DurM_R,DurS_R),0)</f>
        <v>0</v>
      </c>
      <c r="G14" s="35" cm="1">
        <f t="array" aca="1" ref="G14" ca="1">IF(4&lt;=C14,_xll.VoseLognormal(DurM_R,DurS_R),0)</f>
        <v>0</v>
      </c>
      <c r="H14" s="35" cm="1">
        <f t="array" aca="1" ref="H14" ca="1">IF(5&lt;=C14,_xll.VoseLognormal(DurM_R,DurS_R),0)</f>
        <v>0</v>
      </c>
      <c r="I14" s="28"/>
      <c r="J14" s="28"/>
      <c r="K14" s="28"/>
      <c r="L14" s="28"/>
      <c r="M14" s="28"/>
      <c r="N14" s="28"/>
    </row>
    <row r="15" spans="1:14" ht="8" customHeight="1" x14ac:dyDescent="0.45"/>
    <row r="16" spans="1:14" ht="22.05" customHeight="1" x14ac:dyDescent="0.5">
      <c r="B16" s="7" t="s">
        <v>160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2:14" ht="18" customHeight="1" x14ac:dyDescent="0.45">
      <c r="B17" s="13" t="s">
        <v>161</v>
      </c>
    </row>
    <row r="18" spans="2:14" ht="18" customHeight="1" x14ac:dyDescent="0.45">
      <c r="B18" s="32" t="s">
        <v>145</v>
      </c>
      <c r="C18" s="36"/>
      <c r="D18" s="33" t="s">
        <v>162</v>
      </c>
      <c r="E18" s="33" t="s">
        <v>163</v>
      </c>
      <c r="F18" s="33" t="s">
        <v>164</v>
      </c>
      <c r="G18" s="5"/>
      <c r="H18" s="5"/>
      <c r="I18" s="5"/>
      <c r="J18" s="5"/>
      <c r="K18" s="5"/>
      <c r="L18" s="5"/>
      <c r="M18" s="5"/>
      <c r="N18" s="5"/>
    </row>
    <row r="19" spans="2:14" x14ac:dyDescent="0.45">
      <c r="B19" s="34"/>
      <c r="C19" s="34"/>
      <c r="D19" s="34" t="s">
        <v>165</v>
      </c>
      <c r="E19" s="34" t="s">
        <v>101</v>
      </c>
      <c r="F19" s="34" t="s">
        <v>166</v>
      </c>
    </row>
    <row r="20" spans="2:14" x14ac:dyDescent="0.45">
      <c r="B20" s="25" t="s">
        <v>153</v>
      </c>
      <c r="C20" s="28"/>
      <c r="D20" s="37">
        <f>Cover</f>
        <v>10</v>
      </c>
      <c r="E20" s="37">
        <f>CoverHi</f>
        <v>30</v>
      </c>
      <c r="F20" s="38">
        <f>NoLimit</f>
        <v>1000000000</v>
      </c>
      <c r="G20" s="28"/>
      <c r="H20" s="28"/>
      <c r="I20" s="28"/>
      <c r="J20" s="28"/>
      <c r="K20" s="28"/>
      <c r="L20" s="28"/>
      <c r="M20" s="28"/>
      <c r="N20" s="26" t="s">
        <v>167</v>
      </c>
    </row>
    <row r="21" spans="2:14" x14ac:dyDescent="0.45">
      <c r="B21" s="25" t="s">
        <v>155</v>
      </c>
      <c r="C21" s="28"/>
      <c r="D21" s="37">
        <f>Cover</f>
        <v>10</v>
      </c>
      <c r="E21" s="37">
        <f>CoverHi</f>
        <v>30</v>
      </c>
      <c r="F21" s="38">
        <f>Ramp</f>
        <v>7</v>
      </c>
      <c r="G21" s="28"/>
      <c r="H21" s="28"/>
      <c r="I21" s="28"/>
      <c r="J21" s="28"/>
      <c r="K21" s="28"/>
      <c r="L21" s="28"/>
      <c r="M21" s="28"/>
      <c r="N21" s="26" t="s">
        <v>168</v>
      </c>
    </row>
    <row r="22" spans="2:14" x14ac:dyDescent="0.45">
      <c r="B22" s="25" t="s">
        <v>157</v>
      </c>
      <c r="C22" s="28"/>
      <c r="D22" s="37">
        <f>Cover</f>
        <v>10</v>
      </c>
      <c r="E22" s="37">
        <f>CoverHi</f>
        <v>30</v>
      </c>
      <c r="F22" s="38">
        <f>NoLimit</f>
        <v>1000000000</v>
      </c>
      <c r="G22" s="28"/>
      <c r="H22" s="28"/>
      <c r="I22" s="28"/>
      <c r="J22" s="28"/>
      <c r="K22" s="28"/>
      <c r="L22" s="28"/>
      <c r="M22" s="28"/>
      <c r="N22" s="26" t="s">
        <v>169</v>
      </c>
    </row>
    <row r="23" spans="2:14" x14ac:dyDescent="0.45">
      <c r="B23" s="25" t="s">
        <v>158</v>
      </c>
      <c r="C23" s="28"/>
      <c r="D23" s="37">
        <f>Cover</f>
        <v>10</v>
      </c>
      <c r="E23" s="37">
        <f>Cover</f>
        <v>10</v>
      </c>
      <c r="F23" s="38">
        <f>NoLimit</f>
        <v>1000000000</v>
      </c>
      <c r="G23" s="28"/>
      <c r="H23" s="28"/>
      <c r="I23" s="28"/>
      <c r="J23" s="28"/>
      <c r="K23" s="28"/>
      <c r="L23" s="28"/>
      <c r="M23" s="28"/>
      <c r="N23" s="26" t="s">
        <v>170</v>
      </c>
    </row>
    <row r="24" spans="2:14" x14ac:dyDescent="0.45">
      <c r="B24" s="25" t="s">
        <v>159</v>
      </c>
      <c r="C24" s="28"/>
      <c r="D24" s="37">
        <f>Cover</f>
        <v>10</v>
      </c>
      <c r="E24" s="37">
        <f>CoverHi</f>
        <v>30</v>
      </c>
      <c r="F24" s="38">
        <f>NoLimit</f>
        <v>1000000000</v>
      </c>
      <c r="G24" s="28"/>
      <c r="H24" s="28"/>
      <c r="I24" s="28"/>
      <c r="J24" s="28"/>
      <c r="K24" s="28"/>
      <c r="L24" s="28"/>
      <c r="M24" s="28"/>
      <c r="N24" s="28"/>
    </row>
    <row r="25" spans="2:14" x14ac:dyDescent="0.45">
      <c r="B25" s="39" t="s">
        <v>171</v>
      </c>
      <c r="C25" s="28"/>
      <c r="D25" s="38">
        <f>1000000000</f>
        <v>1000000000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ht="8" customHeight="1" x14ac:dyDescent="0.45"/>
    <row r="27" spans="2:14" ht="22.05" customHeight="1" x14ac:dyDescent="0.5">
      <c r="B27" s="7" t="s">
        <v>172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2:14" ht="18" customHeight="1" x14ac:dyDescent="0.45">
      <c r="B28" s="13" t="s">
        <v>173</v>
      </c>
    </row>
    <row r="29" spans="2:14" ht="18" customHeight="1" x14ac:dyDescent="0.45">
      <c r="B29" s="40" t="s">
        <v>145</v>
      </c>
      <c r="C29" s="5"/>
      <c r="D29" s="41" t="s">
        <v>147</v>
      </c>
      <c r="E29" s="41" t="s">
        <v>148</v>
      </c>
      <c r="F29" s="41" t="s">
        <v>149</v>
      </c>
      <c r="G29" s="41" t="s">
        <v>150</v>
      </c>
      <c r="H29" s="41" t="s">
        <v>151</v>
      </c>
      <c r="I29" s="41" t="s">
        <v>174</v>
      </c>
      <c r="J29" s="5"/>
      <c r="K29" s="5"/>
      <c r="L29" s="5"/>
      <c r="M29" s="5"/>
      <c r="N29" s="5"/>
    </row>
    <row r="30" spans="2:14" x14ac:dyDescent="0.45">
      <c r="B30" s="25" t="s">
        <v>153</v>
      </c>
      <c r="C30" s="26" t="s">
        <v>101</v>
      </c>
      <c r="D30" s="42">
        <f ca="1">MAX(0,D10-Stock_A)</f>
        <v>0</v>
      </c>
      <c r="E30" s="42">
        <f ca="1">MAX(0,E10-Stock_A)</f>
        <v>0</v>
      </c>
      <c r="F30" s="42">
        <f ca="1">MAX(0,F10-Stock_A)</f>
        <v>0</v>
      </c>
      <c r="G30" s="42">
        <f ca="1">MAX(0,G10-Stock_A)</f>
        <v>0</v>
      </c>
      <c r="H30" s="42">
        <f ca="1">MAX(0,H10-Stock_A)</f>
        <v>0</v>
      </c>
      <c r="I30" s="42">
        <f ca="1">SUM(D30:H30)</f>
        <v>0</v>
      </c>
      <c r="J30" s="28"/>
      <c r="K30" s="28"/>
      <c r="L30" s="28"/>
      <c r="M30" s="28"/>
      <c r="N30" s="28"/>
    </row>
    <row r="31" spans="2:14" x14ac:dyDescent="0.45">
      <c r="B31" s="25" t="s">
        <v>155</v>
      </c>
      <c r="C31" s="26" t="s">
        <v>101</v>
      </c>
      <c r="D31" s="42">
        <f ca="1">MAX(0,D11-Stock_B)</f>
        <v>0</v>
      </c>
      <c r="E31" s="42">
        <f ca="1">MAX(0,E11-Stock_B)</f>
        <v>0</v>
      </c>
      <c r="F31" s="42">
        <f ca="1">MAX(0,F11-Stock_B)</f>
        <v>0</v>
      </c>
      <c r="G31" s="42">
        <f ca="1">MAX(0,G11-Stock_B)</f>
        <v>0</v>
      </c>
      <c r="H31" s="42">
        <f ca="1">MAX(0,H11-Stock_B)</f>
        <v>0</v>
      </c>
      <c r="I31" s="42">
        <f ca="1">SUM(D31:H31)</f>
        <v>0</v>
      </c>
      <c r="J31" s="28"/>
      <c r="K31" s="28"/>
      <c r="L31" s="28"/>
      <c r="M31" s="28"/>
      <c r="N31" s="28"/>
    </row>
    <row r="32" spans="2:14" x14ac:dyDescent="0.45">
      <c r="B32" s="25" t="s">
        <v>157</v>
      </c>
      <c r="C32" s="26" t="s">
        <v>101</v>
      </c>
      <c r="D32" s="42">
        <f ca="1">MAX(0,D12-Stock_C)</f>
        <v>0</v>
      </c>
      <c r="E32" s="42">
        <f ca="1">MAX(0,E12-Stock_C)</f>
        <v>0</v>
      </c>
      <c r="F32" s="42">
        <f ca="1">MAX(0,F12-Stock_C)</f>
        <v>0</v>
      </c>
      <c r="G32" s="42">
        <f ca="1">MAX(0,G12-Stock_C)</f>
        <v>0</v>
      </c>
      <c r="H32" s="42">
        <f ca="1">MAX(0,H12-Stock_C)</f>
        <v>0</v>
      </c>
      <c r="I32" s="42">
        <f ca="1">SUM(D32:H32)</f>
        <v>0</v>
      </c>
      <c r="J32" s="28"/>
      <c r="K32" s="28"/>
      <c r="L32" s="28"/>
      <c r="M32" s="28"/>
      <c r="N32" s="28"/>
    </row>
    <row r="33" spans="2:14" x14ac:dyDescent="0.45">
      <c r="B33" s="25" t="s">
        <v>158</v>
      </c>
      <c r="C33" s="26" t="s">
        <v>101</v>
      </c>
      <c r="D33" s="42">
        <f ca="1">MAX(0,D13-Stock_D)</f>
        <v>0</v>
      </c>
      <c r="E33" s="42">
        <f ca="1">MAX(0,E13-Stock_D)</f>
        <v>0</v>
      </c>
      <c r="F33" s="42">
        <f ca="1">MAX(0,F13-Stock_D)</f>
        <v>0</v>
      </c>
      <c r="G33" s="42">
        <f ca="1">MAX(0,G13-Stock_D)</f>
        <v>0</v>
      </c>
      <c r="H33" s="42">
        <f ca="1">MAX(0,H13-Stock_D)</f>
        <v>0</v>
      </c>
      <c r="I33" s="42">
        <f ca="1">SUM(D33:H33)</f>
        <v>0</v>
      </c>
      <c r="J33" s="28"/>
      <c r="K33" s="28"/>
      <c r="L33" s="28"/>
      <c r="M33" s="28"/>
      <c r="N33" s="28"/>
    </row>
    <row r="34" spans="2:14" x14ac:dyDescent="0.45">
      <c r="B34" s="25" t="s">
        <v>159</v>
      </c>
      <c r="C34" s="26" t="s">
        <v>101</v>
      </c>
      <c r="D34" s="42">
        <f ca="1">MAX(0,D14-Stock_R)</f>
        <v>0</v>
      </c>
      <c r="E34" s="42">
        <f ca="1">MAX(0,E14-Stock_R)</f>
        <v>0</v>
      </c>
      <c r="F34" s="42">
        <f ca="1">MAX(0,F14-Stock_R)</f>
        <v>0</v>
      </c>
      <c r="G34" s="42">
        <f ca="1">MAX(0,G14-Stock_R)</f>
        <v>0</v>
      </c>
      <c r="H34" s="42">
        <f ca="1">MAX(0,H14-Stock_R)</f>
        <v>0</v>
      </c>
      <c r="I34" s="42">
        <f ca="1">SUM(D34:H34)</f>
        <v>0</v>
      </c>
      <c r="J34" s="28"/>
      <c r="K34" s="28"/>
      <c r="L34" s="28"/>
      <c r="M34" s="28"/>
      <c r="N34" s="28"/>
    </row>
    <row r="35" spans="2:14" x14ac:dyDescent="0.45">
      <c r="B35" s="43" t="s">
        <v>175</v>
      </c>
      <c r="C35" s="44"/>
      <c r="D35" s="44"/>
      <c r="E35" s="44"/>
      <c r="F35" s="44"/>
      <c r="G35" s="44"/>
      <c r="H35" s="44"/>
      <c r="I35" s="45">
        <f ca="1">SUM(I30:I34)</f>
        <v>0</v>
      </c>
    </row>
    <row r="36" spans="2:14" ht="8" customHeight="1" x14ac:dyDescent="0.45"/>
    <row r="37" spans="2:14" ht="22.05" customHeight="1" x14ac:dyDescent="0.5">
      <c r="B37" s="7" t="s">
        <v>176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 ht="18" customHeight="1" x14ac:dyDescent="0.45">
      <c r="B38" s="13" t="s">
        <v>177</v>
      </c>
    </row>
    <row r="39" spans="2:14" ht="18" customHeight="1" x14ac:dyDescent="0.45">
      <c r="B39" s="40" t="s">
        <v>145</v>
      </c>
      <c r="C39" s="5"/>
      <c r="D39" s="41" t="s">
        <v>147</v>
      </c>
      <c r="E39" s="41" t="s">
        <v>148</v>
      </c>
      <c r="F39" s="41" t="s">
        <v>149</v>
      </c>
      <c r="G39" s="41" t="s">
        <v>150</v>
      </c>
      <c r="H39" s="41" t="s">
        <v>151</v>
      </c>
      <c r="I39" s="41" t="s">
        <v>174</v>
      </c>
      <c r="J39" s="5"/>
      <c r="K39" s="5"/>
      <c r="L39" s="5"/>
      <c r="M39" s="5"/>
      <c r="N39" s="5"/>
    </row>
    <row r="40" spans="2:14" x14ac:dyDescent="0.45">
      <c r="B40" s="25" t="s">
        <v>153</v>
      </c>
      <c r="C40" s="26" t="s">
        <v>101</v>
      </c>
      <c r="D40" s="42">
        <f ca="1">MAX(0,D10-StockHi_A)</f>
        <v>0</v>
      </c>
      <c r="E40" s="42">
        <f ca="1">MAX(0,E10-StockHi_A)</f>
        <v>0</v>
      </c>
      <c r="F40" s="42">
        <f ca="1">MAX(0,F10-StockHi_A)</f>
        <v>0</v>
      </c>
      <c r="G40" s="42">
        <f ca="1">MAX(0,G10-StockHi_A)</f>
        <v>0</v>
      </c>
      <c r="H40" s="42">
        <f ca="1">MAX(0,H10-StockHi_A)</f>
        <v>0</v>
      </c>
      <c r="I40" s="42">
        <f ca="1">SUM(D40:H40)</f>
        <v>0</v>
      </c>
      <c r="J40" s="28"/>
      <c r="K40" s="28"/>
      <c r="L40" s="28"/>
      <c r="M40" s="28"/>
      <c r="N40" s="28"/>
    </row>
    <row r="41" spans="2:14" x14ac:dyDescent="0.45">
      <c r="B41" s="25" t="s">
        <v>155</v>
      </c>
      <c r="C41" s="26" t="s">
        <v>101</v>
      </c>
      <c r="D41" s="42">
        <f ca="1">MAX(0,D11-StockHi_B)</f>
        <v>0</v>
      </c>
      <c r="E41" s="42">
        <f ca="1">MAX(0,E11-StockHi_B)</f>
        <v>0</v>
      </c>
      <c r="F41" s="42">
        <f ca="1">MAX(0,F11-StockHi_B)</f>
        <v>0</v>
      </c>
      <c r="G41" s="42">
        <f ca="1">MAX(0,G11-StockHi_B)</f>
        <v>0</v>
      </c>
      <c r="H41" s="42">
        <f ca="1">MAX(0,H11-StockHi_B)</f>
        <v>0</v>
      </c>
      <c r="I41" s="42">
        <f ca="1">SUM(D41:H41)</f>
        <v>0</v>
      </c>
      <c r="J41" s="28"/>
      <c r="K41" s="28"/>
      <c r="L41" s="28"/>
      <c r="M41" s="28"/>
      <c r="N41" s="28"/>
    </row>
    <row r="42" spans="2:14" x14ac:dyDescent="0.45">
      <c r="B42" s="25" t="s">
        <v>157</v>
      </c>
      <c r="C42" s="26" t="s">
        <v>101</v>
      </c>
      <c r="D42" s="42">
        <f ca="1">MAX(0,D12-StockHi_C)</f>
        <v>0</v>
      </c>
      <c r="E42" s="42">
        <f ca="1">MAX(0,E12-StockHi_C)</f>
        <v>0</v>
      </c>
      <c r="F42" s="42">
        <f ca="1">MAX(0,F12-StockHi_C)</f>
        <v>0</v>
      </c>
      <c r="G42" s="42">
        <f ca="1">MAX(0,G12-StockHi_C)</f>
        <v>0</v>
      </c>
      <c r="H42" s="42">
        <f ca="1">MAX(0,H12-StockHi_C)</f>
        <v>0</v>
      </c>
      <c r="I42" s="42">
        <f ca="1">SUM(D42:H42)</f>
        <v>0</v>
      </c>
      <c r="J42" s="28"/>
      <c r="K42" s="28"/>
      <c r="L42" s="28"/>
      <c r="M42" s="28"/>
      <c r="N42" s="28"/>
    </row>
    <row r="43" spans="2:14" x14ac:dyDescent="0.45">
      <c r="B43" s="25" t="s">
        <v>158</v>
      </c>
      <c r="C43" s="26" t="s">
        <v>101</v>
      </c>
      <c r="D43" s="42">
        <f ca="1">MAX(0,D13-StockHi_D)</f>
        <v>0</v>
      </c>
      <c r="E43" s="42">
        <f ca="1">MAX(0,E13-StockHi_D)</f>
        <v>0</v>
      </c>
      <c r="F43" s="42">
        <f ca="1">MAX(0,F13-StockHi_D)</f>
        <v>0</v>
      </c>
      <c r="G43" s="42">
        <f ca="1">MAX(0,G13-StockHi_D)</f>
        <v>0</v>
      </c>
      <c r="H43" s="42">
        <f ca="1">MAX(0,H13-StockHi_D)</f>
        <v>0</v>
      </c>
      <c r="I43" s="42">
        <f ca="1">SUM(D43:H43)</f>
        <v>0</v>
      </c>
      <c r="J43" s="28"/>
      <c r="K43" s="28"/>
      <c r="L43" s="28"/>
      <c r="M43" s="28"/>
      <c r="N43" s="28"/>
    </row>
    <row r="44" spans="2:14" x14ac:dyDescent="0.45">
      <c r="B44" s="25" t="s">
        <v>159</v>
      </c>
      <c r="C44" s="26" t="s">
        <v>101</v>
      </c>
      <c r="D44" s="42">
        <f ca="1">MAX(0,D14-StockHi_R)</f>
        <v>0</v>
      </c>
      <c r="E44" s="42">
        <f ca="1">MAX(0,E14-StockHi_R)</f>
        <v>0</v>
      </c>
      <c r="F44" s="42">
        <f ca="1">MAX(0,F14-StockHi_R)</f>
        <v>0</v>
      </c>
      <c r="G44" s="42">
        <f ca="1">MAX(0,G14-StockHi_R)</f>
        <v>0</v>
      </c>
      <c r="H44" s="42">
        <f ca="1">MAX(0,H14-StockHi_R)</f>
        <v>0</v>
      </c>
      <c r="I44" s="42">
        <f ca="1">SUM(D44:H44)</f>
        <v>0</v>
      </c>
      <c r="J44" s="28"/>
      <c r="K44" s="28"/>
      <c r="L44" s="28"/>
      <c r="M44" s="28"/>
      <c r="N44" s="28"/>
    </row>
    <row r="45" spans="2:14" x14ac:dyDescent="0.45">
      <c r="B45" s="43" t="s">
        <v>175</v>
      </c>
      <c r="C45" s="44"/>
      <c r="D45" s="44"/>
      <c r="E45" s="44"/>
      <c r="F45" s="44"/>
      <c r="G45" s="44"/>
      <c r="H45" s="44"/>
      <c r="I45" s="45">
        <f ca="1">SUM(I40:I44)</f>
        <v>0</v>
      </c>
    </row>
    <row r="46" spans="2:14" ht="8" customHeight="1" x14ac:dyDescent="0.45"/>
    <row r="47" spans="2:14" ht="22.05" customHeight="1" x14ac:dyDescent="0.5">
      <c r="B47" s="7" t="s">
        <v>178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 ht="18" customHeight="1" x14ac:dyDescent="0.45">
      <c r="B48" s="13" t="s">
        <v>179</v>
      </c>
    </row>
    <row r="49" spans="2:14" ht="18" customHeight="1" x14ac:dyDescent="0.45">
      <c r="B49" s="40" t="s">
        <v>145</v>
      </c>
      <c r="C49" s="5"/>
      <c r="D49" s="41" t="s">
        <v>147</v>
      </c>
      <c r="E49" s="41" t="s">
        <v>148</v>
      </c>
      <c r="F49" s="41" t="s">
        <v>149</v>
      </c>
      <c r="G49" s="41" t="s">
        <v>150</v>
      </c>
      <c r="H49" s="41" t="s">
        <v>151</v>
      </c>
      <c r="I49" s="41" t="s">
        <v>174</v>
      </c>
      <c r="J49" s="5"/>
      <c r="K49" s="5"/>
      <c r="L49" s="5"/>
      <c r="M49" s="5"/>
      <c r="N49" s="5"/>
    </row>
    <row r="50" spans="2:14" x14ac:dyDescent="0.45">
      <c r="B50" s="25" t="s">
        <v>153</v>
      </c>
      <c r="C50" s="26" t="s">
        <v>101</v>
      </c>
      <c r="D50" s="42">
        <f ca="1">MAX(0,MIN(D10,TakeOver_A)-Stock_A)</f>
        <v>0</v>
      </c>
      <c r="E50" s="42">
        <f ca="1">MAX(0,MIN(E10,TakeOver_A)-Stock_A)</f>
        <v>0</v>
      </c>
      <c r="F50" s="42">
        <f ca="1">MAX(0,MIN(F10,TakeOver_A)-Stock_A)</f>
        <v>0</v>
      </c>
      <c r="G50" s="42">
        <f ca="1">MAX(0,MIN(G10,TakeOver_A)-Stock_A)</f>
        <v>0</v>
      </c>
      <c r="H50" s="42">
        <f ca="1">MAX(0,MIN(H10,TakeOver_A)-Stock_A)</f>
        <v>0</v>
      </c>
      <c r="I50" s="42">
        <f ca="1">SUM(D50:H50)</f>
        <v>0</v>
      </c>
      <c r="J50" s="28"/>
      <c r="K50" s="28"/>
      <c r="L50" s="28"/>
      <c r="M50" s="28"/>
      <c r="N50" s="28"/>
    </row>
    <row r="51" spans="2:14" x14ac:dyDescent="0.45">
      <c r="B51" s="25" t="s">
        <v>155</v>
      </c>
      <c r="C51" s="26" t="s">
        <v>101</v>
      </c>
      <c r="D51" s="42">
        <f ca="1">MAX(0,MIN(D11,TakeOver_B)-Stock_B)</f>
        <v>0</v>
      </c>
      <c r="E51" s="42">
        <f ca="1">MAX(0,MIN(E11,TakeOver_B)-Stock_B)</f>
        <v>0</v>
      </c>
      <c r="F51" s="42">
        <f ca="1">MAX(0,MIN(F11,TakeOver_B)-Stock_B)</f>
        <v>0</v>
      </c>
      <c r="G51" s="42">
        <f ca="1">MAX(0,MIN(G11,TakeOver_B)-Stock_B)</f>
        <v>0</v>
      </c>
      <c r="H51" s="42">
        <f ca="1">MAX(0,MIN(H11,TakeOver_B)-Stock_B)</f>
        <v>0</v>
      </c>
      <c r="I51" s="42">
        <f ca="1">SUM(D51:H51)</f>
        <v>0</v>
      </c>
      <c r="J51" s="28"/>
      <c r="K51" s="28"/>
      <c r="L51" s="28"/>
      <c r="M51" s="28"/>
      <c r="N51" s="28"/>
    </row>
    <row r="52" spans="2:14" x14ac:dyDescent="0.45">
      <c r="B52" s="25" t="s">
        <v>157</v>
      </c>
      <c r="C52" s="26" t="s">
        <v>101</v>
      </c>
      <c r="D52" s="42">
        <f ca="1">MAX(0,MIN(D12,TakeOver_C)-Stock_C)</f>
        <v>0</v>
      </c>
      <c r="E52" s="42">
        <f ca="1">MAX(0,MIN(E12,TakeOver_C)-Stock_C)</f>
        <v>0</v>
      </c>
      <c r="F52" s="42">
        <f ca="1">MAX(0,MIN(F12,TakeOver_C)-Stock_C)</f>
        <v>0</v>
      </c>
      <c r="G52" s="42">
        <f ca="1">MAX(0,MIN(G12,TakeOver_C)-Stock_C)</f>
        <v>0</v>
      </c>
      <c r="H52" s="42">
        <f ca="1">MAX(0,MIN(H12,TakeOver_C)-Stock_C)</f>
        <v>0</v>
      </c>
      <c r="I52" s="42">
        <f ca="1">SUM(D52:H52)</f>
        <v>0</v>
      </c>
      <c r="J52" s="28"/>
      <c r="K52" s="28"/>
      <c r="L52" s="28"/>
      <c r="M52" s="28"/>
      <c r="N52" s="28"/>
    </row>
    <row r="53" spans="2:14" x14ac:dyDescent="0.45">
      <c r="B53" s="25" t="s">
        <v>158</v>
      </c>
      <c r="C53" s="26" t="s">
        <v>101</v>
      </c>
      <c r="D53" s="42">
        <f ca="1">MAX(0,MIN(D13,TakeOver_D)-Stock_D)</f>
        <v>0</v>
      </c>
      <c r="E53" s="42">
        <f ca="1">MAX(0,MIN(E13,TakeOver_D)-Stock_D)</f>
        <v>0</v>
      </c>
      <c r="F53" s="42">
        <f ca="1">MAX(0,MIN(F13,TakeOver_D)-Stock_D)</f>
        <v>0</v>
      </c>
      <c r="G53" s="42">
        <f ca="1">MAX(0,MIN(G13,TakeOver_D)-Stock_D)</f>
        <v>0</v>
      </c>
      <c r="H53" s="42">
        <f ca="1">MAX(0,MIN(H13,TakeOver_D)-Stock_D)</f>
        <v>0</v>
      </c>
      <c r="I53" s="42">
        <f ca="1">SUM(D53:H53)</f>
        <v>0</v>
      </c>
      <c r="J53" s="28"/>
      <c r="K53" s="28"/>
      <c r="L53" s="28"/>
      <c r="M53" s="28"/>
      <c r="N53" s="28"/>
    </row>
    <row r="54" spans="2:14" x14ac:dyDescent="0.45">
      <c r="B54" s="25" t="s">
        <v>159</v>
      </c>
      <c r="C54" s="26" t="s">
        <v>101</v>
      </c>
      <c r="D54" s="42">
        <f ca="1">MAX(0,MIN(D14,TakeOver_R)-Stock_R)</f>
        <v>0</v>
      </c>
      <c r="E54" s="42">
        <f ca="1">MAX(0,MIN(E14,TakeOver_R)-Stock_R)</f>
        <v>0</v>
      </c>
      <c r="F54" s="42">
        <f ca="1">MAX(0,MIN(F14,TakeOver_R)-Stock_R)</f>
        <v>0</v>
      </c>
      <c r="G54" s="42">
        <f ca="1">MAX(0,MIN(G14,TakeOver_R)-Stock_R)</f>
        <v>0</v>
      </c>
      <c r="H54" s="42">
        <f ca="1">MAX(0,MIN(H14,TakeOver_R)-Stock_R)</f>
        <v>0</v>
      </c>
      <c r="I54" s="42">
        <f ca="1">SUM(D54:H54)</f>
        <v>0</v>
      </c>
      <c r="J54" s="28"/>
      <c r="K54" s="28"/>
      <c r="L54" s="28"/>
      <c r="M54" s="28"/>
      <c r="N54" s="28"/>
    </row>
    <row r="55" spans="2:14" x14ac:dyDescent="0.45">
      <c r="B55" s="43" t="s">
        <v>175</v>
      </c>
      <c r="C55" s="44"/>
      <c r="D55" s="44"/>
      <c r="E55" s="44"/>
      <c r="F55" s="44"/>
      <c r="G55" s="44"/>
      <c r="H55" s="44"/>
      <c r="I55" s="45">
        <f ca="1">SUM(I50:I54)</f>
        <v>0</v>
      </c>
    </row>
    <row r="56" spans="2:14" ht="8" customHeight="1" x14ac:dyDescent="0.45"/>
    <row r="57" spans="2:14" ht="22.05" customHeight="1" x14ac:dyDescent="0.5">
      <c r="B57" s="7" t="s">
        <v>180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 ht="18" customHeight="1" x14ac:dyDescent="0.45">
      <c r="B58" s="13" t="s">
        <v>181</v>
      </c>
    </row>
    <row r="59" spans="2:14" ht="18" customHeight="1" x14ac:dyDescent="0.45">
      <c r="B59" s="40" t="s">
        <v>145</v>
      </c>
      <c r="C59" s="5"/>
      <c r="D59" s="41" t="s">
        <v>147</v>
      </c>
      <c r="E59" s="41" t="s">
        <v>148</v>
      </c>
      <c r="F59" s="41" t="s">
        <v>149</v>
      </c>
      <c r="G59" s="41" t="s">
        <v>150</v>
      </c>
      <c r="H59" s="41" t="s">
        <v>151</v>
      </c>
      <c r="I59" s="41" t="s">
        <v>174</v>
      </c>
      <c r="J59" s="5"/>
      <c r="K59" s="5"/>
      <c r="L59" s="5"/>
      <c r="M59" s="5"/>
      <c r="N59" s="5"/>
    </row>
    <row r="60" spans="2:14" x14ac:dyDescent="0.45">
      <c r="B60" s="25" t="s">
        <v>153</v>
      </c>
      <c r="C60" s="26" t="s">
        <v>101</v>
      </c>
      <c r="D60" s="42">
        <f ca="1">MAX(0,D10-Stock_A-BIWait)</f>
        <v>0</v>
      </c>
      <c r="E60" s="42">
        <f ca="1">MAX(0,E10-Stock_A-BIWait)</f>
        <v>0</v>
      </c>
      <c r="F60" s="42">
        <f ca="1">MAX(0,F10-Stock_A-BIWait)</f>
        <v>0</v>
      </c>
      <c r="G60" s="42">
        <f ca="1">MAX(0,G10-Stock_A-BIWait)</f>
        <v>0</v>
      </c>
      <c r="H60" s="42">
        <f ca="1">MAX(0,H10-Stock_A-BIWait)</f>
        <v>0</v>
      </c>
      <c r="I60" s="42">
        <f ca="1">SUM(D60:H60)</f>
        <v>0</v>
      </c>
      <c r="J60" s="28"/>
      <c r="K60" s="28"/>
      <c r="L60" s="28"/>
      <c r="M60" s="28"/>
      <c r="N60" s="28"/>
    </row>
    <row r="61" spans="2:14" x14ac:dyDescent="0.45">
      <c r="B61" s="25" t="s">
        <v>155</v>
      </c>
      <c r="C61" s="26" t="s">
        <v>101</v>
      </c>
      <c r="D61" s="42">
        <f ca="1">MAX(0,D11-Stock_B-BIWait)</f>
        <v>0</v>
      </c>
      <c r="E61" s="42">
        <f ca="1">MAX(0,E11-Stock_B-BIWait)</f>
        <v>0</v>
      </c>
      <c r="F61" s="42">
        <f ca="1">MAX(0,F11-Stock_B-BIWait)</f>
        <v>0</v>
      </c>
      <c r="G61" s="42">
        <f ca="1">MAX(0,G11-Stock_B-BIWait)</f>
        <v>0</v>
      </c>
      <c r="H61" s="42">
        <f ca="1">MAX(0,H11-Stock_B-BIWait)</f>
        <v>0</v>
      </c>
      <c r="I61" s="42">
        <f ca="1">SUM(D61:H61)</f>
        <v>0</v>
      </c>
      <c r="J61" s="28"/>
      <c r="K61" s="28"/>
      <c r="L61" s="28"/>
      <c r="M61" s="28"/>
      <c r="N61" s="28"/>
    </row>
    <row r="62" spans="2:14" x14ac:dyDescent="0.45">
      <c r="B62" s="25" t="s">
        <v>157</v>
      </c>
      <c r="C62" s="26" t="s">
        <v>101</v>
      </c>
      <c r="D62" s="42">
        <f ca="1">MAX(0,D12-Stock_C-BIWait)</f>
        <v>0</v>
      </c>
      <c r="E62" s="42">
        <f ca="1">MAX(0,E12-Stock_C-BIWait)</f>
        <v>0</v>
      </c>
      <c r="F62" s="42">
        <f ca="1">MAX(0,F12-Stock_C-BIWait)</f>
        <v>0</v>
      </c>
      <c r="G62" s="42">
        <f ca="1">MAX(0,G12-Stock_C-BIWait)</f>
        <v>0</v>
      </c>
      <c r="H62" s="42">
        <f ca="1">MAX(0,H12-Stock_C-BIWait)</f>
        <v>0</v>
      </c>
      <c r="I62" s="42">
        <f ca="1">SUM(D62:H62)</f>
        <v>0</v>
      </c>
      <c r="J62" s="28"/>
      <c r="K62" s="28"/>
      <c r="L62" s="28"/>
      <c r="M62" s="28"/>
      <c r="N62" s="28"/>
    </row>
    <row r="63" spans="2:14" x14ac:dyDescent="0.45">
      <c r="B63" s="25" t="s">
        <v>158</v>
      </c>
      <c r="C63" s="26" t="s">
        <v>101</v>
      </c>
      <c r="D63" s="42">
        <f ca="1">MAX(0,D13-Stock_D-BIWait)</f>
        <v>0</v>
      </c>
      <c r="E63" s="42">
        <f ca="1">MAX(0,E13-Stock_D-BIWait)</f>
        <v>0</v>
      </c>
      <c r="F63" s="42">
        <f ca="1">MAX(0,F13-Stock_D-BIWait)</f>
        <v>0</v>
      </c>
      <c r="G63" s="42">
        <f ca="1">MAX(0,G13-Stock_D-BIWait)</f>
        <v>0</v>
      </c>
      <c r="H63" s="42">
        <f ca="1">MAX(0,H13-Stock_D-BIWait)</f>
        <v>0</v>
      </c>
      <c r="I63" s="42">
        <f ca="1">SUM(D63:H63)</f>
        <v>0</v>
      </c>
      <c r="J63" s="28"/>
      <c r="K63" s="28"/>
      <c r="L63" s="28"/>
      <c r="M63" s="28"/>
      <c r="N63" s="28"/>
    </row>
    <row r="64" spans="2:14" x14ac:dyDescent="0.45">
      <c r="B64" s="25" t="s">
        <v>159</v>
      </c>
      <c r="C64" s="26" t="s">
        <v>101</v>
      </c>
      <c r="D64" s="42">
        <f ca="1">MAX(0,D14-Stock_R-BIWait)</f>
        <v>0</v>
      </c>
      <c r="E64" s="42">
        <f ca="1">MAX(0,E14-Stock_R-BIWait)</f>
        <v>0</v>
      </c>
      <c r="F64" s="42">
        <f ca="1">MAX(0,F14-Stock_R-BIWait)</f>
        <v>0</v>
      </c>
      <c r="G64" s="42">
        <f ca="1">MAX(0,G14-Stock_R-BIWait)</f>
        <v>0</v>
      </c>
      <c r="H64" s="42">
        <f ca="1">MAX(0,H14-Stock_R-BIWait)</f>
        <v>0</v>
      </c>
      <c r="I64" s="42">
        <f ca="1">SUM(D64:H64)</f>
        <v>0</v>
      </c>
      <c r="J64" s="28"/>
      <c r="K64" s="28"/>
      <c r="L64" s="28"/>
      <c r="M64" s="28"/>
      <c r="N64" s="28"/>
    </row>
    <row r="65" spans="2:14" x14ac:dyDescent="0.45">
      <c r="B65" s="43" t="s">
        <v>175</v>
      </c>
      <c r="C65" s="44"/>
      <c r="D65" s="44"/>
      <c r="E65" s="44"/>
      <c r="F65" s="44"/>
      <c r="G65" s="44"/>
      <c r="H65" s="44"/>
      <c r="I65" s="45">
        <f ca="1">SUM(I60:I64)</f>
        <v>0</v>
      </c>
    </row>
    <row r="66" spans="2:14" ht="8" customHeight="1" x14ac:dyDescent="0.45"/>
    <row r="67" spans="2:14" ht="22.05" customHeight="1" x14ac:dyDescent="0.5">
      <c r="B67" s="7" t="s">
        <v>182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2:14" ht="18" customHeight="1" x14ac:dyDescent="0.45">
      <c r="B68" s="13" t="s">
        <v>183</v>
      </c>
    </row>
    <row r="69" spans="2:14" ht="18" customHeight="1" x14ac:dyDescent="0.45">
      <c r="B69" s="40" t="s">
        <v>184</v>
      </c>
      <c r="C69" s="40" t="s">
        <v>92</v>
      </c>
      <c r="D69" s="41" t="s">
        <v>185</v>
      </c>
      <c r="E69" s="5"/>
      <c r="F69" s="5"/>
      <c r="G69" s="5"/>
      <c r="H69" s="5"/>
      <c r="I69" s="5"/>
      <c r="J69" s="5"/>
      <c r="K69" s="5"/>
      <c r="L69" s="5"/>
      <c r="M69" s="5"/>
      <c r="N69" s="40" t="s">
        <v>186</v>
      </c>
    </row>
    <row r="70" spans="2:14" x14ac:dyDescent="0.45">
      <c r="B70" s="25" t="s">
        <v>187</v>
      </c>
      <c r="C70" s="26" t="s">
        <v>97</v>
      </c>
      <c r="D70" s="46">
        <f ca="1">LostAll*DayCost</f>
        <v>0</v>
      </c>
      <c r="E70" s="28"/>
      <c r="F70" s="28"/>
      <c r="G70" s="28"/>
      <c r="H70" s="28"/>
      <c r="I70" s="28"/>
      <c r="J70" s="28"/>
      <c r="K70" s="28"/>
      <c r="L70" s="28"/>
      <c r="M70" s="28"/>
      <c r="N70" s="26" t="s">
        <v>188</v>
      </c>
    </row>
    <row r="71" spans="2:14" x14ac:dyDescent="0.45">
      <c r="B71" s="25" t="s">
        <v>189</v>
      </c>
      <c r="C71" s="26" t="s">
        <v>97</v>
      </c>
      <c r="D71" s="46">
        <f ca="1">LostAllStock*DayCost+StockCost</f>
        <v>0.75</v>
      </c>
      <c r="E71" s="28"/>
      <c r="F71" s="28"/>
      <c r="G71" s="28"/>
      <c r="H71" s="28"/>
      <c r="I71" s="28"/>
      <c r="J71" s="28"/>
      <c r="K71" s="28"/>
      <c r="L71" s="28"/>
      <c r="M71" s="28"/>
      <c r="N71" s="26" t="s">
        <v>190</v>
      </c>
    </row>
    <row r="72" spans="2:14" x14ac:dyDescent="0.45">
      <c r="B72" s="25" t="s">
        <v>191</v>
      </c>
      <c r="C72" s="26" t="s">
        <v>97</v>
      </c>
      <c r="D72" s="46">
        <f ca="1">LostAllDual*DayCost+DualCost</f>
        <v>0.6</v>
      </c>
      <c r="E72" s="28"/>
      <c r="F72" s="28"/>
      <c r="G72" s="28"/>
      <c r="H72" s="28"/>
      <c r="I72" s="28"/>
      <c r="J72" s="28"/>
      <c r="K72" s="28"/>
      <c r="L72" s="28"/>
      <c r="M72" s="28"/>
      <c r="N72" s="26" t="s">
        <v>192</v>
      </c>
    </row>
    <row r="73" spans="2:14" x14ac:dyDescent="0.45">
      <c r="B73" s="25" t="s">
        <v>193</v>
      </c>
      <c r="C73" s="26" t="s">
        <v>97</v>
      </c>
      <c r="D73" s="46">
        <f ca="1">MIN(BILimit,BIDaysAll*DayCost)</f>
        <v>0</v>
      </c>
      <c r="E73" s="28"/>
      <c r="F73" s="28"/>
      <c r="G73" s="28"/>
      <c r="H73" s="28"/>
      <c r="I73" s="28"/>
      <c r="J73" s="28"/>
      <c r="K73" s="28"/>
      <c r="L73" s="28"/>
      <c r="M73" s="28"/>
      <c r="N73" s="26" t="s">
        <v>194</v>
      </c>
    </row>
    <row r="74" spans="2:14" x14ac:dyDescent="0.45">
      <c r="B74" s="25" t="s">
        <v>195</v>
      </c>
      <c r="C74" s="26" t="s">
        <v>97</v>
      </c>
      <c r="D74" s="46">
        <f ca="1">Cost_Base-Recovery+BIPrem</f>
        <v>2</v>
      </c>
      <c r="E74" s="28"/>
      <c r="F74" s="28"/>
      <c r="G74" s="28"/>
      <c r="H74" s="28"/>
      <c r="I74" s="28"/>
      <c r="J74" s="28"/>
      <c r="K74" s="28"/>
      <c r="L74" s="28"/>
      <c r="M74" s="28"/>
      <c r="N74" s="26" t="s">
        <v>196</v>
      </c>
    </row>
    <row r="75" spans="2:14" ht="8" customHeight="1" x14ac:dyDescent="0.45"/>
    <row r="76" spans="2:14" ht="22.05" customHeight="1" x14ac:dyDescent="0.5">
      <c r="B76" s="7" t="s">
        <v>197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2:14" ht="18" customHeight="1" x14ac:dyDescent="0.45">
      <c r="B77" s="13" t="s">
        <v>198</v>
      </c>
    </row>
    <row r="78" spans="2:14" ht="18" customHeight="1" x14ac:dyDescent="0.45">
      <c r="B78" s="40" t="s">
        <v>199</v>
      </c>
      <c r="C78" s="40" t="s">
        <v>92</v>
      </c>
      <c r="D78" s="41" t="s">
        <v>185</v>
      </c>
      <c r="E78" s="5"/>
      <c r="F78" s="5"/>
      <c r="G78" s="5"/>
      <c r="H78" s="5"/>
      <c r="I78" s="5"/>
      <c r="J78" s="5"/>
      <c r="K78" s="5"/>
      <c r="L78" s="5"/>
      <c r="M78" s="5"/>
      <c r="N78" s="40" t="s">
        <v>200</v>
      </c>
    </row>
    <row r="79" spans="2:14" x14ac:dyDescent="0.45">
      <c r="B79" s="25" t="s">
        <v>59</v>
      </c>
      <c r="C79" s="26" t="s">
        <v>101</v>
      </c>
      <c r="D79" s="47" cm="1">
        <f t="array" aca="1" ref="D79" ca="1">_xll.VoseOutput("Days lost","days")+LostAll</f>
        <v>0</v>
      </c>
      <c r="E79" s="28"/>
      <c r="F79" s="28"/>
      <c r="G79" s="28"/>
      <c r="H79" s="28"/>
      <c r="I79" s="28"/>
      <c r="J79" s="28"/>
      <c r="K79" s="28"/>
      <c r="L79" s="28"/>
      <c r="M79" s="28"/>
      <c r="N79" s="26" t="s">
        <v>187</v>
      </c>
    </row>
    <row r="80" spans="2:14" x14ac:dyDescent="0.45">
      <c r="B80" s="25" t="s">
        <v>201</v>
      </c>
      <c r="C80" s="26" t="s">
        <v>97</v>
      </c>
      <c r="D80" s="48" cm="1">
        <f t="array" aca="1" ref="D80" ca="1">_xll.VoseOutput("Annual cost, Do nothing","US$m")+Cost_Base</f>
        <v>0</v>
      </c>
      <c r="E80" s="28"/>
      <c r="F80" s="28"/>
      <c r="G80" s="28"/>
      <c r="H80" s="28"/>
      <c r="I80" s="28"/>
      <c r="J80" s="28"/>
      <c r="K80" s="28"/>
      <c r="L80" s="28"/>
      <c r="M80" s="28"/>
      <c r="N80" s="26" t="s">
        <v>202</v>
      </c>
    </row>
    <row r="81" spans="2:14" x14ac:dyDescent="0.45">
      <c r="B81" s="25" t="s">
        <v>203</v>
      </c>
      <c r="C81" s="26" t="s">
        <v>97</v>
      </c>
      <c r="D81" s="48" cm="1">
        <f t="array" aca="1" ref="D81" ca="1">_xll.VoseOutput("Annual cost, More safety stock","US$m")+Cost_Stock</f>
        <v>0.75</v>
      </c>
      <c r="E81" s="28"/>
      <c r="F81" s="28"/>
      <c r="G81" s="28"/>
      <c r="H81" s="28"/>
      <c r="I81" s="28"/>
      <c r="J81" s="28"/>
      <c r="K81" s="28"/>
      <c r="L81" s="28"/>
      <c r="M81" s="28"/>
      <c r="N81" s="26" t="s">
        <v>204</v>
      </c>
    </row>
    <row r="82" spans="2:14" x14ac:dyDescent="0.45">
      <c r="B82" s="25" t="s">
        <v>205</v>
      </c>
      <c r="C82" s="26" t="s">
        <v>97</v>
      </c>
      <c r="D82" s="48" cm="1">
        <f t="array" aca="1" ref="D82" ca="1">_xll.VoseOutput("Annual cost, Second electronics supplier","US$m")+Cost_Dual</f>
        <v>0.6</v>
      </c>
      <c r="E82" s="28"/>
      <c r="F82" s="28"/>
      <c r="G82" s="28"/>
      <c r="H82" s="28"/>
      <c r="I82" s="28"/>
      <c r="J82" s="28"/>
      <c r="K82" s="28"/>
      <c r="L82" s="28"/>
      <c r="M82" s="28"/>
      <c r="N82" s="26" t="s">
        <v>206</v>
      </c>
    </row>
    <row r="83" spans="2:14" x14ac:dyDescent="0.45">
      <c r="B83" s="25" t="s">
        <v>207</v>
      </c>
      <c r="C83" s="26" t="s">
        <v>97</v>
      </c>
      <c r="D83" s="48" cm="1">
        <f t="array" aca="1" ref="D83" ca="1">_xll.VoseOutput("Annual cost, Business-interruption insurance","US$m")+Cost_Ins</f>
        <v>2</v>
      </c>
      <c r="E83" s="28"/>
      <c r="F83" s="28"/>
      <c r="G83" s="28"/>
      <c r="H83" s="28"/>
      <c r="I83" s="28"/>
      <c r="J83" s="28"/>
      <c r="K83" s="28"/>
      <c r="L83" s="28"/>
      <c r="M83" s="28"/>
      <c r="N83" s="26" t="s">
        <v>208</v>
      </c>
    </row>
    <row r="84" spans="2:14" x14ac:dyDescent="0.45">
      <c r="B84" s="25" t="s">
        <v>209</v>
      </c>
      <c r="C84" s="26" t="s">
        <v>101</v>
      </c>
      <c r="D84" s="47" cm="1">
        <f t="array" aca="1" ref="D84" ca="1">_xll.VoseOutput("Days lost, castings","days")+Lost_A</f>
        <v>0</v>
      </c>
      <c r="E84" s="28"/>
      <c r="F84" s="28"/>
      <c r="G84" s="28"/>
      <c r="H84" s="28"/>
      <c r="I84" s="28"/>
      <c r="J84" s="28"/>
      <c r="K84" s="28"/>
      <c r="L84" s="28"/>
      <c r="M84" s="28"/>
      <c r="N84" s="26"/>
    </row>
    <row r="85" spans="2:14" x14ac:dyDescent="0.45">
      <c r="B85" s="25" t="s">
        <v>210</v>
      </c>
      <c r="C85" s="26" t="s">
        <v>101</v>
      </c>
      <c r="D85" s="47" cm="1">
        <f t="array" aca="1" ref="D85" ca="1">_xll.VoseOutput("Days lost, electronics","days")+Lost_B</f>
        <v>0</v>
      </c>
      <c r="E85" s="28"/>
      <c r="F85" s="28"/>
      <c r="G85" s="28"/>
      <c r="H85" s="28"/>
      <c r="I85" s="28"/>
      <c r="J85" s="28"/>
      <c r="K85" s="28"/>
      <c r="L85" s="28"/>
      <c r="M85" s="28"/>
      <c r="N85" s="26"/>
    </row>
    <row r="86" spans="2:14" x14ac:dyDescent="0.45">
      <c r="B86" s="25" t="s">
        <v>211</v>
      </c>
      <c r="C86" s="26" t="s">
        <v>101</v>
      </c>
      <c r="D86" s="47" cm="1">
        <f t="array" aca="1" ref="D86" ca="1">_xll.VoseOutput("Days lost, motors","days")+Lost_C</f>
        <v>0</v>
      </c>
      <c r="E86" s="28"/>
      <c r="F86" s="28"/>
      <c r="G86" s="28"/>
      <c r="H86" s="28"/>
      <c r="I86" s="28"/>
      <c r="J86" s="28"/>
      <c r="K86" s="28"/>
      <c r="L86" s="28"/>
      <c r="M86" s="28"/>
      <c r="N86" s="26"/>
    </row>
    <row r="87" spans="2:14" x14ac:dyDescent="0.45">
      <c r="B87" s="25" t="s">
        <v>212</v>
      </c>
      <c r="C87" s="26" t="s">
        <v>101</v>
      </c>
      <c r="D87" s="47" cm="1">
        <f t="array" aca="1" ref="D87" ca="1">_xll.VoseOutput("Days lost, packaging","days")+Lost_D</f>
        <v>0</v>
      </c>
      <c r="E87" s="28"/>
      <c r="F87" s="28"/>
      <c r="G87" s="28"/>
      <c r="H87" s="28"/>
      <c r="I87" s="28"/>
      <c r="J87" s="28"/>
      <c r="K87" s="28"/>
      <c r="L87" s="28"/>
      <c r="M87" s="28"/>
      <c r="N87" s="26"/>
    </row>
    <row r="88" spans="2:14" x14ac:dyDescent="0.45">
      <c r="B88" s="25" t="s">
        <v>213</v>
      </c>
      <c r="C88" s="26" t="s">
        <v>101</v>
      </c>
      <c r="D88" s="47" cm="1">
        <f t="array" aca="1" ref="D88" ca="1">_xll.VoseOutput("Days lost, the regional disaster","days")+Lost_R</f>
        <v>0</v>
      </c>
      <c r="E88" s="28"/>
      <c r="F88" s="28"/>
      <c r="G88" s="28"/>
      <c r="H88" s="28"/>
      <c r="I88" s="28"/>
      <c r="J88" s="28"/>
      <c r="K88" s="28"/>
      <c r="L88" s="28"/>
      <c r="M88" s="28"/>
      <c r="N88" s="26"/>
    </row>
    <row r="89" spans="2:14" ht="8" customHeight="1" x14ac:dyDescent="0.45"/>
    <row r="90" spans="2:14" ht="22.05" customHeight="1" x14ac:dyDescent="0.5">
      <c r="B90" s="7" t="s">
        <v>214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2:14" ht="18" customHeight="1" x14ac:dyDescent="0.45">
      <c r="B91" s="13" t="s">
        <v>215</v>
      </c>
    </row>
    <row r="92" spans="2:14" x14ac:dyDescent="0.45">
      <c r="B92" s="25" t="s">
        <v>216</v>
      </c>
      <c r="C92" s="28"/>
      <c r="D92" s="28"/>
      <c r="E92" s="28"/>
      <c r="F92" s="28"/>
      <c r="G92" s="28"/>
      <c r="H92" s="28"/>
      <c r="I92" s="49" t="str">
        <f>IF(MAX(Rate_A,Rate_B,Rate_C,Rate_D,Rate_R)&lt;=1,"OK","CHECK")</f>
        <v>OK</v>
      </c>
      <c r="J92" s="28"/>
      <c r="K92" s="28"/>
      <c r="L92" s="28"/>
      <c r="M92" s="28"/>
      <c r="N92" s="28"/>
    </row>
    <row r="93" spans="2:14" x14ac:dyDescent="0.45">
      <c r="B93" s="25" t="s">
        <v>217</v>
      </c>
      <c r="C93" s="28"/>
      <c r="D93" s="28"/>
      <c r="E93" s="28"/>
      <c r="F93" s="28"/>
      <c r="G93" s="28"/>
      <c r="H93" s="28"/>
      <c r="I93" s="49" t="str">
        <f>IF(CoverHi&gt;=Cover,"OK","CHECK")</f>
        <v>OK</v>
      </c>
      <c r="J93" s="28"/>
      <c r="K93" s="28"/>
      <c r="L93" s="28"/>
      <c r="M93" s="28"/>
      <c r="N93" s="28"/>
    </row>
    <row r="94" spans="2:14" ht="14" customHeight="1" x14ac:dyDescent="0.45"/>
  </sheetData>
  <conditionalFormatting sqref="I92:I93">
    <cfRule type="expression" dxfId="9" priority="1">
      <formula>I92="CHECK"</formula>
    </cfRule>
  </conditionalFormatting>
  <hyperlinks>
    <hyperlink ref="B4" location="'Inputs'!A1" display="◂  Inputs" xr:uid="{00000000-0004-0000-0200-000000000000}"/>
    <hyperlink ref="N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7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5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0" t="str" cm="1">
        <f t="array" aca="1" ref="B6" ca="1">IF(ISNUMBER(_xll.VoseSimMean(Out_Cost_Base)),"✔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1"/>
      <c r="D6" s="51"/>
      <c r="E6" s="51"/>
      <c r="F6" s="51"/>
      <c r="G6" s="51"/>
    </row>
    <row r="7" spans="1:18" x14ac:dyDescent="0.45">
      <c r="B7" s="52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220</v>
      </c>
      <c r="C9" s="8"/>
      <c r="D9" s="8"/>
      <c r="E9" s="8"/>
      <c r="F9" s="8"/>
      <c r="G9" s="8"/>
      <c r="I9" s="53" t="s">
        <v>221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222</v>
      </c>
    </row>
    <row r="11" spans="1:18" ht="18" customHeight="1" x14ac:dyDescent="0.45">
      <c r="B11" s="23" t="s">
        <v>223</v>
      </c>
      <c r="C11" s="23" t="s">
        <v>92</v>
      </c>
      <c r="D11" s="24" t="s">
        <v>224</v>
      </c>
      <c r="E11" s="24" t="s">
        <v>225</v>
      </c>
      <c r="F11" s="24" t="s">
        <v>226</v>
      </c>
      <c r="G11" s="24" t="s">
        <v>227</v>
      </c>
    </row>
    <row r="12" spans="1:18" x14ac:dyDescent="0.45">
      <c r="B12" s="25" t="s">
        <v>59</v>
      </c>
      <c r="C12" s="26" t="s">
        <v>101</v>
      </c>
      <c r="D12" s="54" cm="1">
        <f t="array" aca="1" ref="D12" ca="1">_xll.VoseSimPercentile(Out_Lost,0.05)</f>
        <v>0</v>
      </c>
      <c r="E12" s="54" cm="1">
        <f t="array" aca="1" ref="E12" ca="1">_xll.VoseSimPercentile(Out_Lost,0.5)</f>
        <v>1.9676338578073835</v>
      </c>
      <c r="F12" s="54" cm="1">
        <f t="array" aca="1" ref="F12" ca="1">_xll.VoseSimPercentile(Out_Lost,0.95)</f>
        <v>58.663487025300199</v>
      </c>
      <c r="G12" s="54" cm="1">
        <f t="array" aca="1" ref="G12" ca="1">_xll.VoseSimMean(Out_Lost)</f>
        <v>13.004057167853093</v>
      </c>
    </row>
    <row r="13" spans="1:18" x14ac:dyDescent="0.45">
      <c r="B13" s="25" t="s">
        <v>228</v>
      </c>
      <c r="C13" s="26" t="s">
        <v>97</v>
      </c>
      <c r="D13" s="55" cm="1">
        <f t="array" aca="1" ref="D13" ca="1">_xll.VoseSimPercentile(Out_Cost_Base,0.05)</f>
        <v>0</v>
      </c>
      <c r="E13" s="55" cm="1">
        <f t="array" aca="1" ref="E13" ca="1">_xll.VoseSimPercentile(Out_Cost_Base,0.5)</f>
        <v>0.49190846445184588</v>
      </c>
      <c r="F13" s="55" cm="1">
        <f t="array" aca="1" ref="F13" ca="1">_xll.VoseSimPercentile(Out_Cost_Base,0.95)</f>
        <v>14.66587175632505</v>
      </c>
      <c r="G13" s="55" cm="1">
        <f t="array" aca="1" ref="G13" ca="1">_xll.VoseSimMean(Out_Cost_Base)</f>
        <v>3.2510142919632732</v>
      </c>
    </row>
    <row r="14" spans="1:18" ht="18" customHeight="1" x14ac:dyDescent="0.45">
      <c r="B14" s="23" t="s">
        <v>223</v>
      </c>
      <c r="C14" s="23" t="s">
        <v>92</v>
      </c>
      <c r="D14" s="24" t="s">
        <v>185</v>
      </c>
      <c r="E14" s="5"/>
      <c r="F14" s="5"/>
      <c r="G14" s="5"/>
    </row>
    <row r="15" spans="1:18" x14ac:dyDescent="0.45">
      <c r="B15" s="25" t="s">
        <v>229</v>
      </c>
      <c r="C15" s="26"/>
      <c r="D15" s="56" cm="1">
        <f t="array" aca="1" ref="D15" ca="1">IFERROR(1-_xll.VoseSimProbability(Out_Lost,0),"–")</f>
        <v>0.5457454254574543</v>
      </c>
      <c r="E15" s="28"/>
      <c r="F15" s="28"/>
      <c r="G15" s="28"/>
    </row>
    <row r="16" spans="1:18" x14ac:dyDescent="0.45">
      <c r="B16" s="25" t="s">
        <v>230</v>
      </c>
      <c r="C16" s="26"/>
      <c r="D16" s="56" cm="1">
        <f t="array" aca="1" ref="D16" ca="1">IFERROR(1-_xll.VoseSimProbability(Out_Lost,30),"–")</f>
        <v>0.14158584141585839</v>
      </c>
      <c r="E16" s="28"/>
      <c r="F16" s="28"/>
      <c r="G16" s="28"/>
    </row>
    <row r="17" spans="2:18" x14ac:dyDescent="0.45">
      <c r="B17" s="57" t="s">
        <v>231</v>
      </c>
      <c r="C17" s="26" t="s">
        <v>97</v>
      </c>
      <c r="D17" s="55" cm="1">
        <f t="array" aca="1" ref="D17" ca="1">_xll.VoseSimPercentile(Out_Cost_Base,0.99)</f>
        <v>28.482589568558694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232</v>
      </c>
      <c r="C19" s="8"/>
      <c r="D19" s="8"/>
      <c r="E19" s="8"/>
      <c r="F19" s="8"/>
      <c r="G19" s="8"/>
    </row>
    <row r="20" spans="2:18" ht="18" customHeight="1" x14ac:dyDescent="0.45">
      <c r="B20" s="13" t="s">
        <v>233</v>
      </c>
    </row>
    <row r="21" spans="2:18" ht="18" customHeight="1" x14ac:dyDescent="0.45">
      <c r="B21" s="58" t="s">
        <v>145</v>
      </c>
      <c r="C21" s="59" t="s">
        <v>234</v>
      </c>
      <c r="D21" s="59" t="s">
        <v>235</v>
      </c>
      <c r="E21" s="59" t="s">
        <v>59</v>
      </c>
      <c r="F21" s="59" t="s">
        <v>236</v>
      </c>
      <c r="G21" s="5"/>
    </row>
    <row r="22" spans="2:18" x14ac:dyDescent="0.45">
      <c r="B22" s="34"/>
      <c r="C22" s="34" t="s">
        <v>106</v>
      </c>
      <c r="D22" s="34" t="s">
        <v>237</v>
      </c>
      <c r="E22" s="34" t="s">
        <v>106</v>
      </c>
      <c r="F22" s="34" t="s">
        <v>238</v>
      </c>
    </row>
    <row r="23" spans="2:18" x14ac:dyDescent="0.45">
      <c r="B23" s="25" t="s">
        <v>153</v>
      </c>
      <c r="C23" s="46">
        <f>Rate_A</f>
        <v>0.3</v>
      </c>
      <c r="D23" s="37">
        <f>DurM_A</f>
        <v>20</v>
      </c>
      <c r="E23" s="55" cm="1">
        <f t="array" aca="1" ref="E23" ca="1">_xll.VoseSimMean(Out_Lost_A)</f>
        <v>3.2271967571975684</v>
      </c>
      <c r="F23" s="60">
        <f ca="1">IFERROR(E23/SUM($E$23:$E$27),"–")</f>
        <v>0.24816845354812972</v>
      </c>
      <c r="G23" s="28"/>
    </row>
    <row r="24" spans="2:18" x14ac:dyDescent="0.45">
      <c r="B24" s="57" t="s">
        <v>155</v>
      </c>
      <c r="C24" s="46">
        <f>Rate_B</f>
        <v>0.25</v>
      </c>
      <c r="D24" s="37">
        <f>DurM_B</f>
        <v>30</v>
      </c>
      <c r="E24" s="55" cm="1">
        <f t="array" aca="1" ref="E24" ca="1">_xll.VoseSimMean(Out_Lost_B)</f>
        <v>5.1696129683361107</v>
      </c>
      <c r="F24" s="60">
        <f ca="1">IFERROR(E24/SUM($E$23:$E$27),"–")</f>
        <v>0.39753846831093231</v>
      </c>
      <c r="G24" s="28"/>
    </row>
    <row r="25" spans="2:18" x14ac:dyDescent="0.45">
      <c r="B25" s="25" t="s">
        <v>157</v>
      </c>
      <c r="C25" s="46">
        <f>Rate_C</f>
        <v>0.4</v>
      </c>
      <c r="D25" s="37">
        <f>DurM_C</f>
        <v>15</v>
      </c>
      <c r="E25" s="55" cm="1">
        <f t="array" aca="1" ref="E25" ca="1">_xll.VoseSimMean(Out_Lost_C)</f>
        <v>2.5714237900461168</v>
      </c>
      <c r="F25" s="60">
        <f ca="1">IFERROR(E25/SUM($E$23:$E$27),"–")</f>
        <v>0.19774011732298857</v>
      </c>
      <c r="G25" s="28"/>
    </row>
    <row r="26" spans="2:18" x14ac:dyDescent="0.45">
      <c r="B26" s="25" t="s">
        <v>158</v>
      </c>
      <c r="C26" s="46">
        <f>Rate_D</f>
        <v>0.5</v>
      </c>
      <c r="D26" s="37">
        <f>DurM_D</f>
        <v>5</v>
      </c>
      <c r="E26" s="55" cm="1">
        <f t="array" aca="1" ref="E26" ca="1">_xll.VoseSimMean(Out_Lost_D)</f>
        <v>0.21732306173723437</v>
      </c>
      <c r="F26" s="60">
        <f ca="1">IFERROR(E26/SUM($E$23:$E$27),"–")</f>
        <v>1.671194296765105E-2</v>
      </c>
      <c r="G26" s="28"/>
    </row>
    <row r="27" spans="2:18" x14ac:dyDescent="0.45">
      <c r="B27" s="25" t="s">
        <v>159</v>
      </c>
      <c r="C27" s="46">
        <f>Rate_R</f>
        <v>0.05</v>
      </c>
      <c r="D27" s="37">
        <f>DurM_R</f>
        <v>45</v>
      </c>
      <c r="E27" s="55" cm="1">
        <f t="array" aca="1" ref="E27" ca="1">_xll.VoseSimMean(Out_Lost_R)</f>
        <v>1.8185005905360416</v>
      </c>
      <c r="F27" s="60">
        <f ca="1">IFERROR(E27/SUM($E$23:$E$27),"–")</f>
        <v>0.13984101785029834</v>
      </c>
      <c r="G27" s="28"/>
    </row>
    <row r="28" spans="2:18" ht="8" customHeight="1" x14ac:dyDescent="0.45"/>
    <row r="29" spans="2:18" ht="22.05" customHeight="1" x14ac:dyDescent="0.5">
      <c r="B29" s="7" t="s">
        <v>239</v>
      </c>
      <c r="C29" s="8"/>
      <c r="D29" s="8"/>
      <c r="E29" s="8"/>
      <c r="F29" s="8"/>
      <c r="G29" s="8"/>
      <c r="I29" s="53" t="s">
        <v>240</v>
      </c>
      <c r="J29" s="8"/>
      <c r="K29" s="8"/>
      <c r="L29" s="8"/>
      <c r="M29" s="8"/>
      <c r="N29" s="8"/>
      <c r="O29" s="8"/>
      <c r="P29" s="8"/>
      <c r="Q29" s="8"/>
      <c r="R29" s="8"/>
    </row>
    <row r="30" spans="2:18" ht="18" customHeight="1" x14ac:dyDescent="0.45">
      <c r="B30" s="13" t="s">
        <v>241</v>
      </c>
    </row>
    <row r="31" spans="2:18" ht="18" customHeight="1" x14ac:dyDescent="0.45">
      <c r="B31" s="58" t="s">
        <v>242</v>
      </c>
      <c r="C31" s="59" t="s">
        <v>243</v>
      </c>
      <c r="D31" s="59" t="s">
        <v>244</v>
      </c>
      <c r="E31" s="59" t="s">
        <v>245</v>
      </c>
      <c r="F31" s="59" t="s">
        <v>246</v>
      </c>
      <c r="G31" s="59" t="s">
        <v>247</v>
      </c>
    </row>
    <row r="32" spans="2:18" x14ac:dyDescent="0.45">
      <c r="B32" s="34"/>
      <c r="C32" s="34"/>
      <c r="D32" s="34" t="s">
        <v>226</v>
      </c>
      <c r="E32" s="34" t="s">
        <v>248</v>
      </c>
      <c r="F32" s="34" t="s">
        <v>249</v>
      </c>
      <c r="G32" s="34" t="s">
        <v>250</v>
      </c>
    </row>
    <row r="33" spans="2:7" x14ac:dyDescent="0.45">
      <c r="B33" s="25" t="s">
        <v>187</v>
      </c>
      <c r="C33" s="55" cm="1">
        <f t="array" aca="1" ref="C33" ca="1">_xll.VoseSimMean(Out_Cost_Base)</f>
        <v>3.2510142919632732</v>
      </c>
      <c r="D33" s="55" cm="1">
        <f t="array" aca="1" ref="D33" ca="1">_xll.VoseSimPercentile(Out_Cost_Base,0.95)</f>
        <v>14.66587175632505</v>
      </c>
      <c r="E33" s="55" cm="1">
        <f t="array" aca="1" ref="E33" ca="1">_xll.VoseSimPercentile(Out_Cost_Base,0.99)</f>
        <v>28.482589568558694</v>
      </c>
      <c r="F33" s="55" cm="1">
        <f t="array" aca="1" ref="F33" ca="1">_xll.VoseSimPercentile(Out_Cost_Base,0.995)</f>
        <v>34.689179538399522</v>
      </c>
      <c r="G33" s="61" t="str">
        <f ca="1">IF(ISNUMBER(C33),IF(C33=MIN($C$33:$C$36),"✔  lowest",""),"–")</f>
        <v/>
      </c>
    </row>
    <row r="34" spans="2:7" x14ac:dyDescent="0.45">
      <c r="B34" s="25" t="s">
        <v>189</v>
      </c>
      <c r="C34" s="55" cm="1">
        <f t="array" aca="1" ref="C34" ca="1">_xll.VoseSimMean(Out_Cost_Stock)</f>
        <v>1.9455726349123916</v>
      </c>
      <c r="D34" s="55" cm="1">
        <f t="array" aca="1" ref="D34" ca="1">_xll.VoseSimPercentile(Out_Cost_Stock,0.95)</f>
        <v>8.3042719108400469</v>
      </c>
      <c r="E34" s="55" cm="1">
        <f t="array" aca="1" ref="E34" ca="1">_xll.VoseSimPercentile(Out_Cost_Stock,0.99)</f>
        <v>21.806169165766576</v>
      </c>
      <c r="F34" s="55" cm="1">
        <f t="array" aca="1" ref="F34" ca="1">_xll.VoseSimPercentile(Out_Cost_Stock,0.995)</f>
        <v>28.400768342567019</v>
      </c>
      <c r="G34" s="61" t="str">
        <f ca="1">IF(ISNUMBER(C34),IF(C34=MIN($C$33:$C$36),"✔  lowest",""),"–")</f>
        <v>✔  lowest</v>
      </c>
    </row>
    <row r="35" spans="2:7" x14ac:dyDescent="0.45">
      <c r="B35" s="25" t="s">
        <v>191</v>
      </c>
      <c r="C35" s="55" cm="1">
        <f t="array" aca="1" ref="C35" ca="1">_xll.VoseSimMean(Out_Cost_Dual)</f>
        <v>2.558611049879056</v>
      </c>
      <c r="D35" s="55" cm="1">
        <f t="array" aca="1" ref="D35" ca="1">_xll.VoseSimPercentile(Out_Cost_Dual,0.95)</f>
        <v>10.334666829155005</v>
      </c>
      <c r="E35" s="55" cm="1">
        <f t="array" aca="1" ref="E35" ca="1">_xll.VoseSimPercentile(Out_Cost_Dual,0.99)</f>
        <v>19.787380480521715</v>
      </c>
      <c r="F35" s="55" cm="1">
        <f t="array" aca="1" ref="F35" ca="1">_xll.VoseSimPercentile(Out_Cost_Dual,0.995)</f>
        <v>23.980598973356159</v>
      </c>
      <c r="G35" s="61" t="str">
        <f ca="1">IF(ISNUMBER(C35),IF(C35=MIN($C$33:$C$36),"✔  lowest",""),"–")</f>
        <v/>
      </c>
    </row>
    <row r="36" spans="2:7" x14ac:dyDescent="0.45">
      <c r="B36" s="25" t="s">
        <v>195</v>
      </c>
      <c r="C36" s="55" cm="1">
        <f t="array" aca="1" ref="C36" ca="1">_xll.VoseSimMean(Out_Cost_Ins)</f>
        <v>3.659589742978175</v>
      </c>
      <c r="D36" s="55" cm="1">
        <f t="array" aca="1" ref="D36" ca="1">_xll.VoseSimPercentile(Out_Cost_Ins,0.95)</f>
        <v>7.1415902868447283</v>
      </c>
      <c r="E36" s="55" cm="1">
        <f t="array" aca="1" ref="E36" ca="1">_xll.VoseSimPercentile(Out_Cost_Ins,0.99)</f>
        <v>15.482589568558694</v>
      </c>
      <c r="F36" s="55" cm="1">
        <f t="array" aca="1" ref="F36" ca="1">_xll.VoseSimPercentile(Out_Cost_Ins,0.995)</f>
        <v>21.689179538399522</v>
      </c>
      <c r="G36" s="61" t="str">
        <f ca="1">IF(ISNUMBER(C36),IF(C36=MIN($C$33:$C$36),"✔  lowest",""),"–")</f>
        <v/>
      </c>
    </row>
    <row r="37" spans="2:7" ht="8" customHeight="1" x14ac:dyDescent="0.45"/>
    <row r="45" spans="2:7" ht="22.05" customHeight="1" x14ac:dyDescent="0.5">
      <c r="B45" s="7" t="s">
        <v>251</v>
      </c>
      <c r="C45" s="8"/>
      <c r="D45" s="8"/>
      <c r="E45" s="8"/>
      <c r="F45" s="8"/>
      <c r="G45" s="8"/>
    </row>
    <row r="46" spans="2:7" ht="32" customHeight="1" x14ac:dyDescent="0.45">
      <c r="B46" s="70" t="s">
        <v>252</v>
      </c>
      <c r="C46" s="69"/>
      <c r="D46" s="69"/>
      <c r="E46" s="69"/>
      <c r="F46" s="69"/>
      <c r="G46" s="69"/>
    </row>
    <row r="47" spans="2:7" ht="32" customHeight="1" x14ac:dyDescent="0.45">
      <c r="B47" s="70" t="s">
        <v>253</v>
      </c>
      <c r="C47" s="69"/>
      <c r="D47" s="69"/>
      <c r="E47" s="69"/>
      <c r="F47" s="69"/>
      <c r="G47" s="69"/>
    </row>
    <row r="48" spans="2:7" ht="58.05" customHeight="1" x14ac:dyDescent="0.45">
      <c r="B48" s="70" t="s">
        <v>254</v>
      </c>
      <c r="C48" s="69"/>
      <c r="D48" s="69"/>
      <c r="E48" s="69"/>
      <c r="F48" s="69"/>
      <c r="G48" s="69"/>
    </row>
    <row r="49" spans="2:7" ht="45" customHeight="1" x14ac:dyDescent="0.45">
      <c r="B49" s="70" t="s">
        <v>255</v>
      </c>
      <c r="C49" s="69"/>
      <c r="D49" s="69"/>
      <c r="E49" s="69"/>
      <c r="F49" s="69"/>
      <c r="G49" s="69"/>
    </row>
    <row r="50" spans="2:7" ht="32" customHeight="1" x14ac:dyDescent="0.45">
      <c r="B50" s="70" t="s">
        <v>256</v>
      </c>
      <c r="C50" s="69"/>
      <c r="D50" s="69"/>
      <c r="E50" s="69"/>
      <c r="F50" s="69"/>
      <c r="G50" s="69"/>
    </row>
    <row r="51" spans="2:7" ht="14" customHeight="1" x14ac:dyDescent="0.45"/>
    <row r="52" spans="2:7" ht="14" customHeight="1" x14ac:dyDescent="0.45"/>
    <row r="53" spans="2:7" ht="22.05" customHeight="1" x14ac:dyDescent="0.5">
      <c r="B53" s="7" t="s">
        <v>257</v>
      </c>
      <c r="C53" s="8"/>
      <c r="D53" s="8"/>
      <c r="E53" s="8"/>
      <c r="F53" s="8"/>
      <c r="G53" s="8"/>
    </row>
    <row r="54" spans="2:7" ht="18" customHeight="1" x14ac:dyDescent="0.45">
      <c r="B54" s="13" t="s">
        <v>258</v>
      </c>
    </row>
    <row r="55" spans="2:7" ht="28.05" hidden="1" customHeight="1" outlineLevel="1" x14ac:dyDescent="0.45">
      <c r="B55" s="24" t="s">
        <v>259</v>
      </c>
      <c r="C55" s="24" t="s">
        <v>260</v>
      </c>
      <c r="D55" s="24" t="s">
        <v>261</v>
      </c>
      <c r="E55" s="5"/>
      <c r="F55" s="5"/>
      <c r="G55" s="5"/>
    </row>
    <row r="56" spans="2:7" hidden="1" outlineLevel="1" x14ac:dyDescent="0.45">
      <c r="B56" s="62">
        <v>0.01</v>
      </c>
      <c r="C56" s="62">
        <f t="shared" ref="C56:C87" si="0">1-B56</f>
        <v>0.99</v>
      </c>
      <c r="D56" s="63" cm="1">
        <f t="array" aca="1" ref="D56" ca="1">IF(ISNUMBER(_xll.VoseSimPercentile(Out_Lost,$B56)),_xll.VoseSimPercentile(Out_Lost,$B56),NA())</f>
        <v>0</v>
      </c>
    </row>
    <row r="57" spans="2:7" hidden="1" outlineLevel="1" x14ac:dyDescent="0.45">
      <c r="B57" s="62">
        <v>0.03</v>
      </c>
      <c r="C57" s="62">
        <f t="shared" si="0"/>
        <v>0.97</v>
      </c>
      <c r="D57" s="63" cm="1">
        <f t="array" aca="1" ref="D57" ca="1">IF(ISNUMBER(_xll.VoseSimPercentile(Out_Lost,$B57)),_xll.VoseSimPercentile(Out_Lost,$B57),NA())</f>
        <v>0</v>
      </c>
    </row>
    <row r="58" spans="2:7" hidden="1" outlineLevel="1" x14ac:dyDescent="0.45">
      <c r="B58" s="62">
        <v>0.05</v>
      </c>
      <c r="C58" s="62">
        <f t="shared" si="0"/>
        <v>0.95</v>
      </c>
      <c r="D58" s="63" cm="1">
        <f t="array" aca="1" ref="D58" ca="1">IF(ISNUMBER(_xll.VoseSimPercentile(Out_Lost,$B58)),_xll.VoseSimPercentile(Out_Lost,$B58),NA())</f>
        <v>0</v>
      </c>
    </row>
    <row r="59" spans="2:7" hidden="1" outlineLevel="1" x14ac:dyDescent="0.45">
      <c r="B59" s="62">
        <v>7.0000000000000007E-2</v>
      </c>
      <c r="C59" s="62">
        <f t="shared" si="0"/>
        <v>0.92999999999999994</v>
      </c>
      <c r="D59" s="63" cm="1">
        <f t="array" aca="1" ref="D59" ca="1">IF(ISNUMBER(_xll.VoseSimPercentile(Out_Lost,$B59)),_xll.VoseSimPercentile(Out_Lost,$B59),NA())</f>
        <v>0</v>
      </c>
    </row>
    <row r="60" spans="2:7" hidden="1" outlineLevel="1" x14ac:dyDescent="0.45">
      <c r="B60" s="62">
        <v>0.09</v>
      </c>
      <c r="C60" s="62">
        <f t="shared" si="0"/>
        <v>0.91</v>
      </c>
      <c r="D60" s="63" cm="1">
        <f t="array" aca="1" ref="D60" ca="1">IF(ISNUMBER(_xll.VoseSimPercentile(Out_Lost,$B60)),_xll.VoseSimPercentile(Out_Lost,$B60),NA())</f>
        <v>0</v>
      </c>
    </row>
    <row r="61" spans="2:7" hidden="1" outlineLevel="1" x14ac:dyDescent="0.45">
      <c r="B61" s="62">
        <v>0.11</v>
      </c>
      <c r="C61" s="62">
        <f t="shared" si="0"/>
        <v>0.89</v>
      </c>
      <c r="D61" s="63" cm="1">
        <f t="array" aca="1" ref="D61" ca="1">IF(ISNUMBER(_xll.VoseSimPercentile(Out_Lost,$B61)),_xll.VoseSimPercentile(Out_Lost,$B61),NA())</f>
        <v>0</v>
      </c>
    </row>
    <row r="62" spans="2:7" hidden="1" outlineLevel="1" x14ac:dyDescent="0.45">
      <c r="B62" s="62">
        <v>0.13</v>
      </c>
      <c r="C62" s="62">
        <f t="shared" si="0"/>
        <v>0.87</v>
      </c>
      <c r="D62" s="63" cm="1">
        <f t="array" aca="1" ref="D62" ca="1">IF(ISNUMBER(_xll.VoseSimPercentile(Out_Lost,$B62)),_xll.VoseSimPercentile(Out_Lost,$B62),NA())</f>
        <v>0</v>
      </c>
    </row>
    <row r="63" spans="2:7" hidden="1" outlineLevel="1" x14ac:dyDescent="0.45">
      <c r="B63" s="62">
        <v>0.15</v>
      </c>
      <c r="C63" s="62">
        <f t="shared" si="0"/>
        <v>0.85</v>
      </c>
      <c r="D63" s="63" cm="1">
        <f t="array" aca="1" ref="D63" ca="1">IF(ISNUMBER(_xll.VoseSimPercentile(Out_Lost,$B63)),_xll.VoseSimPercentile(Out_Lost,$B63),NA())</f>
        <v>0</v>
      </c>
    </row>
    <row r="64" spans="2:7" hidden="1" outlineLevel="1" x14ac:dyDescent="0.45">
      <c r="B64" s="62">
        <v>0.17</v>
      </c>
      <c r="C64" s="62">
        <f t="shared" si="0"/>
        <v>0.83</v>
      </c>
      <c r="D64" s="63" cm="1">
        <f t="array" aca="1" ref="D64" ca="1">IF(ISNUMBER(_xll.VoseSimPercentile(Out_Lost,$B64)),_xll.VoseSimPercentile(Out_Lost,$B64),NA())</f>
        <v>0</v>
      </c>
    </row>
    <row r="65" spans="2:4" hidden="1" outlineLevel="1" x14ac:dyDescent="0.45">
      <c r="B65" s="62">
        <v>0.19</v>
      </c>
      <c r="C65" s="62">
        <f t="shared" si="0"/>
        <v>0.81</v>
      </c>
      <c r="D65" s="63" cm="1">
        <f t="array" aca="1" ref="D65" ca="1">IF(ISNUMBER(_xll.VoseSimPercentile(Out_Lost,$B65)),_xll.VoseSimPercentile(Out_Lost,$B65),NA())</f>
        <v>0</v>
      </c>
    </row>
    <row r="66" spans="2:4" hidden="1" outlineLevel="1" x14ac:dyDescent="0.45">
      <c r="B66" s="62">
        <v>0.21</v>
      </c>
      <c r="C66" s="62">
        <f t="shared" si="0"/>
        <v>0.79</v>
      </c>
      <c r="D66" s="63" cm="1">
        <f t="array" aca="1" ref="D66" ca="1">IF(ISNUMBER(_xll.VoseSimPercentile(Out_Lost,$B66)),_xll.VoseSimPercentile(Out_Lost,$B66),NA())</f>
        <v>0</v>
      </c>
    </row>
    <row r="67" spans="2:4" hidden="1" outlineLevel="1" x14ac:dyDescent="0.45">
      <c r="B67" s="62">
        <v>0.23</v>
      </c>
      <c r="C67" s="62">
        <f t="shared" si="0"/>
        <v>0.77</v>
      </c>
      <c r="D67" s="63" cm="1">
        <f t="array" aca="1" ref="D67" ca="1">IF(ISNUMBER(_xll.VoseSimPercentile(Out_Lost,$B67)),_xll.VoseSimPercentile(Out_Lost,$B67),NA())</f>
        <v>0</v>
      </c>
    </row>
    <row r="68" spans="2:4" hidden="1" outlineLevel="1" x14ac:dyDescent="0.45">
      <c r="B68" s="62">
        <v>0.25</v>
      </c>
      <c r="C68" s="62">
        <f t="shared" si="0"/>
        <v>0.75</v>
      </c>
      <c r="D68" s="63" cm="1">
        <f t="array" aca="1" ref="D68" ca="1">IF(ISNUMBER(_xll.VoseSimPercentile(Out_Lost,$B68)),_xll.VoseSimPercentile(Out_Lost,$B68),NA())</f>
        <v>0</v>
      </c>
    </row>
    <row r="69" spans="2:4" hidden="1" outlineLevel="1" x14ac:dyDescent="0.45">
      <c r="B69" s="62">
        <v>0.27</v>
      </c>
      <c r="C69" s="62">
        <f t="shared" si="0"/>
        <v>0.73</v>
      </c>
      <c r="D69" s="63" cm="1">
        <f t="array" aca="1" ref="D69" ca="1">IF(ISNUMBER(_xll.VoseSimPercentile(Out_Lost,$B69)),_xll.VoseSimPercentile(Out_Lost,$B69),NA())</f>
        <v>0</v>
      </c>
    </row>
    <row r="70" spans="2:4" hidden="1" outlineLevel="1" x14ac:dyDescent="0.45">
      <c r="B70" s="62">
        <v>0.28999999999999998</v>
      </c>
      <c r="C70" s="62">
        <f t="shared" si="0"/>
        <v>0.71</v>
      </c>
      <c r="D70" s="63" cm="1">
        <f t="array" aca="1" ref="D70" ca="1">IF(ISNUMBER(_xll.VoseSimPercentile(Out_Lost,$B70)),_xll.VoseSimPercentile(Out_Lost,$B70),NA())</f>
        <v>0</v>
      </c>
    </row>
    <row r="71" spans="2:4" hidden="1" outlineLevel="1" x14ac:dyDescent="0.45">
      <c r="B71" s="62">
        <v>0.31</v>
      </c>
      <c r="C71" s="62">
        <f t="shared" si="0"/>
        <v>0.69</v>
      </c>
      <c r="D71" s="63" cm="1">
        <f t="array" aca="1" ref="D71" ca="1">IF(ISNUMBER(_xll.VoseSimPercentile(Out_Lost,$B71)),_xll.VoseSimPercentile(Out_Lost,$B71),NA())</f>
        <v>0</v>
      </c>
    </row>
    <row r="72" spans="2:4" hidden="1" outlineLevel="1" x14ac:dyDescent="0.45">
      <c r="B72" s="62">
        <v>0.33</v>
      </c>
      <c r="C72" s="62">
        <f t="shared" si="0"/>
        <v>0.66999999999999993</v>
      </c>
      <c r="D72" s="63" cm="1">
        <f t="array" aca="1" ref="D72" ca="1">IF(ISNUMBER(_xll.VoseSimPercentile(Out_Lost,$B72)),_xll.VoseSimPercentile(Out_Lost,$B72),NA())</f>
        <v>0</v>
      </c>
    </row>
    <row r="73" spans="2:4" hidden="1" outlineLevel="1" x14ac:dyDescent="0.45">
      <c r="B73" s="62">
        <v>0.35</v>
      </c>
      <c r="C73" s="62">
        <f t="shared" si="0"/>
        <v>0.65</v>
      </c>
      <c r="D73" s="63" cm="1">
        <f t="array" aca="1" ref="D73" ca="1">IF(ISNUMBER(_xll.VoseSimPercentile(Out_Lost,$B73)),_xll.VoseSimPercentile(Out_Lost,$B73),NA())</f>
        <v>0</v>
      </c>
    </row>
    <row r="74" spans="2:4" hidden="1" outlineLevel="1" x14ac:dyDescent="0.45">
      <c r="B74" s="62">
        <v>0.37</v>
      </c>
      <c r="C74" s="62">
        <f t="shared" si="0"/>
        <v>0.63</v>
      </c>
      <c r="D74" s="63" cm="1">
        <f t="array" aca="1" ref="D74" ca="1">IF(ISNUMBER(_xll.VoseSimPercentile(Out_Lost,$B74)),_xll.VoseSimPercentile(Out_Lost,$B74),NA())</f>
        <v>0</v>
      </c>
    </row>
    <row r="75" spans="2:4" hidden="1" outlineLevel="1" x14ac:dyDescent="0.45">
      <c r="B75" s="62">
        <v>0.39</v>
      </c>
      <c r="C75" s="62">
        <f t="shared" si="0"/>
        <v>0.61</v>
      </c>
      <c r="D75" s="63" cm="1">
        <f t="array" aca="1" ref="D75" ca="1">IF(ISNUMBER(_xll.VoseSimPercentile(Out_Lost,$B75)),_xll.VoseSimPercentile(Out_Lost,$B75),NA())</f>
        <v>0</v>
      </c>
    </row>
    <row r="76" spans="2:4" hidden="1" outlineLevel="1" x14ac:dyDescent="0.45">
      <c r="B76" s="62">
        <v>0.41</v>
      </c>
      <c r="C76" s="62">
        <f t="shared" si="0"/>
        <v>0.59000000000000008</v>
      </c>
      <c r="D76" s="63" cm="1">
        <f t="array" aca="1" ref="D76" ca="1">IF(ISNUMBER(_xll.VoseSimPercentile(Out_Lost,$B76)),_xll.VoseSimPercentile(Out_Lost,$B76),NA())</f>
        <v>0</v>
      </c>
    </row>
    <row r="77" spans="2:4" hidden="1" outlineLevel="1" x14ac:dyDescent="0.45">
      <c r="B77" s="62">
        <v>0.43</v>
      </c>
      <c r="C77" s="62">
        <f t="shared" si="0"/>
        <v>0.57000000000000006</v>
      </c>
      <c r="D77" s="63" cm="1">
        <f t="array" aca="1" ref="D77" ca="1">IF(ISNUMBER(_xll.VoseSimPercentile(Out_Lost,$B77)),_xll.VoseSimPercentile(Out_Lost,$B77),NA())</f>
        <v>0</v>
      </c>
    </row>
    <row r="78" spans="2:4" hidden="1" outlineLevel="1" x14ac:dyDescent="0.45">
      <c r="B78" s="62">
        <v>0.45</v>
      </c>
      <c r="C78" s="62">
        <f t="shared" si="0"/>
        <v>0.55000000000000004</v>
      </c>
      <c r="D78" s="63" cm="1">
        <f t="array" aca="1" ref="D78" ca="1">IF(ISNUMBER(_xll.VoseSimPercentile(Out_Lost,$B78)),_xll.VoseSimPercentile(Out_Lost,$B78),NA())</f>
        <v>0</v>
      </c>
    </row>
    <row r="79" spans="2:4" hidden="1" outlineLevel="1" x14ac:dyDescent="0.45">
      <c r="B79" s="62">
        <v>0.47</v>
      </c>
      <c r="C79" s="62">
        <f t="shared" si="0"/>
        <v>0.53</v>
      </c>
      <c r="D79" s="63" cm="1">
        <f t="array" aca="1" ref="D79" ca="1">IF(ISNUMBER(_xll.VoseSimPercentile(Out_Lost,$B79)),_xll.VoseSimPercentile(Out_Lost,$B79),NA())</f>
        <v>0.65401546066673077</v>
      </c>
    </row>
    <row r="80" spans="2:4" hidden="1" outlineLevel="1" x14ac:dyDescent="0.45">
      <c r="B80" s="62">
        <v>0.49</v>
      </c>
      <c r="C80" s="62">
        <f t="shared" si="0"/>
        <v>0.51</v>
      </c>
      <c r="D80" s="63" cm="1">
        <f t="array" aca="1" ref="D80" ca="1">IF(ISNUMBER(_xll.VoseSimPercentile(Out_Lost,$B80)),_xll.VoseSimPercentile(Out_Lost,$B80),NA())</f>
        <v>1.4752838145668594</v>
      </c>
    </row>
    <row r="81" spans="2:4" hidden="1" outlineLevel="1" x14ac:dyDescent="0.45">
      <c r="B81" s="62">
        <v>0.51</v>
      </c>
      <c r="C81" s="62">
        <f t="shared" si="0"/>
        <v>0.49</v>
      </c>
      <c r="D81" s="63" cm="1">
        <f t="array" aca="1" ref="D81" ca="1">IF(ISNUMBER(_xll.VoseSimPercentile(Out_Lost,$B81)),_xll.VoseSimPercentile(Out_Lost,$B81),NA())</f>
        <v>2.3475742934432926</v>
      </c>
    </row>
    <row r="82" spans="2:4" hidden="1" outlineLevel="1" x14ac:dyDescent="0.45">
      <c r="B82" s="62">
        <v>0.53</v>
      </c>
      <c r="C82" s="62">
        <f t="shared" si="0"/>
        <v>0.47</v>
      </c>
      <c r="D82" s="63" cm="1">
        <f t="array" aca="1" ref="D82" ca="1">IF(ISNUMBER(_xll.VoseSimPercentile(Out_Lost,$B82)),_xll.VoseSimPercentile(Out_Lost,$B82),NA())</f>
        <v>3.1459234150638977</v>
      </c>
    </row>
    <row r="83" spans="2:4" hidden="1" outlineLevel="1" x14ac:dyDescent="0.45">
      <c r="B83" s="62">
        <v>0.55000000000000004</v>
      </c>
      <c r="C83" s="62">
        <f t="shared" si="0"/>
        <v>0.44999999999999996</v>
      </c>
      <c r="D83" s="63" cm="1">
        <f t="array" aca="1" ref="D83" ca="1">IF(ISNUMBER(_xll.VoseSimPercentile(Out_Lost,$B83)),_xll.VoseSimPercentile(Out_Lost,$B83),NA())</f>
        <v>3.9883821197138705</v>
      </c>
    </row>
    <row r="84" spans="2:4" hidden="1" outlineLevel="1" x14ac:dyDescent="0.45">
      <c r="B84" s="62">
        <v>0.56999999999999995</v>
      </c>
      <c r="C84" s="62">
        <f t="shared" si="0"/>
        <v>0.43000000000000005</v>
      </c>
      <c r="D84" s="63" cm="1">
        <f t="array" aca="1" ref="D84" ca="1">IF(ISNUMBER(_xll.VoseSimPercentile(Out_Lost,$B84)),_xll.VoseSimPercentile(Out_Lost,$B84),NA())</f>
        <v>4.8946594129414738</v>
      </c>
    </row>
    <row r="85" spans="2:4" hidden="1" outlineLevel="1" x14ac:dyDescent="0.45">
      <c r="B85" s="62">
        <v>0.59</v>
      </c>
      <c r="C85" s="62">
        <f t="shared" si="0"/>
        <v>0.41000000000000003</v>
      </c>
      <c r="D85" s="63" cm="1">
        <f t="array" aca="1" ref="D85" ca="1">IF(ISNUMBER(_xll.VoseSimPercentile(Out_Lost,$B85)),_xll.VoseSimPercentile(Out_Lost,$B85),NA())</f>
        <v>5.8002696028495233</v>
      </c>
    </row>
    <row r="86" spans="2:4" hidden="1" outlineLevel="1" x14ac:dyDescent="0.45">
      <c r="B86" s="62">
        <v>0.61</v>
      </c>
      <c r="C86" s="62">
        <f t="shared" si="0"/>
        <v>0.39</v>
      </c>
      <c r="D86" s="63" cm="1">
        <f t="array" aca="1" ref="D86" ca="1">IF(ISNUMBER(_xll.VoseSimPercentile(Out_Lost,$B86)),_xll.VoseSimPercentile(Out_Lost,$B86),NA())</f>
        <v>6.7666385747684092</v>
      </c>
    </row>
    <row r="87" spans="2:4" hidden="1" outlineLevel="1" x14ac:dyDescent="0.45">
      <c r="B87" s="62">
        <v>0.63</v>
      </c>
      <c r="C87" s="62">
        <f t="shared" si="0"/>
        <v>0.37</v>
      </c>
      <c r="D87" s="63" cm="1">
        <f t="array" aca="1" ref="D87" ca="1">IF(ISNUMBER(_xll.VoseSimPercentile(Out_Lost,$B87)),_xll.VoseSimPercentile(Out_Lost,$B87),NA())</f>
        <v>7.9362140570454542</v>
      </c>
    </row>
    <row r="88" spans="2:4" hidden="1" outlineLevel="1" x14ac:dyDescent="0.45">
      <c r="B88" s="62">
        <v>0.65</v>
      </c>
      <c r="C88" s="62">
        <f t="shared" ref="C88:C119" si="1">1-B88</f>
        <v>0.35</v>
      </c>
      <c r="D88" s="63" cm="1">
        <f t="array" aca="1" ref="D88" ca="1">IF(ISNUMBER(_xll.VoseSimPercentile(Out_Lost,$B88)),_xll.VoseSimPercentile(Out_Lost,$B88),NA())</f>
        <v>9.0155454719463073</v>
      </c>
    </row>
    <row r="89" spans="2:4" hidden="1" outlineLevel="1" x14ac:dyDescent="0.45">
      <c r="B89" s="62">
        <v>0.67</v>
      </c>
      <c r="C89" s="62">
        <f t="shared" si="1"/>
        <v>0.32999999999999996</v>
      </c>
      <c r="D89" s="63" cm="1">
        <f t="array" aca="1" ref="D89" ca="1">IF(ISNUMBER(_xll.VoseSimPercentile(Out_Lost,$B89)),_xll.VoseSimPercentile(Out_Lost,$B89),NA())</f>
        <v>10.237390779213072</v>
      </c>
    </row>
    <row r="90" spans="2:4" hidden="1" outlineLevel="1" x14ac:dyDescent="0.45">
      <c r="B90" s="62">
        <v>0.69</v>
      </c>
      <c r="C90" s="62">
        <f t="shared" si="1"/>
        <v>0.31000000000000005</v>
      </c>
      <c r="D90" s="63" cm="1">
        <f t="array" aca="1" ref="D90" ca="1">IF(ISNUMBER(_xll.VoseSimPercentile(Out_Lost,$B90)),_xll.VoseSimPercentile(Out_Lost,$B90),NA())</f>
        <v>11.616899179993592</v>
      </c>
    </row>
    <row r="91" spans="2:4" hidden="1" outlineLevel="1" x14ac:dyDescent="0.45">
      <c r="B91" s="62">
        <v>0.71</v>
      </c>
      <c r="C91" s="62">
        <f t="shared" si="1"/>
        <v>0.29000000000000004</v>
      </c>
      <c r="D91" s="63" cm="1">
        <f t="array" aca="1" ref="D91" ca="1">IF(ISNUMBER(_xll.VoseSimPercentile(Out_Lost,$B91)),_xll.VoseSimPercentile(Out_Lost,$B91),NA())</f>
        <v>12.89626920982208</v>
      </c>
    </row>
    <row r="92" spans="2:4" hidden="1" outlineLevel="1" x14ac:dyDescent="0.45">
      <c r="B92" s="62">
        <v>0.73</v>
      </c>
      <c r="C92" s="62">
        <f t="shared" si="1"/>
        <v>0.27</v>
      </c>
      <c r="D92" s="63" cm="1">
        <f t="array" aca="1" ref="D92" ca="1">IF(ISNUMBER(_xll.VoseSimPercentile(Out_Lost,$B92)),_xll.VoseSimPercentile(Out_Lost,$B92),NA())</f>
        <v>14.558383703837613</v>
      </c>
    </row>
    <row r="93" spans="2:4" hidden="1" outlineLevel="1" x14ac:dyDescent="0.45">
      <c r="B93" s="62">
        <v>0.75</v>
      </c>
      <c r="C93" s="62">
        <f t="shared" si="1"/>
        <v>0.25</v>
      </c>
      <c r="D93" s="63" cm="1">
        <f t="array" aca="1" ref="D93" ca="1">IF(ISNUMBER(_xll.VoseSimPercentile(Out_Lost,$B93)),_xll.VoseSimPercentile(Out_Lost,$B93),NA())</f>
        <v>16.395972281381798</v>
      </c>
    </row>
    <row r="94" spans="2:4" hidden="1" outlineLevel="1" x14ac:dyDescent="0.45">
      <c r="B94" s="62">
        <v>0.77</v>
      </c>
      <c r="C94" s="62">
        <f t="shared" si="1"/>
        <v>0.22999999999999998</v>
      </c>
      <c r="D94" s="63" cm="1">
        <f t="array" aca="1" ref="D94" ca="1">IF(ISNUMBER(_xll.VoseSimPercentile(Out_Lost,$B94)),_xll.VoseSimPercentile(Out_Lost,$B94),NA())</f>
        <v>18.18977233951685</v>
      </c>
    </row>
    <row r="95" spans="2:4" hidden="1" outlineLevel="1" x14ac:dyDescent="0.45">
      <c r="B95" s="62">
        <v>0.79</v>
      </c>
      <c r="C95" s="62">
        <f t="shared" si="1"/>
        <v>0.20999999999999996</v>
      </c>
      <c r="D95" s="63" cm="1">
        <f t="array" aca="1" ref="D95" ca="1">IF(ISNUMBER(_xll.VoseSimPercentile(Out_Lost,$B95)),_xll.VoseSimPercentile(Out_Lost,$B95),NA())</f>
        <v>20.520910589948901</v>
      </c>
    </row>
    <row r="96" spans="2:4" hidden="1" outlineLevel="1" x14ac:dyDescent="0.45">
      <c r="B96" s="62">
        <v>0.81</v>
      </c>
      <c r="C96" s="62">
        <f t="shared" si="1"/>
        <v>0.18999999999999995</v>
      </c>
      <c r="D96" s="63" cm="1">
        <f t="array" aca="1" ref="D96" ca="1">IF(ISNUMBER(_xll.VoseSimPercentile(Out_Lost,$B96)),_xll.VoseSimPercentile(Out_Lost,$B96),NA())</f>
        <v>22.700123295144763</v>
      </c>
    </row>
    <row r="97" spans="2:7" hidden="1" outlineLevel="1" x14ac:dyDescent="0.45">
      <c r="B97" s="62">
        <v>0.83</v>
      </c>
      <c r="C97" s="62">
        <f t="shared" si="1"/>
        <v>0.17000000000000004</v>
      </c>
      <c r="D97" s="63" cm="1">
        <f t="array" aca="1" ref="D97" ca="1">IF(ISNUMBER(_xll.VoseSimPercentile(Out_Lost,$B97)),_xll.VoseSimPercentile(Out_Lost,$B97),NA())</f>
        <v>25.404599327318003</v>
      </c>
    </row>
    <row r="98" spans="2:7" hidden="1" outlineLevel="1" x14ac:dyDescent="0.45">
      <c r="B98" s="62">
        <v>0.85</v>
      </c>
      <c r="C98" s="62">
        <f t="shared" si="1"/>
        <v>0.15000000000000002</v>
      </c>
      <c r="D98" s="63" cm="1">
        <f t="array" aca="1" ref="D98" ca="1">IF(ISNUMBER(_xll.VoseSimPercentile(Out_Lost,$B98)),_xll.VoseSimPercentile(Out_Lost,$B98),NA())</f>
        <v>28.408168333597025</v>
      </c>
    </row>
    <row r="99" spans="2:7" hidden="1" outlineLevel="1" x14ac:dyDescent="0.45">
      <c r="B99" s="62">
        <v>0.87</v>
      </c>
      <c r="C99" s="62">
        <f t="shared" si="1"/>
        <v>0.13</v>
      </c>
      <c r="D99" s="63" cm="1">
        <f t="array" aca="1" ref="D99" ca="1">IF(ISNUMBER(_xll.VoseSimPercentile(Out_Lost,$B99)),_xll.VoseSimPercentile(Out_Lost,$B99),NA())</f>
        <v>32.28357667292164</v>
      </c>
    </row>
    <row r="100" spans="2:7" hidden="1" outlineLevel="1" x14ac:dyDescent="0.45">
      <c r="B100" s="62">
        <v>0.89</v>
      </c>
      <c r="C100" s="62">
        <f t="shared" si="1"/>
        <v>0.10999999999999999</v>
      </c>
      <c r="D100" s="63" cm="1">
        <f t="array" aca="1" ref="D100" ca="1">IF(ISNUMBER(_xll.VoseSimPercentile(Out_Lost,$B100)),_xll.VoseSimPercentile(Out_Lost,$B100),NA())</f>
        <v>36.557124648842581</v>
      </c>
    </row>
    <row r="101" spans="2:7" hidden="1" outlineLevel="1" x14ac:dyDescent="0.45">
      <c r="B101" s="62">
        <v>0.91</v>
      </c>
      <c r="C101" s="62">
        <f t="shared" si="1"/>
        <v>8.9999999999999969E-2</v>
      </c>
      <c r="D101" s="63" cm="1">
        <f t="array" aca="1" ref="D101" ca="1">IF(ISNUMBER(_xll.VoseSimPercentile(Out_Lost,$B101)),_xll.VoseSimPercentile(Out_Lost,$B101),NA())</f>
        <v>42.038860293907817</v>
      </c>
    </row>
    <row r="102" spans="2:7" hidden="1" outlineLevel="1" x14ac:dyDescent="0.45">
      <c r="B102" s="62">
        <v>0.93</v>
      </c>
      <c r="C102" s="62">
        <f t="shared" si="1"/>
        <v>6.9999999999999951E-2</v>
      </c>
      <c r="D102" s="63" cm="1">
        <f t="array" aca="1" ref="D102" ca="1">IF(ISNUMBER(_xll.VoseSimPercentile(Out_Lost,$B102)),_xll.VoseSimPercentile(Out_Lost,$B102),NA())</f>
        <v>49.035970679190186</v>
      </c>
    </row>
    <row r="103" spans="2:7" hidden="1" outlineLevel="1" x14ac:dyDescent="0.45">
      <c r="B103" s="62">
        <v>0.95</v>
      </c>
      <c r="C103" s="62">
        <f t="shared" si="1"/>
        <v>5.0000000000000044E-2</v>
      </c>
      <c r="D103" s="63" cm="1">
        <f t="array" aca="1" ref="D103" ca="1">IF(ISNUMBER(_xll.VoseSimPercentile(Out_Lost,$B103)),_xll.VoseSimPercentile(Out_Lost,$B103),NA())</f>
        <v>58.663487025300199</v>
      </c>
    </row>
    <row r="104" spans="2:7" hidden="1" outlineLevel="1" x14ac:dyDescent="0.45">
      <c r="B104" s="62">
        <v>0.97</v>
      </c>
      <c r="C104" s="62">
        <f t="shared" si="1"/>
        <v>3.0000000000000027E-2</v>
      </c>
      <c r="D104" s="63" cm="1">
        <f t="array" aca="1" ref="D104" ca="1">IF(ISNUMBER(_xll.VoseSimPercentile(Out_Lost,$B104)),_xll.VoseSimPercentile(Out_Lost,$B104),NA())</f>
        <v>74.277144256561542</v>
      </c>
    </row>
    <row r="105" spans="2:7" hidden="1" outlineLevel="1" x14ac:dyDescent="0.45">
      <c r="B105" s="62">
        <v>0.99</v>
      </c>
      <c r="C105" s="62">
        <f t="shared" si="1"/>
        <v>1.0000000000000009E-2</v>
      </c>
      <c r="D105" s="63" cm="1">
        <f t="array" aca="1" ref="D105" ca="1">IF(ISNUMBER(_xll.VoseSimPercentile(Out_Lost,$B105)),_xll.VoseSimPercentile(Out_Lost,$B105),NA())</f>
        <v>113.93035827423478</v>
      </c>
    </row>
    <row r="106" spans="2:7" hidden="1" outlineLevel="1" x14ac:dyDescent="0.45"/>
    <row r="107" spans="2:7" ht="18" hidden="1" customHeight="1" outlineLevel="1" x14ac:dyDescent="0.45">
      <c r="B107" s="23" t="s">
        <v>262</v>
      </c>
      <c r="C107" s="24" t="s">
        <v>185</v>
      </c>
      <c r="D107" s="5"/>
      <c r="E107" s="5"/>
      <c r="F107" s="5"/>
      <c r="G107" s="5"/>
    </row>
    <row r="108" spans="2:7" hidden="1" outlineLevel="1" x14ac:dyDescent="0.45">
      <c r="B108" s="64">
        <v>5.0000000000000001E-3</v>
      </c>
      <c r="C108" s="63" cm="1">
        <f t="array" aca="1" ref="C108" ca="1">IF(ISNUMBER(_xll.VoseSimPercentile(Out_Lost,0.005)),_xll.VoseSimPercentile(Out_Lost,0.005),NA())</f>
        <v>0</v>
      </c>
    </row>
    <row r="109" spans="2:7" hidden="1" outlineLevel="1" x14ac:dyDescent="0.45">
      <c r="B109" s="64">
        <v>0.01</v>
      </c>
      <c r="C109" s="63" cm="1">
        <f t="array" aca="1" ref="C109" ca="1">IF(ISNUMBER(_xll.VoseSimPercentile(Out_Lost,0.01)),_xll.VoseSimPercentile(Out_Lost,0.01),NA())</f>
        <v>0</v>
      </c>
    </row>
    <row r="110" spans="2:7" hidden="1" outlineLevel="1" x14ac:dyDescent="0.45">
      <c r="B110" s="64">
        <v>0.02</v>
      </c>
      <c r="C110" s="63" cm="1">
        <f t="array" aca="1" ref="C110" ca="1">IF(ISNUMBER(_xll.VoseSimPercentile(Out_Lost,0.02)),_xll.VoseSimPercentile(Out_Lost,0.02),NA())</f>
        <v>0</v>
      </c>
    </row>
    <row r="111" spans="2:7" hidden="1" outlineLevel="1" x14ac:dyDescent="0.45">
      <c r="B111" s="64">
        <v>0.03</v>
      </c>
      <c r="C111" s="63" cm="1">
        <f t="array" aca="1" ref="C111" ca="1">IF(ISNUMBER(_xll.VoseSimPercentile(Out_Lost,0.03)),_xll.VoseSimPercentile(Out_Lost,0.03),NA())</f>
        <v>0</v>
      </c>
    </row>
    <row r="112" spans="2:7" hidden="1" outlineLevel="1" x14ac:dyDescent="0.45">
      <c r="B112" s="64">
        <v>0.04</v>
      </c>
      <c r="C112" s="63" cm="1">
        <f t="array" aca="1" ref="C112" ca="1">IF(ISNUMBER(_xll.VoseSimPercentile(Out_Lost,0.04)),_xll.VoseSimPercentile(Out_Lost,0.04),NA())</f>
        <v>0</v>
      </c>
    </row>
    <row r="113" spans="2:3" hidden="1" outlineLevel="1" x14ac:dyDescent="0.45">
      <c r="B113" s="64">
        <v>0.05</v>
      </c>
      <c r="C113" s="63" cm="1">
        <f t="array" aca="1" ref="C113" ca="1">IF(ISNUMBER(_xll.VoseSimPercentile(Out_Lost,0.05)),_xll.VoseSimPercentile(Out_Lost,0.05),NA())</f>
        <v>0</v>
      </c>
    </row>
    <row r="114" spans="2:3" hidden="1" outlineLevel="1" x14ac:dyDescent="0.45">
      <c r="B114" s="64">
        <v>0.06</v>
      </c>
      <c r="C114" s="63" cm="1">
        <f t="array" aca="1" ref="C114" ca="1">IF(ISNUMBER(_xll.VoseSimPercentile(Out_Lost,0.06)),_xll.VoseSimPercentile(Out_Lost,0.06),NA())</f>
        <v>0</v>
      </c>
    </row>
    <row r="115" spans="2:3" hidden="1" outlineLevel="1" x14ac:dyDescent="0.45">
      <c r="B115" s="64">
        <v>7.0000000000000007E-2</v>
      </c>
      <c r="C115" s="63" cm="1">
        <f t="array" aca="1" ref="C115" ca="1">IF(ISNUMBER(_xll.VoseSimPercentile(Out_Lost,0.07)),_xll.VoseSimPercentile(Out_Lost,0.07),NA())</f>
        <v>0</v>
      </c>
    </row>
    <row r="116" spans="2:3" hidden="1" outlineLevel="1" x14ac:dyDescent="0.45">
      <c r="B116" s="64">
        <v>0.08</v>
      </c>
      <c r="C116" s="63" cm="1">
        <f t="array" aca="1" ref="C116" ca="1">IF(ISNUMBER(_xll.VoseSimPercentile(Out_Lost,0.08)),_xll.VoseSimPercentile(Out_Lost,0.08),NA())</f>
        <v>0</v>
      </c>
    </row>
    <row r="117" spans="2:3" hidden="1" outlineLevel="1" x14ac:dyDescent="0.45">
      <c r="B117" s="64">
        <v>0.09</v>
      </c>
      <c r="C117" s="63" cm="1">
        <f t="array" aca="1" ref="C117" ca="1">IF(ISNUMBER(_xll.VoseSimPercentile(Out_Lost,0.09)),_xll.VoseSimPercentile(Out_Lost,0.09),NA())</f>
        <v>0</v>
      </c>
    </row>
    <row r="118" spans="2:3" hidden="1" outlineLevel="1" x14ac:dyDescent="0.45">
      <c r="B118" s="64">
        <v>0.1</v>
      </c>
      <c r="C118" s="63" cm="1">
        <f t="array" aca="1" ref="C118" ca="1">IF(ISNUMBER(_xll.VoseSimPercentile(Out_Lost,0.1)),_xll.VoseSimPercentile(Out_Lost,0.1),NA())</f>
        <v>0</v>
      </c>
    </row>
    <row r="119" spans="2:3" hidden="1" outlineLevel="1" x14ac:dyDescent="0.45">
      <c r="B119" s="64">
        <v>0.11</v>
      </c>
      <c r="C119" s="63" cm="1">
        <f t="array" aca="1" ref="C119" ca="1">IF(ISNUMBER(_xll.VoseSimPercentile(Out_Lost,0.11)),_xll.VoseSimPercentile(Out_Lost,0.11),NA())</f>
        <v>0</v>
      </c>
    </row>
    <row r="120" spans="2:3" hidden="1" outlineLevel="1" x14ac:dyDescent="0.45">
      <c r="B120" s="64">
        <v>0.12</v>
      </c>
      <c r="C120" s="63" cm="1">
        <f t="array" aca="1" ref="C120" ca="1">IF(ISNUMBER(_xll.VoseSimPercentile(Out_Lost,0.12)),_xll.VoseSimPercentile(Out_Lost,0.12),NA())</f>
        <v>0</v>
      </c>
    </row>
    <row r="121" spans="2:3" hidden="1" outlineLevel="1" x14ac:dyDescent="0.45">
      <c r="B121" s="64">
        <v>0.13</v>
      </c>
      <c r="C121" s="63" cm="1">
        <f t="array" aca="1" ref="C121" ca="1">IF(ISNUMBER(_xll.VoseSimPercentile(Out_Lost,0.13)),_xll.VoseSimPercentile(Out_Lost,0.13),NA())</f>
        <v>0</v>
      </c>
    </row>
    <row r="122" spans="2:3" hidden="1" outlineLevel="1" x14ac:dyDescent="0.45">
      <c r="B122" s="64">
        <v>0.14000000000000001</v>
      </c>
      <c r="C122" s="63" cm="1">
        <f t="array" aca="1" ref="C122" ca="1">IF(ISNUMBER(_xll.VoseSimPercentile(Out_Lost,0.14)),_xll.VoseSimPercentile(Out_Lost,0.14),NA())</f>
        <v>0</v>
      </c>
    </row>
    <row r="123" spans="2:3" hidden="1" outlineLevel="1" x14ac:dyDescent="0.45">
      <c r="B123" s="64">
        <v>0.15</v>
      </c>
      <c r="C123" s="63" cm="1">
        <f t="array" aca="1" ref="C123" ca="1">IF(ISNUMBER(_xll.VoseSimPercentile(Out_Lost,0.15)),_xll.VoseSimPercentile(Out_Lost,0.15),NA())</f>
        <v>0</v>
      </c>
    </row>
    <row r="124" spans="2:3" hidden="1" outlineLevel="1" x14ac:dyDescent="0.45">
      <c r="B124" s="64">
        <v>0.16</v>
      </c>
      <c r="C124" s="63" cm="1">
        <f t="array" aca="1" ref="C124" ca="1">IF(ISNUMBER(_xll.VoseSimPercentile(Out_Lost,0.16)),_xll.VoseSimPercentile(Out_Lost,0.16),NA())</f>
        <v>0</v>
      </c>
    </row>
    <row r="125" spans="2:3" hidden="1" outlineLevel="1" x14ac:dyDescent="0.45">
      <c r="B125" s="64">
        <v>0.17</v>
      </c>
      <c r="C125" s="63" cm="1">
        <f t="array" aca="1" ref="C125" ca="1">IF(ISNUMBER(_xll.VoseSimPercentile(Out_Lost,0.17)),_xll.VoseSimPercentile(Out_Lost,0.17),NA())</f>
        <v>0</v>
      </c>
    </row>
    <row r="126" spans="2:3" hidden="1" outlineLevel="1" x14ac:dyDescent="0.45">
      <c r="B126" s="64">
        <v>0.18</v>
      </c>
      <c r="C126" s="63" cm="1">
        <f t="array" aca="1" ref="C126" ca="1">IF(ISNUMBER(_xll.VoseSimPercentile(Out_Lost,0.18)),_xll.VoseSimPercentile(Out_Lost,0.18),NA())</f>
        <v>0</v>
      </c>
    </row>
    <row r="127" spans="2:3" hidden="1" outlineLevel="1" x14ac:dyDescent="0.45">
      <c r="B127" s="64">
        <v>0.19</v>
      </c>
      <c r="C127" s="63" cm="1">
        <f t="array" aca="1" ref="C127" ca="1">IF(ISNUMBER(_xll.VoseSimPercentile(Out_Lost,0.19)),_xll.VoseSimPercentile(Out_Lost,0.19),NA())</f>
        <v>0</v>
      </c>
    </row>
    <row r="128" spans="2:3" hidden="1" outlineLevel="1" x14ac:dyDescent="0.45">
      <c r="B128" s="64">
        <v>0.2</v>
      </c>
      <c r="C128" s="63" cm="1">
        <f t="array" aca="1" ref="C128" ca="1">IF(ISNUMBER(_xll.VoseSimPercentile(Out_Lost,0.2)),_xll.VoseSimPercentile(Out_Lost,0.2),NA())</f>
        <v>0</v>
      </c>
    </row>
    <row r="129" spans="2:3" hidden="1" outlineLevel="1" x14ac:dyDescent="0.45">
      <c r="B129" s="64">
        <v>0.21</v>
      </c>
      <c r="C129" s="63" cm="1">
        <f t="array" aca="1" ref="C129" ca="1">IF(ISNUMBER(_xll.VoseSimPercentile(Out_Lost,0.21)),_xll.VoseSimPercentile(Out_Lost,0.21),NA())</f>
        <v>0</v>
      </c>
    </row>
    <row r="130" spans="2:3" hidden="1" outlineLevel="1" x14ac:dyDescent="0.45">
      <c r="B130" s="64">
        <v>0.22</v>
      </c>
      <c r="C130" s="63" cm="1">
        <f t="array" aca="1" ref="C130" ca="1">IF(ISNUMBER(_xll.VoseSimPercentile(Out_Lost,0.22)),_xll.VoseSimPercentile(Out_Lost,0.22),NA())</f>
        <v>0</v>
      </c>
    </row>
    <row r="131" spans="2:3" hidden="1" outlineLevel="1" x14ac:dyDescent="0.45">
      <c r="B131" s="64">
        <v>0.23</v>
      </c>
      <c r="C131" s="63" cm="1">
        <f t="array" aca="1" ref="C131" ca="1">IF(ISNUMBER(_xll.VoseSimPercentile(Out_Lost,0.23)),_xll.VoseSimPercentile(Out_Lost,0.23),NA())</f>
        <v>0</v>
      </c>
    </row>
    <row r="132" spans="2:3" hidden="1" outlineLevel="1" x14ac:dyDescent="0.45">
      <c r="B132" s="64">
        <v>0.24</v>
      </c>
      <c r="C132" s="63" cm="1">
        <f t="array" aca="1" ref="C132" ca="1">IF(ISNUMBER(_xll.VoseSimPercentile(Out_Lost,0.24)),_xll.VoseSimPercentile(Out_Lost,0.24),NA())</f>
        <v>0</v>
      </c>
    </row>
    <row r="133" spans="2:3" hidden="1" outlineLevel="1" x14ac:dyDescent="0.45">
      <c r="B133" s="64">
        <v>0.25</v>
      </c>
      <c r="C133" s="63" cm="1">
        <f t="array" aca="1" ref="C133" ca="1">IF(ISNUMBER(_xll.VoseSimPercentile(Out_Lost,0.25)),_xll.VoseSimPercentile(Out_Lost,0.25),NA())</f>
        <v>0</v>
      </c>
    </row>
    <row r="134" spans="2:3" hidden="1" outlineLevel="1" x14ac:dyDescent="0.45">
      <c r="B134" s="64">
        <v>0.26</v>
      </c>
      <c r="C134" s="63" cm="1">
        <f t="array" aca="1" ref="C134" ca="1">IF(ISNUMBER(_xll.VoseSimPercentile(Out_Lost,0.26)),_xll.VoseSimPercentile(Out_Lost,0.26),NA())</f>
        <v>0</v>
      </c>
    </row>
    <row r="135" spans="2:3" hidden="1" outlineLevel="1" x14ac:dyDescent="0.45">
      <c r="B135" s="64">
        <v>0.27</v>
      </c>
      <c r="C135" s="63" cm="1">
        <f t="array" aca="1" ref="C135" ca="1">IF(ISNUMBER(_xll.VoseSimPercentile(Out_Lost,0.27)),_xll.VoseSimPercentile(Out_Lost,0.27),NA())</f>
        <v>0</v>
      </c>
    </row>
    <row r="136" spans="2:3" hidden="1" outlineLevel="1" x14ac:dyDescent="0.45">
      <c r="B136" s="64">
        <v>0.28000000000000003</v>
      </c>
      <c r="C136" s="63" cm="1">
        <f t="array" aca="1" ref="C136" ca="1">IF(ISNUMBER(_xll.VoseSimPercentile(Out_Lost,0.28)),_xll.VoseSimPercentile(Out_Lost,0.28),NA())</f>
        <v>0</v>
      </c>
    </row>
    <row r="137" spans="2:3" hidden="1" outlineLevel="1" x14ac:dyDescent="0.45">
      <c r="B137" s="64">
        <v>0.28999999999999998</v>
      </c>
      <c r="C137" s="63" cm="1">
        <f t="array" aca="1" ref="C137" ca="1">IF(ISNUMBER(_xll.VoseSimPercentile(Out_Lost,0.29)),_xll.VoseSimPercentile(Out_Lost,0.29),NA())</f>
        <v>0</v>
      </c>
    </row>
    <row r="138" spans="2:3" hidden="1" outlineLevel="1" x14ac:dyDescent="0.45">
      <c r="B138" s="64">
        <v>0.3</v>
      </c>
      <c r="C138" s="63" cm="1">
        <f t="array" aca="1" ref="C138" ca="1">IF(ISNUMBER(_xll.VoseSimPercentile(Out_Lost,0.3)),_xll.VoseSimPercentile(Out_Lost,0.3),NA())</f>
        <v>0</v>
      </c>
    </row>
    <row r="139" spans="2:3" hidden="1" outlineLevel="1" x14ac:dyDescent="0.45">
      <c r="B139" s="64">
        <v>0.31</v>
      </c>
      <c r="C139" s="63" cm="1">
        <f t="array" aca="1" ref="C139" ca="1">IF(ISNUMBER(_xll.VoseSimPercentile(Out_Lost,0.31)),_xll.VoseSimPercentile(Out_Lost,0.31),NA())</f>
        <v>0</v>
      </c>
    </row>
    <row r="140" spans="2:3" hidden="1" outlineLevel="1" x14ac:dyDescent="0.45">
      <c r="B140" s="64">
        <v>0.32</v>
      </c>
      <c r="C140" s="63" cm="1">
        <f t="array" aca="1" ref="C140" ca="1">IF(ISNUMBER(_xll.VoseSimPercentile(Out_Lost,0.32)),_xll.VoseSimPercentile(Out_Lost,0.32),NA())</f>
        <v>0</v>
      </c>
    </row>
    <row r="141" spans="2:3" hidden="1" outlineLevel="1" x14ac:dyDescent="0.45">
      <c r="B141" s="64">
        <v>0.33</v>
      </c>
      <c r="C141" s="63" cm="1">
        <f t="array" aca="1" ref="C141" ca="1">IF(ISNUMBER(_xll.VoseSimPercentile(Out_Lost,0.33)),_xll.VoseSimPercentile(Out_Lost,0.33),NA())</f>
        <v>0</v>
      </c>
    </row>
    <row r="142" spans="2:3" hidden="1" outlineLevel="1" x14ac:dyDescent="0.45">
      <c r="B142" s="64">
        <v>0.34</v>
      </c>
      <c r="C142" s="63" cm="1">
        <f t="array" aca="1" ref="C142" ca="1">IF(ISNUMBER(_xll.VoseSimPercentile(Out_Lost,0.34)),_xll.VoseSimPercentile(Out_Lost,0.34),NA())</f>
        <v>0</v>
      </c>
    </row>
    <row r="143" spans="2:3" hidden="1" outlineLevel="1" x14ac:dyDescent="0.45">
      <c r="B143" s="64">
        <v>0.35</v>
      </c>
      <c r="C143" s="63" cm="1">
        <f t="array" aca="1" ref="C143" ca="1">IF(ISNUMBER(_xll.VoseSimPercentile(Out_Lost,0.35)),_xll.VoseSimPercentile(Out_Lost,0.35),NA())</f>
        <v>0</v>
      </c>
    </row>
    <row r="144" spans="2:3" hidden="1" outlineLevel="1" x14ac:dyDescent="0.45">
      <c r="B144" s="64">
        <v>0.36</v>
      </c>
      <c r="C144" s="63" cm="1">
        <f t="array" aca="1" ref="C144" ca="1">IF(ISNUMBER(_xll.VoseSimPercentile(Out_Lost,0.36)),_xll.VoseSimPercentile(Out_Lost,0.36),NA())</f>
        <v>0</v>
      </c>
    </row>
    <row r="145" spans="2:3" hidden="1" outlineLevel="1" x14ac:dyDescent="0.45">
      <c r="B145" s="64">
        <v>0.37</v>
      </c>
      <c r="C145" s="63" cm="1">
        <f t="array" aca="1" ref="C145" ca="1">IF(ISNUMBER(_xll.VoseSimPercentile(Out_Lost,0.37)),_xll.VoseSimPercentile(Out_Lost,0.37),NA())</f>
        <v>0</v>
      </c>
    </row>
    <row r="146" spans="2:3" hidden="1" outlineLevel="1" x14ac:dyDescent="0.45">
      <c r="B146" s="64">
        <v>0.38</v>
      </c>
      <c r="C146" s="63" cm="1">
        <f t="array" aca="1" ref="C146" ca="1">IF(ISNUMBER(_xll.VoseSimPercentile(Out_Lost,0.38)),_xll.VoseSimPercentile(Out_Lost,0.38),NA())</f>
        <v>0</v>
      </c>
    </row>
    <row r="147" spans="2:3" hidden="1" outlineLevel="1" x14ac:dyDescent="0.45">
      <c r="B147" s="64">
        <v>0.39</v>
      </c>
      <c r="C147" s="63" cm="1">
        <f t="array" aca="1" ref="C147" ca="1">IF(ISNUMBER(_xll.VoseSimPercentile(Out_Lost,0.39)),_xll.VoseSimPercentile(Out_Lost,0.39),NA())</f>
        <v>0</v>
      </c>
    </row>
    <row r="148" spans="2:3" hidden="1" outlineLevel="1" x14ac:dyDescent="0.45">
      <c r="B148" s="64">
        <v>0.4</v>
      </c>
      <c r="C148" s="63" cm="1">
        <f t="array" aca="1" ref="C148" ca="1">IF(ISNUMBER(_xll.VoseSimPercentile(Out_Lost,0.4)),_xll.VoseSimPercentile(Out_Lost,0.4),NA())</f>
        <v>0</v>
      </c>
    </row>
    <row r="149" spans="2:3" hidden="1" outlineLevel="1" x14ac:dyDescent="0.45">
      <c r="B149" s="64">
        <v>0.41</v>
      </c>
      <c r="C149" s="63" cm="1">
        <f t="array" aca="1" ref="C149" ca="1">IF(ISNUMBER(_xll.VoseSimPercentile(Out_Lost,0.41)),_xll.VoseSimPercentile(Out_Lost,0.41),NA())</f>
        <v>0</v>
      </c>
    </row>
    <row r="150" spans="2:3" hidden="1" outlineLevel="1" x14ac:dyDescent="0.45">
      <c r="B150" s="64">
        <v>0.42</v>
      </c>
      <c r="C150" s="63" cm="1">
        <f t="array" aca="1" ref="C150" ca="1">IF(ISNUMBER(_xll.VoseSimPercentile(Out_Lost,0.42)),_xll.VoseSimPercentile(Out_Lost,0.42),NA())</f>
        <v>0</v>
      </c>
    </row>
    <row r="151" spans="2:3" hidden="1" outlineLevel="1" x14ac:dyDescent="0.45">
      <c r="B151" s="64">
        <v>0.43</v>
      </c>
      <c r="C151" s="63" cm="1">
        <f t="array" aca="1" ref="C151" ca="1">IF(ISNUMBER(_xll.VoseSimPercentile(Out_Lost,0.43)),_xll.VoseSimPercentile(Out_Lost,0.43),NA())</f>
        <v>0</v>
      </c>
    </row>
    <row r="152" spans="2:3" hidden="1" outlineLevel="1" x14ac:dyDescent="0.45">
      <c r="B152" s="64">
        <v>0.44</v>
      </c>
      <c r="C152" s="63" cm="1">
        <f t="array" aca="1" ref="C152" ca="1">IF(ISNUMBER(_xll.VoseSimPercentile(Out_Lost,0.44)),_xll.VoseSimPercentile(Out_Lost,0.44),NA())</f>
        <v>0</v>
      </c>
    </row>
    <row r="153" spans="2:3" hidden="1" outlineLevel="1" x14ac:dyDescent="0.45">
      <c r="B153" s="64">
        <v>0.45</v>
      </c>
      <c r="C153" s="63" cm="1">
        <f t="array" aca="1" ref="C153" ca="1">IF(ISNUMBER(_xll.VoseSimPercentile(Out_Lost,0.45)),_xll.VoseSimPercentile(Out_Lost,0.45),NA())</f>
        <v>0</v>
      </c>
    </row>
    <row r="154" spans="2:3" hidden="1" outlineLevel="1" x14ac:dyDescent="0.45">
      <c r="B154" s="64">
        <v>0.46</v>
      </c>
      <c r="C154" s="63" cm="1">
        <f t="array" aca="1" ref="C154" ca="1">IF(ISNUMBER(_xll.VoseSimPercentile(Out_Lost,0.46)),_xll.VoseSimPercentile(Out_Lost,0.46),NA())</f>
        <v>0.26576328431991136</v>
      </c>
    </row>
    <row r="155" spans="2:3" hidden="1" outlineLevel="1" x14ac:dyDescent="0.45">
      <c r="B155" s="64">
        <v>0.47</v>
      </c>
      <c r="C155" s="63" cm="1">
        <f t="array" aca="1" ref="C155" ca="1">IF(ISNUMBER(_xll.VoseSimPercentile(Out_Lost,0.47)),_xll.VoseSimPercentile(Out_Lost,0.47),NA())</f>
        <v>0.65401546066673077</v>
      </c>
    </row>
    <row r="156" spans="2:3" hidden="1" outlineLevel="1" x14ac:dyDescent="0.45">
      <c r="B156" s="64">
        <v>0.48</v>
      </c>
      <c r="C156" s="63" cm="1">
        <f t="array" aca="1" ref="C156" ca="1">IF(ISNUMBER(_xll.VoseSimPercentile(Out_Lost,0.48)),_xll.VoseSimPercentile(Out_Lost,0.48),NA())</f>
        <v>1.0667132289926062</v>
      </c>
    </row>
    <row r="157" spans="2:3" hidden="1" outlineLevel="1" x14ac:dyDescent="0.45">
      <c r="B157" s="64">
        <v>0.49</v>
      </c>
      <c r="C157" s="63" cm="1">
        <f t="array" aca="1" ref="C157" ca="1">IF(ISNUMBER(_xll.VoseSimPercentile(Out_Lost,0.49)),_xll.VoseSimPercentile(Out_Lost,0.49),NA())</f>
        <v>1.4752838145668594</v>
      </c>
    </row>
    <row r="158" spans="2:3" hidden="1" outlineLevel="1" x14ac:dyDescent="0.45">
      <c r="B158" s="64">
        <v>0.5</v>
      </c>
      <c r="C158" s="63" cm="1">
        <f t="array" aca="1" ref="C158" ca="1">IF(ISNUMBER(_xll.VoseSimPercentile(Out_Lost,0.5)),_xll.VoseSimPercentile(Out_Lost,0.5),NA())</f>
        <v>1.9676338578073835</v>
      </c>
    </row>
    <row r="159" spans="2:3" hidden="1" outlineLevel="1" x14ac:dyDescent="0.45">
      <c r="B159" s="64">
        <v>0.51</v>
      </c>
      <c r="C159" s="63" cm="1">
        <f t="array" aca="1" ref="C159" ca="1">IF(ISNUMBER(_xll.VoseSimPercentile(Out_Lost,0.51)),_xll.VoseSimPercentile(Out_Lost,0.51),NA())</f>
        <v>2.3475742934432926</v>
      </c>
    </row>
    <row r="160" spans="2:3" hidden="1" outlineLevel="1" x14ac:dyDescent="0.45">
      <c r="B160" s="64">
        <v>0.52</v>
      </c>
      <c r="C160" s="63" cm="1">
        <f t="array" aca="1" ref="C160" ca="1">IF(ISNUMBER(_xll.VoseSimPercentile(Out_Lost,0.52)),_xll.VoseSimPercentile(Out_Lost,0.52),NA())</f>
        <v>2.7302055270698613</v>
      </c>
    </row>
    <row r="161" spans="2:3" hidden="1" outlineLevel="1" x14ac:dyDescent="0.45">
      <c r="B161" s="64">
        <v>0.53</v>
      </c>
      <c r="C161" s="63" cm="1">
        <f t="array" aca="1" ref="C161" ca="1">IF(ISNUMBER(_xll.VoseSimPercentile(Out_Lost,0.53)),_xll.VoseSimPercentile(Out_Lost,0.53),NA())</f>
        <v>3.1459234150638977</v>
      </c>
    </row>
    <row r="162" spans="2:3" hidden="1" outlineLevel="1" x14ac:dyDescent="0.45">
      <c r="B162" s="64">
        <v>0.54</v>
      </c>
      <c r="C162" s="63" cm="1">
        <f t="array" aca="1" ref="C162" ca="1">IF(ISNUMBER(_xll.VoseSimPercentile(Out_Lost,0.54)),_xll.VoseSimPercentile(Out_Lost,0.54),NA())</f>
        <v>3.5112889601583728</v>
      </c>
    </row>
    <row r="163" spans="2:3" hidden="1" outlineLevel="1" x14ac:dyDescent="0.45">
      <c r="B163" s="64">
        <v>0.55000000000000004</v>
      </c>
      <c r="C163" s="63" cm="1">
        <f t="array" aca="1" ref="C163" ca="1">IF(ISNUMBER(_xll.VoseSimPercentile(Out_Lost,0.55)),_xll.VoseSimPercentile(Out_Lost,0.55),NA())</f>
        <v>3.9883821197138705</v>
      </c>
    </row>
    <row r="164" spans="2:3" hidden="1" outlineLevel="1" x14ac:dyDescent="0.45">
      <c r="B164" s="64">
        <v>0.56000000000000005</v>
      </c>
      <c r="C164" s="63" cm="1">
        <f t="array" aca="1" ref="C164" ca="1">IF(ISNUMBER(_xll.VoseSimPercentile(Out_Lost,0.56)),_xll.VoseSimPercentile(Out_Lost,0.56),NA())</f>
        <v>4.4443148001448929</v>
      </c>
    </row>
    <row r="165" spans="2:3" hidden="1" outlineLevel="1" x14ac:dyDescent="0.45">
      <c r="B165" s="64">
        <v>0.56999999999999995</v>
      </c>
      <c r="C165" s="63" cm="1">
        <f t="array" aca="1" ref="C165" ca="1">IF(ISNUMBER(_xll.VoseSimPercentile(Out_Lost,0.57)),_xll.VoseSimPercentile(Out_Lost,0.57),NA())</f>
        <v>4.8946594129414738</v>
      </c>
    </row>
    <row r="166" spans="2:3" hidden="1" outlineLevel="1" x14ac:dyDescent="0.45">
      <c r="B166" s="64">
        <v>0.57999999999999996</v>
      </c>
      <c r="C166" s="63" cm="1">
        <f t="array" aca="1" ref="C166" ca="1">IF(ISNUMBER(_xll.VoseSimPercentile(Out_Lost,0.58)),_xll.VoseSimPercentile(Out_Lost,0.58),NA())</f>
        <v>5.3466858598903357</v>
      </c>
    </row>
    <row r="167" spans="2:3" hidden="1" outlineLevel="1" x14ac:dyDescent="0.45">
      <c r="B167" s="64">
        <v>0.59</v>
      </c>
      <c r="C167" s="63" cm="1">
        <f t="array" aca="1" ref="C167" ca="1">IF(ISNUMBER(_xll.VoseSimPercentile(Out_Lost,0.59)),_xll.VoseSimPercentile(Out_Lost,0.59),NA())</f>
        <v>5.8002696028495233</v>
      </c>
    </row>
    <row r="168" spans="2:3" hidden="1" outlineLevel="1" x14ac:dyDescent="0.45">
      <c r="B168" s="64">
        <v>0.6</v>
      </c>
      <c r="C168" s="63" cm="1">
        <f t="array" aca="1" ref="C168" ca="1">IF(ISNUMBER(_xll.VoseSimPercentile(Out_Lost,0.6)),_xll.VoseSimPercentile(Out_Lost,0.6),NA())</f>
        <v>6.3030149870932419</v>
      </c>
    </row>
    <row r="169" spans="2:3" hidden="1" outlineLevel="1" x14ac:dyDescent="0.45">
      <c r="B169" s="64">
        <v>0.61</v>
      </c>
      <c r="C169" s="63" cm="1">
        <f t="array" aca="1" ref="C169" ca="1">IF(ISNUMBER(_xll.VoseSimPercentile(Out_Lost,0.61)),_xll.VoseSimPercentile(Out_Lost,0.61),NA())</f>
        <v>6.7666385747684092</v>
      </c>
    </row>
    <row r="170" spans="2:3" hidden="1" outlineLevel="1" x14ac:dyDescent="0.45">
      <c r="B170" s="64">
        <v>0.62</v>
      </c>
      <c r="C170" s="63" cm="1">
        <f t="array" aca="1" ref="C170" ca="1">IF(ISNUMBER(_xll.VoseSimPercentile(Out_Lost,0.62)),_xll.VoseSimPercentile(Out_Lost,0.62),NA())</f>
        <v>7.330713478063565</v>
      </c>
    </row>
    <row r="171" spans="2:3" hidden="1" outlineLevel="1" x14ac:dyDescent="0.45">
      <c r="B171" s="64">
        <v>0.63</v>
      </c>
      <c r="C171" s="63" cm="1">
        <f t="array" aca="1" ref="C171" ca="1">IF(ISNUMBER(_xll.VoseSimPercentile(Out_Lost,0.63)),_xll.VoseSimPercentile(Out_Lost,0.63),NA())</f>
        <v>7.9362140570454542</v>
      </c>
    </row>
    <row r="172" spans="2:3" hidden="1" outlineLevel="1" x14ac:dyDescent="0.45">
      <c r="B172" s="64">
        <v>0.64</v>
      </c>
      <c r="C172" s="63" cm="1">
        <f t="array" aca="1" ref="C172" ca="1">IF(ISNUMBER(_xll.VoseSimPercentile(Out_Lost,0.64)),_xll.VoseSimPercentile(Out_Lost,0.64),NA())</f>
        <v>8.4804136862462549</v>
      </c>
    </row>
    <row r="173" spans="2:3" hidden="1" outlineLevel="1" x14ac:dyDescent="0.45">
      <c r="B173" s="64">
        <v>0.65</v>
      </c>
      <c r="C173" s="63" cm="1">
        <f t="array" aca="1" ref="C173" ca="1">IF(ISNUMBER(_xll.VoseSimPercentile(Out_Lost,0.65)),_xll.VoseSimPercentile(Out_Lost,0.65),NA())</f>
        <v>9.0155454719463073</v>
      </c>
    </row>
    <row r="174" spans="2:3" hidden="1" outlineLevel="1" x14ac:dyDescent="0.45">
      <c r="B174" s="64">
        <v>0.66</v>
      </c>
      <c r="C174" s="63" cm="1">
        <f t="array" aca="1" ref="C174" ca="1">IF(ISNUMBER(_xll.VoseSimPercentile(Out_Lost,0.66)),_xll.VoseSimPercentile(Out_Lost,0.66),NA())</f>
        <v>9.6597272323036947</v>
      </c>
    </row>
    <row r="175" spans="2:3" hidden="1" outlineLevel="1" x14ac:dyDescent="0.45">
      <c r="B175" s="64">
        <v>0.67</v>
      </c>
      <c r="C175" s="63" cm="1">
        <f t="array" aca="1" ref="C175" ca="1">IF(ISNUMBER(_xll.VoseSimPercentile(Out_Lost,0.67)),_xll.VoseSimPercentile(Out_Lost,0.67),NA())</f>
        <v>10.237390779213072</v>
      </c>
    </row>
    <row r="176" spans="2:3" hidden="1" outlineLevel="1" x14ac:dyDescent="0.45">
      <c r="B176" s="64">
        <v>0.68</v>
      </c>
      <c r="C176" s="63" cm="1">
        <f t="array" aca="1" ref="C176" ca="1">IF(ISNUMBER(_xll.VoseSimPercentile(Out_Lost,0.68)),_xll.VoseSimPercentile(Out_Lost,0.68),NA())</f>
        <v>10.991035671905614</v>
      </c>
    </row>
    <row r="177" spans="2:3" hidden="1" outlineLevel="1" x14ac:dyDescent="0.45">
      <c r="B177" s="64">
        <v>0.69</v>
      </c>
      <c r="C177" s="63" cm="1">
        <f t="array" aca="1" ref="C177" ca="1">IF(ISNUMBER(_xll.VoseSimPercentile(Out_Lost,0.69)),_xll.VoseSimPercentile(Out_Lost,0.69),NA())</f>
        <v>11.616899179993592</v>
      </c>
    </row>
    <row r="178" spans="2:3" hidden="1" outlineLevel="1" x14ac:dyDescent="0.45">
      <c r="B178" s="64">
        <v>0.7</v>
      </c>
      <c r="C178" s="63" cm="1">
        <f t="array" aca="1" ref="C178" ca="1">IF(ISNUMBER(_xll.VoseSimPercentile(Out_Lost,0.7)),_xll.VoseSimPercentile(Out_Lost,0.7),NA())</f>
        <v>12.313421242946475</v>
      </c>
    </row>
    <row r="179" spans="2:3" hidden="1" outlineLevel="1" x14ac:dyDescent="0.45">
      <c r="B179" s="64">
        <v>0.71</v>
      </c>
      <c r="C179" s="63" cm="1">
        <f t="array" aca="1" ref="C179" ca="1">IF(ISNUMBER(_xll.VoseSimPercentile(Out_Lost,0.71)),_xll.VoseSimPercentile(Out_Lost,0.71),NA())</f>
        <v>12.89626920982208</v>
      </c>
    </row>
    <row r="180" spans="2:3" hidden="1" outlineLevel="1" x14ac:dyDescent="0.45">
      <c r="B180" s="64">
        <v>0.72</v>
      </c>
      <c r="C180" s="63" cm="1">
        <f t="array" aca="1" ref="C180" ca="1">IF(ISNUMBER(_xll.VoseSimPercentile(Out_Lost,0.72)),_xll.VoseSimPercentile(Out_Lost,0.72),NA())</f>
        <v>13.630381289763809</v>
      </c>
    </row>
    <row r="181" spans="2:3" hidden="1" outlineLevel="1" x14ac:dyDescent="0.45">
      <c r="B181" s="64">
        <v>0.73</v>
      </c>
      <c r="C181" s="63" cm="1">
        <f t="array" aca="1" ref="C181" ca="1">IF(ISNUMBER(_xll.VoseSimPercentile(Out_Lost,0.73)),_xll.VoseSimPercentile(Out_Lost,0.73),NA())</f>
        <v>14.558383703837613</v>
      </c>
    </row>
    <row r="182" spans="2:3" hidden="1" outlineLevel="1" x14ac:dyDescent="0.45">
      <c r="B182" s="64">
        <v>0.74</v>
      </c>
      <c r="C182" s="63" cm="1">
        <f t="array" aca="1" ref="C182" ca="1">IF(ISNUMBER(_xll.VoseSimPercentile(Out_Lost,0.74)),_xll.VoseSimPercentile(Out_Lost,0.74),NA())</f>
        <v>15.44216130430099</v>
      </c>
    </row>
    <row r="183" spans="2:3" hidden="1" outlineLevel="1" x14ac:dyDescent="0.45">
      <c r="B183" s="64">
        <v>0.75</v>
      </c>
      <c r="C183" s="63" cm="1">
        <f t="array" aca="1" ref="C183" ca="1">IF(ISNUMBER(_xll.VoseSimPercentile(Out_Lost,0.75)),_xll.VoseSimPercentile(Out_Lost,0.75),NA())</f>
        <v>16.395972281381798</v>
      </c>
    </row>
    <row r="184" spans="2:3" hidden="1" outlineLevel="1" x14ac:dyDescent="0.45">
      <c r="B184" s="64">
        <v>0.76</v>
      </c>
      <c r="C184" s="63" cm="1">
        <f t="array" aca="1" ref="C184" ca="1">IF(ISNUMBER(_xll.VoseSimPercentile(Out_Lost,0.76)),_xll.VoseSimPercentile(Out_Lost,0.76),NA())</f>
        <v>17.223013894671045</v>
      </c>
    </row>
    <row r="185" spans="2:3" hidden="1" outlineLevel="1" x14ac:dyDescent="0.45">
      <c r="B185" s="64">
        <v>0.77</v>
      </c>
      <c r="C185" s="63" cm="1">
        <f t="array" aca="1" ref="C185" ca="1">IF(ISNUMBER(_xll.VoseSimPercentile(Out_Lost,0.77)),_xll.VoseSimPercentile(Out_Lost,0.77),NA())</f>
        <v>18.18977233951685</v>
      </c>
    </row>
    <row r="186" spans="2:3" hidden="1" outlineLevel="1" x14ac:dyDescent="0.45">
      <c r="B186" s="64">
        <v>0.78</v>
      </c>
      <c r="C186" s="63" cm="1">
        <f t="array" aca="1" ref="C186" ca="1">IF(ISNUMBER(_xll.VoseSimPercentile(Out_Lost,0.78)),_xll.VoseSimPercentile(Out_Lost,0.78),NA())</f>
        <v>19.21518003340535</v>
      </c>
    </row>
    <row r="187" spans="2:3" hidden="1" outlineLevel="1" x14ac:dyDescent="0.45">
      <c r="B187" s="64">
        <v>0.79</v>
      </c>
      <c r="C187" s="63" cm="1">
        <f t="array" aca="1" ref="C187" ca="1">IF(ISNUMBER(_xll.VoseSimPercentile(Out_Lost,0.79)),_xll.VoseSimPercentile(Out_Lost,0.79),NA())</f>
        <v>20.520910589948901</v>
      </c>
    </row>
    <row r="188" spans="2:3" hidden="1" outlineLevel="1" x14ac:dyDescent="0.45">
      <c r="B188" s="64">
        <v>0.8</v>
      </c>
      <c r="C188" s="63" cm="1">
        <f t="array" aca="1" ref="C188" ca="1">IF(ISNUMBER(_xll.VoseSimPercentile(Out_Lost,0.8)),_xll.VoseSimPercentile(Out_Lost,0.8),NA())</f>
        <v>21.549552145730345</v>
      </c>
    </row>
    <row r="189" spans="2:3" hidden="1" outlineLevel="1" x14ac:dyDescent="0.45">
      <c r="B189" s="64">
        <v>0.81</v>
      </c>
      <c r="C189" s="63" cm="1">
        <f t="array" aca="1" ref="C189" ca="1">IF(ISNUMBER(_xll.VoseSimPercentile(Out_Lost,0.81)),_xll.VoseSimPercentile(Out_Lost,0.81),NA())</f>
        <v>22.700123295144763</v>
      </c>
    </row>
    <row r="190" spans="2:3" hidden="1" outlineLevel="1" x14ac:dyDescent="0.45">
      <c r="B190" s="64">
        <v>0.82</v>
      </c>
      <c r="C190" s="63" cm="1">
        <f t="array" aca="1" ref="C190" ca="1">IF(ISNUMBER(_xll.VoseSimPercentile(Out_Lost,0.82)),_xll.VoseSimPercentile(Out_Lost,0.82),NA())</f>
        <v>24.058908097960263</v>
      </c>
    </row>
    <row r="191" spans="2:3" hidden="1" outlineLevel="1" x14ac:dyDescent="0.45">
      <c r="B191" s="64">
        <v>0.83</v>
      </c>
      <c r="C191" s="63" cm="1">
        <f t="array" aca="1" ref="C191" ca="1">IF(ISNUMBER(_xll.VoseSimPercentile(Out_Lost,0.83)),_xll.VoseSimPercentile(Out_Lost,0.83),NA())</f>
        <v>25.404599327318003</v>
      </c>
    </row>
    <row r="192" spans="2:3" hidden="1" outlineLevel="1" x14ac:dyDescent="0.45">
      <c r="B192" s="64">
        <v>0.84</v>
      </c>
      <c r="C192" s="63" cm="1">
        <f t="array" aca="1" ref="C192" ca="1">IF(ISNUMBER(_xll.VoseSimPercentile(Out_Lost,0.84)),_xll.VoseSimPercentile(Out_Lost,0.84),NA())</f>
        <v>26.773100667914768</v>
      </c>
    </row>
    <row r="193" spans="2:3" hidden="1" outlineLevel="1" x14ac:dyDescent="0.45">
      <c r="B193" s="64">
        <v>0.85</v>
      </c>
      <c r="C193" s="63" cm="1">
        <f t="array" aca="1" ref="C193" ca="1">IF(ISNUMBER(_xll.VoseSimPercentile(Out_Lost,0.85)),_xll.VoseSimPercentile(Out_Lost,0.85),NA())</f>
        <v>28.408168333597025</v>
      </c>
    </row>
    <row r="194" spans="2:3" hidden="1" outlineLevel="1" x14ac:dyDescent="0.45">
      <c r="B194" s="64">
        <v>0.86</v>
      </c>
      <c r="C194" s="63" cm="1">
        <f t="array" aca="1" ref="C194" ca="1">IF(ISNUMBER(_xll.VoseSimPercentile(Out_Lost,0.86)),_xll.VoseSimPercentile(Out_Lost,0.86),NA())</f>
        <v>30.496498321796544</v>
      </c>
    </row>
    <row r="195" spans="2:3" hidden="1" outlineLevel="1" x14ac:dyDescent="0.45">
      <c r="B195" s="64">
        <v>0.87</v>
      </c>
      <c r="C195" s="63" cm="1">
        <f t="array" aca="1" ref="C195" ca="1">IF(ISNUMBER(_xll.VoseSimPercentile(Out_Lost,0.87)),_xll.VoseSimPercentile(Out_Lost,0.87),NA())</f>
        <v>32.28357667292164</v>
      </c>
    </row>
    <row r="196" spans="2:3" hidden="1" outlineLevel="1" x14ac:dyDescent="0.45">
      <c r="B196" s="64">
        <v>0.88</v>
      </c>
      <c r="C196" s="63" cm="1">
        <f t="array" aca="1" ref="C196" ca="1">IF(ISNUMBER(_xll.VoseSimPercentile(Out_Lost,0.88)),_xll.VoseSimPercentile(Out_Lost,0.88),NA())</f>
        <v>34.424361324521676</v>
      </c>
    </row>
    <row r="197" spans="2:3" hidden="1" outlineLevel="1" x14ac:dyDescent="0.45">
      <c r="B197" s="64">
        <v>0.89</v>
      </c>
      <c r="C197" s="63" cm="1">
        <f t="array" aca="1" ref="C197" ca="1">IF(ISNUMBER(_xll.VoseSimPercentile(Out_Lost,0.89)),_xll.VoseSimPercentile(Out_Lost,0.89),NA())</f>
        <v>36.557124648842581</v>
      </c>
    </row>
    <row r="198" spans="2:3" hidden="1" outlineLevel="1" x14ac:dyDescent="0.45">
      <c r="B198" s="64">
        <v>0.9</v>
      </c>
      <c r="C198" s="63" cm="1">
        <f t="array" aca="1" ref="C198" ca="1">IF(ISNUMBER(_xll.VoseSimPercentile(Out_Lost,0.9)),_xll.VoseSimPercentile(Out_Lost,0.9),NA())</f>
        <v>39.126630201411203</v>
      </c>
    </row>
    <row r="199" spans="2:3" hidden="1" outlineLevel="1" x14ac:dyDescent="0.45">
      <c r="B199" s="64">
        <v>0.91</v>
      </c>
      <c r="C199" s="63" cm="1">
        <f t="array" aca="1" ref="C199" ca="1">IF(ISNUMBER(_xll.VoseSimPercentile(Out_Lost,0.91)),_xll.VoseSimPercentile(Out_Lost,0.91),NA())</f>
        <v>42.038860293907817</v>
      </c>
    </row>
    <row r="200" spans="2:3" hidden="1" outlineLevel="1" x14ac:dyDescent="0.45">
      <c r="B200" s="64">
        <v>0.92</v>
      </c>
      <c r="C200" s="63" cm="1">
        <f t="array" aca="1" ref="C200" ca="1">IF(ISNUMBER(_xll.VoseSimPercentile(Out_Lost,0.92)),_xll.VoseSimPercentile(Out_Lost,0.92),NA())</f>
        <v>45.556821229504898</v>
      </c>
    </row>
    <row r="201" spans="2:3" hidden="1" outlineLevel="1" x14ac:dyDescent="0.45">
      <c r="B201" s="64">
        <v>0.93</v>
      </c>
      <c r="C201" s="63" cm="1">
        <f t="array" aca="1" ref="C201" ca="1">IF(ISNUMBER(_xll.VoseSimPercentile(Out_Lost,0.93)),_xll.VoseSimPercentile(Out_Lost,0.93),NA())</f>
        <v>49.035970679190186</v>
      </c>
    </row>
    <row r="202" spans="2:3" hidden="1" outlineLevel="1" x14ac:dyDescent="0.45">
      <c r="B202" s="64">
        <v>0.94</v>
      </c>
      <c r="C202" s="63" cm="1">
        <f t="array" aca="1" ref="C202" ca="1">IF(ISNUMBER(_xll.VoseSimPercentile(Out_Lost,0.94)),_xll.VoseSimPercentile(Out_Lost,0.94),NA())</f>
        <v>52.944261112848281</v>
      </c>
    </row>
    <row r="203" spans="2:3" hidden="1" outlineLevel="1" x14ac:dyDescent="0.45">
      <c r="B203" s="64">
        <v>0.95</v>
      </c>
      <c r="C203" s="63" cm="1">
        <f t="array" aca="1" ref="C203" ca="1">IF(ISNUMBER(_xll.VoseSimPercentile(Out_Lost,0.95)),_xll.VoseSimPercentile(Out_Lost,0.95),NA())</f>
        <v>58.663487025300199</v>
      </c>
    </row>
    <row r="204" spans="2:3" hidden="1" outlineLevel="1" x14ac:dyDescent="0.45">
      <c r="B204" s="64">
        <v>0.96</v>
      </c>
      <c r="C204" s="63" cm="1">
        <f t="array" aca="1" ref="C204" ca="1">IF(ISNUMBER(_xll.VoseSimPercentile(Out_Lost,0.96)),_xll.VoseSimPercentile(Out_Lost,0.96),NA())</f>
        <v>65.333964533279726</v>
      </c>
    </row>
    <row r="205" spans="2:3" hidden="1" outlineLevel="1" x14ac:dyDescent="0.45">
      <c r="B205" s="64">
        <v>0.97</v>
      </c>
      <c r="C205" s="63" cm="1">
        <f t="array" aca="1" ref="C205" ca="1">IF(ISNUMBER(_xll.VoseSimPercentile(Out_Lost,0.97)),_xll.VoseSimPercentile(Out_Lost,0.97),NA())</f>
        <v>74.277144256561542</v>
      </c>
    </row>
    <row r="206" spans="2:3" hidden="1" outlineLevel="1" x14ac:dyDescent="0.45">
      <c r="B206" s="64">
        <v>0.98</v>
      </c>
      <c r="C206" s="63" cm="1">
        <f t="array" aca="1" ref="C206" ca="1">IF(ISNUMBER(_xll.VoseSimPercentile(Out_Lost,0.98)),_xll.VoseSimPercentile(Out_Lost,0.98),NA())</f>
        <v>91.295345065878692</v>
      </c>
    </row>
    <row r="207" spans="2:3" hidden="1" outlineLevel="1" x14ac:dyDescent="0.45">
      <c r="B207" s="64">
        <v>0.99</v>
      </c>
      <c r="C207" s="63" cm="1">
        <f t="array" aca="1" ref="C207" ca="1">IF(ISNUMBER(_xll.VoseSimPercentile(Out_Lost,0.99)),_xll.VoseSimPercentile(Out_Lost,0.99),NA())</f>
        <v>113.93035827423478</v>
      </c>
    </row>
    <row r="208" spans="2:3" hidden="1" outlineLevel="1" x14ac:dyDescent="0.45">
      <c r="B208" s="64">
        <v>0.995</v>
      </c>
      <c r="C208" s="63" cm="1">
        <f t="array" aca="1" ref="C208" ca="1">IF(ISNUMBER(_xll.VoseSimPercentile(Out_Lost,0.995)),_xll.VoseSimPercentile(Out_Lost,0.995),NA())</f>
        <v>138.75671815359809</v>
      </c>
    </row>
    <row r="209" spans="2:7" hidden="1" outlineLevel="1" x14ac:dyDescent="0.45"/>
    <row r="210" spans="2:7" ht="18" hidden="1" customHeight="1" outlineLevel="1" x14ac:dyDescent="0.45">
      <c r="B210" s="23" t="s">
        <v>263</v>
      </c>
      <c r="C210" s="24" t="s">
        <v>264</v>
      </c>
      <c r="D210" s="24" t="s">
        <v>265</v>
      </c>
      <c r="E210" s="24" t="s">
        <v>266</v>
      </c>
      <c r="F210" s="24" t="s">
        <v>267</v>
      </c>
      <c r="G210" s="24" t="s">
        <v>268</v>
      </c>
    </row>
    <row r="211" spans="2:7" hidden="1" outlineLevel="1" x14ac:dyDescent="0.45">
      <c r="B211" s="65">
        <v>0</v>
      </c>
      <c r="C211" s="63">
        <f ca="1">IF(ISNUMBER($C$108),$C$108+($C$208-$C$108)*0/24,NA())</f>
        <v>0</v>
      </c>
      <c r="D211" s="66">
        <f t="shared" ref="D211:D235" ca="1" si="2">IF(ISNUMBER(C211),MATCH(C211,$C$108:$C$208,1),NA())</f>
        <v>46</v>
      </c>
      <c r="E211" s="63">
        <f t="shared" ref="E211:E234" ca="1" si="3">IF(ISNUMBER(C211),(C211+C212)/2,NA())</f>
        <v>2.8907649615332933</v>
      </c>
      <c r="F211" s="64">
        <f t="shared" ref="F211:F234" ca="1" si="4">IF(ISNUMBER(G212),G212-G211,NA())</f>
        <v>0.13958685292244649</v>
      </c>
      <c r="G211" s="64" cm="1">
        <f t="array" aca="1" ref="G211" ca="1">IF(ISNUMBER(D211),IF(D211&gt;=101,INDEX($B$108:$B$208,101),INDEX($B$108:$B$208,D211)+(C211-INDEX($C$108:$C$208,D211))/MAX(0.000000000001,INDEX($C$108:$C$208,D211+1)-INDEX($C$108:$C$208,D211))*(INDEX($B$108:$B$208,D211+1)-INDEX($B$108:$B$208,D211))),NA())</f>
        <v>0.45</v>
      </c>
    </row>
    <row r="212" spans="2:7" hidden="1" outlineLevel="1" x14ac:dyDescent="0.45">
      <c r="B212" s="65">
        <v>1</v>
      </c>
      <c r="C212" s="63">
        <f ca="1">IF(ISNUMBER($C$108),$C$108+($C$208-$C$108)*1/24,NA())</f>
        <v>5.7815299230665866</v>
      </c>
      <c r="D212" s="66">
        <f t="shared" ca="1" si="2"/>
        <v>59</v>
      </c>
      <c r="E212" s="63">
        <f t="shared" ca="1" si="3"/>
        <v>8.6722948845998804</v>
      </c>
      <c r="F212" s="64">
        <f t="shared" ca="1" si="4"/>
        <v>9.9552906255638507E-2</v>
      </c>
      <c r="G212" s="64" cm="1">
        <f t="array" aca="1" ref="G212" ca="1">IF(ISNUMBER(D212),IF(D212&gt;=101,INDEX($B$108:$B$208,101),INDEX($B$108:$B$208,D212)+(C212-INDEX($C$108:$C$208,D212))/MAX(0.000000000001,INDEX($C$108:$C$208,D212+1)-INDEX($C$108:$C$208,D212))*(INDEX($B$108:$B$208,D212+1)-INDEX($B$108:$B$208,D212))),NA())</f>
        <v>0.5895868529224465</v>
      </c>
    </row>
    <row r="213" spans="2:7" hidden="1" outlineLevel="1" x14ac:dyDescent="0.45">
      <c r="B213" s="65">
        <v>2</v>
      </c>
      <c r="C213" s="63">
        <f ca="1">IF(ISNUMBER($C$108),$C$108+($C$208-$C$108)*2/24,NA())</f>
        <v>11.563059846133173</v>
      </c>
      <c r="D213" s="66">
        <f t="shared" ca="1" si="2"/>
        <v>69</v>
      </c>
      <c r="E213" s="63">
        <f t="shared" ca="1" si="3"/>
        <v>14.453824807666468</v>
      </c>
      <c r="F213" s="64">
        <f t="shared" ca="1" si="4"/>
        <v>7.2117802885912408E-2</v>
      </c>
      <c r="G213" s="64" cm="1">
        <f t="array" aca="1" ref="G213" ca="1">IF(ISNUMBER(D213),IF(D213&gt;=101,INDEX($B$108:$B$208,101),INDEX($B$108:$B$208,D213)+(C213-INDEX($C$108:$C$208,D213))/MAX(0.000000000001,INDEX($C$108:$C$208,D213+1)-INDEX($C$108:$C$208,D213))*(INDEX($B$108:$B$208,D213+1)-INDEX($B$108:$B$208,D213))),NA())</f>
        <v>0.68913975917808501</v>
      </c>
    </row>
    <row r="214" spans="2:7" hidden="1" outlineLevel="1" x14ac:dyDescent="0.45">
      <c r="B214" s="65">
        <v>3</v>
      </c>
      <c r="C214" s="63">
        <f ca="1">IF(ISNUMBER($C$108),$C$108+($C$208-$C$108)*3/24,NA())</f>
        <v>17.344589769199761</v>
      </c>
      <c r="D214" s="66">
        <f t="shared" ca="1" si="2"/>
        <v>77</v>
      </c>
      <c r="E214" s="63">
        <f t="shared" ca="1" si="3"/>
        <v>20.235354730733054</v>
      </c>
      <c r="F214" s="64">
        <f t="shared" ca="1" si="4"/>
        <v>5.1877565707809326E-2</v>
      </c>
      <c r="G214" s="64" cm="1">
        <f t="array" aca="1" ref="G214" ca="1">IF(ISNUMBER(D214),IF(D214&gt;=101,INDEX($B$108:$B$208,101),INDEX($B$108:$B$208,D214)+(C214-INDEX($C$108:$C$208,D214))/MAX(0.000000000001,INDEX($C$108:$C$208,D214+1)-INDEX($C$108:$C$208,D214))*(INDEX($B$108:$B$208,D214+1)-INDEX($B$108:$B$208,D214))),NA())</f>
        <v>0.76125756206399742</v>
      </c>
    </row>
    <row r="215" spans="2:7" hidden="1" outlineLevel="1" x14ac:dyDescent="0.45">
      <c r="B215" s="65">
        <v>4</v>
      </c>
      <c r="C215" s="63">
        <f ca="1">IF(ISNUMBER($C$108),$C$108+($C$208-$C$108)*4/24,NA())</f>
        <v>23.126119692266347</v>
      </c>
      <c r="D215" s="66">
        <f t="shared" ca="1" si="2"/>
        <v>82</v>
      </c>
      <c r="E215" s="63">
        <f t="shared" ca="1" si="3"/>
        <v>26.016884653799639</v>
      </c>
      <c r="F215" s="64">
        <f t="shared" ca="1" si="4"/>
        <v>3.9256645963945291E-2</v>
      </c>
      <c r="G215" s="64" cm="1">
        <f t="array" aca="1" ref="G215" ca="1">IF(ISNUMBER(D215),IF(D215&gt;=101,INDEX($B$108:$B$208,101),INDEX($B$108:$B$208,D215)+(C215-INDEX($C$108:$C$208,D215))/MAX(0.000000000001,INDEX($C$108:$C$208,D215+1)-INDEX($C$108:$C$208,D215))*(INDEX($B$108:$B$208,D215+1)-INDEX($B$108:$B$208,D215))),NA())</f>
        <v>0.81313512777180674</v>
      </c>
    </row>
    <row r="216" spans="2:7" hidden="1" outlineLevel="1" x14ac:dyDescent="0.45">
      <c r="B216" s="65">
        <v>5</v>
      </c>
      <c r="C216" s="63">
        <f ca="1">IF(ISNUMBER($C$108),$C$108+($C$208-$C$108)*5/24,NA())</f>
        <v>28.907649615332932</v>
      </c>
      <c r="D216" s="66">
        <f t="shared" ca="1" si="2"/>
        <v>86</v>
      </c>
      <c r="E216" s="63">
        <f t="shared" ca="1" si="3"/>
        <v>31.798414576866229</v>
      </c>
      <c r="F216" s="64">
        <f t="shared" ca="1" si="4"/>
        <v>2.8849893404985005E-2</v>
      </c>
      <c r="G216" s="64" cm="1">
        <f t="array" aca="1" ref="G216" ca="1">IF(ISNUMBER(D216),IF(D216&gt;=101,INDEX($B$108:$B$208,101),INDEX($B$108:$B$208,D216)+(C216-INDEX($C$108:$C$208,D216))/MAX(0.000000000001,INDEX($C$108:$C$208,D216+1)-INDEX($C$108:$C$208,D216))*(INDEX($B$108:$B$208,D216+1)-INDEX($B$108:$B$208,D216))),NA())</f>
        <v>0.85239177373575203</v>
      </c>
    </row>
    <row r="217" spans="2:7" hidden="1" outlineLevel="1" x14ac:dyDescent="0.45">
      <c r="B217" s="65">
        <v>6</v>
      </c>
      <c r="C217" s="63">
        <f ca="1">IF(ISNUMBER($C$108),$C$108+($C$208-$C$108)*6/24,NA())</f>
        <v>34.689179538399522</v>
      </c>
      <c r="D217" s="66">
        <f t="shared" ca="1" si="2"/>
        <v>89</v>
      </c>
      <c r="E217" s="63">
        <f t="shared" ca="1" si="3"/>
        <v>37.579944499932814</v>
      </c>
      <c r="F217" s="64">
        <f t="shared" ca="1" si="4"/>
        <v>2.3373624980300822E-2</v>
      </c>
      <c r="G217" s="64" cm="1">
        <f t="array" aca="1" ref="G217" ca="1">IF(ISNUMBER(D217),IF(D217&gt;=101,INDEX($B$108:$B$208,101),INDEX($B$108:$B$208,D217)+(C217-INDEX($C$108:$C$208,D217))/MAX(0.000000000001,INDEX($C$108:$C$208,D217+1)-INDEX($C$108:$C$208,D217))*(INDEX($B$108:$B$208,D217+1)-INDEX($B$108:$B$208,D217))),NA())</f>
        <v>0.88124166714073704</v>
      </c>
    </row>
    <row r="218" spans="2:7" hidden="1" outlineLevel="1" x14ac:dyDescent="0.45">
      <c r="B218" s="65">
        <v>7</v>
      </c>
      <c r="C218" s="63">
        <f ca="1">IF(ISNUMBER($C$108),$C$108+($C$208-$C$108)*7/24,NA())</f>
        <v>40.470709461466107</v>
      </c>
      <c r="D218" s="66">
        <f t="shared" ca="1" si="2"/>
        <v>91</v>
      </c>
      <c r="E218" s="63">
        <f t="shared" ca="1" si="3"/>
        <v>43.3614744229994</v>
      </c>
      <c r="F218" s="64">
        <f t="shared" ca="1" si="4"/>
        <v>1.7383524443426501E-2</v>
      </c>
      <c r="G218" s="64" cm="1">
        <f t="array" aca="1" ref="G218" ca="1">IF(ISNUMBER(D218),IF(D218&gt;=101,INDEX($B$108:$B$208,101),INDEX($B$108:$B$208,D218)+(C218-INDEX($C$108:$C$208,D218))/MAX(0.000000000001,INDEX($C$108:$C$208,D218+1)-INDEX($C$108:$C$208,D218))*(INDEX($B$108:$B$208,D218+1)-INDEX($B$108:$B$208,D218))),NA())</f>
        <v>0.90461529212103786</v>
      </c>
    </row>
    <row r="219" spans="2:7" hidden="1" outlineLevel="1" x14ac:dyDescent="0.45">
      <c r="B219" s="65">
        <v>8</v>
      </c>
      <c r="C219" s="63">
        <f ca="1">IF(ISNUMBER($C$108),$C$108+($C$208-$C$108)*8/24,NA())</f>
        <v>46.252239384532693</v>
      </c>
      <c r="D219" s="66">
        <f t="shared" ca="1" si="2"/>
        <v>93</v>
      </c>
      <c r="E219" s="63">
        <f t="shared" ca="1" si="3"/>
        <v>49.143004346065986</v>
      </c>
      <c r="F219" s="64">
        <f t="shared" ca="1" si="4"/>
        <v>1.567154130503301E-2</v>
      </c>
      <c r="G219" s="64" cm="1">
        <f t="array" aca="1" ref="G219" ca="1">IF(ISNUMBER(D219),IF(D219&gt;=101,INDEX($B$108:$B$208,101),INDEX($B$108:$B$208,D219)+(C219-INDEX($C$108:$C$208,D219))/MAX(0.000000000001,INDEX($C$108:$C$208,D219+1)-INDEX($C$108:$C$208,D219))*(INDEX($B$108:$B$208,D219+1)-INDEX($B$108:$B$208,D219))),NA())</f>
        <v>0.92199881656446436</v>
      </c>
    </row>
    <row r="220" spans="2:7" hidden="1" outlineLevel="1" x14ac:dyDescent="0.45">
      <c r="B220" s="65">
        <v>9</v>
      </c>
      <c r="C220" s="63">
        <f ca="1">IF(ISNUMBER($C$108),$C$108+($C$208-$C$108)*9/24,NA())</f>
        <v>52.033769307599279</v>
      </c>
      <c r="D220" s="66">
        <f t="shared" ca="1" si="2"/>
        <v>94</v>
      </c>
      <c r="E220" s="63">
        <f t="shared" ca="1" si="3"/>
        <v>54.924534269132572</v>
      </c>
      <c r="F220" s="64">
        <f t="shared" ca="1" si="4"/>
        <v>1.0846595635018552E-2</v>
      </c>
      <c r="G220" s="64" cm="1">
        <f t="array" aca="1" ref="G220" ca="1">IF(ISNUMBER(D220),IF(D220&gt;=101,INDEX($B$108:$B$208,101),INDEX($B$108:$B$208,D220)+(C220-INDEX($C$108:$C$208,D220))/MAX(0.000000000001,INDEX($C$108:$C$208,D220+1)-INDEX($C$108:$C$208,D220))*(INDEX($B$108:$B$208,D220+1)-INDEX($B$108:$B$208,D220))),NA())</f>
        <v>0.93767035786949737</v>
      </c>
    </row>
    <row r="221" spans="2:7" hidden="1" outlineLevel="1" x14ac:dyDescent="0.45">
      <c r="B221" s="65">
        <v>10</v>
      </c>
      <c r="C221" s="63">
        <f ca="1">IF(ISNUMBER($C$108),$C$108+($C$208-$C$108)*10/24,NA())</f>
        <v>57.815299230665865</v>
      </c>
      <c r="D221" s="66">
        <f t="shared" ca="1" si="2"/>
        <v>95</v>
      </c>
      <c r="E221" s="63">
        <f t="shared" ca="1" si="3"/>
        <v>60.706064192199158</v>
      </c>
      <c r="F221" s="64">
        <f t="shared" ca="1" si="4"/>
        <v>8.8788320633549356E-3</v>
      </c>
      <c r="G221" s="64" cm="1">
        <f t="array" aca="1" ref="G221" ca="1">IF(ISNUMBER(D221),IF(D221&gt;=101,INDEX($B$108:$B$208,101),INDEX($B$108:$B$208,D221)+(C221-INDEX($C$108:$C$208,D221))/MAX(0.000000000001,INDEX($C$108:$C$208,D221+1)-INDEX($C$108:$C$208,D221))*(INDEX($B$108:$B$208,D221+1)-INDEX($B$108:$B$208,D221))),NA())</f>
        <v>0.94851695350451593</v>
      </c>
    </row>
    <row r="222" spans="2:7" hidden="1" outlineLevel="1" x14ac:dyDescent="0.45">
      <c r="B222" s="65">
        <v>11</v>
      </c>
      <c r="C222" s="63">
        <f ca="1">IF(ISNUMBER($C$108),$C$108+($C$208-$C$108)*11/24,NA())</f>
        <v>63.59682915373245</v>
      </c>
      <c r="D222" s="66">
        <f t="shared" ca="1" si="2"/>
        <v>96</v>
      </c>
      <c r="E222" s="63">
        <f t="shared" ca="1" si="3"/>
        <v>66.48759411526575</v>
      </c>
      <c r="F222" s="64">
        <f t="shared" ca="1" si="4"/>
        <v>7.1265372173802133E-3</v>
      </c>
      <c r="G222" s="64" cm="1">
        <f t="array" aca="1" ref="G222" ca="1">IF(ISNUMBER(D222),IF(D222&gt;=101,INDEX($B$108:$B$208,101),INDEX($B$108:$B$208,D222)+(C222-INDEX($C$108:$C$208,D222))/MAX(0.000000000001,INDEX($C$108:$C$208,D222+1)-INDEX($C$108:$C$208,D222))*(INDEX($B$108:$B$208,D222+1)-INDEX($B$108:$B$208,D222))),NA())</f>
        <v>0.95739578556787086</v>
      </c>
    </row>
    <row r="223" spans="2:7" hidden="1" outlineLevel="1" x14ac:dyDescent="0.45">
      <c r="B223" s="65">
        <v>12</v>
      </c>
      <c r="C223" s="63">
        <f ca="1">IF(ISNUMBER($C$108),$C$108+($C$208-$C$108)*12/24,NA())</f>
        <v>69.378359076799043</v>
      </c>
      <c r="D223" s="66">
        <f t="shared" ca="1" si="2"/>
        <v>97</v>
      </c>
      <c r="E223" s="63">
        <f t="shared" ca="1" si="3"/>
        <v>72.269124038332336</v>
      </c>
      <c r="F223" s="64">
        <f t="shared" ca="1" si="4"/>
        <v>5.9963834829348528E-3</v>
      </c>
      <c r="G223" s="64" cm="1">
        <f t="array" aca="1" ref="G223" ca="1">IF(ISNUMBER(D223),IF(D223&gt;=101,INDEX($B$108:$B$208,101),INDEX($B$108:$B$208,D223)+(C223-INDEX($C$108:$C$208,D223))/MAX(0.000000000001,INDEX($C$108:$C$208,D223+1)-INDEX($C$108:$C$208,D223))*(INDEX($B$108:$B$208,D223+1)-INDEX($B$108:$B$208,D223))),NA())</f>
        <v>0.96452232278525107</v>
      </c>
    </row>
    <row r="224" spans="2:7" hidden="1" outlineLevel="1" x14ac:dyDescent="0.45">
      <c r="B224" s="65">
        <v>13</v>
      </c>
      <c r="C224" s="63">
        <f ca="1">IF(ISNUMBER($C$108),$C$108+($C$208-$C$108)*13/24,NA())</f>
        <v>75.159888999865629</v>
      </c>
      <c r="D224" s="66">
        <f t="shared" ca="1" si="2"/>
        <v>98</v>
      </c>
      <c r="E224" s="63">
        <f t="shared" ca="1" si="3"/>
        <v>78.050653961398922</v>
      </c>
      <c r="F224" s="64">
        <f t="shared" ca="1" si="4"/>
        <v>3.3972627235080433E-3</v>
      </c>
      <c r="G224" s="64" cm="1">
        <f t="array" aca="1" ref="G224" ca="1">IF(ISNUMBER(D224),IF(D224&gt;=101,INDEX($B$108:$B$208,101),INDEX($B$108:$B$208,D224)+(C224-INDEX($C$108:$C$208,D224))/MAX(0.000000000001,INDEX($C$108:$C$208,D224+1)-INDEX($C$108:$C$208,D224))*(INDEX($B$108:$B$208,D224+1)-INDEX($B$108:$B$208,D224))),NA())</f>
        <v>0.97051870626818593</v>
      </c>
    </row>
    <row r="225" spans="2:7" hidden="1" outlineLevel="1" x14ac:dyDescent="0.45">
      <c r="B225" s="65">
        <v>14</v>
      </c>
      <c r="C225" s="63">
        <f ca="1">IF(ISNUMBER($C$108),$C$108+($C$208-$C$108)*14/24,NA())</f>
        <v>80.941418922932215</v>
      </c>
      <c r="D225" s="66">
        <f t="shared" ca="1" si="2"/>
        <v>98</v>
      </c>
      <c r="E225" s="63">
        <f t="shared" ca="1" si="3"/>
        <v>83.832183884465508</v>
      </c>
      <c r="F225" s="64">
        <f t="shared" ca="1" si="4"/>
        <v>3.3972627235079322E-3</v>
      </c>
      <c r="G225" s="64" cm="1">
        <f t="array" aca="1" ref="G225" ca="1">IF(ISNUMBER(D225),IF(D225&gt;=101,INDEX($B$108:$B$208,101),INDEX($B$108:$B$208,D225)+(C225-INDEX($C$108:$C$208,D225))/MAX(0.000000000001,INDEX($C$108:$C$208,D225+1)-INDEX($C$108:$C$208,D225))*(INDEX($B$108:$B$208,D225+1)-INDEX($B$108:$B$208,D225))),NA())</f>
        <v>0.97391596899169397</v>
      </c>
    </row>
    <row r="226" spans="2:7" hidden="1" outlineLevel="1" x14ac:dyDescent="0.45">
      <c r="B226" s="65">
        <v>15</v>
      </c>
      <c r="C226" s="63">
        <f ca="1">IF(ISNUMBER($C$108),$C$108+($C$208-$C$108)*15/24,NA())</f>
        <v>86.7229488459988</v>
      </c>
      <c r="D226" s="66">
        <f t="shared" ca="1" si="2"/>
        <v>98</v>
      </c>
      <c r="E226" s="63">
        <f t="shared" ca="1" si="3"/>
        <v>89.613713807532093</v>
      </c>
      <c r="F226" s="64">
        <f t="shared" ca="1" si="4"/>
        <v>3.2209556042648302E-3</v>
      </c>
      <c r="G226" s="64" cm="1">
        <f t="array" aca="1" ref="G226" ca="1">IF(ISNUMBER(D226),IF(D226&gt;=101,INDEX($B$108:$B$208,101),INDEX($B$108:$B$208,D226)+(C226-INDEX($C$108:$C$208,D226))/MAX(0.000000000001,INDEX($C$108:$C$208,D226+1)-INDEX($C$108:$C$208,D226))*(INDEX($B$108:$B$208,D226+1)-INDEX($B$108:$B$208,D226))),NA())</f>
        <v>0.9773132317152019</v>
      </c>
    </row>
    <row r="227" spans="2:7" hidden="1" outlineLevel="1" x14ac:dyDescent="0.45">
      <c r="B227" s="65">
        <v>16</v>
      </c>
      <c r="C227" s="63">
        <f ca="1">IF(ISNUMBER($C$108),$C$108+($C$208-$C$108)*16/24,NA())</f>
        <v>92.504478769065386</v>
      </c>
      <c r="D227" s="66">
        <f t="shared" ca="1" si="2"/>
        <v>99</v>
      </c>
      <c r="E227" s="63">
        <f t="shared" ca="1" si="3"/>
        <v>95.395243730598679</v>
      </c>
      <c r="F227" s="64">
        <f t="shared" ca="1" si="4"/>
        <v>2.5542419038361297E-3</v>
      </c>
      <c r="G227" s="64" cm="1">
        <f t="array" aca="1" ref="G227" ca="1">IF(ISNUMBER(D227),IF(D227&gt;=101,INDEX($B$108:$B$208,101),INDEX($B$108:$B$208,D227)+(C227-INDEX($C$108:$C$208,D227))/MAX(0.000000000001,INDEX($C$108:$C$208,D227+1)-INDEX($C$108:$C$208,D227))*(INDEX($B$108:$B$208,D227+1)-INDEX($B$108:$B$208,D227))),NA())</f>
        <v>0.98053418731946673</v>
      </c>
    </row>
    <row r="228" spans="2:7" hidden="1" outlineLevel="1" x14ac:dyDescent="0.45">
      <c r="B228" s="65">
        <v>17</v>
      </c>
      <c r="C228" s="63">
        <f ca="1">IF(ISNUMBER($C$108),$C$108+($C$208-$C$108)*17/24,NA())</f>
        <v>98.286008692131986</v>
      </c>
      <c r="D228" s="66">
        <f t="shared" ca="1" si="2"/>
        <v>99</v>
      </c>
      <c r="E228" s="63">
        <f t="shared" ca="1" si="3"/>
        <v>101.17677365366526</v>
      </c>
      <c r="F228" s="64">
        <f t="shared" ca="1" si="4"/>
        <v>2.5542419038360187E-3</v>
      </c>
      <c r="G228" s="64" cm="1">
        <f t="array" aca="1" ref="G228" ca="1">IF(ISNUMBER(D228),IF(D228&gt;=101,INDEX($B$108:$B$208,101),INDEX($B$108:$B$208,D228)+(C228-INDEX($C$108:$C$208,D228))/MAX(0.000000000001,INDEX($C$108:$C$208,D228+1)-INDEX($C$108:$C$208,D228))*(INDEX($B$108:$B$208,D228+1)-INDEX($B$108:$B$208,D228))),NA())</f>
        <v>0.98308842922330286</v>
      </c>
    </row>
    <row r="229" spans="2:7" hidden="1" outlineLevel="1" x14ac:dyDescent="0.45">
      <c r="B229" s="65">
        <v>18</v>
      </c>
      <c r="C229" s="63">
        <f ca="1">IF(ISNUMBER($C$108),$C$108+($C$208-$C$108)*18/24,NA())</f>
        <v>104.06753861519856</v>
      </c>
      <c r="D229" s="66">
        <f t="shared" ca="1" si="2"/>
        <v>99</v>
      </c>
      <c r="E229" s="63">
        <f t="shared" ca="1" si="3"/>
        <v>106.95830357673185</v>
      </c>
      <c r="F229" s="64">
        <f t="shared" ca="1" si="4"/>
        <v>2.5542419038361297E-3</v>
      </c>
      <c r="G229" s="64" cm="1">
        <f t="array" aca="1" ref="G229" ca="1">IF(ISNUMBER(D229),IF(D229&gt;=101,INDEX($B$108:$B$208,101),INDEX($B$108:$B$208,D229)+(C229-INDEX($C$108:$C$208,D229))/MAX(0.000000000001,INDEX($C$108:$C$208,D229+1)-INDEX($C$108:$C$208,D229))*(INDEX($B$108:$B$208,D229+1)-INDEX($B$108:$B$208,D229))),NA())</f>
        <v>0.98564267112713888</v>
      </c>
    </row>
    <row r="230" spans="2:7" hidden="1" outlineLevel="1" x14ac:dyDescent="0.45">
      <c r="B230" s="65">
        <v>19</v>
      </c>
      <c r="C230" s="63">
        <f ca="1">IF(ISNUMBER($C$108),$C$108+($C$208-$C$108)*19/24,NA())</f>
        <v>109.84906853826516</v>
      </c>
      <c r="D230" s="66">
        <f t="shared" ca="1" si="2"/>
        <v>99</v>
      </c>
      <c r="E230" s="63">
        <f t="shared" ca="1" si="3"/>
        <v>112.73983349979844</v>
      </c>
      <c r="F230" s="64">
        <f t="shared" ca="1" si="4"/>
        <v>2.1455133648717872E-3</v>
      </c>
      <c r="G230" s="64" cm="1">
        <f t="array" aca="1" ref="G230" ca="1">IF(ISNUMBER(D230),IF(D230&gt;=101,INDEX($B$108:$B$208,101),INDEX($B$108:$B$208,D230)+(C230-INDEX($C$108:$C$208,D230))/MAX(0.000000000001,INDEX($C$108:$C$208,D230+1)-INDEX($C$108:$C$208,D230))*(INDEX($B$108:$B$208,D230+1)-INDEX($B$108:$B$208,D230))),NA())</f>
        <v>0.98819691303097501</v>
      </c>
    </row>
    <row r="231" spans="2:7" hidden="1" outlineLevel="1" x14ac:dyDescent="0.45">
      <c r="B231" s="65">
        <v>20</v>
      </c>
      <c r="C231" s="63">
        <f ca="1">IF(ISNUMBER($C$108),$C$108+($C$208-$C$108)*20/24,NA())</f>
        <v>115.63059846133173</v>
      </c>
      <c r="D231" s="66">
        <f t="shared" ca="1" si="2"/>
        <v>100</v>
      </c>
      <c r="E231" s="63">
        <f t="shared" ca="1" si="3"/>
        <v>118.52136342286502</v>
      </c>
      <c r="F231" s="64">
        <f t="shared" ca="1" si="4"/>
        <v>1.164393401038244E-3</v>
      </c>
      <c r="G231" s="64" cm="1">
        <f t="array" aca="1" ref="G231" ca="1">IF(ISNUMBER(D231),IF(D231&gt;=101,INDEX($B$108:$B$208,101),INDEX($B$108:$B$208,D231)+(C231-INDEX($C$108:$C$208,D231))/MAX(0.000000000001,INDEX($C$108:$C$208,D231+1)-INDEX($C$108:$C$208,D231))*(INDEX($B$108:$B$208,D231+1)-INDEX($B$108:$B$208,D231))),NA())</f>
        <v>0.9903424263958468</v>
      </c>
    </row>
    <row r="232" spans="2:7" hidden="1" outlineLevel="1" x14ac:dyDescent="0.45">
      <c r="B232" s="65">
        <v>21</v>
      </c>
      <c r="C232" s="63">
        <f ca="1">IF(ISNUMBER($C$108),$C$108+($C$208-$C$108)*21/24,NA())</f>
        <v>121.41212838439833</v>
      </c>
      <c r="D232" s="66">
        <f t="shared" ca="1" si="2"/>
        <v>100</v>
      </c>
      <c r="E232" s="63">
        <f t="shared" ca="1" si="3"/>
        <v>124.30289334593161</v>
      </c>
      <c r="F232" s="64">
        <f t="shared" ca="1" si="4"/>
        <v>1.164393401038355E-3</v>
      </c>
      <c r="G232" s="64" cm="1">
        <f t="array" aca="1" ref="G232" ca="1">IF(ISNUMBER(D232),IF(D232&gt;=101,INDEX($B$108:$B$208,101),INDEX($B$108:$B$208,D232)+(C232-INDEX($C$108:$C$208,D232))/MAX(0.000000000001,INDEX($C$108:$C$208,D232+1)-INDEX($C$108:$C$208,D232))*(INDEX($B$108:$B$208,D232+1)-INDEX($B$108:$B$208,D232))),NA())</f>
        <v>0.99150681979688504</v>
      </c>
    </row>
    <row r="233" spans="2:7" hidden="1" outlineLevel="1" x14ac:dyDescent="0.45">
      <c r="B233" s="65">
        <v>22</v>
      </c>
      <c r="C233" s="63">
        <f ca="1">IF(ISNUMBER($C$108),$C$108+($C$208-$C$108)*22/24,NA())</f>
        <v>127.1936583074649</v>
      </c>
      <c r="D233" s="66">
        <f t="shared" ca="1" si="2"/>
        <v>100</v>
      </c>
      <c r="E233" s="63">
        <f t="shared" ca="1" si="3"/>
        <v>130.08442326899819</v>
      </c>
      <c r="F233" s="64">
        <f t="shared" ca="1" si="4"/>
        <v>1.164393401038244E-3</v>
      </c>
      <c r="G233" s="64" cm="1">
        <f t="array" aca="1" ref="G233" ca="1">IF(ISNUMBER(D233),IF(D233&gt;=101,INDEX($B$108:$B$208,101),INDEX($B$108:$B$208,D233)+(C233-INDEX($C$108:$C$208,D233))/MAX(0.000000000001,INDEX($C$108:$C$208,D233+1)-INDEX($C$108:$C$208,D233))*(INDEX($B$108:$B$208,D233+1)-INDEX($B$108:$B$208,D233))),NA())</f>
        <v>0.9926712131979234</v>
      </c>
    </row>
    <row r="234" spans="2:7" hidden="1" outlineLevel="1" x14ac:dyDescent="0.45">
      <c r="B234" s="65">
        <v>23</v>
      </c>
      <c r="C234" s="63">
        <f ca="1">IF(ISNUMBER($C$108),$C$108+($C$208-$C$108)*23/24,NA())</f>
        <v>132.9751882305315</v>
      </c>
      <c r="D234" s="66">
        <f t="shared" ca="1" si="2"/>
        <v>100</v>
      </c>
      <c r="E234" s="63">
        <f t="shared" ca="1" si="3"/>
        <v>135.86595319206481</v>
      </c>
      <c r="F234" s="64">
        <f t="shared" ca="1" si="4"/>
        <v>1.164393401038355E-3</v>
      </c>
      <c r="G234" s="64" cm="1">
        <f t="array" aca="1" ref="G234" ca="1">IF(ISNUMBER(D234),IF(D234&gt;=101,INDEX($B$108:$B$208,101),INDEX($B$108:$B$208,D234)+(C234-INDEX($C$108:$C$208,D234))/MAX(0.000000000001,INDEX($C$108:$C$208,D234+1)-INDEX($C$108:$C$208,D234))*(INDEX($B$108:$B$208,D234+1)-INDEX($B$108:$B$208,D234))),NA())</f>
        <v>0.99383560659896164</v>
      </c>
    </row>
    <row r="235" spans="2:7" hidden="1" outlineLevel="1" x14ac:dyDescent="0.45">
      <c r="B235" s="65">
        <v>24</v>
      </c>
      <c r="C235" s="63">
        <f ca="1">IF(ISNUMBER($C$108),$C$108+($C$208-$C$108)*24/24,NA())</f>
        <v>138.75671815359809</v>
      </c>
      <c r="D235" s="66">
        <f t="shared" ca="1" si="2"/>
        <v>101</v>
      </c>
      <c r="G235" s="64" cm="1">
        <f t="array" aca="1" ref="G235" ca="1">IF(ISNUMBER(D235),IF(D235&gt;=101,INDEX($B$108:$B$208,101),INDEX($B$108:$B$208,D235)+(C235-INDEX($C$108:$C$208,D235))/MAX(0.000000000001,INDEX($C$108:$C$208,D235+1)-INDEX($C$108:$C$208,D235))*(INDEX($B$108:$B$208,D235+1)-INDEX($B$108:$B$208,D235))),NA())</f>
        <v>0.995</v>
      </c>
    </row>
    <row r="236" spans="2:7" hidden="1" outlineLevel="1" x14ac:dyDescent="0.45"/>
    <row r="237" spans="2:7" ht="28.05" hidden="1" customHeight="1" outlineLevel="1" x14ac:dyDescent="0.45">
      <c r="B237" s="24" t="s">
        <v>269</v>
      </c>
      <c r="C237" s="24" t="s">
        <v>270</v>
      </c>
      <c r="D237" s="24" t="s">
        <v>271</v>
      </c>
      <c r="E237" s="24" t="s">
        <v>272</v>
      </c>
      <c r="F237" s="24" t="s">
        <v>273</v>
      </c>
      <c r="G237" s="24" t="s">
        <v>274</v>
      </c>
    </row>
    <row r="238" spans="2:7" hidden="1" outlineLevel="1" x14ac:dyDescent="0.45">
      <c r="B238" s="67">
        <v>2</v>
      </c>
      <c r="C238" s="64">
        <f t="shared" ref="C238:C245" si="5">1-1/B238</f>
        <v>0.5</v>
      </c>
      <c r="D238" s="63" cm="1">
        <f t="array" aca="1" ref="D238" ca="1">IF(ISNUMBER(_xll.VoseSimPercentile(Out_Cost_Base,$C238)),_xll.VoseSimPercentile(Out_Cost_Base,$C238),NA())</f>
        <v>0.49190846445184588</v>
      </c>
      <c r="E238" s="63" cm="1">
        <f t="array" aca="1" ref="E238" ca="1">IF(ISNUMBER(_xll.VoseSimPercentile(Out_Cost_Stock,$C238)),_xll.VoseSimPercentile(Out_Cost_Stock,$C238),NA())</f>
        <v>0.75</v>
      </c>
      <c r="F238" s="63" cm="1">
        <f t="array" aca="1" ref="F238" ca="1">IF(ISNUMBER(_xll.VoseSimPercentile(Out_Cost_Dual,$C238)),_xll.VoseSimPercentile(Out_Cost_Dual,$C238),NA())</f>
        <v>0.6</v>
      </c>
      <c r="G238" s="63" cm="1">
        <f t="array" aca="1" ref="G238" ca="1">IF(ISNUMBER(_xll.VoseSimPercentile(Out_Cost_Ins,$C238)),_xll.VoseSimPercentile(Out_Cost_Ins,$C238),NA())</f>
        <v>2.4919084644518459</v>
      </c>
    </row>
    <row r="239" spans="2:7" hidden="1" outlineLevel="1" x14ac:dyDescent="0.45">
      <c r="B239" s="67">
        <v>5</v>
      </c>
      <c r="C239" s="64">
        <f t="shared" si="5"/>
        <v>0.8</v>
      </c>
      <c r="D239" s="63" cm="1">
        <f t="array" aca="1" ref="D239" ca="1">IF(ISNUMBER(_xll.VoseSimPercentile(Out_Cost_Base,$C239)),_xll.VoseSimPercentile(Out_Cost_Base,$C239),NA())</f>
        <v>5.3873880364325863</v>
      </c>
      <c r="E239" s="63" cm="1">
        <f t="array" aca="1" ref="E239" ca="1">IF(ISNUMBER(_xll.VoseSimPercentile(Out_Cost_Stock,$C239)),_xll.VoseSimPercentile(Out_Cost_Stock,$C239),NA())</f>
        <v>1.0280265597387923</v>
      </c>
      <c r="F239" s="63" cm="1">
        <f t="array" aca="1" ref="F239" ca="1">IF(ISNUMBER(_xll.VoseSimPercentile(Out_Cost_Dual,$C239)),_xll.VoseSimPercentile(Out_Cost_Dual,$C239),NA())</f>
        <v>3.7183219802137897</v>
      </c>
      <c r="G239" s="63" cm="1">
        <f t="array" aca="1" ref="G239" ca="1">IF(ISNUMBER(_xll.VoseSimPercentile(Out_Cost_Ins,$C239)),_xll.VoseSimPercentile(Out_Cost_Ins,$C239),NA())</f>
        <v>4.5</v>
      </c>
    </row>
    <row r="240" spans="2:7" hidden="1" outlineLevel="1" x14ac:dyDescent="0.45">
      <c r="B240" s="67">
        <v>10</v>
      </c>
      <c r="C240" s="64">
        <f t="shared" si="5"/>
        <v>0.9</v>
      </c>
      <c r="D240" s="63" cm="1">
        <f t="array" aca="1" ref="D240" ca="1">IF(ISNUMBER(_xll.VoseSimPercentile(Out_Cost_Base,$C240)),_xll.VoseSimPercentile(Out_Cost_Base,$C240),NA())</f>
        <v>9.7816575503528007</v>
      </c>
      <c r="E240" s="63" cm="1">
        <f t="array" aca="1" ref="E240" ca="1">IF(ISNUMBER(_xll.VoseSimPercentile(Out_Cost_Stock,$C240)),_xll.VoseSimPercentile(Out_Cost_Stock,$C240),NA())</f>
        <v>4.0540908328528769</v>
      </c>
      <c r="F240" s="63" cm="1">
        <f t="array" aca="1" ref="F240" ca="1">IF(ISNUMBER(_xll.VoseSimPercentile(Out_Cost_Dual,$C240)),_xll.VoseSimPercentile(Out_Cost_Dual,$C240),NA())</f>
        <v>6.9541891964619991</v>
      </c>
      <c r="G240" s="63" cm="1">
        <f t="array" aca="1" ref="G240" ca="1">IF(ISNUMBER(_xll.VoseSimPercentile(Out_Cost_Ins,$C240)),_xll.VoseSimPercentile(Out_Cost_Ins,$C240),NA())</f>
        <v>6.211381365852735</v>
      </c>
    </row>
    <row r="241" spans="2:7" hidden="1" outlineLevel="1" x14ac:dyDescent="0.45">
      <c r="B241" s="67">
        <v>20</v>
      </c>
      <c r="C241" s="64">
        <f t="shared" si="5"/>
        <v>0.95</v>
      </c>
      <c r="D241" s="63" cm="1">
        <f t="array" aca="1" ref="D241" ca="1">IF(ISNUMBER(_xll.VoseSimPercentile(Out_Cost_Base,$C241)),_xll.VoseSimPercentile(Out_Cost_Base,$C241),NA())</f>
        <v>14.66587175632505</v>
      </c>
      <c r="E241" s="63" cm="1">
        <f t="array" aca="1" ref="E241" ca="1">IF(ISNUMBER(_xll.VoseSimPercentile(Out_Cost_Stock,$C241)),_xll.VoseSimPercentile(Out_Cost_Stock,$C241),NA())</f>
        <v>8.3042719108400469</v>
      </c>
      <c r="F241" s="63" cm="1">
        <f t="array" aca="1" ref="F241" ca="1">IF(ISNUMBER(_xll.VoseSimPercentile(Out_Cost_Dual,$C241)),_xll.VoseSimPercentile(Out_Cost_Dual,$C241),NA())</f>
        <v>10.334666829155005</v>
      </c>
      <c r="G241" s="63" cm="1">
        <f t="array" aca="1" ref="G241" ca="1">IF(ISNUMBER(_xll.VoseSimPercentile(Out_Cost_Ins,$C241)),_xll.VoseSimPercentile(Out_Cost_Ins,$C241),NA())</f>
        <v>7.1415902868447283</v>
      </c>
    </row>
    <row r="242" spans="2:7" hidden="1" outlineLevel="1" x14ac:dyDescent="0.45">
      <c r="B242" s="67">
        <v>50</v>
      </c>
      <c r="C242" s="64">
        <f t="shared" si="5"/>
        <v>0.98</v>
      </c>
      <c r="D242" s="63" cm="1">
        <f t="array" aca="1" ref="D242" ca="1">IF(ISNUMBER(_xll.VoseSimPercentile(Out_Cost_Base,$C242)),_xll.VoseSimPercentile(Out_Cost_Base,$C242),NA())</f>
        <v>22.823836266469673</v>
      </c>
      <c r="E242" s="63" cm="1">
        <f t="array" aca="1" ref="E242" ca="1">IF(ISNUMBER(_xll.VoseSimPercentile(Out_Cost_Stock,$C242)),_xll.VoseSimPercentile(Out_Cost_Stock,$C242),NA())</f>
        <v>15.105406933002307</v>
      </c>
      <c r="F242" s="63" cm="1">
        <f t="array" aca="1" ref="F242" ca="1">IF(ISNUMBER(_xll.VoseSimPercentile(Out_Cost_Dual,$C242)),_xll.VoseSimPercentile(Out_Cost_Dual,$C242),NA())</f>
        <v>15.8363316547532</v>
      </c>
      <c r="G242" s="63" cm="1">
        <f t="array" aca="1" ref="G242" ca="1">IF(ISNUMBER(_xll.VoseSimPercentile(Out_Cost_Ins,$C242)),_xll.VoseSimPercentile(Out_Cost_Ins,$C242),NA())</f>
        <v>10.269696493242403</v>
      </c>
    </row>
    <row r="243" spans="2:7" hidden="1" outlineLevel="1" x14ac:dyDescent="0.45">
      <c r="B243" s="67">
        <v>100</v>
      </c>
      <c r="C243" s="64">
        <f t="shared" si="5"/>
        <v>0.99</v>
      </c>
      <c r="D243" s="63" cm="1">
        <f t="array" aca="1" ref="D243" ca="1">IF(ISNUMBER(_xll.VoseSimPercentile(Out_Cost_Base,$C243)),_xll.VoseSimPercentile(Out_Cost_Base,$C243),NA())</f>
        <v>28.482589568558694</v>
      </c>
      <c r="E243" s="63" cm="1">
        <f t="array" aca="1" ref="E243" ca="1">IF(ISNUMBER(_xll.VoseSimPercentile(Out_Cost_Stock,$C243)),_xll.VoseSimPercentile(Out_Cost_Stock,$C243),NA())</f>
        <v>21.806169165766576</v>
      </c>
      <c r="F243" s="63" cm="1">
        <f t="array" aca="1" ref="F243" ca="1">IF(ISNUMBER(_xll.VoseSimPercentile(Out_Cost_Dual,$C243)),_xll.VoseSimPercentile(Out_Cost_Dual,$C243),NA())</f>
        <v>19.787380480521715</v>
      </c>
      <c r="G243" s="63" cm="1">
        <f t="array" aca="1" ref="G243" ca="1">IF(ISNUMBER(_xll.VoseSimPercentile(Out_Cost_Ins,$C243)),_xll.VoseSimPercentile(Out_Cost_Ins,$C243),NA())</f>
        <v>15.482589568558694</v>
      </c>
    </row>
    <row r="244" spans="2:7" hidden="1" outlineLevel="1" x14ac:dyDescent="0.45">
      <c r="B244" s="67">
        <v>200</v>
      </c>
      <c r="C244" s="64">
        <f t="shared" si="5"/>
        <v>0.995</v>
      </c>
      <c r="D244" s="63" cm="1">
        <f t="array" aca="1" ref="D244" ca="1">IF(ISNUMBER(_xll.VoseSimPercentile(Out_Cost_Base,$C244)),_xll.VoseSimPercentile(Out_Cost_Base,$C244),NA())</f>
        <v>34.689179538399522</v>
      </c>
      <c r="E244" s="63" cm="1">
        <f t="array" aca="1" ref="E244" ca="1">IF(ISNUMBER(_xll.VoseSimPercentile(Out_Cost_Stock,$C244)),_xll.VoseSimPercentile(Out_Cost_Stock,$C244),NA())</f>
        <v>28.400768342567019</v>
      </c>
      <c r="F244" s="63" cm="1">
        <f t="array" aca="1" ref="F244" ca="1">IF(ISNUMBER(_xll.VoseSimPercentile(Out_Cost_Dual,$C244)),_xll.VoseSimPercentile(Out_Cost_Dual,$C244),NA())</f>
        <v>23.980598973356159</v>
      </c>
      <c r="G244" s="63" cm="1">
        <f t="array" aca="1" ref="G244" ca="1">IF(ISNUMBER(_xll.VoseSimPercentile(Out_Cost_Ins,$C244)),_xll.VoseSimPercentile(Out_Cost_Ins,$C244),NA())</f>
        <v>21.689179538399522</v>
      </c>
    </row>
    <row r="245" spans="2:7" hidden="1" outlineLevel="1" x14ac:dyDescent="0.45">
      <c r="B245" s="67">
        <v>500</v>
      </c>
      <c r="C245" s="64">
        <f t="shared" si="5"/>
        <v>0.998</v>
      </c>
      <c r="D245" s="63" cm="1">
        <f t="array" aca="1" ref="D245" ca="1">IF(ISNUMBER(_xll.VoseSimPercentile(Out_Cost_Base,$C245)),_xll.VoseSimPercentile(Out_Cost_Base,$C245),NA())</f>
        <v>43.777240021575821</v>
      </c>
      <c r="E245" s="63" cm="1">
        <f t="array" aca="1" ref="E245" ca="1">IF(ISNUMBER(_xll.VoseSimPercentile(Out_Cost_Stock,$C245)),_xll.VoseSimPercentile(Out_Cost_Stock,$C245),NA())</f>
        <v>36.572229887143571</v>
      </c>
      <c r="F245" s="63" cm="1">
        <f t="array" aca="1" ref="F245" ca="1">IF(ISNUMBER(_xll.VoseSimPercentile(Out_Cost_Dual,$C245)),_xll.VoseSimPercentile(Out_Cost_Dual,$C245),NA())</f>
        <v>31.797376109301567</v>
      </c>
      <c r="G245" s="63" cm="1">
        <f t="array" aca="1" ref="G245" ca="1">IF(ISNUMBER(_xll.VoseSimPercentile(Out_Cost_Ins,$C245)),_xll.VoseSimPercentile(Out_Cost_Ins,$C245),NA())</f>
        <v>30.777240021575821</v>
      </c>
    </row>
  </sheetData>
  <mergeCells count="5">
    <mergeCell ref="B47:G47"/>
    <mergeCell ref="B46:G46"/>
    <mergeCell ref="B49:G49"/>
    <mergeCell ref="B50:G50"/>
    <mergeCell ref="B48:G48"/>
  </mergeCells>
  <conditionalFormatting sqref="B7">
    <cfRule type="expression" dxfId="8" priority="2">
      <formula>LEFT($B$7,1)="✗"</formula>
    </cfRule>
  </conditionalFormatting>
  <conditionalFormatting sqref="B6:G6">
    <cfRule type="expression" dxfId="7" priority="1">
      <formula>LEFT($B$6,1)&lt;&gt;"✔"</formula>
    </cfRule>
  </conditionalFormatting>
  <conditionalFormatting sqref="C108:G235">
    <cfRule type="expression" dxfId="6" priority="8">
      <formula>ISNA($C$108)</formula>
    </cfRule>
  </conditionalFormatting>
  <conditionalFormatting sqref="D56:D105">
    <cfRule type="expression" dxfId="5" priority="7">
      <formula>ISNA(D56)</formula>
    </cfRule>
  </conditionalFormatting>
  <conditionalFormatting sqref="D238:G245">
    <cfRule type="expression" dxfId="4" priority="9">
      <formula>ISNA(D238)</formula>
    </cfRule>
  </conditionalFormatting>
  <conditionalFormatting sqref="G33">
    <cfRule type="expression" dxfId="3" priority="3">
      <formula>LEFT($G$33,1)="✔"</formula>
    </cfRule>
  </conditionalFormatting>
  <conditionalFormatting sqref="G34">
    <cfRule type="expression" dxfId="2" priority="4">
      <formula>LEFT($G$34,1)="✔"</formula>
    </cfRule>
  </conditionalFormatting>
  <conditionalFormatting sqref="G35">
    <cfRule type="expression" dxfId="1" priority="5">
      <formula>LEFT($G$35,1)="✔"</formula>
    </cfRule>
  </conditionalFormatting>
  <conditionalFormatting sqref="G36">
    <cfRule type="expression" dxfId="0" priority="6">
      <formula>LEFT($G$36,1)="✔"</formula>
    </cfRule>
  </conditionalFormatting>
  <hyperlinks>
    <hyperlink ref="B4" location="'Disruptions'!A1" display="◂  Disruptions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7BC7-6CBE-4307-AFB5-F83426F3BDCD}">
  <dimension ref="A1:B1"/>
  <sheetViews>
    <sheetView workbookViewId="0"/>
  </sheetViews>
  <sheetFormatPr defaultRowHeight="14.25" x14ac:dyDescent="0.45"/>
  <sheetData>
    <row r="1" spans="1:2" x14ac:dyDescent="0.45">
      <c r="A1" s="72" t="s">
        <v>275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B5AC-01CE-44BE-8EAF-8086DDF3451B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E8C6F-37EA-47AC-B47B-74D3357A02D0}">
  <dimension ref="B3:B102"/>
  <sheetViews>
    <sheetView workbookViewId="0"/>
  </sheetViews>
  <sheetFormatPr defaultRowHeight="14.25" x14ac:dyDescent="0.45"/>
  <sheetData>
    <row r="3" spans="2:2" x14ac:dyDescent="0.45">
      <c r="B3">
        <v>1693</v>
      </c>
    </row>
    <row r="4" spans="2:2" x14ac:dyDescent="0.45">
      <c r="B4">
        <v>191</v>
      </c>
    </row>
    <row r="5" spans="2:2" x14ac:dyDescent="0.45">
      <c r="B5">
        <v>61</v>
      </c>
    </row>
    <row r="6" spans="2:2" x14ac:dyDescent="0.45">
      <c r="B6">
        <v>31</v>
      </c>
    </row>
    <row r="7" spans="2:2" x14ac:dyDescent="0.45">
      <c r="B7">
        <v>9</v>
      </c>
    </row>
    <row r="8" spans="2:2" x14ac:dyDescent="0.45">
      <c r="B8">
        <v>6</v>
      </c>
    </row>
    <row r="9" spans="2:2" x14ac:dyDescent="0.45">
      <c r="B9">
        <v>5</v>
      </c>
    </row>
    <row r="10" spans="2:2" x14ac:dyDescent="0.45">
      <c r="B10">
        <v>3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1693</v>
      </c>
    </row>
    <row r="14" spans="2:2" x14ac:dyDescent="0.45">
      <c r="B14">
        <v>191</v>
      </c>
    </row>
    <row r="15" spans="2:2" x14ac:dyDescent="0.45">
      <c r="B15">
        <v>61</v>
      </c>
    </row>
    <row r="16" spans="2:2" x14ac:dyDescent="0.45">
      <c r="B16">
        <v>31</v>
      </c>
    </row>
    <row r="17" spans="2:2" x14ac:dyDescent="0.45">
      <c r="B17">
        <v>9</v>
      </c>
    </row>
    <row r="18" spans="2:2" x14ac:dyDescent="0.45">
      <c r="B18">
        <v>6</v>
      </c>
    </row>
    <row r="19" spans="2:2" x14ac:dyDescent="0.45">
      <c r="B19">
        <v>5</v>
      </c>
    </row>
    <row r="20" spans="2:2" x14ac:dyDescent="0.45">
      <c r="B20">
        <v>3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1859</v>
      </c>
    </row>
    <row r="24" spans="2:2" x14ac:dyDescent="0.45">
      <c r="B24">
        <v>72</v>
      </c>
    </row>
    <row r="25" spans="2:2" x14ac:dyDescent="0.45">
      <c r="B25">
        <v>38</v>
      </c>
    </row>
    <row r="26" spans="2:2" x14ac:dyDescent="0.45">
      <c r="B26">
        <v>10</v>
      </c>
    </row>
    <row r="27" spans="2:2" x14ac:dyDescent="0.45">
      <c r="B27">
        <v>4</v>
      </c>
    </row>
    <row r="28" spans="2:2" x14ac:dyDescent="0.45">
      <c r="B28">
        <v>9</v>
      </c>
    </row>
    <row r="29" spans="2:2" x14ac:dyDescent="0.45">
      <c r="B29">
        <v>3</v>
      </c>
    </row>
    <row r="30" spans="2:2" x14ac:dyDescent="0.45">
      <c r="B30">
        <v>3</v>
      </c>
    </row>
    <row r="31" spans="2:2" x14ac:dyDescent="0.45">
      <c r="B31">
        <v>1</v>
      </c>
    </row>
    <row r="32" spans="2:2" x14ac:dyDescent="0.45">
      <c r="B32">
        <v>1</v>
      </c>
    </row>
    <row r="33" spans="2:2" x14ac:dyDescent="0.45">
      <c r="B33">
        <v>1812</v>
      </c>
    </row>
    <row r="34" spans="2:2" x14ac:dyDescent="0.45">
      <c r="B34">
        <v>134</v>
      </c>
    </row>
    <row r="35" spans="2:2" x14ac:dyDescent="0.45">
      <c r="B35">
        <v>35</v>
      </c>
    </row>
    <row r="36" spans="2:2" x14ac:dyDescent="0.45">
      <c r="B36">
        <v>10</v>
      </c>
    </row>
    <row r="37" spans="2:2" x14ac:dyDescent="0.45">
      <c r="B37">
        <v>4</v>
      </c>
    </row>
    <row r="38" spans="2:2" x14ac:dyDescent="0.45">
      <c r="B38">
        <v>3</v>
      </c>
    </row>
    <row r="39" spans="2:2" x14ac:dyDescent="0.45">
      <c r="B39">
        <v>1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1</v>
      </c>
    </row>
    <row r="43" spans="2:2" x14ac:dyDescent="0.45">
      <c r="B43">
        <v>1904</v>
      </c>
    </row>
    <row r="44" spans="2:2" x14ac:dyDescent="0.45">
      <c r="B44">
        <v>69</v>
      </c>
    </row>
    <row r="45" spans="2:2" x14ac:dyDescent="0.45">
      <c r="B45">
        <v>6</v>
      </c>
    </row>
    <row r="46" spans="2:2" x14ac:dyDescent="0.45">
      <c r="B46">
        <v>10</v>
      </c>
    </row>
    <row r="47" spans="2:2" x14ac:dyDescent="0.45">
      <c r="B47">
        <v>2</v>
      </c>
    </row>
    <row r="48" spans="2:2" x14ac:dyDescent="0.45">
      <c r="B48">
        <v>5</v>
      </c>
    </row>
    <row r="49" spans="2:2" x14ac:dyDescent="0.45">
      <c r="B49">
        <v>2</v>
      </c>
    </row>
    <row r="50" spans="2:2" x14ac:dyDescent="0.45">
      <c r="B50">
        <v>1</v>
      </c>
    </row>
    <row r="51" spans="2:2" x14ac:dyDescent="0.45">
      <c r="B51">
        <v>0</v>
      </c>
    </row>
    <row r="52" spans="2:2" x14ac:dyDescent="0.45">
      <c r="B52">
        <v>1</v>
      </c>
    </row>
    <row r="53" spans="2:2" x14ac:dyDescent="0.45">
      <c r="B53">
        <v>1933</v>
      </c>
    </row>
    <row r="54" spans="2:2" x14ac:dyDescent="0.45">
      <c r="B54">
        <v>53</v>
      </c>
    </row>
    <row r="55" spans="2:2" x14ac:dyDescent="0.45">
      <c r="B55">
        <v>11</v>
      </c>
    </row>
    <row r="56" spans="2:2" x14ac:dyDescent="0.45">
      <c r="B56">
        <v>1</v>
      </c>
    </row>
    <row r="57" spans="2:2" x14ac:dyDescent="0.45">
      <c r="B57">
        <v>0</v>
      </c>
    </row>
    <row r="58" spans="2:2" x14ac:dyDescent="0.45">
      <c r="B58">
        <v>1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</v>
      </c>
    </row>
    <row r="63" spans="2:2" x14ac:dyDescent="0.45">
      <c r="B63">
        <v>1847</v>
      </c>
    </row>
    <row r="64" spans="2:2" x14ac:dyDescent="0.45">
      <c r="B64">
        <v>80</v>
      </c>
    </row>
    <row r="65" spans="2:2" x14ac:dyDescent="0.45">
      <c r="B65">
        <v>31</v>
      </c>
    </row>
    <row r="66" spans="2:2" x14ac:dyDescent="0.45">
      <c r="B66">
        <v>14</v>
      </c>
    </row>
    <row r="67" spans="2:2" x14ac:dyDescent="0.45">
      <c r="B67">
        <v>16</v>
      </c>
    </row>
    <row r="68" spans="2:2" x14ac:dyDescent="0.45">
      <c r="B68">
        <v>1</v>
      </c>
    </row>
    <row r="69" spans="2:2" x14ac:dyDescent="0.45">
      <c r="B69">
        <v>4</v>
      </c>
    </row>
    <row r="70" spans="2:2" x14ac:dyDescent="0.45">
      <c r="B70">
        <v>3</v>
      </c>
    </row>
    <row r="71" spans="2:2" x14ac:dyDescent="0.45">
      <c r="B71">
        <v>2</v>
      </c>
    </row>
    <row r="72" spans="2:2" x14ac:dyDescent="0.45">
      <c r="B72">
        <v>2</v>
      </c>
    </row>
    <row r="73" spans="2:2" x14ac:dyDescent="0.45">
      <c r="B73">
        <v>1840</v>
      </c>
    </row>
    <row r="74" spans="2:2" x14ac:dyDescent="0.45">
      <c r="B74">
        <v>104</v>
      </c>
    </row>
    <row r="75" spans="2:2" x14ac:dyDescent="0.45">
      <c r="B75">
        <v>28</v>
      </c>
    </row>
    <row r="76" spans="2:2" x14ac:dyDescent="0.45">
      <c r="B76">
        <v>15</v>
      </c>
    </row>
    <row r="77" spans="2:2" x14ac:dyDescent="0.45">
      <c r="B77">
        <v>5</v>
      </c>
    </row>
    <row r="78" spans="2:2" x14ac:dyDescent="0.45">
      <c r="B78">
        <v>2</v>
      </c>
    </row>
    <row r="79" spans="2:2" x14ac:dyDescent="0.45">
      <c r="B79">
        <v>5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</v>
      </c>
    </row>
    <row r="83" spans="2:2" x14ac:dyDescent="0.45">
      <c r="B83">
        <v>1970</v>
      </c>
    </row>
    <row r="84" spans="2:2" x14ac:dyDescent="0.45">
      <c r="B84">
        <v>16</v>
      </c>
    </row>
    <row r="85" spans="2:2" x14ac:dyDescent="0.45">
      <c r="B85">
        <v>4</v>
      </c>
    </row>
    <row r="86" spans="2:2" x14ac:dyDescent="0.45">
      <c r="B86">
        <v>4</v>
      </c>
    </row>
    <row r="87" spans="2:2" x14ac:dyDescent="0.45">
      <c r="B87">
        <v>2</v>
      </c>
    </row>
    <row r="88" spans="2:2" x14ac:dyDescent="0.45">
      <c r="B88">
        <v>2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1</v>
      </c>
    </row>
    <row r="92" spans="2:2" x14ac:dyDescent="0.45">
      <c r="B92">
        <v>1</v>
      </c>
    </row>
    <row r="93" spans="2:2" x14ac:dyDescent="0.45">
      <c r="B93">
        <v>1926</v>
      </c>
    </row>
    <row r="94" spans="2:2" x14ac:dyDescent="0.45">
      <c r="B94">
        <v>28</v>
      </c>
    </row>
    <row r="95" spans="2:2" x14ac:dyDescent="0.45">
      <c r="B95">
        <v>27</v>
      </c>
    </row>
    <row r="96" spans="2:2" x14ac:dyDescent="0.45">
      <c r="B96">
        <v>9</v>
      </c>
    </row>
    <row r="97" spans="2:2" x14ac:dyDescent="0.45">
      <c r="B97">
        <v>3</v>
      </c>
    </row>
    <row r="98" spans="2:2" x14ac:dyDescent="0.45">
      <c r="B98">
        <v>1</v>
      </c>
    </row>
    <row r="99" spans="2:2" x14ac:dyDescent="0.45">
      <c r="B99">
        <v>1</v>
      </c>
    </row>
    <row r="100" spans="2:2" x14ac:dyDescent="0.45">
      <c r="B100">
        <v>4</v>
      </c>
    </row>
    <row r="101" spans="2:2" x14ac:dyDescent="0.45">
      <c r="B101">
        <v>0</v>
      </c>
    </row>
    <row r="102" spans="2:2" x14ac:dyDescent="0.45">
      <c r="B10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905D423F-4624-4FD4-9D7E-8DC6256F8ADC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83</vt:i4>
      </vt:variant>
    </vt:vector>
  </HeadingPairs>
  <TitlesOfParts>
    <vt:vector size="90" baseType="lpstr">
      <vt:lpstr>About</vt:lpstr>
      <vt:lpstr>Inputs</vt:lpstr>
      <vt:lpstr>Disruptions</vt:lpstr>
      <vt:lpstr>Results</vt:lpstr>
      <vt:lpstr>ModelRiskDSN</vt:lpstr>
      <vt:lpstr>ModelRiskSYS1</vt:lpstr>
      <vt:lpstr>ModelRiskCharts</vt:lpstr>
      <vt:lpstr>BIDays_A</vt:lpstr>
      <vt:lpstr>BIDays_B</vt:lpstr>
      <vt:lpstr>BIDays_C</vt:lpstr>
      <vt:lpstr>BIDays_D</vt:lpstr>
      <vt:lpstr>BIDays_R</vt:lpstr>
      <vt:lpstr>BIDaysAll</vt:lpstr>
      <vt:lpstr>BILimit</vt:lpstr>
      <vt:lpstr>BIPrem</vt:lpstr>
      <vt:lpstr>BIWait</vt:lpstr>
      <vt:lpstr>Checks</vt:lpstr>
      <vt:lpstr>Cost_Base</vt:lpstr>
      <vt:lpstr>Cost_Dual</vt:lpstr>
      <vt:lpstr>Cost_Ins</vt:lpstr>
      <vt:lpstr>Cost_Stock</vt:lpstr>
      <vt:lpstr>Cover</vt:lpstr>
      <vt:lpstr>CoverHi</vt:lpstr>
      <vt:lpstr>DayCost</vt:lpstr>
      <vt:lpstr>DualCost</vt:lpstr>
      <vt:lpstr>DurM_A</vt:lpstr>
      <vt:lpstr>DurM_B</vt:lpstr>
      <vt:lpstr>DurM_C</vt:lpstr>
      <vt:lpstr>DurM_D</vt:lpstr>
      <vt:lpstr>DurM_R</vt:lpstr>
      <vt:lpstr>DurS_A</vt:lpstr>
      <vt:lpstr>DurS_B</vt:lpstr>
      <vt:lpstr>DurS_C</vt:lpstr>
      <vt:lpstr>DurS_D</vt:lpstr>
      <vt:lpstr>DurS_R</vt:lpstr>
      <vt:lpstr>Lost_A</vt:lpstr>
      <vt:lpstr>Lost_B</vt:lpstr>
      <vt:lpstr>Lost_C</vt:lpstr>
      <vt:lpstr>Lost_D</vt:lpstr>
      <vt:lpstr>Lost_R</vt:lpstr>
      <vt:lpstr>LostAll</vt:lpstr>
      <vt:lpstr>LostAllDual</vt:lpstr>
      <vt:lpstr>LostAllStock</vt:lpstr>
      <vt:lpstr>LostDual_A</vt:lpstr>
      <vt:lpstr>LostDual_B</vt:lpstr>
      <vt:lpstr>LostDual_C</vt:lpstr>
      <vt:lpstr>LostDual_D</vt:lpstr>
      <vt:lpstr>LostDual_R</vt:lpstr>
      <vt:lpstr>LostStock_A</vt:lpstr>
      <vt:lpstr>LostStock_B</vt:lpstr>
      <vt:lpstr>LostStock_C</vt:lpstr>
      <vt:lpstr>LostStock_D</vt:lpstr>
      <vt:lpstr>LostStock_R</vt:lpstr>
      <vt:lpstr>NoLimit</vt:lpstr>
      <vt:lpstr>Out_Cost_Base</vt:lpstr>
      <vt:lpstr>Out_Cost_Dual</vt:lpstr>
      <vt:lpstr>Out_Cost_Ins</vt:lpstr>
      <vt:lpstr>Out_Cost_Stock</vt:lpstr>
      <vt:lpstr>Out_Lost</vt:lpstr>
      <vt:lpstr>Out_Lost_A</vt:lpstr>
      <vt:lpstr>Out_Lost_B</vt:lpstr>
      <vt:lpstr>Out_Lost_C</vt:lpstr>
      <vt:lpstr>Out_Lost_D</vt:lpstr>
      <vt:lpstr>Out_Lost_R</vt:lpstr>
      <vt:lpstr>Results!Print_Area</vt:lpstr>
      <vt:lpstr>Inputs!Print_Titles</vt:lpstr>
      <vt:lpstr>Results!Print_Titles</vt:lpstr>
      <vt:lpstr>Ramp</vt:lpstr>
      <vt:lpstr>Rate_A</vt:lpstr>
      <vt:lpstr>Rate_B</vt:lpstr>
      <vt:lpstr>Rate_C</vt:lpstr>
      <vt:lpstr>Rate_D</vt:lpstr>
      <vt:lpstr>Rate_R</vt:lpstr>
      <vt:lpstr>Recovery</vt:lpstr>
      <vt:lpstr>Stock_A</vt:lpstr>
      <vt:lpstr>Stock_B</vt:lpstr>
      <vt:lpstr>Stock_C</vt:lpstr>
      <vt:lpstr>Stock_D</vt:lpstr>
      <vt:lpstr>Stock_R</vt:lpstr>
      <vt:lpstr>StockCost</vt:lpstr>
      <vt:lpstr>StockHi_A</vt:lpstr>
      <vt:lpstr>StockHi_B</vt:lpstr>
      <vt:lpstr>StockHi_C</vt:lpstr>
      <vt:lpstr>StockHi_D</vt:lpstr>
      <vt:lpstr>StockHi_R</vt:lpstr>
      <vt:lpstr>TakeOver_A</vt:lpstr>
      <vt:lpstr>TakeOver_B</vt:lpstr>
      <vt:lpstr>TakeOver_C</vt:lpstr>
      <vt:lpstr>TakeOver_D</vt:lpstr>
      <vt:lpstr>TakeOver_R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MF-06 Supply-Chain Disruption</dc:title>
  <dc:subject>ModelRisk industry example library — Manufacturing</dc:subject>
  <dc:creator>Vose Software</dc:creator>
  <cp:keywords>ModelRisk; Monte Carlo; Manufacturing</cp:keywords>
  <dc:description>Disruptions at four suppliers and a regional disaster: lost days, lost contribution, and safety stock, dual sourcing or insurance.</dc:description>
  <cp:lastModifiedBy>Timour Koupeev</cp:lastModifiedBy>
  <cp:lastPrinted>2026-10-05T09:18:46Z</cp:lastPrinted>
  <dcterms:created xsi:type="dcterms:W3CDTF">2026-10-05T09:15:54Z</dcterms:created>
  <dcterms:modified xsi:type="dcterms:W3CDTF">2026-10-05T09:18:47Z</dcterms:modified>
</cp:coreProperties>
</file>