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Manufacturing\"/>
    </mc:Choice>
  </mc:AlternateContent>
  <xr:revisionPtr revIDLastSave="0" documentId="8_{69A4CEEB-6BC3-427A-A9C9-4D682702E920}"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Warranty" sheetId="3" r:id="rId3"/>
    <sheet name="Results" sheetId="4" r:id="rId4"/>
    <sheet name="ModelRiskDSN" sheetId="5" state="hidden" r:id="rId5"/>
    <sheet name="ModelRiskSYS1" sheetId="6" state="hidden" r:id="rId6"/>
    <sheet name="ModelRiskCharts" sheetId="7" state="hidden" r:id="rId7"/>
  </sheets>
  <definedNames>
    <definedName name="BaseRate">Warranty!$D$10</definedName>
    <definedName name="Cal_1">Warranty!$C$39</definedName>
    <definedName name="Cal_10">Warranty!$L$39</definedName>
    <definedName name="Cal_11">Warranty!$M$39</definedName>
    <definedName name="Cal_2">Warranty!$D$39</definedName>
    <definedName name="Cal_3">Warranty!$E$39</definedName>
    <definedName name="Cal_4">Warranty!$F$39</definedName>
    <definedName name="Cal_5">Warranty!$G$39</definedName>
    <definedName name="Cal_6">Warranty!$H$39</definedName>
    <definedName name="Cal_7">Warranty!$I$39</definedName>
    <definedName name="Cal_8">Warranty!$J$39</definedName>
    <definedName name="Cal_9">Warranty!$K$39</definedName>
    <definedName name="Checks">Warranty!$F$63:$F$64</definedName>
    <definedName name="ClaimCost">Warranty!$D$14</definedName>
    <definedName name="ClaimMean">Inputs!$D$26</definedName>
    <definedName name="ClaimRate">Warranty!$D$11</definedName>
    <definedName name="Claims_1">Warranty!$D$25</definedName>
    <definedName name="Claims_2">Warranty!$D$26</definedName>
    <definedName name="Claims_3">Warranty!$D$27</definedName>
    <definedName name="Claims_4">Warranty!$D$28</definedName>
    <definedName name="ClaimSD">Inputs!$D$27</definedName>
    <definedName name="ClaimsTotal">Warranty!$D$29</definedName>
    <definedName name="CostTotal">Warranty!$M$29</definedName>
    <definedName name="ExpClaims">Warranty!$D$17</definedName>
    <definedName name="ExpCost">Warranty!$D$18</definedName>
    <definedName name="ExpRate">Warranty!$D$16</definedName>
    <definedName name="ExpTools">Warranty!$D$15</definedName>
    <definedName name="FailTime">Warranty!$D$13</definedName>
    <definedName name="FieldClaims">Inputs!$D$19</definedName>
    <definedName name="FieldRate">Warranty!$D$9</definedName>
    <definedName name="FieldUnits">Inputs!$D$18</definedName>
    <definedName name="InputMeans">Inputs!$I$11:$I$20</definedName>
    <definedName name="Out_Cal_1">Warranty!$E$49</definedName>
    <definedName name="Out_Cal_10">Warranty!$E$58</definedName>
    <definedName name="Out_Cal_11">Warranty!$E$59</definedName>
    <definedName name="Out_Cal_2">Warranty!$E$50</definedName>
    <definedName name="Out_Cal_3">Warranty!$E$51</definedName>
    <definedName name="Out_Cal_4">Warranty!$E$52</definedName>
    <definedName name="Out_Cal_5">Warranty!$E$53</definedName>
    <definedName name="Out_Cal_6">Warranty!$E$54</definedName>
    <definedName name="Out_Cal_7">Warranty!$E$55</definedName>
    <definedName name="Out_Cal_8">Warranty!$E$56</definedName>
    <definedName name="Out_Cal_9">Warranty!$E$57</definedName>
    <definedName name="Out_Claims">Warranty!$E$47</definedName>
    <definedName name="Out_Cost">Warranty!$E$45</definedName>
    <definedName name="Out_PerUnit">Warranty!$E$46</definedName>
    <definedName name="Out_Reserve">Warranty!$E$48</definedName>
    <definedName name="_xlnm.Print_Area" localSheetId="3">Results!$A$1:$R$45</definedName>
    <definedName name="_xlnm.Print_Titles" localSheetId="1">Inputs!$1:$4</definedName>
    <definedName name="_xlnm.Print_Titles" localSheetId="3">Results!$1:$4</definedName>
    <definedName name="Redesign">Inputs!$D$20</definedName>
    <definedName name="Redesign_Hi">Inputs!$H$20</definedName>
    <definedName name="Redesign_Lo">Inputs!$F$20</definedName>
    <definedName name="Redesign_Mean">Inputs!$I$20</definedName>
    <definedName name="Redesign_ML">Inputs!$G$20</definedName>
    <definedName name="Sales_1">Inputs!$D$11</definedName>
    <definedName name="Sales_1_Hi">Inputs!$H$11</definedName>
    <definedName name="Sales_1_Lo">Inputs!$F$11</definedName>
    <definedName name="Sales_1_Mean">Inputs!$I$11</definedName>
    <definedName name="Sales_1_ML">Inputs!$G$11</definedName>
    <definedName name="Sales_2">Inputs!$D$12</definedName>
    <definedName name="Sales_2_Hi">Inputs!$H$12</definedName>
    <definedName name="Sales_2_Lo">Inputs!$F$12</definedName>
    <definedName name="Sales_2_Mean">Inputs!$I$12</definedName>
    <definedName name="Sales_2_ML">Inputs!$G$12</definedName>
    <definedName name="Sales_3">Inputs!$D$13</definedName>
    <definedName name="Sales_3_Hi">Inputs!$H$13</definedName>
    <definedName name="Sales_3_Lo">Inputs!$F$13</definedName>
    <definedName name="Sales_3_Mean">Inputs!$I$13</definedName>
    <definedName name="Sales_3_ML">Inputs!$G$13</definedName>
    <definedName name="Sales_4">Inputs!$D$14</definedName>
    <definedName name="Sales_4_Hi">Inputs!$H$14</definedName>
    <definedName name="Sales_4_Lo">Inputs!$F$14</definedName>
    <definedName name="Sales_4_Mean">Inputs!$I$14</definedName>
    <definedName name="Sales_4_ML">Inputs!$G$14</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UnitsSold">Warranty!$C$29</definedName>
    <definedName name="WarrantyYears">Warranty!$D$12</definedName>
    <definedName name="WScale">Inputs!$D$25</definedName>
    <definedName name="WShape">Inputs!$D$24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 i="3" l="1" a="1"/>
  <c r="E38" i="3" s="1"/>
  <c r="D38" i="3" a="1"/>
  <c r="D38" i="3" s="1"/>
  <c r="C38" i="3" a="1"/>
  <c r="C38" i="3" s="1"/>
  <c r="M37" i="3" a="1"/>
  <c r="M37" i="3"/>
  <c r="D37" i="3" a="1"/>
  <c r="D37" i="3" s="1"/>
  <c r="C37" i="3" a="1"/>
  <c r="C37" i="3" s="1"/>
  <c r="M36" i="3" a="1"/>
  <c r="M36" i="3" s="1"/>
  <c r="L36" i="3" a="1"/>
  <c r="L36" i="3" s="1"/>
  <c r="C36" i="3" a="1"/>
  <c r="C36" i="3" s="1"/>
  <c r="M35" i="3" a="1"/>
  <c r="M35" i="3" s="1"/>
  <c r="L35" i="3" a="1"/>
  <c r="L35" i="3"/>
  <c r="K35" i="3" a="1"/>
  <c r="K35" i="3" s="1"/>
  <c r="D14" i="3" a="1"/>
  <c r="D14" i="3" s="1"/>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F64" i="3"/>
  <c r="B7" i="4"/>
  <c r="F63" i="3"/>
  <c r="D12" i="3"/>
  <c r="D9" i="3"/>
  <c r="D13" i="3" a="1"/>
  <c r="D10" i="3" a="1"/>
  <c r="I14" i="2" a="1"/>
  <c r="I20" i="2" a="1"/>
  <c r="I11" i="2" a="1"/>
  <c r="I12" i="2" a="1"/>
  <c r="D12" i="2" a="1"/>
  <c r="D11" i="2" a="1"/>
  <c r="D14" i="2" a="1"/>
  <c r="D20" i="2" a="1"/>
  <c r="D13" i="2" a="1"/>
  <c r="I13" i="2" a="1"/>
  <c r="D10" i="3" l="1"/>
  <c r="D13" i="3"/>
  <c r="I13" i="2"/>
  <c r="D13" i="2"/>
  <c r="C27" i="3" s="1"/>
  <c r="D20" i="2"/>
  <c r="D14" i="2"/>
  <c r="C28" i="3" s="1"/>
  <c r="D11" i="2"/>
  <c r="C25" i="3" s="1"/>
  <c r="D12" i="2"/>
  <c r="C26" i="3" s="1"/>
  <c r="I12" i="2"/>
  <c r="I11" i="2"/>
  <c r="I20" i="2"/>
  <c r="I14" i="2"/>
  <c r="D16" i="3" a="1"/>
  <c r="D16" i="3" l="1"/>
  <c r="D15" i="3"/>
  <c r="D17" i="3" s="1"/>
  <c r="D18" i="3" s="1"/>
  <c r="D16" i="4" s="1"/>
  <c r="C29" i="3"/>
  <c r="D11" i="3"/>
  <c r="D25" i="3" a="1"/>
  <c r="D26" i="3" a="1"/>
  <c r="D28" i="3" a="1"/>
  <c r="D27" i="3" a="1"/>
  <c r="D27" i="3" l="1"/>
  <c r="D28" i="3"/>
  <c r="D26" i="3"/>
  <c r="D25" i="3"/>
  <c r="E27" i="3" a="1"/>
  <c r="E28" i="3" a="1"/>
  <c r="E26" i="3" a="1"/>
  <c r="E25" i="3" a="1"/>
  <c r="G25" i="3" l="1"/>
  <c r="F25" i="3"/>
  <c r="J25" i="3"/>
  <c r="K25" i="3"/>
  <c r="H25" i="3"/>
  <c r="L25" i="3"/>
  <c r="E25" i="3"/>
  <c r="I25" i="3"/>
  <c r="G26" i="3"/>
  <c r="F36" i="3" s="1" a="1"/>
  <c r="F36" i="3" s="1"/>
  <c r="K26" i="3"/>
  <c r="J36" i="3" s="1" a="1"/>
  <c r="J36" i="3" s="1"/>
  <c r="H26" i="3"/>
  <c r="G36" i="3" s="1" a="1"/>
  <c r="G36" i="3" s="1"/>
  <c r="L26" i="3"/>
  <c r="K36" i="3" s="1" a="1"/>
  <c r="K36" i="3" s="1"/>
  <c r="F26" i="3"/>
  <c r="E36" i="3" s="1" a="1"/>
  <c r="E36" i="3" s="1"/>
  <c r="I26" i="3"/>
  <c r="H36" i="3" s="1" a="1"/>
  <c r="H36" i="3" s="1"/>
  <c r="E26" i="3"/>
  <c r="J26" i="3"/>
  <c r="I36" i="3" s="1" a="1"/>
  <c r="I36" i="3" s="1"/>
  <c r="F28" i="3"/>
  <c r="G38" i="3" s="1" a="1"/>
  <c r="G38" i="3" s="1"/>
  <c r="E28" i="3"/>
  <c r="H28" i="3"/>
  <c r="I38" i="3" s="1" a="1"/>
  <c r="I38" i="3" s="1"/>
  <c r="J28" i="3"/>
  <c r="K38" i="3" s="1" a="1"/>
  <c r="K38" i="3" s="1"/>
  <c r="G28" i="3"/>
  <c r="H38" i="3" s="1" a="1"/>
  <c r="H38" i="3" s="1"/>
  <c r="K28" i="3"/>
  <c r="L38" i="3" s="1" a="1"/>
  <c r="L38" i="3" s="1"/>
  <c r="L28" i="3"/>
  <c r="M38" i="3" s="1" a="1"/>
  <c r="M38" i="3" s="1"/>
  <c r="M39" i="3" s="1"/>
  <c r="E59" i="3" s="1" a="1"/>
  <c r="E59" i="3" s="1"/>
  <c r="I28" i="3"/>
  <c r="J38" i="3" s="1" a="1"/>
  <c r="J38" i="3" s="1"/>
  <c r="I27" i="3"/>
  <c r="I37" i="3" s="1" a="1"/>
  <c r="I37" i="3" s="1"/>
  <c r="L27" i="3"/>
  <c r="L37" i="3" s="1" a="1"/>
  <c r="L37" i="3" s="1"/>
  <c r="G27" i="3"/>
  <c r="G37" i="3" s="1" a="1"/>
  <c r="G37" i="3" s="1"/>
  <c r="E27" i="3"/>
  <c r="K27" i="3"/>
  <c r="K37" i="3" s="1" a="1"/>
  <c r="K37" i="3" s="1"/>
  <c r="H27" i="3"/>
  <c r="H37" i="3" s="1" a="1"/>
  <c r="H37" i="3" s="1"/>
  <c r="J27" i="3"/>
  <c r="J37" i="3" s="1" a="1"/>
  <c r="J37" i="3" s="1"/>
  <c r="F27" i="3"/>
  <c r="F37" i="3" s="1" a="1"/>
  <c r="F37" i="3" s="1"/>
  <c r="D29" i="3"/>
  <c r="E47" i="3" s="1" a="1"/>
  <c r="E47" i="3" s="1"/>
  <c r="E14" i="4" a="1"/>
  <c r="G14" i="4" a="1"/>
  <c r="F14" i="4" a="1"/>
  <c r="D14" i="4" a="1"/>
  <c r="F243" i="4" a="1"/>
  <c r="E243" i="4" a="1"/>
  <c r="D243" i="4" a="1"/>
  <c r="C243" i="4" a="1"/>
  <c r="C243" i="4" l="1"/>
  <c r="D243" i="4"/>
  <c r="E243" i="4"/>
  <c r="F243" i="4"/>
  <c r="D14" i="4"/>
  <c r="F14" i="4"/>
  <c r="G14" i="4"/>
  <c r="E14" i="4"/>
  <c r="K39" i="3"/>
  <c r="E57" i="3" s="1" a="1"/>
  <c r="E57" i="3" s="1"/>
  <c r="K29" i="3"/>
  <c r="I35" i="3" a="1"/>
  <c r="I35" i="3" s="1"/>
  <c r="I39" i="3" s="1"/>
  <c r="E55" i="3" s="1" a="1"/>
  <c r="E55" i="3" s="1"/>
  <c r="M26" i="3"/>
  <c r="D36" i="3" a="1"/>
  <c r="D36" i="3" s="1"/>
  <c r="E29" i="3"/>
  <c r="M25" i="3"/>
  <c r="C35" i="3" a="1"/>
  <c r="C35" i="3" s="1"/>
  <c r="C39" i="3" s="1"/>
  <c r="E49" i="3" s="1" a="1"/>
  <c r="E49" i="3" s="1"/>
  <c r="L29" i="3"/>
  <c r="J35" i="3" a="1"/>
  <c r="J35" i="3" s="1"/>
  <c r="J39" i="3" s="1"/>
  <c r="E56" i="3" s="1" a="1"/>
  <c r="E56" i="3" s="1"/>
  <c r="F35" i="3" a="1"/>
  <c r="F35" i="3" s="1"/>
  <c r="H29" i="3"/>
  <c r="E37" i="3" a="1"/>
  <c r="E37" i="3" s="1"/>
  <c r="M27" i="3"/>
  <c r="J29" i="3"/>
  <c r="H35" i="3" a="1"/>
  <c r="H35" i="3" s="1"/>
  <c r="H39" i="3" s="1"/>
  <c r="E54" i="3" s="1" a="1"/>
  <c r="E54" i="3" s="1"/>
  <c r="G35" i="3" a="1"/>
  <c r="G35" i="3" s="1"/>
  <c r="G39" i="3" s="1"/>
  <c r="I29" i="3"/>
  <c r="L39" i="3"/>
  <c r="E58" i="3" s="1" a="1"/>
  <c r="E58" i="3" s="1"/>
  <c r="F38" i="3" a="1"/>
  <c r="F38" i="3" s="1"/>
  <c r="M28" i="3"/>
  <c r="D35" i="3" a="1"/>
  <c r="D35" i="3" s="1"/>
  <c r="F29" i="3"/>
  <c r="E35" i="3" a="1"/>
  <c r="E35" i="3" s="1"/>
  <c r="G29" i="3"/>
  <c r="E241" i="4" a="1"/>
  <c r="C241" i="4" a="1"/>
  <c r="D241" i="4" a="1"/>
  <c r="F241" i="4" a="1"/>
  <c r="F238" i="4" a="1"/>
  <c r="E238" i="4" a="1"/>
  <c r="D238" i="4" a="1"/>
  <c r="C238" i="4" a="1"/>
  <c r="C240" i="4" a="1"/>
  <c r="D240" i="4" a="1"/>
  <c r="E240" i="4" a="1"/>
  <c r="F240" i="4" a="1"/>
  <c r="F239" i="4" a="1"/>
  <c r="E239" i="4" a="1"/>
  <c r="D239" i="4" a="1"/>
  <c r="C239" i="4" a="1"/>
  <c r="C242" i="4" a="1"/>
  <c r="D242" i="4" a="1"/>
  <c r="E242" i="4" a="1"/>
  <c r="F242" i="4" a="1"/>
  <c r="D233" i="4" a="1"/>
  <c r="C233" i="4" a="1"/>
  <c r="E233" i="4" a="1"/>
  <c r="F233" i="4" a="1"/>
  <c r="E39" i="3" l="1"/>
  <c r="E51" i="3" s="1" a="1"/>
  <c r="E51" i="3" s="1"/>
  <c r="D39" i="3"/>
  <c r="E50" i="3" s="1" a="1"/>
  <c r="E50" i="3" s="1"/>
  <c r="M29" i="3"/>
  <c r="E46" i="3" s="1" a="1"/>
  <c r="E46" i="3" s="1"/>
  <c r="F39" i="3"/>
  <c r="E52" i="3" s="1" a="1"/>
  <c r="E52" i="3" s="1"/>
  <c r="F233" i="4"/>
  <c r="E233" i="4"/>
  <c r="C233" i="4"/>
  <c r="D233" i="4"/>
  <c r="F242" i="4"/>
  <c r="E242" i="4"/>
  <c r="D242" i="4"/>
  <c r="C242" i="4"/>
  <c r="C239" i="4"/>
  <c r="D239" i="4"/>
  <c r="E239" i="4"/>
  <c r="F239" i="4"/>
  <c r="F240" i="4"/>
  <c r="E240" i="4"/>
  <c r="D240" i="4"/>
  <c r="C240" i="4"/>
  <c r="C238" i="4"/>
  <c r="D238" i="4"/>
  <c r="E238" i="4"/>
  <c r="F238" i="4"/>
  <c r="F241" i="4"/>
  <c r="D241" i="4"/>
  <c r="C241" i="4"/>
  <c r="E241" i="4"/>
  <c r="E48" i="3" a="1"/>
  <c r="E48" i="3" s="1"/>
  <c r="E53" i="3" a="1"/>
  <c r="E53" i="3" s="1"/>
  <c r="C235" i="4" a="1"/>
  <c r="F235" i="4" a="1"/>
  <c r="E235" i="4" a="1"/>
  <c r="D235" i="4" a="1"/>
  <c r="C234" i="4" a="1"/>
  <c r="D234" i="4" a="1"/>
  <c r="E234" i="4" a="1"/>
  <c r="F234" i="4" a="1"/>
  <c r="C236" i="4" a="1"/>
  <c r="D236" i="4" a="1"/>
  <c r="E236" i="4" a="1"/>
  <c r="F236" i="4" a="1"/>
  <c r="F13" i="4" a="1"/>
  <c r="D13" i="4" a="1"/>
  <c r="G13" i="4" a="1"/>
  <c r="E13" i="4" a="1"/>
  <c r="D21" i="4" a="1"/>
  <c r="D23" i="4" a="1"/>
  <c r="G21" i="4" a="1"/>
  <c r="E21" i="4" a="1"/>
  <c r="D26" i="4" a="1"/>
  <c r="F21" i="4" a="1"/>
  <c r="D237" i="4" a="1"/>
  <c r="E237" i="4" a="1"/>
  <c r="C237" i="4" a="1"/>
  <c r="F237" i="4" a="1"/>
  <c r="D235" i="4" l="1"/>
  <c r="E235" i="4"/>
  <c r="F235" i="4"/>
  <c r="C235" i="4"/>
  <c r="E45" i="3" a="1"/>
  <c r="E45" i="3" s="1"/>
  <c r="F234" i="4"/>
  <c r="E234" i="4"/>
  <c r="D234" i="4"/>
  <c r="C234" i="4"/>
  <c r="F236" i="4"/>
  <c r="E236" i="4"/>
  <c r="D236" i="4"/>
  <c r="C236" i="4"/>
  <c r="F237" i="4"/>
  <c r="C237" i="4"/>
  <c r="E237" i="4"/>
  <c r="D237" i="4"/>
  <c r="F21" i="4"/>
  <c r="D26" i="4"/>
  <c r="E21" i="4"/>
  <c r="G21" i="4"/>
  <c r="D23" i="4"/>
  <c r="D21" i="4"/>
  <c r="E13" i="4"/>
  <c r="G13" i="4"/>
  <c r="D13" i="4"/>
  <c r="F13" i="4"/>
  <c r="C184" i="4" a="1"/>
  <c r="C152" i="4" a="1"/>
  <c r="C120" i="4" a="1"/>
  <c r="D86" i="4" a="1"/>
  <c r="D54" i="4" a="1"/>
  <c r="C183" i="4" a="1"/>
  <c r="C151" i="4" a="1"/>
  <c r="C119" i="4" a="1"/>
  <c r="D85" i="4" a="1"/>
  <c r="D24" i="4" a="1"/>
  <c r="D76" i="4" a="1"/>
  <c r="C149" i="4" a="1"/>
  <c r="D83" i="4" a="1"/>
  <c r="C186" i="4" a="1"/>
  <c r="C122" i="4" a="1"/>
  <c r="D56" i="4" a="1"/>
  <c r="C153" i="4" a="1"/>
  <c r="D87" i="4" a="1"/>
  <c r="C166" i="4" a="1"/>
  <c r="D60" i="4" a="1"/>
  <c r="C176" i="4" a="1"/>
  <c r="C197" i="4" a="1"/>
  <c r="C180" i="4" a="1"/>
  <c r="C148" i="4" a="1"/>
  <c r="C116" i="4" a="1"/>
  <c r="D82" i="4" a="1"/>
  <c r="F12" i="4" a="1"/>
  <c r="C179" i="4" a="1"/>
  <c r="C147" i="4" a="1"/>
  <c r="C115" i="4" a="1"/>
  <c r="D81" i="4" a="1"/>
  <c r="E12" i="4" a="1"/>
  <c r="D52" i="4" a="1"/>
  <c r="C141" i="4" a="1"/>
  <c r="D75" i="4" a="1"/>
  <c r="C178" i="4" a="1"/>
  <c r="C114" i="4" a="1"/>
  <c r="D12" i="4" a="1"/>
  <c r="C145" i="4" a="1"/>
  <c r="D79" i="4" a="1"/>
  <c r="C150" i="4" a="1"/>
  <c r="C112" i="4" a="1"/>
  <c r="D73" i="4" a="1"/>
  <c r="C143" i="4" a="1"/>
  <c r="D77" i="4" a="1"/>
  <c r="C133" i="4" a="1"/>
  <c r="C201" i="4" a="1"/>
  <c r="D71" i="4" a="1"/>
  <c r="C144" i="4" a="1"/>
  <c r="D78" i="4" a="1"/>
  <c r="C175" i="4" a="1"/>
  <c r="C111" i="4" a="1"/>
  <c r="C198" i="4" a="1"/>
  <c r="D67" i="4" a="1"/>
  <c r="C170" i="4" a="1"/>
  <c r="C106" i="4" a="1"/>
  <c r="C137" i="4" a="1"/>
  <c r="C134" i="4" a="1"/>
  <c r="C172" i="4" a="1"/>
  <c r="C140" i="4" a="1"/>
  <c r="C108" i="4" a="1"/>
  <c r="D74" i="4" a="1"/>
  <c r="C203" i="4" a="1"/>
  <c r="C171" i="4" a="1"/>
  <c r="C139" i="4" a="1"/>
  <c r="C107" i="4" a="1"/>
  <c r="D69" i="4" a="1"/>
  <c r="C182" i="4" a="1"/>
  <c r="C189" i="4" a="1"/>
  <c r="C125" i="4" a="1"/>
  <c r="D59" i="4" a="1"/>
  <c r="C162" i="4" a="1"/>
  <c r="D96" i="4" a="1"/>
  <c r="C193" i="4" a="1"/>
  <c r="C129" i="4" a="1"/>
  <c r="D63" i="4" a="1"/>
  <c r="C126" i="4" a="1"/>
  <c r="C188" i="4" a="1"/>
  <c r="C124" i="4" a="1"/>
  <c r="D58" i="4" a="1"/>
  <c r="C155" i="4" a="1"/>
  <c r="D89" i="4" a="1"/>
  <c r="D92" i="4" a="1"/>
  <c r="D91" i="4" a="1"/>
  <c r="C130" i="4" a="1"/>
  <c r="C161" i="4" a="1"/>
  <c r="C174" i="4" a="1"/>
  <c r="D64" i="4" a="1"/>
  <c r="C136" i="4" a="1"/>
  <c r="C103" i="4" a="1"/>
  <c r="C154" i="4" a="1"/>
  <c r="C196" i="4" a="1"/>
  <c r="C163" i="4" a="1"/>
  <c r="C142" i="4" a="1"/>
  <c r="C177" i="4" a="1"/>
  <c r="C128" i="4" a="1"/>
  <c r="D62" i="4" a="1"/>
  <c r="D99" i="4" a="1"/>
  <c r="C169" i="4" a="1"/>
  <c r="C168" i="4" a="1"/>
  <c r="C104" i="4" a="1"/>
  <c r="C199" i="4" a="1"/>
  <c r="C135" i="4" a="1"/>
  <c r="D65" i="4" a="1"/>
  <c r="C181" i="4" a="1"/>
  <c r="D51" i="4" a="1"/>
  <c r="D88" i="4" a="1"/>
  <c r="C121" i="4" a="1"/>
  <c r="C118" i="4" a="1"/>
  <c r="C164" i="4" a="1"/>
  <c r="D98" i="4" a="1"/>
  <c r="C195" i="4" a="1"/>
  <c r="D61" i="4" a="1"/>
  <c r="C173" i="4" a="1"/>
  <c r="G12" i="4" a="1"/>
  <c r="C113" i="4" a="1"/>
  <c r="D90" i="4" a="1"/>
  <c r="C123" i="4" a="1"/>
  <c r="C194" i="4" a="1"/>
  <c r="C200" i="4" a="1"/>
  <c r="C158" i="4" a="1"/>
  <c r="D55" i="4" a="1"/>
  <c r="D66" i="4" a="1"/>
  <c r="D97" i="4" a="1"/>
  <c r="C109" i="4" a="1"/>
  <c r="B6" i="4" a="1"/>
  <c r="C192" i="4" a="1"/>
  <c r="C159" i="4" a="1"/>
  <c r="C110" i="4" a="1"/>
  <c r="C190" i="4" a="1"/>
  <c r="C131" i="4" a="1"/>
  <c r="D80" i="4" a="1"/>
  <c r="D100" i="4" a="1"/>
  <c r="C156" i="4" a="1"/>
  <c r="D53" i="4" a="1"/>
  <c r="D95" i="4" a="1"/>
  <c r="C167" i="4" a="1"/>
  <c r="C185" i="4" a="1"/>
  <c r="C160" i="4" a="1"/>
  <c r="D94" i="4" a="1"/>
  <c r="C191" i="4" a="1"/>
  <c r="C127" i="4" a="1"/>
  <c r="D57" i="4" a="1"/>
  <c r="C165" i="4" a="1"/>
  <c r="C202" i="4" a="1"/>
  <c r="D72" i="4" a="1"/>
  <c r="C105" i="4" a="1"/>
  <c r="D84" i="4" a="1"/>
  <c r="C187" i="4" a="1"/>
  <c r="C157" i="4" a="1"/>
  <c r="D68" i="4" a="1"/>
  <c r="D70" i="4" a="1"/>
  <c r="C117" i="4" a="1"/>
  <c r="C132" i="4" a="1"/>
  <c r="C146" i="4" a="1"/>
  <c r="D93" i="4" a="1"/>
  <c r="C138" i="4" a="1"/>
  <c r="C138" i="4" l="1"/>
  <c r="D93" i="4"/>
  <c r="C146" i="4"/>
  <c r="C132" i="4"/>
  <c r="C117" i="4"/>
  <c r="D70" i="4"/>
  <c r="D68" i="4"/>
  <c r="C157" i="4"/>
  <c r="C187" i="4"/>
  <c r="D84" i="4"/>
  <c r="C105" i="4"/>
  <c r="D72" i="4"/>
  <c r="C202" i="4"/>
  <c r="C165" i="4"/>
  <c r="D57" i="4"/>
  <c r="C127" i="4"/>
  <c r="C191" i="4"/>
  <c r="D94" i="4"/>
  <c r="C160" i="4"/>
  <c r="C185" i="4"/>
  <c r="C167" i="4"/>
  <c r="D95" i="4"/>
  <c r="D53" i="4"/>
  <c r="C156" i="4"/>
  <c r="D100" i="4"/>
  <c r="D80" i="4"/>
  <c r="C131" i="4"/>
  <c r="C190" i="4"/>
  <c r="C110" i="4"/>
  <c r="C159" i="4"/>
  <c r="C192" i="4"/>
  <c r="B6" i="4"/>
  <c r="C109" i="4"/>
  <c r="D97" i="4"/>
  <c r="D66" i="4"/>
  <c r="D55" i="4"/>
  <c r="C158" i="4"/>
  <c r="C200" i="4"/>
  <c r="C194" i="4"/>
  <c r="C123" i="4"/>
  <c r="D90" i="4"/>
  <c r="C113" i="4"/>
  <c r="G12" i="4"/>
  <c r="C173" i="4"/>
  <c r="D61" i="4"/>
  <c r="C195" i="4"/>
  <c r="D98" i="4"/>
  <c r="C164" i="4"/>
  <c r="C118" i="4"/>
  <c r="C121" i="4"/>
  <c r="D88" i="4"/>
  <c r="D51" i="4"/>
  <c r="C181" i="4"/>
  <c r="D65" i="4"/>
  <c r="C135" i="4"/>
  <c r="C199" i="4"/>
  <c r="C104" i="4"/>
  <c r="C168" i="4"/>
  <c r="C169" i="4"/>
  <c r="D99" i="4"/>
  <c r="D62" i="4"/>
  <c r="C128" i="4"/>
  <c r="C177" i="4"/>
  <c r="C142" i="4"/>
  <c r="C163" i="4"/>
  <c r="C196" i="4"/>
  <c r="C154" i="4"/>
  <c r="C103" i="4"/>
  <c r="C136" i="4"/>
  <c r="D64" i="4"/>
  <c r="C174" i="4"/>
  <c r="C161" i="4"/>
  <c r="C130" i="4"/>
  <c r="D91" i="4"/>
  <c r="D92" i="4"/>
  <c r="D89" i="4"/>
  <c r="C155" i="4"/>
  <c r="D58" i="4"/>
  <c r="C124" i="4"/>
  <c r="C188" i="4"/>
  <c r="C126" i="4"/>
  <c r="D63" i="4"/>
  <c r="C129" i="4"/>
  <c r="C193" i="4"/>
  <c r="D96" i="4"/>
  <c r="C162" i="4"/>
  <c r="D59" i="4"/>
  <c r="C125" i="4"/>
  <c r="C189" i="4"/>
  <c r="C182" i="4"/>
  <c r="D69" i="4"/>
  <c r="C107" i="4"/>
  <c r="C139" i="4"/>
  <c r="C171" i="4"/>
  <c r="C203" i="4"/>
  <c r="D74" i="4"/>
  <c r="C108" i="4"/>
  <c r="C140" i="4"/>
  <c r="C172" i="4"/>
  <c r="C134" i="4"/>
  <c r="C137" i="4"/>
  <c r="C106" i="4"/>
  <c r="C170" i="4"/>
  <c r="D67" i="4"/>
  <c r="C198" i="4"/>
  <c r="C111" i="4"/>
  <c r="C175" i="4"/>
  <c r="D78" i="4"/>
  <c r="C144" i="4"/>
  <c r="D71" i="4"/>
  <c r="C201" i="4"/>
  <c r="C133" i="4"/>
  <c r="D77" i="4"/>
  <c r="C143" i="4"/>
  <c r="D73" i="4"/>
  <c r="C112" i="4"/>
  <c r="C150" i="4"/>
  <c r="D79" i="4"/>
  <c r="C145" i="4"/>
  <c r="D12" i="4"/>
  <c r="C114" i="4"/>
  <c r="C178" i="4"/>
  <c r="D75" i="4"/>
  <c r="C141" i="4"/>
  <c r="D52" i="4"/>
  <c r="E12" i="4"/>
  <c r="D81" i="4"/>
  <c r="C115" i="4"/>
  <c r="C147" i="4"/>
  <c r="C179" i="4"/>
  <c r="F12" i="4"/>
  <c r="D82" i="4"/>
  <c r="C116" i="4"/>
  <c r="C148" i="4"/>
  <c r="C180" i="4"/>
  <c r="C197" i="4"/>
  <c r="C176" i="4"/>
  <c r="D60" i="4"/>
  <c r="C166" i="4"/>
  <c r="D87" i="4"/>
  <c r="C153" i="4"/>
  <c r="D56" i="4"/>
  <c r="C122" i="4"/>
  <c r="C186" i="4"/>
  <c r="D83" i="4"/>
  <c r="C149" i="4"/>
  <c r="D76" i="4"/>
  <c r="D24" i="4"/>
  <c r="D25" i="4" s="1"/>
  <c r="D85" i="4"/>
  <c r="C119" i="4"/>
  <c r="C151" i="4"/>
  <c r="C183" i="4"/>
  <c r="D54" i="4"/>
  <c r="D86" i="4"/>
  <c r="C120" i="4"/>
  <c r="C152" i="4"/>
  <c r="C184" i="4"/>
  <c r="C230" i="4" l="1"/>
  <c r="D230" i="4" s="1"/>
  <c r="G230" i="4" s="1" a="1"/>
  <c r="G230" i="4" s="1"/>
  <c r="C228" i="4"/>
  <c r="C217" i="4"/>
  <c r="C211" i="4"/>
  <c r="E210" i="4" s="1"/>
  <c r="C227" i="4"/>
  <c r="E227" i="4" s="1"/>
  <c r="C224" i="4"/>
  <c r="D224" i="4" s="1"/>
  <c r="G224" i="4" s="1" a="1"/>
  <c r="G224" i="4" s="1"/>
  <c r="C213" i="4"/>
  <c r="D213" i="4" s="1"/>
  <c r="G213" i="4" s="1" a="1"/>
  <c r="G213" i="4" s="1"/>
  <c r="C214" i="4"/>
  <c r="D214" i="4" s="1"/>
  <c r="G214" i="4" s="1" a="1"/>
  <c r="G214" i="4" s="1"/>
  <c r="C222" i="4"/>
  <c r="D222" i="4" s="1"/>
  <c r="G222" i="4" s="1" a="1"/>
  <c r="G222" i="4" s="1"/>
  <c r="C209" i="4"/>
  <c r="C210" i="4"/>
  <c r="C207" i="4"/>
  <c r="D207" i="4" s="1"/>
  <c r="G207" i="4" s="1" a="1"/>
  <c r="G207" i="4" s="1"/>
  <c r="C208" i="4"/>
  <c r="E208" i="4" s="1"/>
  <c r="C225" i="4"/>
  <c r="D225" i="4" s="1"/>
  <c r="G225" i="4" s="1" a="1"/>
  <c r="G225" i="4" s="1"/>
  <c r="C206" i="4"/>
  <c r="E206" i="4" s="1"/>
  <c r="C229" i="4"/>
  <c r="E228" i="4" s="1"/>
  <c r="C218" i="4"/>
  <c r="D218" i="4" s="1"/>
  <c r="G218" i="4" s="1" a="1"/>
  <c r="G218" i="4" s="1"/>
  <c r="C223" i="4"/>
  <c r="C220" i="4"/>
  <c r="C216" i="4"/>
  <c r="E216" i="4" s="1"/>
  <c r="C221" i="4"/>
  <c r="E221" i="4" s="1"/>
  <c r="C219" i="4"/>
  <c r="E218" i="4" s="1"/>
  <c r="C215" i="4"/>
  <c r="E215" i="4" s="1"/>
  <c r="C212" i="4"/>
  <c r="D212" i="4" s="1"/>
  <c r="G212" i="4" s="1" a="1"/>
  <c r="G212" i="4" s="1"/>
  <c r="C226" i="4"/>
  <c r="D226" i="4" s="1"/>
  <c r="G226" i="4" s="1" a="1"/>
  <c r="G226" i="4" s="1"/>
  <c r="D228" i="4"/>
  <c r="G228" i="4" s="1" a="1"/>
  <c r="G228" i="4" s="1"/>
  <c r="D220" i="4"/>
  <c r="G220" i="4" s="1" a="1"/>
  <c r="G220" i="4" s="1"/>
  <c r="D217" i="4"/>
  <c r="G217" i="4" s="1" a="1"/>
  <c r="G217" i="4" s="1"/>
  <c r="D209" i="4"/>
  <c r="G209" i="4" s="1" a="1"/>
  <c r="G209" i="4" s="1"/>
  <c r="E209" i="4"/>
  <c r="D210" i="4"/>
  <c r="G210" i="4" s="1" a="1"/>
  <c r="G210" i="4" s="1"/>
  <c r="E217" i="4" l="1"/>
  <c r="E220" i="4"/>
  <c r="E222" i="4"/>
  <c r="E219" i="4"/>
  <c r="E207" i="4"/>
  <c r="D221" i="4"/>
  <c r="G221" i="4" s="1" a="1"/>
  <c r="G221" i="4" s="1"/>
  <c r="F220" i="4" s="1"/>
  <c r="D208" i="4"/>
  <c r="G208" i="4" s="1" a="1"/>
  <c r="G208" i="4" s="1"/>
  <c r="F207" i="4" s="1"/>
  <c r="D229" i="4"/>
  <c r="G229" i="4" s="1" a="1"/>
  <c r="G229" i="4" s="1"/>
  <c r="F228" i="4" s="1"/>
  <c r="D211" i="4"/>
  <c r="G211" i="4" s="1" a="1"/>
  <c r="G211" i="4" s="1"/>
  <c r="F210" i="4" s="1"/>
  <c r="D216" i="4"/>
  <c r="G216" i="4" s="1" a="1"/>
  <c r="G216" i="4" s="1"/>
  <c r="F216" i="4" s="1"/>
  <c r="E229" i="4"/>
  <c r="E211" i="4"/>
  <c r="D219" i="4"/>
  <c r="G219" i="4" s="1" a="1"/>
  <c r="G219" i="4" s="1"/>
  <c r="F219" i="4" s="1"/>
  <c r="F217" i="4"/>
  <c r="E226" i="4"/>
  <c r="E212" i="4"/>
  <c r="E213" i="4"/>
  <c r="D227" i="4"/>
  <c r="G227" i="4" s="1" a="1"/>
  <c r="G227" i="4" s="1"/>
  <c r="F227" i="4" s="1"/>
  <c r="E223" i="4"/>
  <c r="E224" i="4"/>
  <c r="D223" i="4"/>
  <c r="G223" i="4" s="1" a="1"/>
  <c r="G223" i="4" s="1"/>
  <c r="F222" i="4" s="1"/>
  <c r="E225" i="4"/>
  <c r="D206" i="4"/>
  <c r="G206" i="4" s="1" a="1"/>
  <c r="G206" i="4" s="1"/>
  <c r="F206" i="4" s="1"/>
  <c r="E214" i="4"/>
  <c r="D215" i="4"/>
  <c r="G215" i="4" s="1" a="1"/>
  <c r="G215" i="4" s="1"/>
  <c r="F214" i="4" s="1"/>
  <c r="F225" i="4"/>
  <c r="F209" i="4"/>
  <c r="F213" i="4"/>
  <c r="F224" i="4"/>
  <c r="F212" i="4"/>
  <c r="F218" i="4"/>
  <c r="F221" i="4" l="1"/>
  <c r="F208" i="4"/>
  <c r="F229" i="4"/>
  <c r="F223" i="4"/>
  <c r="F211" i="4"/>
  <c r="F226" i="4"/>
  <c r="F215"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<sst xmlns="http://schemas.openxmlformats.org/spreadsheetml/2006/main" count="372" uniqueCount="264">
  <si>
    <t>Warranty Cost Forecast</t>
  </si>
  <si>
    <t>ModelRisk example  ·  Manufacturing  ·  MF-05</t>
  </si>
  <si>
    <t>What will this year's sales cost in warranty claims, and when?  Failures run off through a two-year warranty.</t>
  </si>
  <si>
    <t>Next:  Inputs  ▸</t>
  </si>
  <si>
    <t>Model card</t>
  </si>
  <si>
    <t>Industry</t>
  </si>
  <si>
    <t>Manufacturing</t>
  </si>
  <si>
    <t>Difficulty</t>
  </si>
  <si>
    <t>★★★☆☆   A year's sales, each quarter failing at random through a two-year warranty: claims by quarter and the reserve.</t>
  </si>
  <si>
    <t>Business question</t>
  </si>
  <si>
    <t>A manufacturer launches a redesigned power tool with a two-year warranty and expects to sell about 13,000 this year. On the previous model about 3.2% of tools came back under warranty, mostly in the first months. What will the warranty claims on this year's sales cost, how are they spread over the next three years, and how much must be reserved at the end of the year for claims still to come?</t>
  </si>
  <si>
    <t>Who it is for</t>
  </si>
  <si>
    <t>Product, quality and finance teams; anyone setting a warranty provision.</t>
  </si>
  <si>
    <t>Main outputs</t>
  </si>
  <si>
    <t>The warranty cost of this year's sales, per tool and in total · the claims by calendar quarter · the reserve needed at the year end, with a prudent percentile.</t>
  </si>
  <si>
    <t>ModelRisk techniques</t>
  </si>
  <si>
    <t>The claim rate from the previous model's field data as a Beta distribution (VoseBeta), adjusted for the redesign · claims per quarter's sales as a Binomial (VoseBinomial) · the timing and cost of each claim run off through the warranty (VoseRunoff) with an early-failure Weibull capped at two years (VoseWeibullObject, VoseXBounds) and Lognormal costs · the exact expected cost for comparison.</t>
  </si>
  <si>
    <t>File</t>
  </si>
  <si>
    <t>MF-05 Warranty cost forecast  ·  Version 1.0  ·  October 2026  ·  built with ModelRisk 10</t>
  </si>
  <si>
    <t>The business question</t>
  </si>
  <si>
    <t>A power-tool maker launches a redesigned drill with a two-year warranty. Sales should grow through the year to about 13,000 tools. On the previous model, 448 of 14,000 tools came back under warranty — most within the first months, a typical early-failure pattern — at about US$180 a claim for parts, labour and shipping. The redesign should be better, but nobody knows by how much; it could even be worse. Finance must provide for the warranty cost of the year's sales, and at the year end hold a reserve for the claims that will arrive over the following two years.</t>
  </si>
  <si>
    <t>How the model works</t>
  </si>
  <si>
    <t>Three sheets after this one, read from left to right. Each one feeds the next.</t>
  </si>
  <si>
    <t>1  Inputs</t>
  </si>
  <si>
    <t>Sales in each quarter of the year (PERT); the previous model's units and warranty claims; how much better or worse the redesign could be; the Weibull shape and scale of the time to failure; the average and spread of the cost of a claim.</t>
  </si>
  <si>
    <t>2  Warranty</t>
  </si>
  <si>
    <t>The claim rate is a Beta distribution from the field data, times the redesign factor. Each quarter's sales bring a Binomial number of claims, and VoseRunoff spreads them over the eight quarters of the warranty — each at a Weibull time capped at two years, with a Lognormal cost. The four quarters' runs are added up by calendar quarter.</t>
  </si>
  <si>
    <t>3  Results</t>
  </si>
  <si>
    <t>The total warranty cost and the cost per tool; the claims by calendar quarter; the reserve for claims after the year end.</t>
  </si>
  <si>
    <t>How to use it</t>
  </si>
  <si>
    <t>Step 1</t>
  </si>
  <si>
    <t>Enter your sales forecast by quarter.</t>
  </si>
  <si>
    <t>Step 2</t>
  </si>
  <si>
    <t>Enter your previous product's field data and how different the new design could be.</t>
  </si>
  <si>
    <t>Step 3</t>
  </si>
  <si>
    <t>Run a simulation from the ModelRisk ribbon (10,000 samples with a fixed seed are set).</t>
  </si>
  <si>
    <t>Step 4</t>
  </si>
  <si>
    <t>Book the expected warranty cost per tool, and hold a prudent percentile of the year-end reserve.</t>
  </si>
  <si>
    <t>Workbook map</t>
  </si>
  <si>
    <t>Inputs</t>
  </si>
  <si>
    <t>Sales, field data, redesign, failure timing, claim cost.</t>
  </si>
  <si>
    <t>Warranty</t>
  </si>
  <si>
    <t>Claim rate; run-off of each quarter's sales; claims by calendar quarter; outputs and checks.</t>
  </si>
  <si>
    <t>Results</t>
  </si>
  <si>
    <t>Warranty cost, timing and reserve.</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</si>
  <si>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</si>
  <si>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</si>
  <si>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</si>
  <si>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</si>
  <si>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</si>
  <si>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</si>
  <si>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</si>
  <si>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</si>
  <si>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</si>
  <si>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</si>
  <si>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</si>
  <si>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</si>
  <si>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</si>
  <si>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totals in US$ thousand.</t>
  </si>
  <si>
    <t>Quarters</t>
  </si>
  <si>
    <t>Calendar quarter 1 is the first quarter of this year; quarters 5 to 11 come after the year end.</t>
  </si>
  <si>
    <t>Claim rate</t>
  </si>
  <si>
    <t>The share of tools sold that come back under warranty within two years.</t>
  </si>
  <si>
    <t>Reserve</t>
  </si>
  <si>
    <t>The expected cost of claims after the year end on tools already sold.</t>
  </si>
  <si>
    <t>Key assumptions and limitations</t>
  </si>
  <si>
    <t>Sales</t>
  </si>
  <si>
    <t>Tools are sold at the start of their quarter; the warranty runs eight quarters from the sale.</t>
  </si>
  <si>
    <t>Claims</t>
  </si>
  <si>
    <t>At most one claim per tool; tools fail independently; claim costs are independent of timing.</t>
  </si>
  <si>
    <t>Field data</t>
  </si>
  <si>
    <t>The previous model's experience applies, scaled by the redesign factor.</t>
  </si>
  <si>
    <t>Data</t>
  </si>
  <si>
    <t>The product and all figures are invented for this example.</t>
  </si>
  <si>
    <t>ModelRisk functions used</t>
  </si>
  <si>
    <t>VoseBeta</t>
  </si>
  <si>
    <t>The claim rate the field data support.</t>
  </si>
  <si>
    <t>VoseBinomial</t>
  </si>
  <si>
    <t>The number of claims on a quarter's sales.</t>
  </si>
  <si>
    <t>VoseRunoff</t>
  </si>
  <si>
    <t>Spreads a number of claims over periods, each at a random time with a random cost (an array).</t>
  </si>
  <si>
    <t>VoseWeibullObject, VoseXBounds, VoseLognormalObject</t>
  </si>
  <si>
    <t>Time to failure, capped at the warranty, and the cost of a claim.</t>
  </si>
  <si>
    <t>VoseSimMean, VoseSimPercentile</t>
  </si>
  <si>
    <t>Statistics of the simulation on the Results sheet.</t>
  </si>
  <si>
    <t>Further reading</t>
  </si>
  <si>
    <t>Warranty analysis</t>
  </si>
  <si>
    <t>Blischke, W. R. &amp; Murthy, D. N. P. (1994). Warranty Cost Analysis. Marcel Dekker.</t>
  </si>
  <si>
    <t>Risk analysis</t>
  </si>
  <si>
    <t>Vose, D. (2008). Risk Analysis: A Quantitative Guide, 3rd edition. Wiley.</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</si>
  <si>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</si>
  <si>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</si>
  <si>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</si>
  <si>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Warranty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</si>
  <si>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</si>
  <si>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Sales this year</t>
  </si>
  <si>
    <t>Tools sold in each quarter.</t>
  </si>
  <si>
    <t>Assumption</t>
  </si>
  <si>
    <t>Unit</t>
  </si>
  <si>
    <t>Value in model</t>
  </si>
  <si>
    <t>Uncertainty</t>
  </si>
  <si>
    <t>Low</t>
  </si>
  <si>
    <t>Most likely</t>
  </si>
  <si>
    <t>High</t>
  </si>
  <si>
    <t>Mean</t>
  </si>
  <si>
    <t>Basis / source (illustrative)</t>
  </si>
  <si>
    <t>Quarter 1</t>
  </si>
  <si>
    <t>tools</t>
  </si>
  <si>
    <t>PERT</t>
  </si>
  <si>
    <t>Rising as the launch builds.</t>
  </si>
  <si>
    <t>Quarter 2</t>
  </si>
  <si>
    <t>Quarter 3</t>
  </si>
  <si>
    <t>Quarter 4</t>
  </si>
  <si>
    <t>2   Field data and the redesign</t>
  </si>
  <si>
    <t>Previous model: tools in the field</t>
  </si>
  <si>
    <t>Fixed</t>
  </si>
  <si>
    <t>Two full years of warranty.</t>
  </si>
  <si>
    <t>Previous model: warranty claims</t>
  </si>
  <si>
    <t>claims</t>
  </si>
  <si>
    <t>3.2% of tools.</t>
  </si>
  <si>
    <t>Redesign factor on the claim rate</t>
  </si>
  <si>
    <t>× previous</t>
  </si>
  <si>
    <t>Engineering expects fewer failures, but a new design can surprise.</t>
  </si>
  <si>
    <t>3   Failures and their cost</t>
  </si>
  <si>
    <t>Time to failure: Weibull shape</t>
  </si>
  <si>
    <t>Below 1: most failures come early.</t>
  </si>
  <si>
    <t>Time to failure: Weibull scale</t>
  </si>
  <si>
    <t>years</t>
  </si>
  <si>
    <t>Average cost of a claim</t>
  </si>
  <si>
    <t>US$</t>
  </si>
  <si>
    <t>Parts, labour, shipping.</t>
  </si>
  <si>
    <t>Standard deviation of the cost of a claim</t>
  </si>
  <si>
    <t>WARRANTY   ·   The claim rate, and the claims of each quarter's sales run off through the warranty (US$ thousand).</t>
  </si>
  <si>
    <t>◂  Inputs</t>
  </si>
  <si>
    <t>Next:  Results  ▸</t>
  </si>
  <si>
    <t>1   The claim rate</t>
  </si>
  <si>
    <t>From the previous model's field data, adjusted for the redesign.</t>
  </si>
  <si>
    <t>Quantity</t>
  </si>
  <si>
    <t>Value</t>
  </si>
  <si>
    <t>How it is calculated</t>
  </si>
  <si>
    <t>Previous model's claim rate</t>
  </si>
  <si>
    <t>Claims ÷ tools</t>
  </si>
  <si>
    <t>Claim rate the data support</t>
  </si>
  <si>
    <t>VoseBeta(claims + 1, tools − claims + 1)</t>
  </si>
  <si>
    <t>Claim rate of the redesigned tool</t>
  </si>
  <si>
    <t>× the redesign factor</t>
  </si>
  <si>
    <t>Warranty period</t>
  </si>
  <si>
    <t>Fixed by the model: the eight run-off quarters of section 2. Claims after it are the customer's</t>
  </si>
  <si>
    <t>Time to a claim</t>
  </si>
  <si>
    <t>object</t>
  </si>
  <si>
    <t>Weibull, capped at the warranty period</t>
  </si>
  <si>
    <t>Cost of a claim</t>
  </si>
  <si>
    <t>Lognormal, by its mean and standard deviation</t>
  </si>
  <si>
    <t>Expected tools sold</t>
  </si>
  <si>
    <t>The four quarters' PERT means, from the Inputs sheet</t>
  </si>
  <si>
    <t>Expected claim rate</t>
  </si>
  <si>
    <t>The mean of the claim-rate Beta × the mean redesign factor</t>
  </si>
  <si>
    <t>Expected claims</t>
  </si>
  <si>
    <t>Tools × claim rate</t>
  </si>
  <si>
    <t>Expected warranty cost, calculated directly</t>
  </si>
  <si>
    <t>US$k</t>
  </si>
  <si>
    <t>Claims × the average claim</t>
  </si>
  <si>
    <t>2   Each quarter's sales, run off</t>
  </si>
  <si>
    <t>Claims and their cost (US$ thousand) by quarter since the sale. Press F9 for another year.</t>
  </si>
  <si>
    <t>Sold in</t>
  </si>
  <si>
    <t>Tools</t>
  </si>
  <si>
    <t>Q</t>
  </si>
  <si>
    <t>Q+1</t>
  </si>
  <si>
    <t>Q+2</t>
  </si>
  <si>
    <t>Q+3</t>
  </si>
  <si>
    <t>Q+4</t>
  </si>
  <si>
    <t>Q+5</t>
  </si>
  <si>
    <t>Q+6</t>
  </si>
  <si>
    <t>Q+7</t>
  </si>
  <si>
    <t>Total</t>
  </si>
  <si>
    <t>sold</t>
  </si>
  <si>
    <t>number</t>
  </si>
  <si>
    <t>Time stamps  (years since sale)</t>
  </si>
  <si>
    <t>Claims: VoseBinomial(tools sold, claim rate)</t>
  </si>
  <si>
    <t>VoseRunoff(claims, time to a claim, {time stamps}, cost of a claim)</t>
  </si>
  <si>
    <t>spreads them over the eight warranty quarters</t>
  </si>
  <si>
    <t>This year's sales</t>
  </si>
  <si>
    <t>3   Claims by calendar quarter</t>
  </si>
  <si>
    <t>Each quarter's run-off, moved along to the calendar quarters it falls in: a staircase (US$ thousand).</t>
  </si>
  <si>
    <t>this year</t>
  </si>
  <si>
    <t>after</t>
  </si>
  <si>
    <t>Warranty cost</t>
  </si>
  <si>
    <t>A cell holds its row's run-off for (calendar quarter − quarter of sale) quarters since the sale. Quarters 5 to 11 fall after the year end.</t>
  </si>
  <si>
    <t>4   Value in this iteration</t>
  </si>
  <si>
    <t>Key outputs, recorded by ModelRisk at every sample (VoseOutput). Their statistics appear on the Results sheet.</t>
  </si>
  <si>
    <t>Output</t>
  </si>
  <si>
    <t>Meaning</t>
  </si>
  <si>
    <t>Warranty cost of this year's sales</t>
  </si>
  <si>
    <t>All claims, over three years</t>
  </si>
  <si>
    <t>Warranty cost per tool sold</t>
  </si>
  <si>
    <t>Warranty claims</t>
  </si>
  <si>
    <t>Reserve needed at the year end</t>
  </si>
  <si>
    <t>Claims in calendar quarters 5 to 11</t>
  </si>
  <si>
    <t>Warranty cost in calendar quarter 1</t>
  </si>
  <si>
    <t>Warranty cost in calendar quarter 2</t>
  </si>
  <si>
    <t>Warranty cost in calendar quarter 3</t>
  </si>
  <si>
    <t>Warranty cost in calendar quarter 4</t>
  </si>
  <si>
    <t>Warranty cost in calendar quarter 5</t>
  </si>
  <si>
    <t>Warranty cost in calendar quarter 6</t>
  </si>
  <si>
    <t>Warranty cost in calendar quarter 7</t>
  </si>
  <si>
    <t>Warranty cost in calendar quarter 8</t>
  </si>
  <si>
    <t>Warranty cost in calendar quarter 9</t>
  </si>
  <si>
    <t>Warranty cost in calendar quarter 10</t>
  </si>
  <si>
    <t>Warranty cost in calendar quarter 11</t>
  </si>
  <si>
    <t>5   Model checks</t>
  </si>
  <si>
    <t>Should all read OK. A CHECK means an input has been set outside the range the model is built for.</t>
  </si>
  <si>
    <t>The field claims are no more than the tools in the field</t>
  </si>
  <si>
    <t>The Weibull shape and scale are positive</t>
  </si>
  <si>
    <t>RESULTS   ·   Filled in automatically from the last simulation. Run a simulation after changing any input.</t>
  </si>
  <si>
    <t>◂  Warranty</t>
  </si>
  <si>
    <t>1   What will warranty cost?</t>
  </si>
  <si>
    <t>Warranty cost of this year's sales — distribution</t>
  </si>
  <si>
    <t>This year's sales, over the whole warranty.</t>
  </si>
  <si>
    <t>Measure</t>
  </si>
  <si>
    <t>5th pct</t>
  </si>
  <si>
    <t>Median</t>
  </si>
  <si>
    <t>95th pct</t>
  </si>
  <si>
    <t>Warranty cost per tool</t>
  </si>
  <si>
    <t>Expected cost, calculated directly</t>
  </si>
  <si>
    <t>2   The year-end reserve</t>
  </si>
  <si>
    <t>Claims still to come, after the year end, on tools already sold (US$ thousand).</t>
  </si>
  <si>
    <t>Average reserve</t>
  </si>
  <si>
    <t>Average warranty cost</t>
  </si>
  <si>
    <t>Warranty cost by calendar quarter</t>
  </si>
  <si>
    <t>Reserve as a share of the warranty cost</t>
  </si>
  <si>
    <t>Prudent reserve  (75th percentile)</t>
  </si>
  <si>
    <t>3   How to read these results</t>
  </si>
  <si>
    <t>•  This year's sales should cost about US$69,000 in warranty claims — about US$5.30 a tool — but anything from about US$51,000 to US$89,000 is plausible (5th to 95th percentile). The redesign factor drives most of that range: the new design is the biggest unknown.</t>
  </si>
  <si>
    <t>•  Most claims come early — a Weibull shape below 1 means early failures — so the warranty cost peaks in the fourth quarter, when the year's growing sales meet their first months of use, and then fades over two years.</t>
  </si>
  <si>
    <t>•  At the year end about 56% of the warranty cost is still to come on tools already sold: a reserve of about US$39,000 on average, and about US$43,400 at the 75th percentile. The reserve, not the year's claims, is what the accounts must carry.</t>
  </si>
  <si>
    <t>•  The direct calculation — expected tools × expected claim rate × average claim — gives the same mean; the simulation adds the range, the timing and the reserve.</t>
  </si>
  <si>
    <t>•  Watch the claims in the first months after launch: early failures reveal the redesign factor quickly. Updating the claim rate with that data will narrow the range.</t>
  </si>
  <si>
    <t>Chart data</t>
  </si>
  <si>
    <t>Statistics of the last simulation behind the charts and the ranking above. Grouped: click + in the left margin to show them.</t>
  </si>
  <si>
    <t>Cumulative probability</t>
  </si>
  <si>
    <t>Exceedance</t>
  </si>
  <si>
    <t>Out_Cost</t>
  </si>
  <si>
    <t>Percentiles: Out_Cost</t>
  </si>
  <si>
    <t>Histogram: Out_Cost</t>
  </si>
  <si>
    <t>Edge</t>
  </si>
  <si>
    <t>Index</t>
  </si>
  <si>
    <t>Mid-point</t>
  </si>
  <si>
    <t>Probability</t>
  </si>
  <si>
    <t>Below edge</t>
  </si>
  <si>
    <t>Period</t>
  </si>
  <si>
    <t>5th percentile</t>
  </si>
  <si>
    <t>95th percentile</t>
  </si>
  <si>
    <t>Q1</t>
  </si>
  <si>
    <t>Q2</t>
  </si>
  <si>
    <t>Q3</t>
  </si>
  <si>
    <t>Q4</t>
  </si>
  <si>
    <t>Q5</t>
  </si>
  <si>
    <t>Q6</t>
  </si>
  <si>
    <t>Q7</t>
  </si>
  <si>
    <t>Q8</t>
  </si>
  <si>
    <t>Q9</t>
  </si>
  <si>
    <t>Q10</t>
  </si>
  <si>
    <t>Q11</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</si>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</sst>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_);\(#,##0\);&quot;–&quot;_)"/>
    <numFmt numFmtId="165" formatCode="#,##0.0_);\(#,##0.0\);&quot;–&quot;_)"/>
    <numFmt numFmtId="166" formatCode="&quot;Q&quot;0"/>
    <numFmt numFmtId="167" formatCode="&quot;Quarter &quot;0"/>
    <numFmt numFmtId="168" formatCode="#,##0.00_);\(#,##0.00\);&quot;–&quot;_)"/>
    <numFmt numFmtId="169" formatCode="#,##0.0_);\(#,##0.0\);&quot;–&quot;_);&quot;–&quot;"/>
    <numFmt numFmtId="170" formatCode="#,##0.00_);\(#,##0.00\);&quot;–&quot;_);&quot;–&quot;"/>
    <numFmt numFmtId="171" formatCode="#,##0_);\(#,##0\);&quot;–&quot;_);&quot;–&quot;"/>
    <numFmt numFmtId="172" formatCode="0%;\-0%;0%;&quot;–&quot;"/>
    <numFmt numFmtId="173" formatCode="0.0%"/>
  </numFmts>
  <fonts count="24"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sz val="10"/>
      <color rgb="FF3F5876"/>
      <name val="Calibri"/>
    </font>
    <font>
      <sz val="9"/>
      <color rgb="FF8AA0BA"/>
      <name val="Calibri"/>
    </font>
    <font>
      <b/>
      <sz val="10"/>
      <color rgb="FF15803D"/>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9">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2" fillId="3" borderId="7" xfId="2" applyNumberFormat="1" applyBorder="1">
      <alignment horizontal="right" vertical="center"/>
    </xf>
    <xf numFmtId="164" fontId="1" fillId="2" borderId="7" xfId="1" applyNumberFormat="1" applyBorder="1">
      <alignment horizontal="right" vertical="center"/>
    </xf>
    <xf numFmtId="164" fontId="3" fillId="0" borderId="8" xfId="3" applyNumberFormat="1" applyBorder="1">
      <alignment horizontal="right" vertical="center"/>
    </xf>
    <xf numFmtId="0" fontId="18" fillId="0" borderId="6" xfId="0" applyFont="1" applyBorder="1" applyAlignment="1">
      <alignment horizontal="left" vertical="center" wrapText="1" indent="1"/>
    </xf>
    <xf numFmtId="0" fontId="0" fillId="0" borderId="6" xfId="0" applyBorder="1"/>
    <xf numFmtId="2" fontId="2" fillId="3" borderId="7" xfId="2" applyNumberFormat="1" applyBorder="1">
      <alignment horizontal="right" vertical="center"/>
    </xf>
    <xf numFmtId="2" fontId="1" fillId="2" borderId="7" xfId="1" applyNumberFormat="1" applyBorder="1">
      <alignment horizontal="right" vertical="center"/>
    </xf>
    <xf numFmtId="2" fontId="3" fillId="0" borderId="8" xfId="3" applyNumberFormat="1" applyBorder="1">
      <alignment horizontal="right" vertical="center"/>
    </xf>
    <xf numFmtId="165" fontId="1" fillId="2" borderId="7" xfId="1"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0" fontId="3" fillId="0" borderId="8" xfId="3" applyNumberFormat="1" applyBorder="1">
      <alignment horizontal="right" vertical="center"/>
    </xf>
    <xf numFmtId="10" fontId="2" fillId="3" borderId="7" xfId="2" applyNumberFormat="1" applyBorder="1">
      <alignment horizontal="right" vertical="center"/>
    </xf>
    <xf numFmtId="165" fontId="3" fillId="0" borderId="8" xfId="3" applyNumberFormat="1" applyBorder="1">
      <alignment horizontal="right" vertical="center"/>
    </xf>
    <xf numFmtId="0" fontId="3" fillId="0" borderId="8" xfId="3" applyBorder="1" applyAlignment="1">
      <alignment horizontal="left" vertical="center" indent="1"/>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0" fontId="19" fillId="7" borderId="4" xfId="0" applyFont="1" applyFill="1" applyBorder="1" applyAlignment="1">
      <alignment horizontal="right" vertical="center"/>
    </xf>
    <xf numFmtId="0" fontId="20" fillId="0" borderId="6" xfId="0" applyFont="1" applyBorder="1" applyAlignment="1">
      <alignment horizontal="left" vertical="center" indent="1"/>
    </xf>
    <xf numFmtId="2" fontId="21" fillId="0" borderId="8" xfId="3" applyNumberFormat="1" applyFont="1" applyBorder="1">
      <alignment horizontal="right" vertical="center"/>
    </xf>
    <xf numFmtId="165" fontId="2" fillId="3" borderId="7" xfId="2" applyNumberFormat="1" applyBorder="1">
      <alignment horizontal="right" vertical="center"/>
    </xf>
    <xf numFmtId="165" fontId="12" fillId="0" borderId="8" xfId="3" applyNumberFormat="1" applyFont="1" applyBorder="1">
      <alignment horizontal="right" vertical="center"/>
    </xf>
    <xf numFmtId="0" fontId="12" fillId="0" borderId="9" xfId="0" applyFont="1" applyBorder="1" applyAlignment="1">
      <alignment horizontal="left" vertical="center" indent="1"/>
    </xf>
    <xf numFmtId="164" fontId="12" fillId="0" borderId="9" xfId="3" applyNumberFormat="1" applyFont="1" applyBorder="1">
      <alignment horizontal="right" vertical="center"/>
    </xf>
    <xf numFmtId="165" fontId="12" fillId="0" borderId="9" xfId="3" applyNumberFormat="1" applyFont="1" applyBorder="1">
      <alignment horizontal="right" vertical="center"/>
    </xf>
    <xf numFmtId="166" fontId="17" fillId="7" borderId="2" xfId="0" applyNumberFormat="1" applyFont="1" applyFill="1" applyBorder="1" applyAlignment="1">
      <alignment horizontal="right" vertical="center"/>
    </xf>
    <xf numFmtId="167" fontId="3" fillId="0" borderId="6" xfId="0" applyNumberFormat="1" applyFont="1" applyBorder="1" applyAlignment="1">
      <alignment horizontal="left" vertical="center" indent="1"/>
    </xf>
    <xf numFmtId="0" fontId="13" fillId="0" borderId="0" xfId="0" applyFont="1" applyAlignment="1">
      <alignment horizontal="left" vertical="center" indent="1"/>
    </xf>
    <xf numFmtId="165" fontId="4" fillId="4" borderId="10" xfId="4" applyNumberFormat="1" applyBorder="1">
      <alignment horizontal="right" vertical="center"/>
    </xf>
    <xf numFmtId="168" fontId="4" fillId="4" borderId="10" xfId="4" applyNumberFormat="1" applyBorder="1">
      <alignment horizontal="right" vertical="center"/>
    </xf>
    <xf numFmtId="164" fontId="4" fillId="4" borderId="10" xfId="4" applyNumberFormat="1" applyBorder="1">
      <alignment horizontal="right" vertical="center"/>
    </xf>
    <xf numFmtId="0" fontId="22"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3" fillId="0" borderId="5" xfId="0" applyFont="1" applyBorder="1"/>
    <xf numFmtId="169" fontId="1" fillId="5" borderId="7" xfId="5" applyNumberFormat="1" applyBorder="1">
      <alignment horizontal="right" vertical="center"/>
    </xf>
    <xf numFmtId="170" fontId="1" fillId="5" borderId="7" xfId="5" applyNumberFormat="1" applyBorder="1">
      <alignment horizontal="right" vertical="center"/>
    </xf>
    <xf numFmtId="171" fontId="1" fillId="5" borderId="7" xfId="5" applyNumberFormat="1" applyBorder="1">
      <alignment horizontal="right" vertical="center"/>
    </xf>
    <xf numFmtId="172" fontId="1" fillId="5" borderId="7" xfId="5" applyNumberFormat="1" applyBorder="1">
      <alignment horizontal="right" vertical="center"/>
    </xf>
    <xf numFmtId="0" fontId="12" fillId="0" borderId="6" xfId="0" applyFont="1" applyBorder="1" applyAlignment="1">
      <alignment horizontal="left" vertical="center" indent="1"/>
    </xf>
    <xf numFmtId="9" fontId="3" fillId="0" borderId="2" xfId="3" applyNumberFormat="1">
      <alignment horizontal="right" vertical="center"/>
    </xf>
    <xf numFmtId="4" fontId="3" fillId="0" borderId="2" xfId="3" applyNumberFormat="1">
      <alignment horizontal="right" vertical="center"/>
    </xf>
    <xf numFmtId="173" fontId="3" fillId="0" borderId="2" xfId="3" applyNumberFormat="1">
      <alignment horizontal="right" vertical="center"/>
    </xf>
    <xf numFmtId="0" fontId="21" fillId="0" borderId="0" xfId="0" applyFont="1"/>
    <xf numFmtId="1" fontId="3" fillId="0" borderId="2" xfId="3" applyNumberFormat="1">
      <alignment horizontal="right" vertical="center"/>
    </xf>
    <xf numFmtId="0" fontId="20" fillId="0" borderId="0" xfId="0" applyFont="1" applyAlignment="1">
      <alignment horizontal="left" vertical="center" indent="1"/>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8">
    <dxf>
      <font>
        <color rgb="FF8AA0BA"/>
      </font>
    </dxf>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Warranty cost</c:v>
          </c:tx>
          <c:spPr>
            <a:solidFill>
              <a:srgbClr val="0E4F92"/>
            </a:solidFill>
            <a:ln>
              <a:noFill/>
              <a:prstDash val="solid"/>
            </a:ln>
          </c:spPr>
          <c:invertIfNegative val="1"/>
          <c:cat>
            <c:numRef>
              <c:f>Results!$E$206:$E$229</c:f>
              <c:numCache>
                <c:formatCode>#,##0.00</c:formatCode>
                <c:ptCount val="24"/>
                <c:pt idx="0">
                  <c:v>45.063058463566101</c:v>
                </c:pt>
                <c:pt idx="1">
                  <c:v>47.401181661536697</c:v>
                </c:pt>
                <c:pt idx="2">
                  <c:v>49.739304859507286</c:v>
                </c:pt>
                <c:pt idx="3">
                  <c:v>52.077428057477874</c:v>
                </c:pt>
                <c:pt idx="4">
                  <c:v>54.415551255448463</c:v>
                </c:pt>
                <c:pt idx="5">
                  <c:v>56.753674453419059</c:v>
                </c:pt>
                <c:pt idx="6">
                  <c:v>59.091797651389655</c:v>
                </c:pt>
                <c:pt idx="7">
                  <c:v>61.429920849360244</c:v>
                </c:pt>
                <c:pt idx="8">
                  <c:v>63.768044047330832</c:v>
                </c:pt>
                <c:pt idx="9">
                  <c:v>66.106167245301421</c:v>
                </c:pt>
                <c:pt idx="10">
                  <c:v>68.44429044327201</c:v>
                </c:pt>
                <c:pt idx="11">
                  <c:v>70.782413641242613</c:v>
                </c:pt>
                <c:pt idx="12">
                  <c:v>73.120536839213202</c:v>
                </c:pt>
                <c:pt idx="13">
                  <c:v>75.45866003718379</c:v>
                </c:pt>
                <c:pt idx="14">
                  <c:v>77.796783235154379</c:v>
                </c:pt>
                <c:pt idx="15">
                  <c:v>80.134906433124968</c:v>
                </c:pt>
                <c:pt idx="16">
                  <c:v>82.473029631095571</c:v>
                </c:pt>
                <c:pt idx="17">
                  <c:v>84.81115282906616</c:v>
                </c:pt>
                <c:pt idx="18">
                  <c:v>87.149276027036748</c:v>
                </c:pt>
                <c:pt idx="19">
                  <c:v>89.487399225007337</c:v>
                </c:pt>
                <c:pt idx="20">
                  <c:v>91.825522422977926</c:v>
                </c:pt>
                <c:pt idx="21">
                  <c:v>94.163645620948515</c:v>
                </c:pt>
                <c:pt idx="22">
                  <c:v>96.501768818919103</c:v>
                </c:pt>
                <c:pt idx="23">
                  <c:v>98.839892016889706</c:v>
                </c:pt>
              </c:numCache>
            </c:numRef>
          </c:cat>
          <c:val>
            <c:numRef>
              <c:f>Results!$F$206:$F$229</c:f>
              <c:numCache>
                <c:formatCode>0.0%</c:formatCode>
                <c:ptCount val="24"/>
                <c:pt idx="0">
                  <c:v>5.937878579423665E-3</c:v>
                </c:pt>
                <c:pt idx="1">
                  <c:v>1.3355300065445693E-2</c:v>
                </c:pt>
                <c:pt idx="2">
                  <c:v>2.1138126914408077E-2</c:v>
                </c:pt>
                <c:pt idx="3">
                  <c:v>3.2419726608319266E-2</c:v>
                </c:pt>
                <c:pt idx="4">
                  <c:v>4.1020980596535556E-2</c:v>
                </c:pt>
                <c:pt idx="5">
                  <c:v>5.4302983409714928E-2</c:v>
                </c:pt>
                <c:pt idx="6">
                  <c:v>5.8089468262298882E-2</c:v>
                </c:pt>
                <c:pt idx="7">
                  <c:v>6.9066394354938665E-2</c:v>
                </c:pt>
                <c:pt idx="8">
                  <c:v>7.6210386936910401E-2</c:v>
                </c:pt>
                <c:pt idx="9">
                  <c:v>7.6260394444684243E-2</c:v>
                </c:pt>
                <c:pt idx="10">
                  <c:v>7.5255217463718049E-2</c:v>
                </c:pt>
                <c:pt idx="11">
                  <c:v>7.6424357666093345E-2</c:v>
                </c:pt>
                <c:pt idx="12">
                  <c:v>6.9064457744242636E-2</c:v>
                </c:pt>
                <c:pt idx="13">
                  <c:v>6.3480105738646819E-2</c:v>
                </c:pt>
                <c:pt idx="14">
                  <c:v>5.3587261976865364E-2</c:v>
                </c:pt>
                <c:pt idx="15">
                  <c:v>4.7153925461925761E-2</c:v>
                </c:pt>
                <c:pt idx="16">
                  <c:v>4.3675102933902421E-2</c:v>
                </c:pt>
                <c:pt idx="17">
                  <c:v>3.4239149711854711E-2</c:v>
                </c:pt>
                <c:pt idx="18">
                  <c:v>2.8349090400160759E-2</c:v>
                </c:pt>
                <c:pt idx="19">
                  <c:v>1.947593505059475E-2</c:v>
                </c:pt>
                <c:pt idx="20">
                  <c:v>1.3641308905541605E-2</c:v>
                </c:pt>
                <c:pt idx="21">
                  <c:v>8.1819085959027316E-3</c:v>
                </c:pt>
                <c:pt idx="22">
                  <c:v>5.8777889470102984E-3</c:v>
                </c:pt>
                <c:pt idx="23">
                  <c:v>3.7927492308613697E-3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D75B-4BF1-83E1-46D9BB1AEABE}"/>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US$ thousand</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95th percentile</c:v>
          </c:tx>
          <c:spPr>
            <a:ln w="15875">
              <a:solidFill>
                <a:srgbClr val="0E4F92"/>
              </a:solidFill>
              <a:prstDash val="dash"/>
            </a:ln>
          </c:spPr>
          <c:marker>
            <c:symbol val="none"/>
          </c:marker>
          <c:cat>
            <c:strRef>
              <c:f>Results!$B$233:$B$243</c:f>
              <c:strCache>
                <c:ptCount val="11"/>
                <c:pt idx="0">
                  <c:v>Q1</c:v>
                </c:pt>
                <c:pt idx="1">
                  <c:v>Q2</c:v>
                </c:pt>
                <c:pt idx="2">
                  <c:v>Q3</c:v>
                </c:pt>
                <c:pt idx="3">
                  <c:v>Q4</c:v>
                </c:pt>
                <c:pt idx="4">
                  <c:v>Q5</c:v>
                </c:pt>
                <c:pt idx="5">
                  <c:v>Q6</c:v>
                </c:pt>
                <c:pt idx="6">
                  <c:v>Q7</c:v>
                </c:pt>
                <c:pt idx="7">
                  <c:v>Q8</c:v>
                </c:pt>
                <c:pt idx="8">
                  <c:v>Q9</c:v>
                </c:pt>
                <c:pt idx="9">
                  <c:v>Q10</c:v>
                </c:pt>
                <c:pt idx="10">
                  <c:v>Q11</c:v>
                </c:pt>
              </c:strCache>
            </c:strRef>
          </c:cat>
          <c:val>
            <c:numRef>
              <c:f>Results!$E$233:$E$243</c:f>
              <c:numCache>
                <c:formatCode>#,##0.00</c:formatCode>
                <c:ptCount val="11"/>
                <c:pt idx="0">
                  <c:v>5.1943671122837989</c:v>
                </c:pt>
                <c:pt idx="1">
                  <c:v>8.8194443611675677</c:v>
                </c:pt>
                <c:pt idx="2">
                  <c:v>12.817168646585159</c:v>
                </c:pt>
                <c:pt idx="3">
                  <c:v>16.46373401644162</c:v>
                </c:pt>
                <c:pt idx="4">
                  <c:v>12.777451935116039</c:v>
                </c:pt>
                <c:pt idx="5">
                  <c:v>10.942857326227804</c:v>
                </c:pt>
                <c:pt idx="6">
                  <c:v>9.7092009754664872</c:v>
                </c:pt>
                <c:pt idx="7">
                  <c:v>8.7066242353360277</c:v>
                </c:pt>
                <c:pt idx="8">
                  <c:v>6.8168814929476973</c:v>
                </c:pt>
                <c:pt idx="9">
                  <c:v>4.8301094035109058</c:v>
                </c:pt>
                <c:pt idx="10">
                  <c:v>2.7784898273886607</c:v>
                </c:pt>
              </c:numCache>
            </c:numRef>
          </c:val>
          <c:smooth val="0"/>
          <c:extLst>
            <c:ext xmlns:c16="http://schemas.microsoft.com/office/drawing/2014/chart" uri="{C3380CC4-5D6E-409C-BE32-E72D297353CC}">
              <c16:uniqueId val="{00000000-C3E0-4E52-B31E-EEA9076B794B}"/>
            </c:ext>
          </c:extLst>
        </c:ser>
        <c:ser>
          <c:idx val="1"/>
          <c:order val="1"/>
          <c:tx>
            <c:v>Median</c:v>
          </c:tx>
          <c:spPr>
            <a:ln w="28575">
              <a:solidFill>
                <a:srgbClr val="0E4F92"/>
              </a:solidFill>
              <a:prstDash val="solid"/>
            </a:ln>
          </c:spPr>
          <c:marker>
            <c:symbol val="none"/>
          </c:marker>
          <c:cat>
            <c:strRef>
              <c:f>Results!$B$233:$B$243</c:f>
              <c:strCache>
                <c:ptCount val="11"/>
                <c:pt idx="0">
                  <c:v>Q1</c:v>
                </c:pt>
                <c:pt idx="1">
                  <c:v>Q2</c:v>
                </c:pt>
                <c:pt idx="2">
                  <c:v>Q3</c:v>
                </c:pt>
                <c:pt idx="3">
                  <c:v>Q4</c:v>
                </c:pt>
                <c:pt idx="4">
                  <c:v>Q5</c:v>
                </c:pt>
                <c:pt idx="5">
                  <c:v>Q6</c:v>
                </c:pt>
                <c:pt idx="6">
                  <c:v>Q7</c:v>
                </c:pt>
                <c:pt idx="7">
                  <c:v>Q8</c:v>
                </c:pt>
                <c:pt idx="8">
                  <c:v>Q9</c:v>
                </c:pt>
                <c:pt idx="9">
                  <c:v>Q10</c:v>
                </c:pt>
                <c:pt idx="10">
                  <c:v>Q11</c:v>
                </c:pt>
              </c:strCache>
            </c:strRef>
          </c:cat>
          <c:val>
            <c:numRef>
              <c:f>Results!$D$233:$D$243</c:f>
              <c:numCache>
                <c:formatCode>#,##0.00</c:formatCode>
                <c:ptCount val="11"/>
                <c:pt idx="0">
                  <c:v>3.230184563324026</c:v>
                </c:pt>
                <c:pt idx="1">
                  <c:v>6.039581912814362</c:v>
                </c:pt>
                <c:pt idx="2">
                  <c:v>8.9450965422700612</c:v>
                </c:pt>
                <c:pt idx="3">
                  <c:v>11.833948493219371</c:v>
                </c:pt>
                <c:pt idx="4">
                  <c:v>9.0502168472252364</c:v>
                </c:pt>
                <c:pt idx="5">
                  <c:v>7.6588622274257183</c:v>
                </c:pt>
                <c:pt idx="6">
                  <c:v>6.6785079600912916</c:v>
                </c:pt>
                <c:pt idx="7">
                  <c:v>5.9043238878057576</c:v>
                </c:pt>
                <c:pt idx="8">
                  <c:v>4.4332158115626381</c:v>
                </c:pt>
                <c:pt idx="9">
                  <c:v>2.9540214503825348</c:v>
                </c:pt>
                <c:pt idx="10">
                  <c:v>1.4531628400366934</c:v>
                </c:pt>
              </c:numCache>
            </c:numRef>
          </c:val>
          <c:smooth val="0"/>
          <c:extLst>
            <c:ext xmlns:c16="http://schemas.microsoft.com/office/drawing/2014/chart" uri="{C3380CC4-5D6E-409C-BE32-E72D297353CC}">
              <c16:uniqueId val="{00000001-C3E0-4E52-B31E-EEA9076B794B}"/>
            </c:ext>
          </c:extLst>
        </c:ser>
        <c:ser>
          <c:idx val="2"/>
          <c:order val="2"/>
          <c:tx>
            <c:v>Mean</c:v>
          </c:tx>
          <c:spPr>
            <a:ln w="19050">
              <a:solidFill>
                <a:srgbClr val="B45309"/>
              </a:solidFill>
              <a:prstDash val="solid"/>
            </a:ln>
          </c:spPr>
          <c:marker>
            <c:symbol val="none"/>
          </c:marker>
          <c:cat>
            <c:strRef>
              <c:f>Results!$B$233:$B$243</c:f>
              <c:strCache>
                <c:ptCount val="11"/>
                <c:pt idx="0">
                  <c:v>Q1</c:v>
                </c:pt>
                <c:pt idx="1">
                  <c:v>Q2</c:v>
                </c:pt>
                <c:pt idx="2">
                  <c:v>Q3</c:v>
                </c:pt>
                <c:pt idx="3">
                  <c:v>Q4</c:v>
                </c:pt>
                <c:pt idx="4">
                  <c:v>Q5</c:v>
                </c:pt>
                <c:pt idx="5">
                  <c:v>Q6</c:v>
                </c:pt>
                <c:pt idx="6">
                  <c:v>Q7</c:v>
                </c:pt>
                <c:pt idx="7">
                  <c:v>Q8</c:v>
                </c:pt>
                <c:pt idx="8">
                  <c:v>Q9</c:v>
                </c:pt>
                <c:pt idx="9">
                  <c:v>Q10</c:v>
                </c:pt>
                <c:pt idx="10">
                  <c:v>Q11</c:v>
                </c:pt>
              </c:strCache>
            </c:strRef>
          </c:cat>
          <c:val>
            <c:numRef>
              <c:f>Results!$F$233:$F$243</c:f>
              <c:numCache>
                <c:formatCode>#,##0.00</c:formatCode>
                <c:ptCount val="11"/>
                <c:pt idx="0">
                  <c:v>3.317055905612897</c:v>
                </c:pt>
                <c:pt idx="1">
                  <c:v>6.1443412021751636</c:v>
                </c:pt>
                <c:pt idx="2">
                  <c:v>9.0642560588817673</c:v>
                </c:pt>
                <c:pt idx="3">
                  <c:v>11.988529663648633</c:v>
                </c:pt>
                <c:pt idx="4">
                  <c:v>9.131282216971206</c:v>
                </c:pt>
                <c:pt idx="5">
                  <c:v>7.7619192812206137</c:v>
                </c:pt>
                <c:pt idx="6">
                  <c:v>6.7708684745869085</c:v>
                </c:pt>
                <c:pt idx="7">
                  <c:v>6.0190844451712282</c:v>
                </c:pt>
                <c:pt idx="8">
                  <c:v>4.5321878030333602</c:v>
                </c:pt>
                <c:pt idx="9">
                  <c:v>3.0314510051235213</c:v>
                </c:pt>
                <c:pt idx="10">
                  <c:v>1.5278195433006394</c:v>
                </c:pt>
              </c:numCache>
            </c:numRef>
          </c:val>
          <c:smooth val="0"/>
          <c:extLst>
            <c:ext xmlns:c16="http://schemas.microsoft.com/office/drawing/2014/chart" uri="{C3380CC4-5D6E-409C-BE32-E72D297353CC}">
              <c16:uniqueId val="{00000002-C3E0-4E52-B31E-EEA9076B794B}"/>
            </c:ext>
          </c:extLst>
        </c:ser>
        <c:ser>
          <c:idx val="3"/>
          <c:order val="3"/>
          <c:tx>
            <c:v>5th percentile</c:v>
          </c:tx>
          <c:spPr>
            <a:ln w="15875">
              <a:solidFill>
                <a:srgbClr val="0E4F92"/>
              </a:solidFill>
              <a:prstDash val="dash"/>
            </a:ln>
          </c:spPr>
          <c:marker>
            <c:symbol val="none"/>
          </c:marker>
          <c:cat>
            <c:strRef>
              <c:f>Results!$B$233:$B$243</c:f>
              <c:strCache>
                <c:ptCount val="11"/>
                <c:pt idx="0">
                  <c:v>Q1</c:v>
                </c:pt>
                <c:pt idx="1">
                  <c:v>Q2</c:v>
                </c:pt>
                <c:pt idx="2">
                  <c:v>Q3</c:v>
                </c:pt>
                <c:pt idx="3">
                  <c:v>Q4</c:v>
                </c:pt>
                <c:pt idx="4">
                  <c:v>Q5</c:v>
                </c:pt>
                <c:pt idx="5">
                  <c:v>Q6</c:v>
                </c:pt>
                <c:pt idx="6">
                  <c:v>Q7</c:v>
                </c:pt>
                <c:pt idx="7">
                  <c:v>Q8</c:v>
                </c:pt>
                <c:pt idx="8">
                  <c:v>Q9</c:v>
                </c:pt>
                <c:pt idx="9">
                  <c:v>Q10</c:v>
                </c:pt>
                <c:pt idx="10">
                  <c:v>Q11</c:v>
                </c:pt>
              </c:strCache>
            </c:strRef>
          </c:cat>
          <c:val>
            <c:numRef>
              <c:f>Results!$C$233:$C$243</c:f>
              <c:numCache>
                <c:formatCode>#,##0.00</c:formatCode>
                <c:ptCount val="11"/>
                <c:pt idx="0">
                  <c:v>1.7014792178875</c:v>
                </c:pt>
                <c:pt idx="1">
                  <c:v>3.6829259322742143</c:v>
                </c:pt>
                <c:pt idx="2">
                  <c:v>5.9175976463432756</c:v>
                </c:pt>
                <c:pt idx="3">
                  <c:v>8.0549945098042866</c:v>
                </c:pt>
                <c:pt idx="4">
                  <c:v>5.8909322238310216</c:v>
                </c:pt>
                <c:pt idx="5">
                  <c:v>4.888433657105983</c:v>
                </c:pt>
                <c:pt idx="6">
                  <c:v>4.1897057388984189</c:v>
                </c:pt>
                <c:pt idx="7">
                  <c:v>3.6646034207608009</c:v>
                </c:pt>
                <c:pt idx="8">
                  <c:v>2.5838879139601199</c:v>
                </c:pt>
                <c:pt idx="9">
                  <c:v>1.5241376042913914</c:v>
                </c:pt>
                <c:pt idx="10">
                  <c:v>0.54564282149216004</c:v>
                </c:pt>
              </c:numCache>
            </c:numRef>
          </c:val>
          <c:smooth val="0"/>
          <c:extLst>
            <c:ext xmlns:c16="http://schemas.microsoft.com/office/drawing/2014/chart" uri="{C3380CC4-5D6E-409C-BE32-E72D297353CC}">
              <c16:uniqueId val="{00000003-C3E0-4E52-B31E-EEA9076B794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noMultiLvlLbl val="1"/>
      </c:catAx>
      <c:valAx>
        <c:axId val="100"/>
        <c:scaling>
          <c:orientation val="minMax"/>
          <c:min val="0"/>
        </c:scaling>
        <c:delete val="0"/>
        <c:axPos val="l"/>
        <c:majorGridlines>
          <c:spPr>
            <a:ln>
              <a:solidFill>
                <a:srgbClr val="E4E9F0"/>
              </a:solidFill>
              <a:prstDash val="solid"/>
            </a:ln>
          </c:spPr>
        </c:majorGridlines>
        <c:title>
          <c:tx>
            <c:rich>
              <a:bodyPr/>
              <a:lstStyle/>
              <a:p>
                <a:pPr>
                  <a:defRPr/>
                </a:pPr>
                <a:r>
                  <a:rPr lang="en-US"/>
                  <a:t>US$ thousand</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376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24</xdr:row>
      <xdr:rowOff>0</xdr:rowOff>
    </xdr:from>
    <xdr:ext cx="6263999" cy="252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3"/>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74" t="s">
        <v>20</v>
      </c>
      <c r="C16" s="75"/>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x14ac:dyDescent="0.45">
      <c r="B59" s="9" t="s">
        <v>70</v>
      </c>
      <c r="C59" s="10" t="s">
        <v>71</v>
      </c>
    </row>
    <row r="60" spans="2:3"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x14ac:dyDescent="0.45">
      <c r="B64" s="20" t="s">
        <v>77</v>
      </c>
      <c r="C64" s="10" t="s">
        <v>78</v>
      </c>
    </row>
    <row r="65" spans="2:3" x14ac:dyDescent="0.45">
      <c r="B65" s="20" t="s">
        <v>79</v>
      </c>
      <c r="C65" s="10" t="s">
        <v>80</v>
      </c>
    </row>
    <row r="66" spans="2:3" ht="39.4" x14ac:dyDescent="0.45">
      <c r="B66" s="20" t="s">
        <v>81</v>
      </c>
      <c r="C66" s="10" t="s">
        <v>82</v>
      </c>
    </row>
    <row r="67" spans="2:3" ht="26.25" x14ac:dyDescent="0.45">
      <c r="B67" s="20" t="s">
        <v>83</v>
      </c>
      <c r="C67" s="10" t="s">
        <v>84</v>
      </c>
    </row>
    <row r="68" spans="2:3" ht="12" customHeight="1" x14ac:dyDescent="0.45"/>
    <row r="69" spans="2:3" ht="22.05" customHeight="1" x14ac:dyDescent="0.5">
      <c r="B69" s="7" t="s">
        <v>85</v>
      </c>
      <c r="C69" s="8"/>
    </row>
    <row r="70" spans="2:3" x14ac:dyDescent="0.45">
      <c r="B70" s="9" t="s">
        <v>86</v>
      </c>
      <c r="C70" s="10" t="s">
        <v>87</v>
      </c>
    </row>
    <row r="71" spans="2:3" x14ac:dyDescent="0.45">
      <c r="B71" s="9" t="s">
        <v>88</v>
      </c>
      <c r="C71" s="10" t="s">
        <v>89</v>
      </c>
    </row>
    <row r="72" spans="2:3" ht="16.05" customHeight="1" x14ac:dyDescent="0.45"/>
    <row r="73" spans="2:3" x14ac:dyDescent="0.45">
      <c r="B73" s="76" t="s">
        <v>90</v>
      </c>
      <c r="C73" s="75"/>
    </row>
  </sheetData>
  <mergeCells count="2">
    <mergeCell ref="B16:C16"/>
    <mergeCell ref="B73:C73"/>
  </mergeCells>
  <hyperlinks>
    <hyperlink ref="D4" location="'Inputs'!A1" display="Next:  Inputs  ▸" xr:uid="{00000000-0004-0000-0000-000000000000}"/>
    <hyperlink ref="B39" location="'Inputs'!A1" display="Inputs" xr:uid="{00000000-0004-0000-0000-000001000000}"/>
    <hyperlink ref="B40" location="'Warranty'!A1" display="Warranty"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28"/>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91</v>
      </c>
      <c r="C3" s="1"/>
      <c r="D3" s="1"/>
      <c r="E3" s="1"/>
      <c r="F3" s="1"/>
      <c r="G3" s="1"/>
      <c r="H3" s="1"/>
      <c r="I3" s="1"/>
      <c r="J3" s="1"/>
    </row>
    <row r="4" spans="1:10" ht="20" customHeight="1" x14ac:dyDescent="0.45">
      <c r="A4" s="5"/>
      <c r="B4" s="22" t="s">
        <v>92</v>
      </c>
      <c r="C4" s="5"/>
      <c r="D4" s="5"/>
      <c r="E4" s="5"/>
      <c r="F4" s="5"/>
      <c r="G4" s="5"/>
      <c r="H4" s="5"/>
      <c r="I4" s="5"/>
      <c r="J4" s="6" t="s">
        <v>93</v>
      </c>
    </row>
    <row r="5" spans="1:10" ht="8" customHeight="1" x14ac:dyDescent="0.45"/>
    <row r="6" spans="1:10" ht="30" customHeight="1" x14ac:dyDescent="0.45">
      <c r="B6" s="77" t="s">
        <v>94</v>
      </c>
      <c r="C6" s="75"/>
      <c r="D6" s="75"/>
      <c r="E6" s="75"/>
      <c r="F6" s="75"/>
      <c r="G6" s="75"/>
      <c r="H6" s="75"/>
      <c r="I6" s="75"/>
      <c r="J6" s="75"/>
    </row>
    <row r="7" spans="1:10" ht="6" customHeight="1" x14ac:dyDescent="0.45"/>
    <row r="8" spans="1:10" ht="22.05" customHeight="1" x14ac:dyDescent="0.5">
      <c r="B8" s="7" t="s">
        <v>95</v>
      </c>
      <c r="C8" s="8"/>
      <c r="D8" s="8"/>
      <c r="E8" s="8"/>
      <c r="F8" s="8"/>
      <c r="G8" s="8"/>
      <c r="H8" s="8"/>
      <c r="I8" s="8"/>
      <c r="J8" s="8"/>
    </row>
    <row r="9" spans="1:10" ht="18" customHeight="1" x14ac:dyDescent="0.45">
      <c r="B9" s="13" t="s">
        <v>96</v>
      </c>
    </row>
    <row r="10" spans="1:10" ht="18" customHeight="1" x14ac:dyDescent="0.45">
      <c r="B10" s="23" t="s">
        <v>97</v>
      </c>
      <c r="C10" s="23" t="s">
        <v>98</v>
      </c>
      <c r="D10" s="24" t="s">
        <v>99</v>
      </c>
      <c r="E10" s="23" t="s">
        <v>100</v>
      </c>
      <c r="F10" s="24" t="s">
        <v>101</v>
      </c>
      <c r="G10" s="24" t="s">
        <v>102</v>
      </c>
      <c r="H10" s="24" t="s">
        <v>103</v>
      </c>
      <c r="I10" s="24" t="s">
        <v>104</v>
      </c>
      <c r="J10" s="23" t="s">
        <v>105</v>
      </c>
    </row>
    <row r="11" spans="1:10" x14ac:dyDescent="0.45">
      <c r="B11" s="25" t="s">
        <v>106</v>
      </c>
      <c r="C11" s="26" t="s">
        <v>107</v>
      </c>
      <c r="D11" s="27" cm="1">
        <f t="array" aca="1" ref="D11" ca="1">_xll.VoseInput("Sales, quarter 1","tools")+_xll.VosePERT(F11,G11,H11)</f>
        <v>2554.3539699064108</v>
      </c>
      <c r="E11" s="26" t="s">
        <v>108</v>
      </c>
      <c r="F11" s="28">
        <v>2200</v>
      </c>
      <c r="G11" s="28">
        <v>2500</v>
      </c>
      <c r="H11" s="28">
        <v>2900</v>
      </c>
      <c r="I11" s="29" cm="1">
        <f t="array" ref="I11">IF(AND(F11&lt;=G11,G11&lt;=H11,F11&lt;H11),_xll.VoseMean(_xll.VosePERTObject(F11,G11,H11)),"✗ range")</f>
        <v>2516.6666666666665</v>
      </c>
      <c r="J11" s="30" t="s">
        <v>109</v>
      </c>
    </row>
    <row r="12" spans="1:10" x14ac:dyDescent="0.45">
      <c r="B12" s="25" t="s">
        <v>110</v>
      </c>
      <c r="C12" s="26" t="s">
        <v>107</v>
      </c>
      <c r="D12" s="27" cm="1">
        <f t="array" aca="1" ref="D12" ca="1">_xll.VoseInput("Sales, quarter 2","tools")+_xll.VosePERT(F12,G12,H12)</f>
        <v>3023.7333229213259</v>
      </c>
      <c r="E12" s="26" t="s">
        <v>108</v>
      </c>
      <c r="F12" s="28">
        <v>2600</v>
      </c>
      <c r="G12" s="28">
        <v>3000</v>
      </c>
      <c r="H12" s="28">
        <v>3500</v>
      </c>
      <c r="I12" s="29" cm="1">
        <f t="array" ref="I12">IF(AND(F12&lt;=G12,G12&lt;=H12,F12&lt;H12),_xll.VoseMean(_xll.VosePERTObject(F12,G12,H12)),"✗ range")</f>
        <v>3016.6666666666665</v>
      </c>
      <c r="J12" s="30"/>
    </row>
    <row r="13" spans="1:10" x14ac:dyDescent="0.45">
      <c r="B13" s="25" t="s">
        <v>111</v>
      </c>
      <c r="C13" s="26" t="s">
        <v>107</v>
      </c>
      <c r="D13" s="27" cm="1">
        <f t="array" aca="1" ref="D13" ca="1">_xll.VoseInput("Sales, quarter 3","tools")+_xll.VosePERT(F13,G13,H13)</f>
        <v>3196.2488211765485</v>
      </c>
      <c r="E13" s="26" t="s">
        <v>108</v>
      </c>
      <c r="F13" s="28">
        <v>3000</v>
      </c>
      <c r="G13" s="28">
        <v>3500</v>
      </c>
      <c r="H13" s="28">
        <v>4200</v>
      </c>
      <c r="I13" s="29" cm="1">
        <f t="array" ref="I13">IF(AND(F13&lt;=G13,G13&lt;=H13,F13&lt;H13),_xll.VoseMean(_xll.VosePERTObject(F13,G13,H13)),"✗ range")</f>
        <v>3533.3333333333335</v>
      </c>
      <c r="J13" s="30"/>
    </row>
    <row r="14" spans="1:10" x14ac:dyDescent="0.45">
      <c r="B14" s="25" t="s">
        <v>112</v>
      </c>
      <c r="C14" s="26" t="s">
        <v>107</v>
      </c>
      <c r="D14" s="27" cm="1">
        <f t="array" aca="1" ref="D14" ca="1">_xll.VoseInput("Sales, quarter 4","tools")+_xll.VosePERT(F14,G14,H14)</f>
        <v>3807.0890588241132</v>
      </c>
      <c r="E14" s="26" t="s">
        <v>108</v>
      </c>
      <c r="F14" s="28">
        <v>3300</v>
      </c>
      <c r="G14" s="28">
        <v>4000</v>
      </c>
      <c r="H14" s="28">
        <v>4900</v>
      </c>
      <c r="I14" s="29" cm="1">
        <f t="array" ref="I14">IF(AND(F14&lt;=G14,G14&lt;=H14,F14&lt;H14),_xll.VoseMean(_xll.VosePERTObject(F14,G14,H14)),"✗ range")</f>
        <v>4033.3333333333335</v>
      </c>
      <c r="J14" s="30"/>
    </row>
    <row r="15" spans="1:10" ht="8" customHeight="1" x14ac:dyDescent="0.45"/>
    <row r="16" spans="1:10" ht="22.05" customHeight="1" x14ac:dyDescent="0.5">
      <c r="B16" s="7" t="s">
        <v>113</v>
      </c>
      <c r="C16" s="8"/>
      <c r="D16" s="8"/>
      <c r="E16" s="8"/>
      <c r="F16" s="8"/>
      <c r="G16" s="8"/>
      <c r="H16" s="8"/>
      <c r="I16" s="8"/>
      <c r="J16" s="8"/>
    </row>
    <row r="17" spans="2:10" ht="18" customHeight="1" x14ac:dyDescent="0.45">
      <c r="B17" s="23" t="s">
        <v>97</v>
      </c>
      <c r="C17" s="23" t="s">
        <v>98</v>
      </c>
      <c r="D17" s="24" t="s">
        <v>99</v>
      </c>
      <c r="E17" s="23" t="s">
        <v>100</v>
      </c>
      <c r="F17" s="24" t="s">
        <v>101</v>
      </c>
      <c r="G17" s="24" t="s">
        <v>102</v>
      </c>
      <c r="H17" s="24" t="s">
        <v>103</v>
      </c>
      <c r="I17" s="24" t="s">
        <v>104</v>
      </c>
      <c r="J17" s="23" t="s">
        <v>105</v>
      </c>
    </row>
    <row r="18" spans="2:10" x14ac:dyDescent="0.45">
      <c r="B18" s="25" t="s">
        <v>114</v>
      </c>
      <c r="C18" s="26" t="s">
        <v>107</v>
      </c>
      <c r="D18" s="28">
        <v>14000</v>
      </c>
      <c r="E18" s="26" t="s">
        <v>115</v>
      </c>
      <c r="F18" s="31"/>
      <c r="G18" s="31"/>
      <c r="H18" s="31"/>
      <c r="I18" s="31"/>
      <c r="J18" s="30" t="s">
        <v>116</v>
      </c>
    </row>
    <row r="19" spans="2:10" x14ac:dyDescent="0.45">
      <c r="B19" s="25" t="s">
        <v>117</v>
      </c>
      <c r="C19" s="26" t="s">
        <v>118</v>
      </c>
      <c r="D19" s="28">
        <v>448</v>
      </c>
      <c r="E19" s="26" t="s">
        <v>115</v>
      </c>
      <c r="F19" s="31"/>
      <c r="G19" s="31"/>
      <c r="H19" s="31"/>
      <c r="I19" s="31"/>
      <c r="J19" s="30" t="s">
        <v>119</v>
      </c>
    </row>
    <row r="20" spans="2:10" x14ac:dyDescent="0.45">
      <c r="B20" s="25" t="s">
        <v>120</v>
      </c>
      <c r="C20" s="26" t="s">
        <v>121</v>
      </c>
      <c r="D20" s="32" cm="1">
        <f t="array" aca="1" ref="D20" ca="1">_xll.VoseInput("Redesign factor","multiplier")+_xll.VosePERT(F20,G20,H20)</f>
        <v>0.72948125343713144</v>
      </c>
      <c r="E20" s="26" t="s">
        <v>108</v>
      </c>
      <c r="F20" s="33">
        <v>0.6</v>
      </c>
      <c r="G20" s="33">
        <v>0.9</v>
      </c>
      <c r="H20" s="33">
        <v>1.3</v>
      </c>
      <c r="I20" s="34" cm="1">
        <f t="array" ref="I20">IF(AND(F20&lt;=G20,G20&lt;=H20,F20&lt;H20),_xll.VoseMean(_xll.VosePERTObject(F20,G20,H20)),"✗ range")</f>
        <v>0.91666666666666663</v>
      </c>
      <c r="J20" s="30" t="s">
        <v>122</v>
      </c>
    </row>
    <row r="21" spans="2:10" ht="8" customHeight="1" x14ac:dyDescent="0.45"/>
    <row r="22" spans="2:10" ht="22.05" customHeight="1" x14ac:dyDescent="0.5">
      <c r="B22" s="7" t="s">
        <v>123</v>
      </c>
      <c r="C22" s="8"/>
      <c r="D22" s="8"/>
      <c r="E22" s="8"/>
      <c r="F22" s="8"/>
      <c r="G22" s="8"/>
      <c r="H22" s="8"/>
      <c r="I22" s="8"/>
      <c r="J22" s="8"/>
    </row>
    <row r="23" spans="2:10" ht="18" customHeight="1" x14ac:dyDescent="0.45">
      <c r="B23" s="23" t="s">
        <v>97</v>
      </c>
      <c r="C23" s="23" t="s">
        <v>98</v>
      </c>
      <c r="D23" s="24" t="s">
        <v>99</v>
      </c>
      <c r="E23" s="23" t="s">
        <v>100</v>
      </c>
      <c r="F23" s="5"/>
      <c r="G23" s="5"/>
      <c r="H23" s="5"/>
      <c r="I23" s="5"/>
      <c r="J23" s="23" t="s">
        <v>105</v>
      </c>
    </row>
    <row r="24" spans="2:10" x14ac:dyDescent="0.45">
      <c r="B24" s="25" t="s">
        <v>124</v>
      </c>
      <c r="C24" s="26"/>
      <c r="D24" s="33">
        <v>0.8</v>
      </c>
      <c r="E24" s="26" t="s">
        <v>115</v>
      </c>
      <c r="F24" s="31"/>
      <c r="G24" s="31"/>
      <c r="H24" s="31"/>
      <c r="I24" s="31"/>
      <c r="J24" s="30" t="s">
        <v>125</v>
      </c>
    </row>
    <row r="25" spans="2:10" x14ac:dyDescent="0.45">
      <c r="B25" s="25" t="s">
        <v>126</v>
      </c>
      <c r="C25" s="26" t="s">
        <v>127</v>
      </c>
      <c r="D25" s="35">
        <v>3</v>
      </c>
      <c r="E25" s="26" t="s">
        <v>115</v>
      </c>
      <c r="F25" s="31"/>
      <c r="G25" s="31"/>
      <c r="H25" s="31"/>
      <c r="I25" s="31"/>
      <c r="J25" s="30"/>
    </row>
    <row r="26" spans="2:10" x14ac:dyDescent="0.45">
      <c r="B26" s="25" t="s">
        <v>128</v>
      </c>
      <c r="C26" s="26" t="s">
        <v>129</v>
      </c>
      <c r="D26" s="28">
        <v>180</v>
      </c>
      <c r="E26" s="26" t="s">
        <v>115</v>
      </c>
      <c r="F26" s="31"/>
      <c r="G26" s="31"/>
      <c r="H26" s="31"/>
      <c r="I26" s="31"/>
      <c r="J26" s="30" t="s">
        <v>130</v>
      </c>
    </row>
    <row r="27" spans="2:10" x14ac:dyDescent="0.45">
      <c r="B27" s="25" t="s">
        <v>131</v>
      </c>
      <c r="C27" s="26" t="s">
        <v>129</v>
      </c>
      <c r="D27" s="28">
        <v>120</v>
      </c>
      <c r="E27" s="26" t="s">
        <v>115</v>
      </c>
      <c r="F27" s="31"/>
      <c r="G27" s="31"/>
      <c r="H27" s="31"/>
      <c r="I27" s="31"/>
      <c r="J27" s="30"/>
    </row>
    <row r="28" spans="2:10" ht="8" customHeight="1" x14ac:dyDescent="0.45"/>
  </sheetData>
  <mergeCells count="1">
    <mergeCell ref="B6:J6"/>
  </mergeCells>
  <conditionalFormatting sqref="I11:I14">
    <cfRule type="expression" dxfId="7" priority="1">
      <formula>LEFT($I11,1)="✗"</formula>
    </cfRule>
  </conditionalFormatting>
  <conditionalFormatting sqref="I20">
    <cfRule type="expression" dxfId="6" priority="5">
      <formula>LEFT($I20,1)="✗"</formula>
    </cfRule>
  </conditionalFormatting>
  <dataValidations count="3">
    <dataValidation type="custom" showErrorMessage="1" errorTitle="PERT range" error="Low must be below High, with Most likely between them." sqref="F20:H20 F11:H14" xr:uid="{00000000-0002-0000-0100-000000000000}">
      <formula1>AND($F11&lt;=$G11,$G11&lt;=$H11,$F11&lt;$H11)</formula1>
    </dataValidation>
    <dataValidation type="decimal" operator="greaterThan" showErrorMessage="1" errorTitle="Positive value" error="Enter a value greater than zero." sqref="D18 D24:D27" xr:uid="{00000000-0002-0000-0100-000004000000}">
      <formula1>0</formula1>
    </dataValidation>
    <dataValidation type="decimal" showErrorMessage="1" errorTitle="Value" error="Enter a value of zero or more." sqref="D19" xr:uid="{00000000-0002-0000-0100-000005000000}">
      <formula1>0</formula1>
      <formula2>1000000000000</formula2>
    </dataValidation>
  </dataValidations>
  <hyperlinks>
    <hyperlink ref="B4" location="'About'!A1" display="◂  About" xr:uid="{00000000-0004-0000-0100-000000000000}"/>
    <hyperlink ref="J4" location="'Warranty'!A1" display="Next:  Warranty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O65"/>
  <sheetViews>
    <sheetView showGridLines="0" workbookViewId="0"/>
  </sheetViews>
  <sheetFormatPr defaultRowHeight="14.25" x14ac:dyDescent="0.45"/>
  <cols>
    <col min="1" max="1" width="2" customWidth="1"/>
    <col min="2" max="2" width="40" customWidth="1"/>
    <col min="3" max="4" width="10" customWidth="1"/>
    <col min="5" max="12" width="9" customWidth="1"/>
    <col min="13" max="13" width="10" customWidth="1"/>
    <col min="14" max="14" width="3" customWidth="1"/>
    <col min="15" max="15" width="40" customWidth="1"/>
  </cols>
  <sheetData>
    <row r="1" spans="1:15" ht="6" customHeight="1" x14ac:dyDescent="0.45"/>
    <row r="2" spans="1:15" ht="30" customHeight="1" x14ac:dyDescent="0.45">
      <c r="A2" s="1"/>
      <c r="B2" s="21" t="s">
        <v>0</v>
      </c>
      <c r="C2" s="1"/>
      <c r="D2" s="1"/>
      <c r="E2" s="1"/>
      <c r="F2" s="1"/>
      <c r="G2" s="1"/>
      <c r="H2" s="1"/>
      <c r="I2" s="1"/>
      <c r="J2" s="1"/>
      <c r="K2" s="1"/>
      <c r="L2" s="1"/>
      <c r="M2" s="1"/>
      <c r="N2" s="1"/>
      <c r="O2" s="3" t="s">
        <v>1</v>
      </c>
    </row>
    <row r="3" spans="1:15" ht="20" customHeight="1" x14ac:dyDescent="0.45">
      <c r="A3" s="1"/>
      <c r="B3" s="4" t="s">
        <v>132</v>
      </c>
      <c r="C3" s="1"/>
      <c r="D3" s="1"/>
      <c r="E3" s="1"/>
      <c r="F3" s="1"/>
      <c r="G3" s="1"/>
      <c r="H3" s="1"/>
      <c r="I3" s="1"/>
      <c r="J3" s="1"/>
      <c r="K3" s="1"/>
      <c r="L3" s="1"/>
      <c r="M3" s="1"/>
      <c r="N3" s="1"/>
      <c r="O3" s="1"/>
    </row>
    <row r="4" spans="1:15" ht="20" customHeight="1" x14ac:dyDescent="0.45">
      <c r="A4" s="5"/>
      <c r="B4" s="22" t="s">
        <v>133</v>
      </c>
      <c r="C4" s="5"/>
      <c r="D4" s="5"/>
      <c r="E4" s="5"/>
      <c r="F4" s="5"/>
      <c r="G4" s="5"/>
      <c r="H4" s="5"/>
      <c r="I4" s="5"/>
      <c r="J4" s="5"/>
      <c r="K4" s="5"/>
      <c r="L4" s="5"/>
      <c r="M4" s="5"/>
      <c r="N4" s="5"/>
      <c r="O4" s="6" t="s">
        <v>134</v>
      </c>
    </row>
    <row r="5" spans="1:15" ht="8" customHeight="1" x14ac:dyDescent="0.45"/>
    <row r="6" spans="1:15" ht="22.05" customHeight="1" x14ac:dyDescent="0.5">
      <c r="B6" s="7" t="s">
        <v>135</v>
      </c>
      <c r="C6" s="8"/>
      <c r="D6" s="8"/>
      <c r="E6" s="8"/>
      <c r="F6" s="8"/>
      <c r="G6" s="8"/>
      <c r="H6" s="8"/>
      <c r="I6" s="8"/>
      <c r="J6" s="8"/>
      <c r="K6" s="8"/>
      <c r="L6" s="8"/>
      <c r="M6" s="8"/>
      <c r="N6" s="8"/>
      <c r="O6" s="8"/>
    </row>
    <row r="7" spans="1:15" ht="18" customHeight="1" x14ac:dyDescent="0.45">
      <c r="B7" s="13" t="s">
        <v>136</v>
      </c>
    </row>
    <row r="8" spans="1:15" ht="18" customHeight="1" x14ac:dyDescent="0.45">
      <c r="B8" s="36" t="s">
        <v>137</v>
      </c>
      <c r="C8" s="36" t="s">
        <v>98</v>
      </c>
      <c r="D8" s="37" t="s">
        <v>138</v>
      </c>
      <c r="E8" s="5"/>
      <c r="F8" s="5"/>
      <c r="G8" s="5"/>
      <c r="H8" s="5"/>
      <c r="I8" s="5"/>
      <c r="J8" s="5"/>
      <c r="K8" s="5"/>
      <c r="L8" s="5"/>
      <c r="M8" s="5"/>
      <c r="N8" s="5"/>
      <c r="O8" s="36" t="s">
        <v>139</v>
      </c>
    </row>
    <row r="9" spans="1:15" x14ac:dyDescent="0.45">
      <c r="B9" s="25" t="s">
        <v>140</v>
      </c>
      <c r="C9" s="26"/>
      <c r="D9" s="38">
        <f>FieldClaims/FieldUnits</f>
        <v>3.2000000000000001E-2</v>
      </c>
      <c r="E9" s="31"/>
      <c r="F9" s="31"/>
      <c r="G9" s="31"/>
      <c r="H9" s="31"/>
      <c r="I9" s="31"/>
      <c r="J9" s="31"/>
      <c r="K9" s="31"/>
      <c r="L9" s="31"/>
      <c r="M9" s="31"/>
      <c r="N9" s="31"/>
      <c r="O9" s="26" t="s">
        <v>141</v>
      </c>
    </row>
    <row r="10" spans="1:15" x14ac:dyDescent="0.45">
      <c r="B10" s="25" t="s">
        <v>142</v>
      </c>
      <c r="C10" s="26"/>
      <c r="D10" s="39" cm="1">
        <f t="array" aca="1" ref="D10" ca="1">_xll.VoseBeta(FieldClaims+1,FieldUnits-FieldClaims+1)</f>
        <v>3.2126316917766573E-2</v>
      </c>
      <c r="E10" s="31"/>
      <c r="F10" s="31"/>
      <c r="G10" s="31"/>
      <c r="H10" s="31"/>
      <c r="I10" s="31"/>
      <c r="J10" s="31"/>
      <c r="K10" s="31"/>
      <c r="L10" s="31"/>
      <c r="M10" s="31"/>
      <c r="N10" s="31"/>
      <c r="O10" s="26" t="s">
        <v>143</v>
      </c>
    </row>
    <row r="11" spans="1:15" x14ac:dyDescent="0.45">
      <c r="B11" s="25" t="s">
        <v>144</v>
      </c>
      <c r="C11" s="26"/>
      <c r="D11" s="38">
        <f ca="1">MIN(1,BaseRate*Redesign)</f>
        <v>2.343554593349088E-2</v>
      </c>
      <c r="E11" s="31"/>
      <c r="F11" s="31"/>
      <c r="G11" s="31"/>
      <c r="H11" s="31"/>
      <c r="I11" s="31"/>
      <c r="J11" s="31"/>
      <c r="K11" s="31"/>
      <c r="L11" s="31"/>
      <c r="M11" s="31"/>
      <c r="N11" s="31"/>
      <c r="O11" s="26" t="s">
        <v>145</v>
      </c>
    </row>
    <row r="12" spans="1:15" x14ac:dyDescent="0.45">
      <c r="B12" s="25" t="s">
        <v>146</v>
      </c>
      <c r="C12" s="26" t="s">
        <v>127</v>
      </c>
      <c r="D12" s="40">
        <f>(COUNT($E$24:$K$24)+1)/4</f>
        <v>2</v>
      </c>
      <c r="E12" s="31"/>
      <c r="F12" s="31"/>
      <c r="G12" s="31"/>
      <c r="H12" s="31"/>
      <c r="I12" s="31"/>
      <c r="J12" s="31"/>
      <c r="K12" s="31"/>
      <c r="L12" s="31"/>
      <c r="M12" s="31"/>
      <c r="N12" s="31"/>
      <c r="O12" s="26" t="s">
        <v>147</v>
      </c>
    </row>
    <row r="13" spans="1:15" x14ac:dyDescent="0.45">
      <c r="B13" s="25" t="s">
        <v>148</v>
      </c>
      <c r="C13" s="26" t="s">
        <v>149</v>
      </c>
      <c r="D13" s="41" t="str" cm="1">
        <f t="array" ref="D13">_xll.VoseWeibullObject(WShape,WScale,_xll.VoseXBounds(0,WarrantyYears))</f>
        <v>VoseWeibull(0.8,3,,VoseXBounds(0,2))</v>
      </c>
      <c r="E13" s="31"/>
      <c r="F13" s="31"/>
      <c r="G13" s="31"/>
      <c r="H13" s="31"/>
      <c r="I13" s="31"/>
      <c r="J13" s="31"/>
      <c r="K13" s="31"/>
      <c r="L13" s="31"/>
      <c r="M13" s="31"/>
      <c r="N13" s="31"/>
      <c r="O13" s="26" t="s">
        <v>150</v>
      </c>
    </row>
    <row r="14" spans="1:15" x14ac:dyDescent="0.45">
      <c r="B14" s="25" t="s">
        <v>151</v>
      </c>
      <c r="C14" s="26" t="s">
        <v>149</v>
      </c>
      <c r="D14" s="41" t="str" cm="1">
        <f t="array" ref="D14">_xll.VoseLognormalObject(ClaimMean,ClaimSD)</f>
        <v>VoseLognormal(180,120)</v>
      </c>
      <c r="E14" s="31"/>
      <c r="F14" s="31"/>
      <c r="G14" s="31"/>
      <c r="H14" s="31"/>
      <c r="I14" s="31"/>
      <c r="J14" s="31"/>
      <c r="K14" s="31"/>
      <c r="L14" s="31"/>
      <c r="M14" s="31"/>
      <c r="N14" s="31"/>
      <c r="O14" s="26" t="s">
        <v>152</v>
      </c>
    </row>
    <row r="15" spans="1:15" x14ac:dyDescent="0.45">
      <c r="B15" s="25" t="s">
        <v>153</v>
      </c>
      <c r="C15" s="26" t="s">
        <v>107</v>
      </c>
      <c r="D15" s="29">
        <f>Sales_1_Mean+Sales_2_Mean+Sales_3_Mean+Sales_4_Mean</f>
        <v>13100</v>
      </c>
      <c r="E15" s="31"/>
      <c r="F15" s="31"/>
      <c r="G15" s="31"/>
      <c r="H15" s="31"/>
      <c r="I15" s="31"/>
      <c r="J15" s="31"/>
      <c r="K15" s="31"/>
      <c r="L15" s="31"/>
      <c r="M15" s="31"/>
      <c r="N15" s="31"/>
      <c r="O15" s="26" t="s">
        <v>154</v>
      </c>
    </row>
    <row r="16" spans="1:15" x14ac:dyDescent="0.45">
      <c r="B16" s="25" t="s">
        <v>155</v>
      </c>
      <c r="C16" s="26"/>
      <c r="D16" s="38" cm="1">
        <f t="array" ref="D16">_xll.VoseMean(_xll.VoseBetaObject(FieldClaims+1,FieldUnits-FieldClaims+1))*Redesign_Mean</f>
        <v>2.9394610293767554E-2</v>
      </c>
      <c r="E16" s="31"/>
      <c r="F16" s="31"/>
      <c r="G16" s="31"/>
      <c r="H16" s="31"/>
      <c r="I16" s="31"/>
      <c r="J16" s="31"/>
      <c r="K16" s="31"/>
      <c r="L16" s="31"/>
      <c r="M16" s="31"/>
      <c r="N16" s="31"/>
      <c r="O16" s="26" t="s">
        <v>156</v>
      </c>
    </row>
    <row r="17" spans="2:15" x14ac:dyDescent="0.45">
      <c r="B17" s="25" t="s">
        <v>157</v>
      </c>
      <c r="C17" s="26" t="s">
        <v>118</v>
      </c>
      <c r="D17" s="40">
        <f>ExpTools*ExpRate</f>
        <v>385.06939484835493</v>
      </c>
      <c r="E17" s="31"/>
      <c r="F17" s="31"/>
      <c r="G17" s="31"/>
      <c r="H17" s="31"/>
      <c r="I17" s="31"/>
      <c r="J17" s="31"/>
      <c r="K17" s="31"/>
      <c r="L17" s="31"/>
      <c r="M17" s="31"/>
      <c r="N17" s="31"/>
      <c r="O17" s="26" t="s">
        <v>158</v>
      </c>
    </row>
    <row r="18" spans="2:15" x14ac:dyDescent="0.45">
      <c r="B18" s="25" t="s">
        <v>159</v>
      </c>
      <c r="C18" s="26" t="s">
        <v>160</v>
      </c>
      <c r="D18" s="40">
        <f>ExpClaims*ClaimMean/1000</f>
        <v>69.312491072703878</v>
      </c>
      <c r="E18" s="31"/>
      <c r="F18" s="31"/>
      <c r="G18" s="31"/>
      <c r="H18" s="31"/>
      <c r="I18" s="31"/>
      <c r="J18" s="31"/>
      <c r="K18" s="31"/>
      <c r="L18" s="31"/>
      <c r="M18" s="31"/>
      <c r="N18" s="31"/>
      <c r="O18" s="26" t="s">
        <v>161</v>
      </c>
    </row>
    <row r="19" spans="2:15" ht="8" customHeight="1" x14ac:dyDescent="0.45"/>
    <row r="20" spans="2:15" ht="22.05" customHeight="1" x14ac:dyDescent="0.5">
      <c r="B20" s="7" t="s">
        <v>162</v>
      </c>
      <c r="C20" s="8"/>
      <c r="D20" s="8"/>
      <c r="E20" s="8"/>
      <c r="F20" s="8"/>
      <c r="G20" s="8"/>
      <c r="H20" s="8"/>
      <c r="I20" s="8"/>
      <c r="J20" s="8"/>
      <c r="K20" s="8"/>
      <c r="L20" s="8"/>
      <c r="M20" s="8"/>
      <c r="N20" s="8"/>
      <c r="O20" s="8"/>
    </row>
    <row r="21" spans="2:15" ht="18" customHeight="1" x14ac:dyDescent="0.45">
      <c r="B21" s="13" t="s">
        <v>163</v>
      </c>
    </row>
    <row r="22" spans="2:15" ht="18" customHeight="1" x14ac:dyDescent="0.45">
      <c r="B22" s="42" t="s">
        <v>164</v>
      </c>
      <c r="C22" s="43" t="s">
        <v>165</v>
      </c>
      <c r="D22" s="43" t="s">
        <v>68</v>
      </c>
      <c r="E22" s="43" t="s">
        <v>166</v>
      </c>
      <c r="F22" s="43" t="s">
        <v>167</v>
      </c>
      <c r="G22" s="43" t="s">
        <v>168</v>
      </c>
      <c r="H22" s="43" t="s">
        <v>169</v>
      </c>
      <c r="I22" s="43" t="s">
        <v>170</v>
      </c>
      <c r="J22" s="43" t="s">
        <v>171</v>
      </c>
      <c r="K22" s="43" t="s">
        <v>172</v>
      </c>
      <c r="L22" s="43" t="s">
        <v>173</v>
      </c>
      <c r="M22" s="43" t="s">
        <v>174</v>
      </c>
      <c r="N22" s="5"/>
      <c r="O22" s="5"/>
    </row>
    <row r="23" spans="2:15" x14ac:dyDescent="0.45">
      <c r="B23" s="44"/>
      <c r="C23" s="44" t="s">
        <v>175</v>
      </c>
      <c r="D23" s="44" t="s">
        <v>176</v>
      </c>
      <c r="E23" s="44" t="s">
        <v>160</v>
      </c>
      <c r="F23" s="44" t="s">
        <v>160</v>
      </c>
      <c r="G23" s="44" t="s">
        <v>160</v>
      </c>
      <c r="H23" s="44" t="s">
        <v>160</v>
      </c>
      <c r="I23" s="44" t="s">
        <v>160</v>
      </c>
      <c r="J23" s="44" t="s">
        <v>160</v>
      </c>
      <c r="K23" s="44" t="s">
        <v>160</v>
      </c>
      <c r="L23" s="44" t="s">
        <v>160</v>
      </c>
      <c r="M23" s="44" t="s">
        <v>160</v>
      </c>
    </row>
    <row r="24" spans="2:15" x14ac:dyDescent="0.45">
      <c r="B24" s="45" t="s">
        <v>177</v>
      </c>
      <c r="C24" s="31"/>
      <c r="D24" s="31"/>
      <c r="E24" s="46">
        <v>0.25</v>
      </c>
      <c r="F24" s="46">
        <v>0.5</v>
      </c>
      <c r="G24" s="46">
        <v>0.75</v>
      </c>
      <c r="H24" s="46">
        <v>1</v>
      </c>
      <c r="I24" s="46">
        <v>1.25</v>
      </c>
      <c r="J24" s="46">
        <v>1.5</v>
      </c>
      <c r="K24" s="46">
        <v>1.75</v>
      </c>
      <c r="L24" s="31"/>
      <c r="M24" s="31"/>
      <c r="N24" s="31"/>
      <c r="O24" s="31"/>
    </row>
    <row r="25" spans="2:15" x14ac:dyDescent="0.45">
      <c r="B25" s="25" t="s">
        <v>106</v>
      </c>
      <c r="C25" s="29">
        <f ca="1">ROUND(Sales_1,0)</f>
        <v>2554</v>
      </c>
      <c r="D25" s="27" cm="1">
        <f t="array" aca="1" ref="D25" ca="1">_xll.VoseBinomial(C25,ClaimRate)</f>
        <v>67</v>
      </c>
      <c r="E25" s="47">
        <f t="array" aca="1" ref="E25:L25" ca="1">_xll.VoseRunoff(D25,FailTime,$E$24:$K$24,ClaimCost)/1000</f>
        <v>2.5952900403010806</v>
      </c>
      <c r="F25" s="47">
        <f ca="1"/>
        <v>1.9945374199412973</v>
      </c>
      <c r="G25" s="47">
        <f ca="1"/>
        <v>1.3407011320466631</v>
      </c>
      <c r="H25" s="47">
        <f ca="1"/>
        <v>1.0347343447526351</v>
      </c>
      <c r="I25" s="47">
        <f ca="1"/>
        <v>1.6196677371631467</v>
      </c>
      <c r="J25" s="47">
        <f ca="1"/>
        <v>1.2485315138474404</v>
      </c>
      <c r="K25" s="47">
        <f ca="1"/>
        <v>0.56850307004779532</v>
      </c>
      <c r="L25" s="47">
        <f ca="1"/>
        <v>0.78829680582674233</v>
      </c>
      <c r="M25" s="48">
        <f ca="1">SUM(E25:L25)</f>
        <v>11.190262063926802</v>
      </c>
      <c r="N25" s="31"/>
      <c r="O25" s="26" t="s">
        <v>178</v>
      </c>
    </row>
    <row r="26" spans="2:15" x14ac:dyDescent="0.45">
      <c r="B26" s="25" t="s">
        <v>110</v>
      </c>
      <c r="C26" s="29">
        <f ca="1">ROUND(Sales_2,0)</f>
        <v>3024</v>
      </c>
      <c r="D26" s="27" cm="1">
        <f t="array" aca="1" ref="D26" ca="1">_xll.VoseBinomial(C26,ClaimRate)</f>
        <v>68</v>
      </c>
      <c r="E26" s="47">
        <f t="array" aca="1" ref="E26:L26" ca="1">_xll.VoseRunoff(D26,FailTime,$E$24:$K$24,ClaimCost)/1000</f>
        <v>3.0156998919036582</v>
      </c>
      <c r="F26" s="47">
        <f ca="1"/>
        <v>1.8601206283571496</v>
      </c>
      <c r="G26" s="47">
        <f ca="1"/>
        <v>1.6117057599940268</v>
      </c>
      <c r="H26" s="47">
        <f ca="1"/>
        <v>0.95492212873285875</v>
      </c>
      <c r="I26" s="47">
        <f ca="1"/>
        <v>0.92035295422289554</v>
      </c>
      <c r="J26" s="47">
        <f ca="1"/>
        <v>1.3579327430455159</v>
      </c>
      <c r="K26" s="47">
        <f ca="1"/>
        <v>0.64952306434387597</v>
      </c>
      <c r="L26" s="47">
        <f ca="1"/>
        <v>0.59892562164117236</v>
      </c>
      <c r="M26" s="48">
        <f ca="1">SUM(E26:L26)</f>
        <v>10.969182792241153</v>
      </c>
      <c r="N26" s="31"/>
      <c r="O26" s="26" t="s">
        <v>179</v>
      </c>
    </row>
    <row r="27" spans="2:15" x14ac:dyDescent="0.45">
      <c r="B27" s="25" t="s">
        <v>111</v>
      </c>
      <c r="C27" s="29">
        <f ca="1">ROUND(Sales_3,0)</f>
        <v>3196</v>
      </c>
      <c r="D27" s="27" cm="1">
        <f t="array" aca="1" ref="D27" ca="1">_xll.VoseBinomial(C27,ClaimRate)</f>
        <v>74</v>
      </c>
      <c r="E27" s="47">
        <f t="array" aca="1" ref="E27:L27" ca="1">_xll.VoseRunoff(D27,FailTime,$E$24:$K$24,ClaimCost)/1000</f>
        <v>3.6875326058413402</v>
      </c>
      <c r="F27" s="47">
        <f ca="1"/>
        <v>1.5504987721416743</v>
      </c>
      <c r="G27" s="47">
        <f ca="1"/>
        <v>1.3799570466063806</v>
      </c>
      <c r="H27" s="47">
        <f ca="1"/>
        <v>1.2887123440398547</v>
      </c>
      <c r="I27" s="47">
        <f ca="1"/>
        <v>0.64517973014720953</v>
      </c>
      <c r="J27" s="47">
        <f ca="1"/>
        <v>1.2884551523400105</v>
      </c>
      <c r="K27" s="47">
        <f ca="1"/>
        <v>1.0131556837307476</v>
      </c>
      <c r="L27" s="47">
        <f ca="1"/>
        <v>1.0155799209198713</v>
      </c>
      <c r="M27" s="48">
        <f ca="1">SUM(E27:L27)</f>
        <v>11.869071255767087</v>
      </c>
      <c r="N27" s="31"/>
      <c r="O27" s="26" t="s">
        <v>180</v>
      </c>
    </row>
    <row r="28" spans="2:15" x14ac:dyDescent="0.45">
      <c r="B28" s="25" t="s">
        <v>112</v>
      </c>
      <c r="C28" s="29">
        <f ca="1">ROUND(Sales_4,0)</f>
        <v>3807</v>
      </c>
      <c r="D28" s="27" cm="1">
        <f t="array" aca="1" ref="D28" ca="1">_xll.VoseBinomial(C28,ClaimRate)</f>
        <v>92</v>
      </c>
      <c r="E28" s="47">
        <f t="array" aca="1" ref="E28:L28" ca="1">_xll.VoseRunoff(D28,FailTime,$E$24:$K$24,ClaimCost)/1000</f>
        <v>4.8164802261724011</v>
      </c>
      <c r="F28" s="47">
        <f ca="1"/>
        <v>2.9174226637970202</v>
      </c>
      <c r="G28" s="47">
        <f ca="1"/>
        <v>1.5836409351101521</v>
      </c>
      <c r="H28" s="47">
        <f ca="1"/>
        <v>1.849988976513347</v>
      </c>
      <c r="I28" s="47">
        <f ca="1"/>
        <v>0.76821209512679844</v>
      </c>
      <c r="J28" s="47">
        <f ca="1"/>
        <v>1.129603108854691</v>
      </c>
      <c r="K28" s="47">
        <f ca="1"/>
        <v>0.80480040849754164</v>
      </c>
      <c r="L28" s="47">
        <f ca="1"/>
        <v>1.51486897101394</v>
      </c>
      <c r="M28" s="48">
        <f ca="1">SUM(E28:L28)</f>
        <v>15.385017385085892</v>
      </c>
      <c r="N28" s="31"/>
      <c r="O28" s="31"/>
    </row>
    <row r="29" spans="2:15" x14ac:dyDescent="0.45">
      <c r="B29" s="49" t="s">
        <v>181</v>
      </c>
      <c r="C29" s="50">
        <f t="shared" ref="C29:M29" ca="1" si="0">SUM(C25:C28)</f>
        <v>12581</v>
      </c>
      <c r="D29" s="50">
        <f t="shared" ca="1" si="0"/>
        <v>301</v>
      </c>
      <c r="E29" s="51">
        <f t="shared" ca="1" si="0"/>
        <v>14.115002764218481</v>
      </c>
      <c r="F29" s="51">
        <f t="shared" ca="1" si="0"/>
        <v>8.3225794842371421</v>
      </c>
      <c r="G29" s="51">
        <f t="shared" ca="1" si="0"/>
        <v>5.9160048737572222</v>
      </c>
      <c r="H29" s="51">
        <f t="shared" ca="1" si="0"/>
        <v>5.1283577940386955</v>
      </c>
      <c r="I29" s="51">
        <f t="shared" ca="1" si="0"/>
        <v>3.9534125166600504</v>
      </c>
      <c r="J29" s="51">
        <f t="shared" ca="1" si="0"/>
        <v>5.0245225180876583</v>
      </c>
      <c r="K29" s="51">
        <f t="shared" ca="1" si="0"/>
        <v>3.0359822266199608</v>
      </c>
      <c r="L29" s="51">
        <f t="shared" ca="1" si="0"/>
        <v>3.9176713194017259</v>
      </c>
      <c r="M29" s="51">
        <f t="shared" ca="1" si="0"/>
        <v>49.413533497020936</v>
      </c>
    </row>
    <row r="30" spans="2:15" ht="8" customHeight="1" x14ac:dyDescent="0.45"/>
    <row r="31" spans="2:15" ht="22.05" customHeight="1" x14ac:dyDescent="0.5">
      <c r="B31" s="7" t="s">
        <v>182</v>
      </c>
      <c r="C31" s="8"/>
      <c r="D31" s="8"/>
      <c r="E31" s="8"/>
      <c r="F31" s="8"/>
      <c r="G31" s="8"/>
      <c r="H31" s="8"/>
      <c r="I31" s="8"/>
      <c r="J31" s="8"/>
      <c r="K31" s="8"/>
      <c r="L31" s="8"/>
      <c r="M31" s="8"/>
      <c r="N31" s="8"/>
      <c r="O31" s="8"/>
    </row>
    <row r="32" spans="2:15" ht="18" customHeight="1" x14ac:dyDescent="0.45">
      <c r="B32" s="13" t="s">
        <v>183</v>
      </c>
    </row>
    <row r="33" spans="2:15" ht="18" customHeight="1" x14ac:dyDescent="0.45">
      <c r="B33" s="42" t="s">
        <v>164</v>
      </c>
      <c r="C33" s="52">
        <v>1</v>
      </c>
      <c r="D33" s="52">
        <v>2</v>
      </c>
      <c r="E33" s="52">
        <v>3</v>
      </c>
      <c r="F33" s="52">
        <v>4</v>
      </c>
      <c r="G33" s="52">
        <v>5</v>
      </c>
      <c r="H33" s="52">
        <v>6</v>
      </c>
      <c r="I33" s="52">
        <v>7</v>
      </c>
      <c r="J33" s="52">
        <v>8</v>
      </c>
      <c r="K33" s="52">
        <v>9</v>
      </c>
      <c r="L33" s="52">
        <v>10</v>
      </c>
      <c r="M33" s="52">
        <v>11</v>
      </c>
      <c r="N33" s="5"/>
      <c r="O33" s="5"/>
    </row>
    <row r="34" spans="2:15" x14ac:dyDescent="0.45">
      <c r="B34" s="44"/>
      <c r="C34" s="44" t="s">
        <v>184</v>
      </c>
      <c r="D34" s="44" t="s">
        <v>184</v>
      </c>
      <c r="E34" s="44" t="s">
        <v>184</v>
      </c>
      <c r="F34" s="44" t="s">
        <v>184</v>
      </c>
      <c r="G34" s="44" t="s">
        <v>185</v>
      </c>
      <c r="H34" s="44" t="s">
        <v>185</v>
      </c>
      <c r="I34" s="44" t="s">
        <v>185</v>
      </c>
      <c r="J34" s="44" t="s">
        <v>185</v>
      </c>
      <c r="K34" s="44" t="s">
        <v>185</v>
      </c>
      <c r="L34" s="44" t="s">
        <v>185</v>
      </c>
      <c r="M34" s="44" t="s">
        <v>185</v>
      </c>
    </row>
    <row r="35" spans="2:15" x14ac:dyDescent="0.45">
      <c r="B35" s="53">
        <v>1</v>
      </c>
      <c r="C35" s="40" cm="1">
        <f t="array" aca="1" ref="C35" ca="1">IF(AND(C$33&gt;=$B35,C$33-$B35&lt;COLUMNS($E$25:$L$25)),INDEX($E$25:$L$25,C$33-$B35+1),0)</f>
        <v>2.5952900403010806</v>
      </c>
      <c r="D35" s="40" cm="1">
        <f t="array" aca="1" ref="D35" ca="1">IF(AND(D$33&gt;=$B35,D$33-$B35&lt;COLUMNS($E$25:$L$25)),INDEX($E$25:$L$25,D$33-$B35+1),0)</f>
        <v>1.9945374199412973</v>
      </c>
      <c r="E35" s="40" cm="1">
        <f t="array" aca="1" ref="E35" ca="1">IF(AND(E$33&gt;=$B35,E$33-$B35&lt;COLUMNS($E$25:$L$25)),INDEX($E$25:$L$25,E$33-$B35+1),0)</f>
        <v>1.3407011320466631</v>
      </c>
      <c r="F35" s="40" cm="1">
        <f t="array" aca="1" ref="F35" ca="1">IF(AND(F$33&gt;=$B35,F$33-$B35&lt;COLUMNS($E$25:$L$25)),INDEX($E$25:$L$25,F$33-$B35+1),0)</f>
        <v>1.0347343447526351</v>
      </c>
      <c r="G35" s="40" cm="1">
        <f t="array" aca="1" ref="G35" ca="1">IF(AND(G$33&gt;=$B35,G$33-$B35&lt;COLUMNS($E$25:$L$25)),INDEX($E$25:$L$25,G$33-$B35+1),0)</f>
        <v>1.6196677371631467</v>
      </c>
      <c r="H35" s="40" cm="1">
        <f t="array" aca="1" ref="H35" ca="1">IF(AND(H$33&gt;=$B35,H$33-$B35&lt;COLUMNS($E$25:$L$25)),INDEX($E$25:$L$25,H$33-$B35+1),0)</f>
        <v>1.2485315138474404</v>
      </c>
      <c r="I35" s="40" cm="1">
        <f t="array" aca="1" ref="I35" ca="1">IF(AND(I$33&gt;=$B35,I$33-$B35&lt;COLUMNS($E$25:$L$25)),INDEX($E$25:$L$25,I$33-$B35+1),0)</f>
        <v>0.56850307004779532</v>
      </c>
      <c r="J35" s="40" cm="1">
        <f t="array" aca="1" ref="J35" ca="1">IF(AND(J$33&gt;=$B35,J$33-$B35&lt;COLUMNS($E$25:$L$25)),INDEX($E$25:$L$25,J$33-$B35+1),0)</f>
        <v>0.78829680582674233</v>
      </c>
      <c r="K35" s="40" cm="1">
        <f t="array" ref="K35">IF(AND(K$33&gt;=$B35,K$33-$B35&lt;COLUMNS($E$25:$L$25)),INDEX($E$25:$L$25,K$33-$B35+1),0)</f>
        <v>0</v>
      </c>
      <c r="L35" s="40" cm="1">
        <f t="array" ref="L35">IF(AND(L$33&gt;=$B35,L$33-$B35&lt;COLUMNS($E$25:$L$25)),INDEX($E$25:$L$25,L$33-$B35+1),0)</f>
        <v>0</v>
      </c>
      <c r="M35" s="40" cm="1">
        <f t="array" ref="M35">IF(AND(M$33&gt;=$B35,M$33-$B35&lt;COLUMNS($E$25:$L$25)),INDEX($E$25:$L$25,M$33-$B35+1),0)</f>
        <v>0</v>
      </c>
      <c r="N35" s="31"/>
      <c r="O35" s="31"/>
    </row>
    <row r="36" spans="2:15" x14ac:dyDescent="0.45">
      <c r="B36" s="53">
        <v>2</v>
      </c>
      <c r="C36" s="40" cm="1">
        <f t="array" ref="C36">IF(AND(C$33&gt;=$B36,C$33-$B36&lt;COLUMNS($E$26:$L$26)),INDEX($E$26:$L$26,C$33-$B36+1),0)</f>
        <v>0</v>
      </c>
      <c r="D36" s="40" cm="1">
        <f t="array" aca="1" ref="D36" ca="1">IF(AND(D$33&gt;=$B36,D$33-$B36&lt;COLUMNS($E$26:$L$26)),INDEX($E$26:$L$26,D$33-$B36+1),0)</f>
        <v>3.0156998919036582</v>
      </c>
      <c r="E36" s="40" cm="1">
        <f t="array" aca="1" ref="E36" ca="1">IF(AND(E$33&gt;=$B36,E$33-$B36&lt;COLUMNS($E$26:$L$26)),INDEX($E$26:$L$26,E$33-$B36+1),0)</f>
        <v>1.8601206283571496</v>
      </c>
      <c r="F36" s="40" cm="1">
        <f t="array" aca="1" ref="F36" ca="1">IF(AND(F$33&gt;=$B36,F$33-$B36&lt;COLUMNS($E$26:$L$26)),INDEX($E$26:$L$26,F$33-$B36+1),0)</f>
        <v>1.6117057599940268</v>
      </c>
      <c r="G36" s="40" cm="1">
        <f t="array" aca="1" ref="G36" ca="1">IF(AND(G$33&gt;=$B36,G$33-$B36&lt;COLUMNS($E$26:$L$26)),INDEX($E$26:$L$26,G$33-$B36+1),0)</f>
        <v>0.95492212873285875</v>
      </c>
      <c r="H36" s="40" cm="1">
        <f t="array" aca="1" ref="H36" ca="1">IF(AND(H$33&gt;=$B36,H$33-$B36&lt;COLUMNS($E$26:$L$26)),INDEX($E$26:$L$26,H$33-$B36+1),0)</f>
        <v>0.92035295422289554</v>
      </c>
      <c r="I36" s="40" cm="1">
        <f t="array" aca="1" ref="I36" ca="1">IF(AND(I$33&gt;=$B36,I$33-$B36&lt;COLUMNS($E$26:$L$26)),INDEX($E$26:$L$26,I$33-$B36+1),0)</f>
        <v>1.3579327430455159</v>
      </c>
      <c r="J36" s="40" cm="1">
        <f t="array" aca="1" ref="J36" ca="1">IF(AND(J$33&gt;=$B36,J$33-$B36&lt;COLUMNS($E$26:$L$26)),INDEX($E$26:$L$26,J$33-$B36+1),0)</f>
        <v>0.64952306434387597</v>
      </c>
      <c r="K36" s="40" cm="1">
        <f t="array" aca="1" ref="K36" ca="1">IF(AND(K$33&gt;=$B36,K$33-$B36&lt;COLUMNS($E$26:$L$26)),INDEX($E$26:$L$26,K$33-$B36+1),0)</f>
        <v>0.59892562164117236</v>
      </c>
      <c r="L36" s="40" cm="1">
        <f t="array" ref="L36">IF(AND(L$33&gt;=$B36,L$33-$B36&lt;COLUMNS($E$26:$L$26)),INDEX($E$26:$L$26,L$33-$B36+1),0)</f>
        <v>0</v>
      </c>
      <c r="M36" s="40" cm="1">
        <f t="array" ref="M36">IF(AND(M$33&gt;=$B36,M$33-$B36&lt;COLUMNS($E$26:$L$26)),INDEX($E$26:$L$26,M$33-$B36+1),0)</f>
        <v>0</v>
      </c>
      <c r="N36" s="31"/>
      <c r="O36" s="31"/>
    </row>
    <row r="37" spans="2:15" x14ac:dyDescent="0.45">
      <c r="B37" s="53">
        <v>3</v>
      </c>
      <c r="C37" s="40" cm="1">
        <f t="array" ref="C37">IF(AND(C$33&gt;=$B37,C$33-$B37&lt;COLUMNS($E$27:$L$27)),INDEX($E$27:$L$27,C$33-$B37+1),0)</f>
        <v>0</v>
      </c>
      <c r="D37" s="40" cm="1">
        <f t="array" ref="D37">IF(AND(D$33&gt;=$B37,D$33-$B37&lt;COLUMNS($E$27:$L$27)),INDEX($E$27:$L$27,D$33-$B37+1),0)</f>
        <v>0</v>
      </c>
      <c r="E37" s="40" cm="1">
        <f t="array" aca="1" ref="E37" ca="1">IF(AND(E$33&gt;=$B37,E$33-$B37&lt;COLUMNS($E$27:$L$27)),INDEX($E$27:$L$27,E$33-$B37+1),0)</f>
        <v>3.6875326058413402</v>
      </c>
      <c r="F37" s="40" cm="1">
        <f t="array" aca="1" ref="F37" ca="1">IF(AND(F$33&gt;=$B37,F$33-$B37&lt;COLUMNS($E$27:$L$27)),INDEX($E$27:$L$27,F$33-$B37+1),0)</f>
        <v>1.5504987721416743</v>
      </c>
      <c r="G37" s="40" cm="1">
        <f t="array" aca="1" ref="G37" ca="1">IF(AND(G$33&gt;=$B37,G$33-$B37&lt;COLUMNS($E$27:$L$27)),INDEX($E$27:$L$27,G$33-$B37+1),0)</f>
        <v>1.3799570466063806</v>
      </c>
      <c r="H37" s="40" cm="1">
        <f t="array" aca="1" ref="H37" ca="1">IF(AND(H$33&gt;=$B37,H$33-$B37&lt;COLUMNS($E$27:$L$27)),INDEX($E$27:$L$27,H$33-$B37+1),0)</f>
        <v>1.2887123440398547</v>
      </c>
      <c r="I37" s="40" cm="1">
        <f t="array" aca="1" ref="I37" ca="1">IF(AND(I$33&gt;=$B37,I$33-$B37&lt;COLUMNS($E$27:$L$27)),INDEX($E$27:$L$27,I$33-$B37+1),0)</f>
        <v>0.64517973014720953</v>
      </c>
      <c r="J37" s="40" cm="1">
        <f t="array" aca="1" ref="J37" ca="1">IF(AND(J$33&gt;=$B37,J$33-$B37&lt;COLUMNS($E$27:$L$27)),INDEX($E$27:$L$27,J$33-$B37+1),0)</f>
        <v>1.2884551523400105</v>
      </c>
      <c r="K37" s="40" cm="1">
        <f t="array" aca="1" ref="K37" ca="1">IF(AND(K$33&gt;=$B37,K$33-$B37&lt;COLUMNS($E$27:$L$27)),INDEX($E$27:$L$27,K$33-$B37+1),0)</f>
        <v>1.0131556837307476</v>
      </c>
      <c r="L37" s="40" cm="1">
        <f t="array" aca="1" ref="L37" ca="1">IF(AND(L$33&gt;=$B37,L$33-$B37&lt;COLUMNS($E$27:$L$27)),INDEX($E$27:$L$27,L$33-$B37+1),0)</f>
        <v>1.0155799209198713</v>
      </c>
      <c r="M37" s="40" cm="1">
        <f t="array" ref="M37">IF(AND(M$33&gt;=$B37,M$33-$B37&lt;COLUMNS($E$27:$L$27)),INDEX($E$27:$L$27,M$33-$B37+1),0)</f>
        <v>0</v>
      </c>
      <c r="N37" s="31"/>
      <c r="O37" s="31"/>
    </row>
    <row r="38" spans="2:15" x14ac:dyDescent="0.45">
      <c r="B38" s="53">
        <v>4</v>
      </c>
      <c r="C38" s="40" cm="1">
        <f t="array" ref="C38">IF(AND(C$33&gt;=$B38,C$33-$B38&lt;COLUMNS($E$28:$L$28)),INDEX($E$28:$L$28,C$33-$B38+1),0)</f>
        <v>0</v>
      </c>
      <c r="D38" s="40" cm="1">
        <f t="array" ref="D38">IF(AND(D$33&gt;=$B38,D$33-$B38&lt;COLUMNS($E$28:$L$28)),INDEX($E$28:$L$28,D$33-$B38+1),0)</f>
        <v>0</v>
      </c>
      <c r="E38" s="40" cm="1">
        <f t="array" ref="E38">IF(AND(E$33&gt;=$B38,E$33-$B38&lt;COLUMNS($E$28:$L$28)),INDEX($E$28:$L$28,E$33-$B38+1),0)</f>
        <v>0</v>
      </c>
      <c r="F38" s="40" cm="1">
        <f t="array" aca="1" ref="F38" ca="1">IF(AND(F$33&gt;=$B38,F$33-$B38&lt;COLUMNS($E$28:$L$28)),INDEX($E$28:$L$28,F$33-$B38+1),0)</f>
        <v>4.8164802261724011</v>
      </c>
      <c r="G38" s="40" cm="1">
        <f t="array" aca="1" ref="G38" ca="1">IF(AND(G$33&gt;=$B38,G$33-$B38&lt;COLUMNS($E$28:$L$28)),INDEX($E$28:$L$28,G$33-$B38+1),0)</f>
        <v>2.9174226637970202</v>
      </c>
      <c r="H38" s="40" cm="1">
        <f t="array" aca="1" ref="H38" ca="1">IF(AND(H$33&gt;=$B38,H$33-$B38&lt;COLUMNS($E$28:$L$28)),INDEX($E$28:$L$28,H$33-$B38+1),0)</f>
        <v>1.5836409351101521</v>
      </c>
      <c r="I38" s="40" cm="1">
        <f t="array" aca="1" ref="I38" ca="1">IF(AND(I$33&gt;=$B38,I$33-$B38&lt;COLUMNS($E$28:$L$28)),INDEX($E$28:$L$28,I$33-$B38+1),0)</f>
        <v>1.849988976513347</v>
      </c>
      <c r="J38" s="40" cm="1">
        <f t="array" aca="1" ref="J38" ca="1">IF(AND(J$33&gt;=$B38,J$33-$B38&lt;COLUMNS($E$28:$L$28)),INDEX($E$28:$L$28,J$33-$B38+1),0)</f>
        <v>0.76821209512679844</v>
      </c>
      <c r="K38" s="40" cm="1">
        <f t="array" aca="1" ref="K38" ca="1">IF(AND(K$33&gt;=$B38,K$33-$B38&lt;COLUMNS($E$28:$L$28)),INDEX($E$28:$L$28,K$33-$B38+1),0)</f>
        <v>1.129603108854691</v>
      </c>
      <c r="L38" s="40" cm="1">
        <f t="array" aca="1" ref="L38" ca="1">IF(AND(L$33&gt;=$B38,L$33-$B38&lt;COLUMNS($E$28:$L$28)),INDEX($E$28:$L$28,L$33-$B38+1),0)</f>
        <v>0.80480040849754164</v>
      </c>
      <c r="M38" s="40" cm="1">
        <f t="array" aca="1" ref="M38" ca="1">IF(AND(M$33&gt;=$B38,M$33-$B38&lt;COLUMNS($E$28:$L$28)),INDEX($E$28:$L$28,M$33-$B38+1),0)</f>
        <v>1.51486897101394</v>
      </c>
      <c r="N38" s="31"/>
      <c r="O38" s="31"/>
    </row>
    <row r="39" spans="2:15" x14ac:dyDescent="0.45">
      <c r="B39" s="49" t="s">
        <v>186</v>
      </c>
      <c r="C39" s="51">
        <f t="shared" ref="C39:M39" ca="1" si="1">SUM(C35:C38)</f>
        <v>2.5952900403010806</v>
      </c>
      <c r="D39" s="51">
        <f t="shared" ca="1" si="1"/>
        <v>5.0102373118449552</v>
      </c>
      <c r="E39" s="51">
        <f t="shared" ca="1" si="1"/>
        <v>6.888354366245153</v>
      </c>
      <c r="F39" s="51">
        <f t="shared" ca="1" si="1"/>
        <v>9.0134191030607376</v>
      </c>
      <c r="G39" s="51">
        <f t="shared" ca="1" si="1"/>
        <v>6.8719695762994064</v>
      </c>
      <c r="H39" s="51">
        <f t="shared" ca="1" si="1"/>
        <v>5.0412377472203431</v>
      </c>
      <c r="I39" s="51">
        <f t="shared" ca="1" si="1"/>
        <v>4.4216045197538678</v>
      </c>
      <c r="J39" s="51">
        <f t="shared" ca="1" si="1"/>
        <v>3.4944871176374277</v>
      </c>
      <c r="K39" s="51">
        <f t="shared" ca="1" si="1"/>
        <v>2.741684414226611</v>
      </c>
      <c r="L39" s="51">
        <f t="shared" ca="1" si="1"/>
        <v>1.820380329417413</v>
      </c>
      <c r="M39" s="51">
        <f t="shared" ca="1" si="1"/>
        <v>1.51486897101394</v>
      </c>
    </row>
    <row r="40" spans="2:15" x14ac:dyDescent="0.45">
      <c r="B40" s="54" t="s">
        <v>187</v>
      </c>
    </row>
    <row r="41" spans="2:15" ht="8" customHeight="1" x14ac:dyDescent="0.45"/>
    <row r="42" spans="2:15" ht="22.05" customHeight="1" x14ac:dyDescent="0.5">
      <c r="B42" s="7" t="s">
        <v>188</v>
      </c>
      <c r="C42" s="8"/>
      <c r="D42" s="8"/>
      <c r="E42" s="8"/>
      <c r="F42" s="8"/>
      <c r="G42" s="8"/>
      <c r="H42" s="8"/>
      <c r="I42" s="8"/>
      <c r="J42" s="8"/>
      <c r="K42" s="8"/>
      <c r="L42" s="8"/>
      <c r="M42" s="8"/>
      <c r="N42" s="8"/>
      <c r="O42" s="8"/>
    </row>
    <row r="43" spans="2:15" ht="18" customHeight="1" x14ac:dyDescent="0.45">
      <c r="B43" s="13" t="s">
        <v>189</v>
      </c>
    </row>
    <row r="44" spans="2:15" ht="18" customHeight="1" x14ac:dyDescent="0.45">
      <c r="B44" s="36" t="s">
        <v>190</v>
      </c>
      <c r="C44" s="5"/>
      <c r="D44" s="36" t="s">
        <v>98</v>
      </c>
      <c r="E44" s="37" t="s">
        <v>138</v>
      </c>
      <c r="F44" s="5"/>
      <c r="G44" s="5"/>
      <c r="H44" s="5"/>
      <c r="I44" s="5"/>
      <c r="J44" s="5"/>
      <c r="K44" s="5"/>
      <c r="L44" s="5"/>
      <c r="M44" s="5"/>
      <c r="N44" s="5"/>
      <c r="O44" s="36" t="s">
        <v>191</v>
      </c>
    </row>
    <row r="45" spans="2:15" x14ac:dyDescent="0.45">
      <c r="B45" s="25" t="s">
        <v>192</v>
      </c>
      <c r="C45" s="31"/>
      <c r="D45" s="26" t="s">
        <v>160</v>
      </c>
      <c r="E45" s="55" cm="1">
        <f t="array" aca="1" ref="E45" ca="1">_xll.VoseOutput("Warranty cost","US$ thousand")+CostTotal</f>
        <v>49.413533497020936</v>
      </c>
      <c r="F45" s="31"/>
      <c r="G45" s="31"/>
      <c r="H45" s="31"/>
      <c r="I45" s="31"/>
      <c r="J45" s="31"/>
      <c r="K45" s="31"/>
      <c r="L45" s="31"/>
      <c r="M45" s="31"/>
      <c r="N45" s="31"/>
      <c r="O45" s="26" t="s">
        <v>193</v>
      </c>
    </row>
    <row r="46" spans="2:15" x14ac:dyDescent="0.45">
      <c r="B46" s="25" t="s">
        <v>194</v>
      </c>
      <c r="C46" s="31"/>
      <c r="D46" s="26" t="s">
        <v>129</v>
      </c>
      <c r="E46" s="56" cm="1">
        <f t="array" aca="1" ref="E46" ca="1">_xll.VoseOutput("Warranty cost per tool","US$")+CostTotal*1000/UnitsSold</f>
        <v>3.9276316268198821</v>
      </c>
      <c r="F46" s="31"/>
      <c r="G46" s="31"/>
      <c r="H46" s="31"/>
      <c r="I46" s="31"/>
      <c r="J46" s="31"/>
      <c r="K46" s="31"/>
      <c r="L46" s="31"/>
      <c r="M46" s="31"/>
      <c r="N46" s="31"/>
      <c r="O46" s="26"/>
    </row>
    <row r="47" spans="2:15" x14ac:dyDescent="0.45">
      <c r="B47" s="25" t="s">
        <v>195</v>
      </c>
      <c r="C47" s="31"/>
      <c r="D47" s="26" t="s">
        <v>118</v>
      </c>
      <c r="E47" s="57" cm="1">
        <f t="array" aca="1" ref="E47" ca="1">_xll.VoseOutput("Warranty claims","claims")+ClaimsTotal</f>
        <v>301</v>
      </c>
      <c r="F47" s="31"/>
      <c r="G47" s="31"/>
      <c r="H47" s="31"/>
      <c r="I47" s="31"/>
      <c r="J47" s="31"/>
      <c r="K47" s="31"/>
      <c r="L47" s="31"/>
      <c r="M47" s="31"/>
      <c r="N47" s="31"/>
      <c r="O47" s="26"/>
    </row>
    <row r="48" spans="2:15" x14ac:dyDescent="0.45">
      <c r="B48" s="25" t="s">
        <v>196</v>
      </c>
      <c r="C48" s="31"/>
      <c r="D48" s="26" t="s">
        <v>160</v>
      </c>
      <c r="E48" s="55" cm="1">
        <f t="array" aca="1" ref="E48" ca="1">_xll.VoseOutput("Year-end reserve","US$ thousand")+SUM(Cal_5,Cal_6,Cal_7,Cal_8,Cal_9,Cal_10,Cal_11)</f>
        <v>25.906232675569008</v>
      </c>
      <c r="F48" s="31"/>
      <c r="G48" s="31"/>
      <c r="H48" s="31"/>
      <c r="I48" s="31"/>
      <c r="J48" s="31"/>
      <c r="K48" s="31"/>
      <c r="L48" s="31"/>
      <c r="M48" s="31"/>
      <c r="N48" s="31"/>
      <c r="O48" s="26" t="s">
        <v>197</v>
      </c>
    </row>
    <row r="49" spans="2:15" x14ac:dyDescent="0.45">
      <c r="B49" s="25" t="s">
        <v>198</v>
      </c>
      <c r="C49" s="31"/>
      <c r="D49" s="26" t="s">
        <v>160</v>
      </c>
      <c r="E49" s="55" cm="1">
        <f t="array" aca="1" ref="E49" ca="1">_xll.VoseOutput("Warranty cost, quarter 1","US$ thousand")+Cal_1</f>
        <v>2.5952900403010806</v>
      </c>
      <c r="F49" s="31"/>
      <c r="G49" s="31"/>
      <c r="H49" s="31"/>
      <c r="I49" s="31"/>
      <c r="J49" s="31"/>
      <c r="K49" s="31"/>
      <c r="L49" s="31"/>
      <c r="M49" s="31"/>
      <c r="N49" s="31"/>
      <c r="O49" s="26"/>
    </row>
    <row r="50" spans="2:15" x14ac:dyDescent="0.45">
      <c r="B50" s="25" t="s">
        <v>199</v>
      </c>
      <c r="C50" s="31"/>
      <c r="D50" s="26" t="s">
        <v>160</v>
      </c>
      <c r="E50" s="55" cm="1">
        <f t="array" aca="1" ref="E50" ca="1">_xll.VoseOutput("Warranty cost, quarter 2","US$ thousand")+Cal_2</f>
        <v>5.0102373118449552</v>
      </c>
      <c r="F50" s="31"/>
      <c r="G50" s="31"/>
      <c r="H50" s="31"/>
      <c r="I50" s="31"/>
      <c r="J50" s="31"/>
      <c r="K50" s="31"/>
      <c r="L50" s="31"/>
      <c r="M50" s="31"/>
      <c r="N50" s="31"/>
      <c r="O50" s="26"/>
    </row>
    <row r="51" spans="2:15" x14ac:dyDescent="0.45">
      <c r="B51" s="25" t="s">
        <v>200</v>
      </c>
      <c r="C51" s="31"/>
      <c r="D51" s="26" t="s">
        <v>160</v>
      </c>
      <c r="E51" s="55" cm="1">
        <f t="array" aca="1" ref="E51" ca="1">_xll.VoseOutput("Warranty cost, quarter 3","US$ thousand")+Cal_3</f>
        <v>6.888354366245153</v>
      </c>
      <c r="F51" s="31"/>
      <c r="G51" s="31"/>
      <c r="H51" s="31"/>
      <c r="I51" s="31"/>
      <c r="J51" s="31"/>
      <c r="K51" s="31"/>
      <c r="L51" s="31"/>
      <c r="M51" s="31"/>
      <c r="N51" s="31"/>
      <c r="O51" s="26"/>
    </row>
    <row r="52" spans="2:15" x14ac:dyDescent="0.45">
      <c r="B52" s="25" t="s">
        <v>201</v>
      </c>
      <c r="C52" s="31"/>
      <c r="D52" s="26" t="s">
        <v>160</v>
      </c>
      <c r="E52" s="55" cm="1">
        <f t="array" aca="1" ref="E52" ca="1">_xll.VoseOutput("Warranty cost, quarter 4","US$ thousand")+Cal_4</f>
        <v>9.0134191030607376</v>
      </c>
      <c r="F52" s="31"/>
      <c r="G52" s="31"/>
      <c r="H52" s="31"/>
      <c r="I52" s="31"/>
      <c r="J52" s="31"/>
      <c r="K52" s="31"/>
      <c r="L52" s="31"/>
      <c r="M52" s="31"/>
      <c r="N52" s="31"/>
      <c r="O52" s="26"/>
    </row>
    <row r="53" spans="2:15" x14ac:dyDescent="0.45">
      <c r="B53" s="25" t="s">
        <v>202</v>
      </c>
      <c r="C53" s="31"/>
      <c r="D53" s="26" t="s">
        <v>160</v>
      </c>
      <c r="E53" s="55" cm="1">
        <f t="array" aca="1" ref="E53" ca="1">_xll.VoseOutput("Warranty cost, quarter 5","US$ thousand")+Cal_5</f>
        <v>6.8719695762994064</v>
      </c>
      <c r="F53" s="31"/>
      <c r="G53" s="31"/>
      <c r="H53" s="31"/>
      <c r="I53" s="31"/>
      <c r="J53" s="31"/>
      <c r="K53" s="31"/>
      <c r="L53" s="31"/>
      <c r="M53" s="31"/>
      <c r="N53" s="31"/>
      <c r="O53" s="26"/>
    </row>
    <row r="54" spans="2:15" x14ac:dyDescent="0.45">
      <c r="B54" s="25" t="s">
        <v>203</v>
      </c>
      <c r="C54" s="31"/>
      <c r="D54" s="26" t="s">
        <v>160</v>
      </c>
      <c r="E54" s="55" cm="1">
        <f t="array" aca="1" ref="E54" ca="1">_xll.VoseOutput("Warranty cost, quarter 6","US$ thousand")+Cal_6</f>
        <v>5.0412377472203431</v>
      </c>
      <c r="F54" s="31"/>
      <c r="G54" s="31"/>
      <c r="H54" s="31"/>
      <c r="I54" s="31"/>
      <c r="J54" s="31"/>
      <c r="K54" s="31"/>
      <c r="L54" s="31"/>
      <c r="M54" s="31"/>
      <c r="N54" s="31"/>
      <c r="O54" s="26"/>
    </row>
    <row r="55" spans="2:15" x14ac:dyDescent="0.45">
      <c r="B55" s="25" t="s">
        <v>204</v>
      </c>
      <c r="C55" s="31"/>
      <c r="D55" s="26" t="s">
        <v>160</v>
      </c>
      <c r="E55" s="55" cm="1">
        <f t="array" aca="1" ref="E55" ca="1">_xll.VoseOutput("Warranty cost, quarter 7","US$ thousand")+Cal_7</f>
        <v>4.4216045197538678</v>
      </c>
      <c r="F55" s="31"/>
      <c r="G55" s="31"/>
      <c r="H55" s="31"/>
      <c r="I55" s="31"/>
      <c r="J55" s="31"/>
      <c r="K55" s="31"/>
      <c r="L55" s="31"/>
      <c r="M55" s="31"/>
      <c r="N55" s="31"/>
      <c r="O55" s="26"/>
    </row>
    <row r="56" spans="2:15" x14ac:dyDescent="0.45">
      <c r="B56" s="25" t="s">
        <v>205</v>
      </c>
      <c r="C56" s="31"/>
      <c r="D56" s="26" t="s">
        <v>160</v>
      </c>
      <c r="E56" s="55" cm="1">
        <f t="array" aca="1" ref="E56" ca="1">_xll.VoseOutput("Warranty cost, quarter 8","US$ thousand")+Cal_8</f>
        <v>3.4944871176374277</v>
      </c>
      <c r="F56" s="31"/>
      <c r="G56" s="31"/>
      <c r="H56" s="31"/>
      <c r="I56" s="31"/>
      <c r="J56" s="31"/>
      <c r="K56" s="31"/>
      <c r="L56" s="31"/>
      <c r="M56" s="31"/>
      <c r="N56" s="31"/>
      <c r="O56" s="26"/>
    </row>
    <row r="57" spans="2:15" x14ac:dyDescent="0.45">
      <c r="B57" s="25" t="s">
        <v>206</v>
      </c>
      <c r="C57" s="31"/>
      <c r="D57" s="26" t="s">
        <v>160</v>
      </c>
      <c r="E57" s="55" cm="1">
        <f t="array" aca="1" ref="E57" ca="1">_xll.VoseOutput("Warranty cost, quarter 9","US$ thousand")+Cal_9</f>
        <v>2.741684414226611</v>
      </c>
      <c r="F57" s="31"/>
      <c r="G57" s="31"/>
      <c r="H57" s="31"/>
      <c r="I57" s="31"/>
      <c r="J57" s="31"/>
      <c r="K57" s="31"/>
      <c r="L57" s="31"/>
      <c r="M57" s="31"/>
      <c r="N57" s="31"/>
      <c r="O57" s="26"/>
    </row>
    <row r="58" spans="2:15" x14ac:dyDescent="0.45">
      <c r="B58" s="25" t="s">
        <v>207</v>
      </c>
      <c r="C58" s="31"/>
      <c r="D58" s="26" t="s">
        <v>160</v>
      </c>
      <c r="E58" s="55" cm="1">
        <f t="array" aca="1" ref="E58" ca="1">_xll.VoseOutput("Warranty cost, quarter 10","US$ thousand")+Cal_10</f>
        <v>1.820380329417413</v>
      </c>
      <c r="F58" s="31"/>
      <c r="G58" s="31"/>
      <c r="H58" s="31"/>
      <c r="I58" s="31"/>
      <c r="J58" s="31"/>
      <c r="K58" s="31"/>
      <c r="L58" s="31"/>
      <c r="M58" s="31"/>
      <c r="N58" s="31"/>
      <c r="O58" s="26"/>
    </row>
    <row r="59" spans="2:15" x14ac:dyDescent="0.45">
      <c r="B59" s="25" t="s">
        <v>208</v>
      </c>
      <c r="C59" s="31"/>
      <c r="D59" s="26" t="s">
        <v>160</v>
      </c>
      <c r="E59" s="55" cm="1">
        <f t="array" aca="1" ref="E59" ca="1">_xll.VoseOutput("Warranty cost, quarter 11","US$ thousand")+Cal_11</f>
        <v>1.51486897101394</v>
      </c>
      <c r="F59" s="31"/>
      <c r="G59" s="31"/>
      <c r="H59" s="31"/>
      <c r="I59" s="31"/>
      <c r="J59" s="31"/>
      <c r="K59" s="31"/>
      <c r="L59" s="31"/>
      <c r="M59" s="31"/>
      <c r="N59" s="31"/>
      <c r="O59" s="26"/>
    </row>
    <row r="60" spans="2:15" ht="8" customHeight="1" x14ac:dyDescent="0.45"/>
    <row r="61" spans="2:15" ht="22.05" customHeight="1" x14ac:dyDescent="0.5">
      <c r="B61" s="7" t="s">
        <v>209</v>
      </c>
      <c r="C61" s="8"/>
      <c r="D61" s="8"/>
      <c r="E61" s="8"/>
      <c r="F61" s="8"/>
      <c r="G61" s="8"/>
      <c r="H61" s="8"/>
      <c r="I61" s="8"/>
      <c r="J61" s="8"/>
      <c r="K61" s="8"/>
      <c r="L61" s="8"/>
      <c r="M61" s="8"/>
      <c r="N61" s="8"/>
      <c r="O61" s="8"/>
    </row>
    <row r="62" spans="2:15" ht="18" customHeight="1" x14ac:dyDescent="0.45">
      <c r="B62" s="13" t="s">
        <v>210</v>
      </c>
    </row>
    <row r="63" spans="2:15" x14ac:dyDescent="0.45">
      <c r="B63" s="25" t="s">
        <v>211</v>
      </c>
      <c r="C63" s="31"/>
      <c r="D63" s="31"/>
      <c r="E63" s="31"/>
      <c r="F63" s="58" t="str">
        <f>IF(FieldClaims&lt;=FieldUnits,"OK","CHECK")</f>
        <v>OK</v>
      </c>
      <c r="G63" s="31"/>
      <c r="H63" s="31"/>
      <c r="I63" s="31"/>
      <c r="J63" s="31"/>
      <c r="K63" s="31"/>
      <c r="L63" s="31"/>
      <c r="M63" s="31"/>
      <c r="N63" s="31"/>
      <c r="O63" s="31"/>
    </row>
    <row r="64" spans="2:15" x14ac:dyDescent="0.45">
      <c r="B64" s="25" t="s">
        <v>212</v>
      </c>
      <c r="C64" s="31"/>
      <c r="D64" s="31"/>
      <c r="E64" s="31"/>
      <c r="F64" s="58" t="str">
        <f>IF(AND(WShape&gt;0,WScale&gt;0),"OK","CHECK")</f>
        <v>OK</v>
      </c>
      <c r="G64" s="31"/>
      <c r="H64" s="31"/>
      <c r="I64" s="31"/>
      <c r="J64" s="31"/>
      <c r="K64" s="31"/>
      <c r="L64" s="31"/>
      <c r="M64" s="31"/>
      <c r="N64" s="31"/>
      <c r="O64" s="31"/>
    </row>
    <row r="65" ht="14" customHeight="1" x14ac:dyDescent="0.45"/>
  </sheetData>
  <conditionalFormatting sqref="F63:F64">
    <cfRule type="expression" dxfId="5" priority="1">
      <formula>F63="CHECK"</formula>
    </cfRule>
  </conditionalFormatting>
  <hyperlinks>
    <hyperlink ref="B4" location="'Inputs'!A1" display="◂  Inputs" xr:uid="{00000000-0004-0000-0200-000000000000}"/>
    <hyperlink ref="O4" location="'Results'!A1" display="Next:  Results  ▸" xr:uid="{00000000-0004-0000-0200-000001000000}"/>
  </hyperlinks>
  <printOptions horizontalCentered="1"/>
  <pageMargins left="0.4" right="0.4" top="0.5" bottom="0.6" header="0.25" footer="0.25"/>
  <pageSetup paperSize="9" scale="64" fitToHeight="0" orientation="landscape" r:id="rId1"/>
  <headerFooter>
    <oddFooter>&amp;L&amp;K3F5876&amp;8&amp;F · &amp;A&amp;R&amp;K3F5876&amp;8Page &amp;P of &amp;N</oddFooter>
  </headerFooter>
  <rowBreaks count="1" manualBreakCount="1">
    <brk id="3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243"/>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213</v>
      </c>
      <c r="C3" s="1"/>
      <c r="D3" s="1"/>
      <c r="E3" s="1"/>
      <c r="F3" s="1"/>
      <c r="G3" s="1"/>
      <c r="H3" s="1"/>
      <c r="I3" s="1"/>
      <c r="J3" s="1"/>
      <c r="K3" s="1"/>
      <c r="L3" s="1"/>
      <c r="M3" s="1"/>
      <c r="N3" s="1"/>
      <c r="O3" s="1"/>
      <c r="P3" s="1"/>
      <c r="Q3" s="1"/>
      <c r="R3" s="1"/>
    </row>
    <row r="4" spans="1:18" ht="20" customHeight="1" x14ac:dyDescent="0.45">
      <c r="A4" s="5"/>
      <c r="B4" s="22" t="s">
        <v>214</v>
      </c>
      <c r="C4" s="5"/>
      <c r="D4" s="5"/>
      <c r="E4" s="5"/>
      <c r="F4" s="5"/>
      <c r="G4" s="5"/>
      <c r="H4" s="5"/>
      <c r="I4" s="5"/>
      <c r="J4" s="5"/>
      <c r="K4" s="5"/>
      <c r="L4" s="5"/>
      <c r="M4" s="5"/>
      <c r="N4" s="5"/>
      <c r="O4" s="5"/>
      <c r="P4" s="5"/>
      <c r="Q4" s="5"/>
      <c r="R4" s="5"/>
    </row>
    <row r="5" spans="1:18" ht="8" customHeight="1" x14ac:dyDescent="0.45"/>
    <row r="6" spans="1:18" ht="26" customHeight="1" x14ac:dyDescent="0.45">
      <c r="B6" s="59" t="str" cm="1">
        <f t="array" aca="1" ref="B6" ca="1">IF(ISNUMBER(_xll.VoseSimMean(Out_Cost)),"✔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0"/>
      <c r="D6" s="60"/>
      <c r="E6" s="60"/>
      <c r="F6" s="60"/>
      <c r="G6" s="60"/>
    </row>
    <row r="7" spans="1:18" x14ac:dyDescent="0.45">
      <c r="B7" s="61"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215</v>
      </c>
      <c r="C9" s="8"/>
      <c r="D9" s="8"/>
      <c r="E9" s="8"/>
      <c r="F9" s="8"/>
      <c r="G9" s="8"/>
      <c r="I9" s="62" t="s">
        <v>216</v>
      </c>
      <c r="J9" s="8"/>
      <c r="K9" s="8"/>
      <c r="L9" s="8"/>
      <c r="M9" s="8"/>
      <c r="N9" s="8"/>
      <c r="O9" s="8"/>
      <c r="P9" s="8"/>
      <c r="Q9" s="8"/>
      <c r="R9" s="8"/>
    </row>
    <row r="10" spans="1:18" ht="18" customHeight="1" x14ac:dyDescent="0.45">
      <c r="B10" s="13" t="s">
        <v>217</v>
      </c>
    </row>
    <row r="11" spans="1:18" ht="18" customHeight="1" x14ac:dyDescent="0.45">
      <c r="B11" s="23" t="s">
        <v>218</v>
      </c>
      <c r="C11" s="23" t="s">
        <v>98</v>
      </c>
      <c r="D11" s="24" t="s">
        <v>219</v>
      </c>
      <c r="E11" s="24" t="s">
        <v>220</v>
      </c>
      <c r="F11" s="24" t="s">
        <v>221</v>
      </c>
      <c r="G11" s="24" t="s">
        <v>104</v>
      </c>
    </row>
    <row r="12" spans="1:18" x14ac:dyDescent="0.45">
      <c r="B12" s="25" t="s">
        <v>186</v>
      </c>
      <c r="C12" s="26" t="s">
        <v>160</v>
      </c>
      <c r="D12" s="63" cm="1">
        <f t="array" aca="1" ref="D12" ca="1">_xll.VoseSimPercentile(Out_Cost,0.05)</f>
        <v>51.281925088125305</v>
      </c>
      <c r="E12" s="63" cm="1">
        <f t="array" aca="1" ref="E12" ca="1">_xll.VoseSimPercentile(Out_Cost,0.5)</f>
        <v>68.730109314991836</v>
      </c>
      <c r="F12" s="63" cm="1">
        <f t="array" aca="1" ref="F12" ca="1">_xll.VoseSimPercentile(Out_Cost,0.95)</f>
        <v>88.901323718814453</v>
      </c>
      <c r="G12" s="63" cm="1">
        <f t="array" aca="1" ref="G12" ca="1">_xll.VoseSimMean(Out_Cost)</f>
        <v>69.288075560589547</v>
      </c>
    </row>
    <row r="13" spans="1:18" x14ac:dyDescent="0.45">
      <c r="B13" s="25" t="s">
        <v>222</v>
      </c>
      <c r="C13" s="26" t="s">
        <v>129</v>
      </c>
      <c r="D13" s="64" cm="1">
        <f t="array" aca="1" ref="D13" ca="1">_xll.VoseSimPercentile(Out_PerUnit,0.05)</f>
        <v>3.9398479134089128</v>
      </c>
      <c r="E13" s="64" cm="1">
        <f t="array" aca="1" ref="E13" ca="1">_xll.VoseSimPercentile(Out_PerUnit,0.5)</f>
        <v>5.250797492534848</v>
      </c>
      <c r="F13" s="64" cm="1">
        <f t="array" aca="1" ref="F13" ca="1">_xll.VoseSimPercentile(Out_PerUnit,0.95)</f>
        <v>6.7412958404988235</v>
      </c>
      <c r="G13" s="64" cm="1">
        <f t="array" aca="1" ref="G13" ca="1">_xll.VoseSimMean(Out_PerUnit)</f>
        <v>5.286461285223691</v>
      </c>
    </row>
    <row r="14" spans="1:18" x14ac:dyDescent="0.45">
      <c r="B14" s="25" t="s">
        <v>195</v>
      </c>
      <c r="C14" s="26" t="s">
        <v>118</v>
      </c>
      <c r="D14" s="65" cm="1">
        <f t="array" aca="1" ref="D14" ca="1">_xll.VoseSimPercentile(Out_Claims,0.05)</f>
        <v>288</v>
      </c>
      <c r="E14" s="65" cm="1">
        <f t="array" aca="1" ref="E14" ca="1">_xll.VoseSimPercentile(Out_Claims,0.5)</f>
        <v>382</v>
      </c>
      <c r="F14" s="65" cm="1">
        <f t="array" aca="1" ref="F14" ca="1">_xll.VoseSimPercentile(Out_Claims,0.95)</f>
        <v>493</v>
      </c>
      <c r="G14" s="65" cm="1">
        <f t="array" aca="1" ref="G14" ca="1">_xll.VoseSimMean(Out_Claims)</f>
        <v>385.08769999999998</v>
      </c>
    </row>
    <row r="15" spans="1:18" ht="18" customHeight="1" x14ac:dyDescent="0.45">
      <c r="B15" s="23" t="s">
        <v>218</v>
      </c>
      <c r="C15" s="23" t="s">
        <v>98</v>
      </c>
      <c r="D15" s="24" t="s">
        <v>138</v>
      </c>
      <c r="E15" s="5"/>
      <c r="F15" s="5"/>
      <c r="G15" s="5"/>
    </row>
    <row r="16" spans="1:18" x14ac:dyDescent="0.45">
      <c r="B16" s="45" t="s">
        <v>223</v>
      </c>
      <c r="C16" s="26" t="s">
        <v>160</v>
      </c>
      <c r="D16" s="40">
        <f>ExpCost</f>
        <v>69.312491072703878</v>
      </c>
      <c r="E16" s="31"/>
      <c r="F16" s="31"/>
      <c r="G16" s="31"/>
    </row>
    <row r="17" spans="2:18" ht="8" customHeight="1" x14ac:dyDescent="0.45"/>
    <row r="18" spans="2:18" ht="22.05" customHeight="1" x14ac:dyDescent="0.5">
      <c r="B18" s="7" t="s">
        <v>224</v>
      </c>
      <c r="C18" s="8"/>
      <c r="D18" s="8"/>
      <c r="E18" s="8"/>
      <c r="F18" s="8"/>
      <c r="G18" s="8"/>
    </row>
    <row r="19" spans="2:18" ht="18" customHeight="1" x14ac:dyDescent="0.45">
      <c r="B19" s="13" t="s">
        <v>225</v>
      </c>
    </row>
    <row r="20" spans="2:18" ht="18" customHeight="1" x14ac:dyDescent="0.45">
      <c r="B20" s="23" t="s">
        <v>218</v>
      </c>
      <c r="C20" s="23" t="s">
        <v>98</v>
      </c>
      <c r="D20" s="24" t="s">
        <v>219</v>
      </c>
      <c r="E20" s="24" t="s">
        <v>220</v>
      </c>
      <c r="F20" s="24" t="s">
        <v>221</v>
      </c>
      <c r="G20" s="24" t="s">
        <v>104</v>
      </c>
    </row>
    <row r="21" spans="2:18" x14ac:dyDescent="0.45">
      <c r="B21" s="25" t="s">
        <v>196</v>
      </c>
      <c r="C21" s="26" t="s">
        <v>160</v>
      </c>
      <c r="D21" s="63" cm="1">
        <f t="array" aca="1" ref="D21" ca="1">_xll.VoseSimPercentile(Out_Reserve,0.05)</f>
        <v>28.026709413639384</v>
      </c>
      <c r="E21" s="63" cm="1">
        <f t="array" aca="1" ref="E21" ca="1">_xll.VoseSimPercentile(Out_Reserve,0.5)</f>
        <v>38.477379604845275</v>
      </c>
      <c r="F21" s="63" cm="1">
        <f t="array" aca="1" ref="F21" ca="1">_xll.VoseSimPercentile(Out_Reserve,0.95)</f>
        <v>50.364975051461037</v>
      </c>
      <c r="G21" s="63" cm="1">
        <f t="array" aca="1" ref="G21" ca="1">_xll.VoseSimMean(Out_Reserve)</f>
        <v>38.774316890119316</v>
      </c>
    </row>
    <row r="22" spans="2:18" ht="18" customHeight="1" x14ac:dyDescent="0.45">
      <c r="B22" s="23" t="s">
        <v>218</v>
      </c>
      <c r="C22" s="23" t="s">
        <v>98</v>
      </c>
      <c r="D22" s="24" t="s">
        <v>138</v>
      </c>
      <c r="E22" s="5"/>
      <c r="F22" s="5"/>
      <c r="G22" s="5"/>
    </row>
    <row r="23" spans="2:18" x14ac:dyDescent="0.45">
      <c r="B23" s="25" t="s">
        <v>226</v>
      </c>
      <c r="C23" s="26" t="s">
        <v>160</v>
      </c>
      <c r="D23" s="63" cm="1">
        <f t="array" aca="1" ref="D23" ca="1">_xll.VoseSimMean(Out_Reserve)</f>
        <v>38.774316890119316</v>
      </c>
      <c r="E23" s="31"/>
      <c r="F23" s="31"/>
      <c r="G23" s="31"/>
    </row>
    <row r="24" spans="2:18" x14ac:dyDescent="0.45">
      <c r="B24" s="25" t="s">
        <v>227</v>
      </c>
      <c r="C24" s="26" t="s">
        <v>160</v>
      </c>
      <c r="D24" s="63" cm="1">
        <f t="array" aca="1" ref="D24" ca="1">_xll.VoseSimMean(Out_Cost)</f>
        <v>69.288075560589547</v>
      </c>
      <c r="E24" s="31"/>
      <c r="F24" s="31"/>
      <c r="G24" s="31"/>
      <c r="I24" s="62" t="s">
        <v>228</v>
      </c>
      <c r="J24" s="8"/>
      <c r="K24" s="8"/>
      <c r="L24" s="8"/>
      <c r="M24" s="8"/>
      <c r="N24" s="8"/>
      <c r="O24" s="8"/>
      <c r="P24" s="8"/>
      <c r="Q24" s="8"/>
      <c r="R24" s="8"/>
    </row>
    <row r="25" spans="2:18" x14ac:dyDescent="0.45">
      <c r="B25" s="25" t="s">
        <v>229</v>
      </c>
      <c r="C25" s="26"/>
      <c r="D25" s="66">
        <f ca="1">IFERROR(D23/D24,"–")</f>
        <v>0.55961024427951944</v>
      </c>
      <c r="E25" s="31"/>
      <c r="F25" s="31"/>
      <c r="G25" s="31"/>
    </row>
    <row r="26" spans="2:18" x14ac:dyDescent="0.45">
      <c r="B26" s="67" t="s">
        <v>230</v>
      </c>
      <c r="C26" s="26" t="s">
        <v>160</v>
      </c>
      <c r="D26" s="63" cm="1">
        <f t="array" aca="1" ref="D26" ca="1">_xll.VoseSimPercentile(Out_Reserve,0.75)</f>
        <v>43.395913191887374</v>
      </c>
      <c r="E26" s="31"/>
      <c r="F26" s="31"/>
      <c r="G26" s="31"/>
    </row>
    <row r="27" spans="2:18" ht="8" customHeight="1" x14ac:dyDescent="0.45"/>
    <row r="40" spans="2:7" ht="22.05" customHeight="1" x14ac:dyDescent="0.5">
      <c r="B40" s="7" t="s">
        <v>231</v>
      </c>
      <c r="C40" s="8"/>
      <c r="D40" s="8"/>
      <c r="E40" s="8"/>
      <c r="F40" s="8"/>
      <c r="G40" s="8"/>
    </row>
    <row r="41" spans="2:7" ht="45" customHeight="1" x14ac:dyDescent="0.45">
      <c r="B41" s="74" t="s">
        <v>232</v>
      </c>
      <c r="C41" s="75"/>
      <c r="D41" s="75"/>
      <c r="E41" s="75"/>
      <c r="F41" s="75"/>
      <c r="G41" s="75"/>
    </row>
    <row r="42" spans="2:7" ht="32" customHeight="1" x14ac:dyDescent="0.45">
      <c r="B42" s="74" t="s">
        <v>233</v>
      </c>
      <c r="C42" s="75"/>
      <c r="D42" s="75"/>
      <c r="E42" s="75"/>
      <c r="F42" s="75"/>
      <c r="G42" s="75"/>
    </row>
    <row r="43" spans="2:7" ht="32" customHeight="1" x14ac:dyDescent="0.45">
      <c r="B43" s="74" t="s">
        <v>234</v>
      </c>
      <c r="C43" s="75"/>
      <c r="D43" s="75"/>
      <c r="E43" s="75"/>
      <c r="F43" s="75"/>
      <c r="G43" s="75"/>
    </row>
    <row r="44" spans="2:7" ht="32" customHeight="1" x14ac:dyDescent="0.45">
      <c r="B44" s="74" t="s">
        <v>235</v>
      </c>
      <c r="C44" s="75"/>
      <c r="D44" s="75"/>
      <c r="E44" s="75"/>
      <c r="F44" s="75"/>
      <c r="G44" s="75"/>
    </row>
    <row r="45" spans="2:7" ht="32" customHeight="1" x14ac:dyDescent="0.45">
      <c r="B45" s="74" t="s">
        <v>236</v>
      </c>
      <c r="C45" s="75"/>
      <c r="D45" s="75"/>
      <c r="E45" s="75"/>
      <c r="F45" s="75"/>
      <c r="G45" s="75"/>
    </row>
    <row r="46" spans="2:7" ht="14" customHeight="1" x14ac:dyDescent="0.45"/>
    <row r="47" spans="2:7" ht="14" customHeight="1" x14ac:dyDescent="0.45"/>
    <row r="48" spans="2:7" ht="22.05" customHeight="1" x14ac:dyDescent="0.5">
      <c r="B48" s="7" t="s">
        <v>237</v>
      </c>
      <c r="C48" s="8"/>
      <c r="D48" s="8"/>
      <c r="E48" s="8"/>
      <c r="F48" s="8"/>
      <c r="G48" s="8"/>
    </row>
    <row r="49" spans="2:7" ht="18" customHeight="1" x14ac:dyDescent="0.45">
      <c r="B49" s="13" t="s">
        <v>238</v>
      </c>
    </row>
    <row r="50" spans="2:7" ht="28.05" hidden="1" customHeight="1" outlineLevel="1" x14ac:dyDescent="0.45">
      <c r="B50" s="24" t="s">
        <v>239</v>
      </c>
      <c r="C50" s="24" t="s">
        <v>240</v>
      </c>
      <c r="D50" s="24" t="s">
        <v>241</v>
      </c>
      <c r="E50" s="5"/>
      <c r="F50" s="5"/>
      <c r="G50" s="5"/>
    </row>
    <row r="51" spans="2:7" hidden="1" outlineLevel="1" x14ac:dyDescent="0.45">
      <c r="B51" s="68">
        <v>0.01</v>
      </c>
      <c r="C51" s="68">
        <f t="shared" ref="C51:C82" si="0">1-B51</f>
        <v>0.99</v>
      </c>
      <c r="D51" s="69" cm="1">
        <f t="array" aca="1" ref="D51" ca="1">IF(ISNUMBER(_xll.VoseSimPercentile(Out_Cost,$B51)),_xll.VoseSimPercentile(Out_Cost,$B51),NA())</f>
        <v>46.047810144102627</v>
      </c>
    </row>
    <row r="52" spans="2:7" hidden="1" outlineLevel="1" x14ac:dyDescent="0.45">
      <c r="B52" s="68">
        <v>0.03</v>
      </c>
      <c r="C52" s="68">
        <f t="shared" si="0"/>
        <v>0.97</v>
      </c>
      <c r="D52" s="69" cm="1">
        <f t="array" aca="1" ref="D52" ca="1">IF(ISNUMBER(_xll.VoseSimPercentile(Out_Cost,$B52)),_xll.VoseSimPercentile(Out_Cost,$B52),NA())</f>
        <v>49.310988193309882</v>
      </c>
    </row>
    <row r="53" spans="2:7" hidden="1" outlineLevel="1" x14ac:dyDescent="0.45">
      <c r="B53" s="68">
        <v>0.05</v>
      </c>
      <c r="C53" s="68">
        <f t="shared" si="0"/>
        <v>0.95</v>
      </c>
      <c r="D53" s="69" cm="1">
        <f t="array" aca="1" ref="D53" ca="1">IF(ISNUMBER(_xll.VoseSimPercentile(Out_Cost,$B53)),_xll.VoseSimPercentile(Out_Cost,$B53),NA())</f>
        <v>51.281925088125305</v>
      </c>
    </row>
    <row r="54" spans="2:7" hidden="1" outlineLevel="1" x14ac:dyDescent="0.45">
      <c r="B54" s="68">
        <v>7.0000000000000007E-2</v>
      </c>
      <c r="C54" s="68">
        <f t="shared" si="0"/>
        <v>0.92999999999999994</v>
      </c>
      <c r="D54" s="69" cm="1">
        <f t="array" aca="1" ref="D54" ca="1">IF(ISNUMBER(_xll.VoseSimPercentile(Out_Cost,$B54)),_xll.VoseSimPercentile(Out_Cost,$B54),NA())</f>
        <v>52.790963140103507</v>
      </c>
    </row>
    <row r="55" spans="2:7" hidden="1" outlineLevel="1" x14ac:dyDescent="0.45">
      <c r="B55" s="68">
        <v>0.09</v>
      </c>
      <c r="C55" s="68">
        <f t="shared" si="0"/>
        <v>0.91</v>
      </c>
      <c r="D55" s="69" cm="1">
        <f t="array" aca="1" ref="D55" ca="1">IF(ISNUMBER(_xll.VoseSimPercentile(Out_Cost,$B55)),_xll.VoseSimPercentile(Out_Cost,$B55),NA())</f>
        <v>53.980094464108745</v>
      </c>
    </row>
    <row r="56" spans="2:7" hidden="1" outlineLevel="1" x14ac:dyDescent="0.45">
      <c r="B56" s="68">
        <v>0.11</v>
      </c>
      <c r="C56" s="68">
        <f t="shared" si="0"/>
        <v>0.89</v>
      </c>
      <c r="D56" s="69" cm="1">
        <f t="array" aca="1" ref="D56" ca="1">IF(ISNUMBER(_xll.VoseSimPercentile(Out_Cost,$B56)),_xll.VoseSimPercentile(Out_Cost,$B56),NA())</f>
        <v>55.120725555147246</v>
      </c>
    </row>
    <row r="57" spans="2:7" hidden="1" outlineLevel="1" x14ac:dyDescent="0.45">
      <c r="B57" s="68">
        <v>0.13</v>
      </c>
      <c r="C57" s="68">
        <f t="shared" si="0"/>
        <v>0.87</v>
      </c>
      <c r="D57" s="69" cm="1">
        <f t="array" aca="1" ref="D57" ca="1">IF(ISNUMBER(_xll.VoseSimPercentile(Out_Cost,$B57)),_xll.VoseSimPercentile(Out_Cost,$B57),NA())</f>
        <v>56.078576918682188</v>
      </c>
    </row>
    <row r="58" spans="2:7" hidden="1" outlineLevel="1" x14ac:dyDescent="0.45">
      <c r="B58" s="68">
        <v>0.15</v>
      </c>
      <c r="C58" s="68">
        <f t="shared" si="0"/>
        <v>0.85</v>
      </c>
      <c r="D58" s="69" cm="1">
        <f t="array" aca="1" ref="D58" ca="1">IF(ISNUMBER(_xll.VoseSimPercentile(Out_Cost,$B58)),_xll.VoseSimPercentile(Out_Cost,$B58),NA())</f>
        <v>57.006322598749904</v>
      </c>
    </row>
    <row r="59" spans="2:7" hidden="1" outlineLevel="1" x14ac:dyDescent="0.45">
      <c r="B59" s="68">
        <v>0.17</v>
      </c>
      <c r="C59" s="68">
        <f t="shared" si="0"/>
        <v>0.83</v>
      </c>
      <c r="D59" s="69" cm="1">
        <f t="array" aca="1" ref="D59" ca="1">IF(ISNUMBER(_xll.VoseSimPercentile(Out_Cost,$B59)),_xll.VoseSimPercentile(Out_Cost,$B59),NA())</f>
        <v>57.775477596188793</v>
      </c>
    </row>
    <row r="60" spans="2:7" hidden="1" outlineLevel="1" x14ac:dyDescent="0.45">
      <c r="B60" s="68">
        <v>0.19</v>
      </c>
      <c r="C60" s="68">
        <f t="shared" si="0"/>
        <v>0.81</v>
      </c>
      <c r="D60" s="69" cm="1">
        <f t="array" aca="1" ref="D60" ca="1">IF(ISNUMBER(_xll.VoseSimPercentile(Out_Cost,$B60)),_xll.VoseSimPercentile(Out_Cost,$B60),NA())</f>
        <v>58.650854031408528</v>
      </c>
    </row>
    <row r="61" spans="2:7" hidden="1" outlineLevel="1" x14ac:dyDescent="0.45">
      <c r="B61" s="68">
        <v>0.21</v>
      </c>
      <c r="C61" s="68">
        <f t="shared" si="0"/>
        <v>0.79</v>
      </c>
      <c r="D61" s="69" cm="1">
        <f t="array" aca="1" ref="D61" ca="1">IF(ISNUMBER(_xll.VoseSimPercentile(Out_Cost,$B61)),_xll.VoseSimPercentile(Out_Cost,$B61),NA())</f>
        <v>59.492641515802973</v>
      </c>
    </row>
    <row r="62" spans="2:7" hidden="1" outlineLevel="1" x14ac:dyDescent="0.45">
      <c r="B62" s="68">
        <v>0.23</v>
      </c>
      <c r="C62" s="68">
        <f t="shared" si="0"/>
        <v>0.77</v>
      </c>
      <c r="D62" s="69" cm="1">
        <f t="array" aca="1" ref="D62" ca="1">IF(ISNUMBER(_xll.VoseSimPercentile(Out_Cost,$B62)),_xll.VoseSimPercentile(Out_Cost,$B62),NA())</f>
        <v>60.215631339424903</v>
      </c>
    </row>
    <row r="63" spans="2:7" hidden="1" outlineLevel="1" x14ac:dyDescent="0.45">
      <c r="B63" s="68">
        <v>0.25</v>
      </c>
      <c r="C63" s="68">
        <f t="shared" si="0"/>
        <v>0.75</v>
      </c>
      <c r="D63" s="69" cm="1">
        <f t="array" aca="1" ref="D63" ca="1">IF(ISNUMBER(_xll.VoseSimPercentile(Out_Cost,$B63)),_xll.VoseSimPercentile(Out_Cost,$B63),NA())</f>
        <v>60.907686300885644</v>
      </c>
    </row>
    <row r="64" spans="2:7" hidden="1" outlineLevel="1" x14ac:dyDescent="0.45">
      <c r="B64" s="68">
        <v>0.27</v>
      </c>
      <c r="C64" s="68">
        <f t="shared" si="0"/>
        <v>0.73</v>
      </c>
      <c r="D64" s="69" cm="1">
        <f t="array" aca="1" ref="D64" ca="1">IF(ISNUMBER(_xll.VoseSimPercentile(Out_Cost,$B64)),_xll.VoseSimPercentile(Out_Cost,$B64),NA())</f>
        <v>61.609204185557509</v>
      </c>
    </row>
    <row r="65" spans="2:4" hidden="1" outlineLevel="1" x14ac:dyDescent="0.45">
      <c r="B65" s="68">
        <v>0.28999999999999998</v>
      </c>
      <c r="C65" s="68">
        <f t="shared" si="0"/>
        <v>0.71</v>
      </c>
      <c r="D65" s="69" cm="1">
        <f t="array" aca="1" ref="D65" ca="1">IF(ISNUMBER(_xll.VoseSimPercentile(Out_Cost,$B65)),_xll.VoseSimPercentile(Out_Cost,$B65),NA())</f>
        <v>62.293581361882403</v>
      </c>
    </row>
    <row r="66" spans="2:4" hidden="1" outlineLevel="1" x14ac:dyDescent="0.45">
      <c r="B66" s="68">
        <v>0.31</v>
      </c>
      <c r="C66" s="68">
        <f t="shared" si="0"/>
        <v>0.69</v>
      </c>
      <c r="D66" s="69" cm="1">
        <f t="array" aca="1" ref="D66" ca="1">IF(ISNUMBER(_xll.VoseSimPercentile(Out_Cost,$B66)),_xll.VoseSimPercentile(Out_Cost,$B66),NA())</f>
        <v>62.896701715731396</v>
      </c>
    </row>
    <row r="67" spans="2:4" hidden="1" outlineLevel="1" x14ac:dyDescent="0.45">
      <c r="B67" s="68">
        <v>0.33</v>
      </c>
      <c r="C67" s="68">
        <f t="shared" si="0"/>
        <v>0.66999999999999993</v>
      </c>
      <c r="D67" s="69" cm="1">
        <f t="array" aca="1" ref="D67" ca="1">IF(ISNUMBER(_xll.VoseSimPercentile(Out_Cost,$B67)),_xll.VoseSimPercentile(Out_Cost,$B67),NA())</f>
        <v>63.538808071190047</v>
      </c>
    </row>
    <row r="68" spans="2:4" hidden="1" outlineLevel="1" x14ac:dyDescent="0.45">
      <c r="B68" s="68">
        <v>0.35</v>
      </c>
      <c r="C68" s="68">
        <f t="shared" si="0"/>
        <v>0.65</v>
      </c>
      <c r="D68" s="69" cm="1">
        <f t="array" aca="1" ref="D68" ca="1">IF(ISNUMBER(_xll.VoseSimPercentile(Out_Cost,$B68)),_xll.VoseSimPercentile(Out_Cost,$B68),NA())</f>
        <v>64.141180633073859</v>
      </c>
    </row>
    <row r="69" spans="2:4" hidden="1" outlineLevel="1" x14ac:dyDescent="0.45">
      <c r="B69" s="68">
        <v>0.37</v>
      </c>
      <c r="C69" s="68">
        <f t="shared" si="0"/>
        <v>0.63</v>
      </c>
      <c r="D69" s="69" cm="1">
        <f t="array" aca="1" ref="D69" ca="1">IF(ISNUMBER(_xll.VoseSimPercentile(Out_Cost,$B69)),_xll.VoseSimPercentile(Out_Cost,$B69),NA())</f>
        <v>64.729728220899901</v>
      </c>
    </row>
    <row r="70" spans="2:4" hidden="1" outlineLevel="1" x14ac:dyDescent="0.45">
      <c r="B70" s="68">
        <v>0.39</v>
      </c>
      <c r="C70" s="68">
        <f t="shared" si="0"/>
        <v>0.61</v>
      </c>
      <c r="D70" s="69" cm="1">
        <f t="array" aca="1" ref="D70" ca="1">IF(ISNUMBER(_xll.VoseSimPercentile(Out_Cost,$B70)),_xll.VoseSimPercentile(Out_Cost,$B70),NA())</f>
        <v>65.329533253496166</v>
      </c>
    </row>
    <row r="71" spans="2:4" hidden="1" outlineLevel="1" x14ac:dyDescent="0.45">
      <c r="B71" s="68">
        <v>0.41</v>
      </c>
      <c r="C71" s="68">
        <f t="shared" si="0"/>
        <v>0.59000000000000008</v>
      </c>
      <c r="D71" s="69" cm="1">
        <f t="array" aca="1" ref="D71" ca="1">IF(ISNUMBER(_xll.VoseSimPercentile(Out_Cost,$B71)),_xll.VoseSimPercentile(Out_Cost,$B71),NA())</f>
        <v>66.014781410368585</v>
      </c>
    </row>
    <row r="72" spans="2:4" hidden="1" outlineLevel="1" x14ac:dyDescent="0.45">
      <c r="B72" s="68">
        <v>0.43</v>
      </c>
      <c r="C72" s="68">
        <f t="shared" si="0"/>
        <v>0.57000000000000006</v>
      </c>
      <c r="D72" s="69" cm="1">
        <f t="array" aca="1" ref="D72" ca="1">IF(ISNUMBER(_xll.VoseSimPercentile(Out_Cost,$B72)),_xll.VoseSimPercentile(Out_Cost,$B72),NA())</f>
        <v>66.581199393276819</v>
      </c>
    </row>
    <row r="73" spans="2:4" hidden="1" outlineLevel="1" x14ac:dyDescent="0.45">
      <c r="B73" s="68">
        <v>0.45</v>
      </c>
      <c r="C73" s="68">
        <f t="shared" si="0"/>
        <v>0.55000000000000004</v>
      </c>
      <c r="D73" s="69" cm="1">
        <f t="array" aca="1" ref="D73" ca="1">IF(ISNUMBER(_xll.VoseSimPercentile(Out_Cost,$B73)),_xll.VoseSimPercentile(Out_Cost,$B73),NA())</f>
        <v>67.166434541958637</v>
      </c>
    </row>
    <row r="74" spans="2:4" hidden="1" outlineLevel="1" x14ac:dyDescent="0.45">
      <c r="B74" s="68">
        <v>0.47</v>
      </c>
      <c r="C74" s="68">
        <f t="shared" si="0"/>
        <v>0.53</v>
      </c>
      <c r="D74" s="69" cm="1">
        <f t="array" aca="1" ref="D74" ca="1">IF(ISNUMBER(_xll.VoseSimPercentile(Out_Cost,$B74)),_xll.VoseSimPercentile(Out_Cost,$B74),NA())</f>
        <v>67.828257793726323</v>
      </c>
    </row>
    <row r="75" spans="2:4" hidden="1" outlineLevel="1" x14ac:dyDescent="0.45">
      <c r="B75" s="68">
        <v>0.49</v>
      </c>
      <c r="C75" s="68">
        <f t="shared" si="0"/>
        <v>0.51</v>
      </c>
      <c r="D75" s="69" cm="1">
        <f t="array" aca="1" ref="D75" ca="1">IF(ISNUMBER(_xll.VoseSimPercentile(Out_Cost,$B75)),_xll.VoseSimPercentile(Out_Cost,$B75),NA())</f>
        <v>68.400227171812659</v>
      </c>
    </row>
    <row r="76" spans="2:4" hidden="1" outlineLevel="1" x14ac:dyDescent="0.45">
      <c r="B76" s="68">
        <v>0.51</v>
      </c>
      <c r="C76" s="68">
        <f t="shared" si="0"/>
        <v>0.49</v>
      </c>
      <c r="D76" s="69" cm="1">
        <f t="array" aca="1" ref="D76" ca="1">IF(ISNUMBER(_xll.VoseSimPercentile(Out_Cost,$B76)),_xll.VoseSimPercentile(Out_Cost,$B76),NA())</f>
        <v>69.033952395398657</v>
      </c>
    </row>
    <row r="77" spans="2:4" hidden="1" outlineLevel="1" x14ac:dyDescent="0.45">
      <c r="B77" s="68">
        <v>0.53</v>
      </c>
      <c r="C77" s="68">
        <f t="shared" si="0"/>
        <v>0.47</v>
      </c>
      <c r="D77" s="69" cm="1">
        <f t="array" aca="1" ref="D77" ca="1">IF(ISNUMBER(_xll.VoseSimPercentile(Out_Cost,$B77)),_xll.VoseSimPercentile(Out_Cost,$B77),NA())</f>
        <v>69.672236693536931</v>
      </c>
    </row>
    <row r="78" spans="2:4" hidden="1" outlineLevel="1" x14ac:dyDescent="0.45">
      <c r="B78" s="68">
        <v>0.55000000000000004</v>
      </c>
      <c r="C78" s="68">
        <f t="shared" si="0"/>
        <v>0.44999999999999996</v>
      </c>
      <c r="D78" s="69" cm="1">
        <f t="array" aca="1" ref="D78" ca="1">IF(ISNUMBER(_xll.VoseSimPercentile(Out_Cost,$B78)),_xll.VoseSimPercentile(Out_Cost,$B78),NA())</f>
        <v>70.255008845740335</v>
      </c>
    </row>
    <row r="79" spans="2:4" hidden="1" outlineLevel="1" x14ac:dyDescent="0.45">
      <c r="B79" s="68">
        <v>0.56999999999999995</v>
      </c>
      <c r="C79" s="68">
        <f t="shared" si="0"/>
        <v>0.43000000000000005</v>
      </c>
      <c r="D79" s="69" cm="1">
        <f t="array" aca="1" ref="D79" ca="1">IF(ISNUMBER(_xll.VoseSimPercentile(Out_Cost,$B79)),_xll.VoseSimPercentile(Out_Cost,$B79),NA())</f>
        <v>70.849878891418626</v>
      </c>
    </row>
    <row r="80" spans="2:4" hidden="1" outlineLevel="1" x14ac:dyDescent="0.45">
      <c r="B80" s="68">
        <v>0.59</v>
      </c>
      <c r="C80" s="68">
        <f t="shared" si="0"/>
        <v>0.41000000000000003</v>
      </c>
      <c r="D80" s="69" cm="1">
        <f t="array" aca="1" ref="D80" ca="1">IF(ISNUMBER(_xll.VoseSimPercentile(Out_Cost,$B80)),_xll.VoseSimPercentile(Out_Cost,$B80),NA())</f>
        <v>71.526118842517434</v>
      </c>
    </row>
    <row r="81" spans="2:4" hidden="1" outlineLevel="1" x14ac:dyDescent="0.45">
      <c r="B81" s="68">
        <v>0.61</v>
      </c>
      <c r="C81" s="68">
        <f t="shared" si="0"/>
        <v>0.39</v>
      </c>
      <c r="D81" s="69" cm="1">
        <f t="array" aca="1" ref="D81" ca="1">IF(ISNUMBER(_xll.VoseSimPercentile(Out_Cost,$B81)),_xll.VoseSimPercentile(Out_Cost,$B81),NA())</f>
        <v>72.126376841377493</v>
      </c>
    </row>
    <row r="82" spans="2:4" hidden="1" outlineLevel="1" x14ac:dyDescent="0.45">
      <c r="B82" s="68">
        <v>0.63</v>
      </c>
      <c r="C82" s="68">
        <f t="shared" si="0"/>
        <v>0.37</v>
      </c>
      <c r="D82" s="69" cm="1">
        <f t="array" aca="1" ref="D82" ca="1">IF(ISNUMBER(_xll.VoseSimPercentile(Out_Cost,$B82)),_xll.VoseSimPercentile(Out_Cost,$B82),NA())</f>
        <v>72.814160597193833</v>
      </c>
    </row>
    <row r="83" spans="2:4" hidden="1" outlineLevel="1" x14ac:dyDescent="0.45">
      <c r="B83" s="68">
        <v>0.65</v>
      </c>
      <c r="C83" s="68">
        <f t="shared" ref="C83:C114" si="1">1-B83</f>
        <v>0.35</v>
      </c>
      <c r="D83" s="69" cm="1">
        <f t="array" aca="1" ref="D83" ca="1">IF(ISNUMBER(_xll.VoseSimPercentile(Out_Cost,$B83)),_xll.VoseSimPercentile(Out_Cost,$B83),NA())</f>
        <v>73.523144795987434</v>
      </c>
    </row>
    <row r="84" spans="2:4" hidden="1" outlineLevel="1" x14ac:dyDescent="0.45">
      <c r="B84" s="68">
        <v>0.67</v>
      </c>
      <c r="C84" s="68">
        <f t="shared" si="1"/>
        <v>0.32999999999999996</v>
      </c>
      <c r="D84" s="69" cm="1">
        <f t="array" aca="1" ref="D84" ca="1">IF(ISNUMBER(_xll.VoseSimPercentile(Out_Cost,$B84)),_xll.VoseSimPercentile(Out_Cost,$B84),NA())</f>
        <v>74.185808998797526</v>
      </c>
    </row>
    <row r="85" spans="2:4" hidden="1" outlineLevel="1" x14ac:dyDescent="0.45">
      <c r="B85" s="68">
        <v>0.69</v>
      </c>
      <c r="C85" s="68">
        <f t="shared" si="1"/>
        <v>0.31000000000000005</v>
      </c>
      <c r="D85" s="69" cm="1">
        <f t="array" aca="1" ref="D85" ca="1">IF(ISNUMBER(_xll.VoseSimPercentile(Out_Cost,$B85)),_xll.VoseSimPercentile(Out_Cost,$B85),NA())</f>
        <v>74.776825229421547</v>
      </c>
    </row>
    <row r="86" spans="2:4" hidden="1" outlineLevel="1" x14ac:dyDescent="0.45">
      <c r="B86" s="68">
        <v>0.71</v>
      </c>
      <c r="C86" s="68">
        <f t="shared" si="1"/>
        <v>0.29000000000000004</v>
      </c>
      <c r="D86" s="69" cm="1">
        <f t="array" aca="1" ref="D86" ca="1">IF(ISNUMBER(_xll.VoseSimPercentile(Out_Cost,$B86)),_xll.VoseSimPercentile(Out_Cost,$B86),NA())</f>
        <v>75.531115376043658</v>
      </c>
    </row>
    <row r="87" spans="2:4" hidden="1" outlineLevel="1" x14ac:dyDescent="0.45">
      <c r="B87" s="68">
        <v>0.73</v>
      </c>
      <c r="C87" s="68">
        <f t="shared" si="1"/>
        <v>0.27</v>
      </c>
      <c r="D87" s="69" cm="1">
        <f t="array" aca="1" ref="D87" ca="1">IF(ISNUMBER(_xll.VoseSimPercentile(Out_Cost,$B87)),_xll.VoseSimPercentile(Out_Cost,$B87),NA())</f>
        <v>76.349500407501026</v>
      </c>
    </row>
    <row r="88" spans="2:4" hidden="1" outlineLevel="1" x14ac:dyDescent="0.45">
      <c r="B88" s="68">
        <v>0.75</v>
      </c>
      <c r="C88" s="68">
        <f t="shared" si="1"/>
        <v>0.25</v>
      </c>
      <c r="D88" s="69" cm="1">
        <f t="array" aca="1" ref="D88" ca="1">IF(ISNUMBER(_xll.VoseSimPercentile(Out_Cost,$B88)),_xll.VoseSimPercentile(Out_Cost,$B88),NA())</f>
        <v>77.080644120121505</v>
      </c>
    </row>
    <row r="89" spans="2:4" hidden="1" outlineLevel="1" x14ac:dyDescent="0.45">
      <c r="B89" s="68">
        <v>0.77</v>
      </c>
      <c r="C89" s="68">
        <f t="shared" si="1"/>
        <v>0.22999999999999998</v>
      </c>
      <c r="D89" s="69" cm="1">
        <f t="array" aca="1" ref="D89" ca="1">IF(ISNUMBER(_xll.VoseSimPercentile(Out_Cost,$B89)),_xll.VoseSimPercentile(Out_Cost,$B89),NA())</f>
        <v>78.045464386244134</v>
      </c>
    </row>
    <row r="90" spans="2:4" hidden="1" outlineLevel="1" x14ac:dyDescent="0.45">
      <c r="B90" s="68">
        <v>0.79</v>
      </c>
      <c r="C90" s="68">
        <f t="shared" si="1"/>
        <v>0.20999999999999996</v>
      </c>
      <c r="D90" s="69" cm="1">
        <f t="array" aca="1" ref="D90" ca="1">IF(ISNUMBER(_xll.VoseSimPercentile(Out_Cost,$B90)),_xll.VoseSimPercentile(Out_Cost,$B90),NA())</f>
        <v>78.933949294354377</v>
      </c>
    </row>
    <row r="91" spans="2:4" hidden="1" outlineLevel="1" x14ac:dyDescent="0.45">
      <c r="B91" s="68">
        <v>0.81</v>
      </c>
      <c r="C91" s="68">
        <f t="shared" si="1"/>
        <v>0.18999999999999995</v>
      </c>
      <c r="D91" s="69" cm="1">
        <f t="array" aca="1" ref="D91" ca="1">IF(ISNUMBER(_xll.VoseSimPercentile(Out_Cost,$B91)),_xll.VoseSimPercentile(Out_Cost,$B91),NA())</f>
        <v>79.938529992596202</v>
      </c>
    </row>
    <row r="92" spans="2:4" hidden="1" outlineLevel="1" x14ac:dyDescent="0.45">
      <c r="B92" s="68">
        <v>0.83</v>
      </c>
      <c r="C92" s="68">
        <f t="shared" si="1"/>
        <v>0.17000000000000004</v>
      </c>
      <c r="D92" s="69" cm="1">
        <f t="array" aca="1" ref="D92" ca="1">IF(ISNUMBER(_xll.VoseSimPercentile(Out_Cost,$B92)),_xll.VoseSimPercentile(Out_Cost,$B92),NA())</f>
        <v>80.882607899397755</v>
      </c>
    </row>
    <row r="93" spans="2:4" hidden="1" outlineLevel="1" x14ac:dyDescent="0.45">
      <c r="B93" s="68">
        <v>0.85</v>
      </c>
      <c r="C93" s="68">
        <f t="shared" si="1"/>
        <v>0.15000000000000002</v>
      </c>
      <c r="D93" s="69" cm="1">
        <f t="array" aca="1" ref="D93" ca="1">IF(ISNUMBER(_xll.VoseSimPercentile(Out_Cost,$B93)),_xll.VoseSimPercentile(Out_Cost,$B93),NA())</f>
        <v>81.951371253869326</v>
      </c>
    </row>
    <row r="94" spans="2:4" hidden="1" outlineLevel="1" x14ac:dyDescent="0.45">
      <c r="B94" s="68">
        <v>0.87</v>
      </c>
      <c r="C94" s="68">
        <f t="shared" si="1"/>
        <v>0.13</v>
      </c>
      <c r="D94" s="69" cm="1">
        <f t="array" aca="1" ref="D94" ca="1">IF(ISNUMBER(_xll.VoseSimPercentile(Out_Cost,$B94)),_xll.VoseSimPercentile(Out_Cost,$B94),NA())</f>
        <v>83.001788589898212</v>
      </c>
    </row>
    <row r="95" spans="2:4" hidden="1" outlineLevel="1" x14ac:dyDescent="0.45">
      <c r="B95" s="68">
        <v>0.89</v>
      </c>
      <c r="C95" s="68">
        <f t="shared" si="1"/>
        <v>0.10999999999999999</v>
      </c>
      <c r="D95" s="69" cm="1">
        <f t="array" aca="1" ref="D95" ca="1">IF(ISNUMBER(_xll.VoseSimPercentile(Out_Cost,$B95)),_xll.VoseSimPercentile(Out_Cost,$B95),NA())</f>
        <v>84.188606178675485</v>
      </c>
    </row>
    <row r="96" spans="2:4" hidden="1" outlineLevel="1" x14ac:dyDescent="0.45">
      <c r="B96" s="68">
        <v>0.91</v>
      </c>
      <c r="C96" s="68">
        <f t="shared" si="1"/>
        <v>8.9999999999999969E-2</v>
      </c>
      <c r="D96" s="69" cm="1">
        <f t="array" aca="1" ref="D96" ca="1">IF(ISNUMBER(_xll.VoseSimPercentile(Out_Cost,$B96)),_xll.VoseSimPercentile(Out_Cost,$B96),NA())</f>
        <v>85.579782364399449</v>
      </c>
    </row>
    <row r="97" spans="2:7" hidden="1" outlineLevel="1" x14ac:dyDescent="0.45">
      <c r="B97" s="68">
        <v>0.93</v>
      </c>
      <c r="C97" s="68">
        <f t="shared" si="1"/>
        <v>6.9999999999999951E-2</v>
      </c>
      <c r="D97" s="69" cm="1">
        <f t="array" aca="1" ref="D97" ca="1">IF(ISNUMBER(_xll.VoseSimPercentile(Out_Cost,$B97)),_xll.VoseSimPercentile(Out_Cost,$B97),NA())</f>
        <v>86.919828973616731</v>
      </c>
    </row>
    <row r="98" spans="2:7" hidden="1" outlineLevel="1" x14ac:dyDescent="0.45">
      <c r="B98" s="68">
        <v>0.95</v>
      </c>
      <c r="C98" s="68">
        <f t="shared" si="1"/>
        <v>5.0000000000000044E-2</v>
      </c>
      <c r="D98" s="69" cm="1">
        <f t="array" aca="1" ref="D98" ca="1">IF(ISNUMBER(_xll.VoseSimPercentile(Out_Cost,$B98)),_xll.VoseSimPercentile(Out_Cost,$B98),NA())</f>
        <v>88.901323718814453</v>
      </c>
    </row>
    <row r="99" spans="2:7" hidden="1" outlineLevel="1" x14ac:dyDescent="0.45">
      <c r="B99" s="68">
        <v>0.97</v>
      </c>
      <c r="C99" s="68">
        <f t="shared" si="1"/>
        <v>3.0000000000000027E-2</v>
      </c>
      <c r="D99" s="69" cm="1">
        <f t="array" aca="1" ref="D99" ca="1">IF(ISNUMBER(_xll.VoseSimPercentile(Out_Cost,$B99)),_xll.VoseSimPercentile(Out_Cost,$B99),NA())</f>
        <v>91.693168469769091</v>
      </c>
    </row>
    <row r="100" spans="2:7" hidden="1" outlineLevel="1" x14ac:dyDescent="0.45">
      <c r="B100" s="68">
        <v>0.99</v>
      </c>
      <c r="C100" s="68">
        <f t="shared" si="1"/>
        <v>1.0000000000000009E-2</v>
      </c>
      <c r="D100" s="69" cm="1">
        <f t="array" aca="1" ref="D100" ca="1">IF(ISNUMBER(_xll.VoseSimPercentile(Out_Cost,$B100)),_xll.VoseSimPercentile(Out_Cost,$B100),NA())</f>
        <v>96.926594282775113</v>
      </c>
    </row>
    <row r="101" spans="2:7" hidden="1" outlineLevel="1" x14ac:dyDescent="0.45"/>
    <row r="102" spans="2:7" ht="18" hidden="1" customHeight="1" outlineLevel="1" x14ac:dyDescent="0.45">
      <c r="B102" s="23" t="s">
        <v>242</v>
      </c>
      <c r="C102" s="24" t="s">
        <v>138</v>
      </c>
      <c r="D102" s="5"/>
      <c r="E102" s="5"/>
      <c r="F102" s="5"/>
      <c r="G102" s="5"/>
    </row>
    <row r="103" spans="2:7" hidden="1" outlineLevel="1" x14ac:dyDescent="0.45">
      <c r="B103" s="70">
        <v>5.0000000000000001E-3</v>
      </c>
      <c r="C103" s="69" cm="1">
        <f t="array" aca="1" ref="C103" ca="1">IF(ISNUMBER(_xll.VoseSimPercentile(Out_Cost,0.005)),_xll.VoseSimPercentile(Out_Cost,0.005),NA())</f>
        <v>43.893996864580807</v>
      </c>
    </row>
    <row r="104" spans="2:7" hidden="1" outlineLevel="1" x14ac:dyDescent="0.45">
      <c r="B104" s="70">
        <v>0.01</v>
      </c>
      <c r="C104" s="69" cm="1">
        <f t="array" aca="1" ref="C104" ca="1">IF(ISNUMBER(_xll.VoseSimPercentile(Out_Cost,0.01)),_xll.VoseSimPercentile(Out_Cost,0.01),NA())</f>
        <v>46.047810144102627</v>
      </c>
    </row>
    <row r="105" spans="2:7" hidden="1" outlineLevel="1" x14ac:dyDescent="0.45">
      <c r="B105" s="70">
        <v>0.02</v>
      </c>
      <c r="C105" s="69" cm="1">
        <f t="array" aca="1" ref="C105" ca="1">IF(ISNUMBER(_xll.VoseSimPercentile(Out_Cost,0.02)),_xll.VoseSimPercentile(Out_Cost,0.02),NA())</f>
        <v>48.012989032845653</v>
      </c>
    </row>
    <row r="106" spans="2:7" hidden="1" outlineLevel="1" x14ac:dyDescent="0.45">
      <c r="B106" s="70">
        <v>0.03</v>
      </c>
      <c r="C106" s="69" cm="1">
        <f t="array" aca="1" ref="C106" ca="1">IF(ISNUMBER(_xll.VoseSimPercentile(Out_Cost,0.03)),_xll.VoseSimPercentile(Out_Cost,0.03),NA())</f>
        <v>49.310988193309882</v>
      </c>
    </row>
    <row r="107" spans="2:7" hidden="1" outlineLevel="1" x14ac:dyDescent="0.45">
      <c r="B107" s="70">
        <v>0.04</v>
      </c>
      <c r="C107" s="69" cm="1">
        <f t="array" aca="1" ref="C107" ca="1">IF(ISNUMBER(_xll.VoseSimPercentile(Out_Cost,0.04)),_xll.VoseSimPercentile(Out_Cost,0.04),NA())</f>
        <v>50.464276557501215</v>
      </c>
    </row>
    <row r="108" spans="2:7" hidden="1" outlineLevel="1" x14ac:dyDescent="0.45">
      <c r="B108" s="70">
        <v>0.05</v>
      </c>
      <c r="C108" s="69" cm="1">
        <f t="array" aca="1" ref="C108" ca="1">IF(ISNUMBER(_xll.VoseSimPercentile(Out_Cost,0.05)),_xll.VoseSimPercentile(Out_Cost,0.05),NA())</f>
        <v>51.281925088125305</v>
      </c>
    </row>
    <row r="109" spans="2:7" hidden="1" outlineLevel="1" x14ac:dyDescent="0.45">
      <c r="B109" s="70">
        <v>0.06</v>
      </c>
      <c r="C109" s="69" cm="1">
        <f t="array" aca="1" ref="C109" ca="1">IF(ISNUMBER(_xll.VoseSimPercentile(Out_Cost,0.06)),_xll.VoseSimPercentile(Out_Cost,0.06),NA())</f>
        <v>52.08262977737445</v>
      </c>
    </row>
    <row r="110" spans="2:7" hidden="1" outlineLevel="1" x14ac:dyDescent="0.45">
      <c r="B110" s="70">
        <v>7.0000000000000007E-2</v>
      </c>
      <c r="C110" s="69" cm="1">
        <f t="array" aca="1" ref="C110" ca="1">IF(ISNUMBER(_xll.VoseSimPercentile(Out_Cost,0.07)),_xll.VoseSimPercentile(Out_Cost,0.07),NA())</f>
        <v>52.790963140103507</v>
      </c>
    </row>
    <row r="111" spans="2:7" hidden="1" outlineLevel="1" x14ac:dyDescent="0.45">
      <c r="B111" s="70">
        <v>0.08</v>
      </c>
      <c r="C111" s="69" cm="1">
        <f t="array" aca="1" ref="C111" ca="1">IF(ISNUMBER(_xll.VoseSimPercentile(Out_Cost,0.08)),_xll.VoseSimPercentile(Out_Cost,0.08),NA())</f>
        <v>53.371175406001157</v>
      </c>
    </row>
    <row r="112" spans="2:7" hidden="1" outlineLevel="1" x14ac:dyDescent="0.45">
      <c r="B112" s="70">
        <v>0.09</v>
      </c>
      <c r="C112" s="69" cm="1">
        <f t="array" aca="1" ref="C112" ca="1">IF(ISNUMBER(_xll.VoseSimPercentile(Out_Cost,0.09)),_xll.VoseSimPercentile(Out_Cost,0.09),NA())</f>
        <v>53.980094464108745</v>
      </c>
    </row>
    <row r="113" spans="2:3" hidden="1" outlineLevel="1" x14ac:dyDescent="0.45">
      <c r="B113" s="70">
        <v>0.1</v>
      </c>
      <c r="C113" s="69" cm="1">
        <f t="array" aca="1" ref="C113" ca="1">IF(ISNUMBER(_xll.VoseSimPercentile(Out_Cost,0.1)),_xll.VoseSimPercentile(Out_Cost,0.1),NA())</f>
        <v>54.624947236384571</v>
      </c>
    </row>
    <row r="114" spans="2:3" hidden="1" outlineLevel="1" x14ac:dyDescent="0.45">
      <c r="B114" s="70">
        <v>0.11</v>
      </c>
      <c r="C114" s="69" cm="1">
        <f t="array" aca="1" ref="C114" ca="1">IF(ISNUMBER(_xll.VoseSimPercentile(Out_Cost,0.11)),_xll.VoseSimPercentile(Out_Cost,0.11),NA())</f>
        <v>55.120725555147246</v>
      </c>
    </row>
    <row r="115" spans="2:3" hidden="1" outlineLevel="1" x14ac:dyDescent="0.45">
      <c r="B115" s="70">
        <v>0.12</v>
      </c>
      <c r="C115" s="69" cm="1">
        <f t="array" aca="1" ref="C115" ca="1">IF(ISNUMBER(_xll.VoseSimPercentile(Out_Cost,0.12)),_xll.VoseSimPercentile(Out_Cost,0.12),NA())</f>
        <v>55.643591461249095</v>
      </c>
    </row>
    <row r="116" spans="2:3" hidden="1" outlineLevel="1" x14ac:dyDescent="0.45">
      <c r="B116" s="70">
        <v>0.13</v>
      </c>
      <c r="C116" s="69" cm="1">
        <f t="array" aca="1" ref="C116" ca="1">IF(ISNUMBER(_xll.VoseSimPercentile(Out_Cost,0.13)),_xll.VoseSimPercentile(Out_Cost,0.13),NA())</f>
        <v>56.078576918682188</v>
      </c>
    </row>
    <row r="117" spans="2:3" hidden="1" outlineLevel="1" x14ac:dyDescent="0.45">
      <c r="B117" s="70">
        <v>0.14000000000000001</v>
      </c>
      <c r="C117" s="69" cm="1">
        <f t="array" aca="1" ref="C117" ca="1">IF(ISNUMBER(_xll.VoseSimPercentile(Out_Cost,0.14)),_xll.VoseSimPercentile(Out_Cost,0.14),NA())</f>
        <v>56.583674764428842</v>
      </c>
    </row>
    <row r="118" spans="2:3" hidden="1" outlineLevel="1" x14ac:dyDescent="0.45">
      <c r="B118" s="70">
        <v>0.15</v>
      </c>
      <c r="C118" s="69" cm="1">
        <f t="array" aca="1" ref="C118" ca="1">IF(ISNUMBER(_xll.VoseSimPercentile(Out_Cost,0.15)),_xll.VoseSimPercentile(Out_Cost,0.15),NA())</f>
        <v>57.006322598749904</v>
      </c>
    </row>
    <row r="119" spans="2:3" hidden="1" outlineLevel="1" x14ac:dyDescent="0.45">
      <c r="B119" s="70">
        <v>0.16</v>
      </c>
      <c r="C119" s="69" cm="1">
        <f t="array" aca="1" ref="C119" ca="1">IF(ISNUMBER(_xll.VoseSimPercentile(Out_Cost,0.16)),_xll.VoseSimPercentile(Out_Cost,0.16),NA())</f>
        <v>57.377452242655018</v>
      </c>
    </row>
    <row r="120" spans="2:3" hidden="1" outlineLevel="1" x14ac:dyDescent="0.45">
      <c r="B120" s="70">
        <v>0.17</v>
      </c>
      <c r="C120" s="69" cm="1">
        <f t="array" aca="1" ref="C120" ca="1">IF(ISNUMBER(_xll.VoseSimPercentile(Out_Cost,0.17)),_xll.VoseSimPercentile(Out_Cost,0.17),NA())</f>
        <v>57.775477596188793</v>
      </c>
    </row>
    <row r="121" spans="2:3" hidden="1" outlineLevel="1" x14ac:dyDescent="0.45">
      <c r="B121" s="70">
        <v>0.18</v>
      </c>
      <c r="C121" s="69" cm="1">
        <f t="array" aca="1" ref="C121" ca="1">IF(ISNUMBER(_xll.VoseSimPercentile(Out_Cost,0.18)),_xll.VoseSimPercentile(Out_Cost,0.18),NA())</f>
        <v>58.239284316425326</v>
      </c>
    </row>
    <row r="122" spans="2:3" hidden="1" outlineLevel="1" x14ac:dyDescent="0.45">
      <c r="B122" s="70">
        <v>0.19</v>
      </c>
      <c r="C122" s="69" cm="1">
        <f t="array" aca="1" ref="C122" ca="1">IF(ISNUMBER(_xll.VoseSimPercentile(Out_Cost,0.19)),_xll.VoseSimPercentile(Out_Cost,0.19),NA())</f>
        <v>58.650854031408528</v>
      </c>
    </row>
    <row r="123" spans="2:3" hidden="1" outlineLevel="1" x14ac:dyDescent="0.45">
      <c r="B123" s="70">
        <v>0.2</v>
      </c>
      <c r="C123" s="69" cm="1">
        <f t="array" aca="1" ref="C123" ca="1">IF(ISNUMBER(_xll.VoseSimPercentile(Out_Cost,0.2)),_xll.VoseSimPercentile(Out_Cost,0.2),NA())</f>
        <v>59.077664573222087</v>
      </c>
    </row>
    <row r="124" spans="2:3" hidden="1" outlineLevel="1" x14ac:dyDescent="0.45">
      <c r="B124" s="70">
        <v>0.21</v>
      </c>
      <c r="C124" s="69" cm="1">
        <f t="array" aca="1" ref="C124" ca="1">IF(ISNUMBER(_xll.VoseSimPercentile(Out_Cost,0.21)),_xll.VoseSimPercentile(Out_Cost,0.21),NA())</f>
        <v>59.492641515802973</v>
      </c>
    </row>
    <row r="125" spans="2:3" hidden="1" outlineLevel="1" x14ac:dyDescent="0.45">
      <c r="B125" s="70">
        <v>0.22</v>
      </c>
      <c r="C125" s="69" cm="1">
        <f t="array" aca="1" ref="C125" ca="1">IF(ISNUMBER(_xll.VoseSimPercentile(Out_Cost,0.22)),_xll.VoseSimPercentile(Out_Cost,0.22),NA())</f>
        <v>59.892880940027183</v>
      </c>
    </row>
    <row r="126" spans="2:3" hidden="1" outlineLevel="1" x14ac:dyDescent="0.45">
      <c r="B126" s="70">
        <v>0.23</v>
      </c>
      <c r="C126" s="69" cm="1">
        <f t="array" aca="1" ref="C126" ca="1">IF(ISNUMBER(_xll.VoseSimPercentile(Out_Cost,0.23)),_xll.VoseSimPercentile(Out_Cost,0.23),NA())</f>
        <v>60.215631339424903</v>
      </c>
    </row>
    <row r="127" spans="2:3" hidden="1" outlineLevel="1" x14ac:dyDescent="0.45">
      <c r="B127" s="70">
        <v>0.24</v>
      </c>
      <c r="C127" s="69" cm="1">
        <f t="array" aca="1" ref="C127" ca="1">IF(ISNUMBER(_xll.VoseSimPercentile(Out_Cost,0.24)),_xll.VoseSimPercentile(Out_Cost,0.24),NA())</f>
        <v>60.573315665351032</v>
      </c>
    </row>
    <row r="128" spans="2:3" hidden="1" outlineLevel="1" x14ac:dyDescent="0.45">
      <c r="B128" s="70">
        <v>0.25</v>
      </c>
      <c r="C128" s="69" cm="1">
        <f t="array" aca="1" ref="C128" ca="1">IF(ISNUMBER(_xll.VoseSimPercentile(Out_Cost,0.25)),_xll.VoseSimPercentile(Out_Cost,0.25),NA())</f>
        <v>60.907686300885644</v>
      </c>
    </row>
    <row r="129" spans="2:3" hidden="1" outlineLevel="1" x14ac:dyDescent="0.45">
      <c r="B129" s="70">
        <v>0.26</v>
      </c>
      <c r="C129" s="69" cm="1">
        <f t="array" aca="1" ref="C129" ca="1">IF(ISNUMBER(_xll.VoseSimPercentile(Out_Cost,0.26)),_xll.VoseSimPercentile(Out_Cost,0.26),NA())</f>
        <v>61.256394812715278</v>
      </c>
    </row>
    <row r="130" spans="2:3" hidden="1" outlineLevel="1" x14ac:dyDescent="0.45">
      <c r="B130" s="70">
        <v>0.27</v>
      </c>
      <c r="C130" s="69" cm="1">
        <f t="array" aca="1" ref="C130" ca="1">IF(ISNUMBER(_xll.VoseSimPercentile(Out_Cost,0.27)),_xll.VoseSimPercentile(Out_Cost,0.27),NA())</f>
        <v>61.609204185557509</v>
      </c>
    </row>
    <row r="131" spans="2:3" hidden="1" outlineLevel="1" x14ac:dyDescent="0.45">
      <c r="B131" s="70">
        <v>0.28000000000000003</v>
      </c>
      <c r="C131" s="69" cm="1">
        <f t="array" aca="1" ref="C131" ca="1">IF(ISNUMBER(_xll.VoseSimPercentile(Out_Cost,0.28)),_xll.VoseSimPercentile(Out_Cost,0.28),NA())</f>
        <v>61.964310714762895</v>
      </c>
    </row>
    <row r="132" spans="2:3" hidden="1" outlineLevel="1" x14ac:dyDescent="0.45">
      <c r="B132" s="70">
        <v>0.28999999999999998</v>
      </c>
      <c r="C132" s="69" cm="1">
        <f t="array" aca="1" ref="C132" ca="1">IF(ISNUMBER(_xll.VoseSimPercentile(Out_Cost,0.29)),_xll.VoseSimPercentile(Out_Cost,0.29),NA())</f>
        <v>62.293581361882403</v>
      </c>
    </row>
    <row r="133" spans="2:3" hidden="1" outlineLevel="1" x14ac:dyDescent="0.45">
      <c r="B133" s="70">
        <v>0.3</v>
      </c>
      <c r="C133" s="69" cm="1">
        <f t="array" aca="1" ref="C133" ca="1">IF(ISNUMBER(_xll.VoseSimPercentile(Out_Cost,0.3)),_xll.VoseSimPercentile(Out_Cost,0.3),NA())</f>
        <v>62.588795086845522</v>
      </c>
    </row>
    <row r="134" spans="2:3" hidden="1" outlineLevel="1" x14ac:dyDescent="0.45">
      <c r="B134" s="70">
        <v>0.31</v>
      </c>
      <c r="C134" s="69" cm="1">
        <f t="array" aca="1" ref="C134" ca="1">IF(ISNUMBER(_xll.VoseSimPercentile(Out_Cost,0.31)),_xll.VoseSimPercentile(Out_Cost,0.31),NA())</f>
        <v>62.896701715731396</v>
      </c>
    </row>
    <row r="135" spans="2:3" hidden="1" outlineLevel="1" x14ac:dyDescent="0.45">
      <c r="B135" s="70">
        <v>0.32</v>
      </c>
      <c r="C135" s="69" cm="1">
        <f t="array" aca="1" ref="C135" ca="1">IF(ISNUMBER(_xll.VoseSimPercentile(Out_Cost,0.32)),_xll.VoseSimPercentile(Out_Cost,0.32),NA())</f>
        <v>63.247640103241991</v>
      </c>
    </row>
    <row r="136" spans="2:3" hidden="1" outlineLevel="1" x14ac:dyDescent="0.45">
      <c r="B136" s="70">
        <v>0.33</v>
      </c>
      <c r="C136" s="69" cm="1">
        <f t="array" aca="1" ref="C136" ca="1">IF(ISNUMBER(_xll.VoseSimPercentile(Out_Cost,0.33)),_xll.VoseSimPercentile(Out_Cost,0.33),NA())</f>
        <v>63.538808071190047</v>
      </c>
    </row>
    <row r="137" spans="2:3" hidden="1" outlineLevel="1" x14ac:dyDescent="0.45">
      <c r="B137" s="70">
        <v>0.34</v>
      </c>
      <c r="C137" s="69" cm="1">
        <f t="array" aca="1" ref="C137" ca="1">IF(ISNUMBER(_xll.VoseSimPercentile(Out_Cost,0.34)),_xll.VoseSimPercentile(Out_Cost,0.34),NA())</f>
        <v>63.82755141894053</v>
      </c>
    </row>
    <row r="138" spans="2:3" hidden="1" outlineLevel="1" x14ac:dyDescent="0.45">
      <c r="B138" s="70">
        <v>0.35</v>
      </c>
      <c r="C138" s="69" cm="1">
        <f t="array" aca="1" ref="C138" ca="1">IF(ISNUMBER(_xll.VoseSimPercentile(Out_Cost,0.35)),_xll.VoseSimPercentile(Out_Cost,0.35),NA())</f>
        <v>64.141180633073859</v>
      </c>
    </row>
    <row r="139" spans="2:3" hidden="1" outlineLevel="1" x14ac:dyDescent="0.45">
      <c r="B139" s="70">
        <v>0.36</v>
      </c>
      <c r="C139" s="69" cm="1">
        <f t="array" aca="1" ref="C139" ca="1">IF(ISNUMBER(_xll.VoseSimPercentile(Out_Cost,0.36)),_xll.VoseSimPercentile(Out_Cost,0.36),NA())</f>
        <v>64.421227151310788</v>
      </c>
    </row>
    <row r="140" spans="2:3" hidden="1" outlineLevel="1" x14ac:dyDescent="0.45">
      <c r="B140" s="70">
        <v>0.37</v>
      </c>
      <c r="C140" s="69" cm="1">
        <f t="array" aca="1" ref="C140" ca="1">IF(ISNUMBER(_xll.VoseSimPercentile(Out_Cost,0.37)),_xll.VoseSimPercentile(Out_Cost,0.37),NA())</f>
        <v>64.729728220899901</v>
      </c>
    </row>
    <row r="141" spans="2:3" hidden="1" outlineLevel="1" x14ac:dyDescent="0.45">
      <c r="B141" s="70">
        <v>0.38</v>
      </c>
      <c r="C141" s="69" cm="1">
        <f t="array" aca="1" ref="C141" ca="1">IF(ISNUMBER(_xll.VoseSimPercentile(Out_Cost,0.38)),_xll.VoseSimPercentile(Out_Cost,0.38),NA())</f>
        <v>65.046758698028583</v>
      </c>
    </row>
    <row r="142" spans="2:3" hidden="1" outlineLevel="1" x14ac:dyDescent="0.45">
      <c r="B142" s="70">
        <v>0.39</v>
      </c>
      <c r="C142" s="69" cm="1">
        <f t="array" aca="1" ref="C142" ca="1">IF(ISNUMBER(_xll.VoseSimPercentile(Out_Cost,0.39)),_xll.VoseSimPercentile(Out_Cost,0.39),NA())</f>
        <v>65.329533253496166</v>
      </c>
    </row>
    <row r="143" spans="2:3" hidden="1" outlineLevel="1" x14ac:dyDescent="0.45">
      <c r="B143" s="70">
        <v>0.4</v>
      </c>
      <c r="C143" s="69" cm="1">
        <f t="array" aca="1" ref="C143" ca="1">IF(ISNUMBER(_xll.VoseSimPercentile(Out_Cost,0.4)),_xll.VoseSimPercentile(Out_Cost,0.4),NA())</f>
        <v>65.670691515983165</v>
      </c>
    </row>
    <row r="144" spans="2:3" hidden="1" outlineLevel="1" x14ac:dyDescent="0.45">
      <c r="B144" s="70">
        <v>0.41</v>
      </c>
      <c r="C144" s="69" cm="1">
        <f t="array" aca="1" ref="C144" ca="1">IF(ISNUMBER(_xll.VoseSimPercentile(Out_Cost,0.41)),_xll.VoseSimPercentile(Out_Cost,0.41),NA())</f>
        <v>66.014781410368585</v>
      </c>
    </row>
    <row r="145" spans="2:3" hidden="1" outlineLevel="1" x14ac:dyDescent="0.45">
      <c r="B145" s="70">
        <v>0.42</v>
      </c>
      <c r="C145" s="69" cm="1">
        <f t="array" aca="1" ref="C145" ca="1">IF(ISNUMBER(_xll.VoseSimPercentile(Out_Cost,0.42)),_xll.VoseSimPercentile(Out_Cost,0.42),NA())</f>
        <v>66.287397639808944</v>
      </c>
    </row>
    <row r="146" spans="2:3" hidden="1" outlineLevel="1" x14ac:dyDescent="0.45">
      <c r="B146" s="70">
        <v>0.43</v>
      </c>
      <c r="C146" s="69" cm="1">
        <f t="array" aca="1" ref="C146" ca="1">IF(ISNUMBER(_xll.VoseSimPercentile(Out_Cost,0.43)),_xll.VoseSimPercentile(Out_Cost,0.43),NA())</f>
        <v>66.581199393276819</v>
      </c>
    </row>
    <row r="147" spans="2:3" hidden="1" outlineLevel="1" x14ac:dyDescent="0.45">
      <c r="B147" s="70">
        <v>0.44</v>
      </c>
      <c r="C147" s="69" cm="1">
        <f t="array" aca="1" ref="C147" ca="1">IF(ISNUMBER(_xll.VoseSimPercentile(Out_Cost,0.44)),_xll.VoseSimPercentile(Out_Cost,0.44),NA())</f>
        <v>66.897087221756934</v>
      </c>
    </row>
    <row r="148" spans="2:3" hidden="1" outlineLevel="1" x14ac:dyDescent="0.45">
      <c r="B148" s="70">
        <v>0.45</v>
      </c>
      <c r="C148" s="69" cm="1">
        <f t="array" aca="1" ref="C148" ca="1">IF(ISNUMBER(_xll.VoseSimPercentile(Out_Cost,0.45)),_xll.VoseSimPercentile(Out_Cost,0.45),NA())</f>
        <v>67.166434541958637</v>
      </c>
    </row>
    <row r="149" spans="2:3" hidden="1" outlineLevel="1" x14ac:dyDescent="0.45">
      <c r="B149" s="70">
        <v>0.46</v>
      </c>
      <c r="C149" s="69" cm="1">
        <f t="array" aca="1" ref="C149" ca="1">IF(ISNUMBER(_xll.VoseSimPercentile(Out_Cost,0.46)),_xll.VoseSimPercentile(Out_Cost,0.46),NA())</f>
        <v>67.554758151068057</v>
      </c>
    </row>
    <row r="150" spans="2:3" hidden="1" outlineLevel="1" x14ac:dyDescent="0.45">
      <c r="B150" s="70">
        <v>0.47</v>
      </c>
      <c r="C150" s="69" cm="1">
        <f t="array" aca="1" ref="C150" ca="1">IF(ISNUMBER(_xll.VoseSimPercentile(Out_Cost,0.47)),_xll.VoseSimPercentile(Out_Cost,0.47),NA())</f>
        <v>67.828257793726323</v>
      </c>
    </row>
    <row r="151" spans="2:3" hidden="1" outlineLevel="1" x14ac:dyDescent="0.45">
      <c r="B151" s="70">
        <v>0.48</v>
      </c>
      <c r="C151" s="69" cm="1">
        <f t="array" aca="1" ref="C151" ca="1">IF(ISNUMBER(_xll.VoseSimPercentile(Out_Cost,0.48)),_xll.VoseSimPercentile(Out_Cost,0.48),NA())</f>
        <v>68.11011607031466</v>
      </c>
    </row>
    <row r="152" spans="2:3" hidden="1" outlineLevel="1" x14ac:dyDescent="0.45">
      <c r="B152" s="70">
        <v>0.49</v>
      </c>
      <c r="C152" s="69" cm="1">
        <f t="array" aca="1" ref="C152" ca="1">IF(ISNUMBER(_xll.VoseSimPercentile(Out_Cost,0.49)),_xll.VoseSimPercentile(Out_Cost,0.49),NA())</f>
        <v>68.400227171812659</v>
      </c>
    </row>
    <row r="153" spans="2:3" hidden="1" outlineLevel="1" x14ac:dyDescent="0.45">
      <c r="B153" s="70">
        <v>0.5</v>
      </c>
      <c r="C153" s="69" cm="1">
        <f t="array" aca="1" ref="C153" ca="1">IF(ISNUMBER(_xll.VoseSimPercentile(Out_Cost,0.5)),_xll.VoseSimPercentile(Out_Cost,0.5),NA())</f>
        <v>68.730109314991836</v>
      </c>
    </row>
    <row r="154" spans="2:3" hidden="1" outlineLevel="1" x14ac:dyDescent="0.45">
      <c r="B154" s="70">
        <v>0.51</v>
      </c>
      <c r="C154" s="69" cm="1">
        <f t="array" aca="1" ref="C154" ca="1">IF(ISNUMBER(_xll.VoseSimPercentile(Out_Cost,0.51)),_xll.VoseSimPercentile(Out_Cost,0.51),NA())</f>
        <v>69.033952395398657</v>
      </c>
    </row>
    <row r="155" spans="2:3" hidden="1" outlineLevel="1" x14ac:dyDescent="0.45">
      <c r="B155" s="70">
        <v>0.52</v>
      </c>
      <c r="C155" s="69" cm="1">
        <f t="array" aca="1" ref="C155" ca="1">IF(ISNUMBER(_xll.VoseSimPercentile(Out_Cost,0.52)),_xll.VoseSimPercentile(Out_Cost,0.52),NA())</f>
        <v>69.369198417069867</v>
      </c>
    </row>
    <row r="156" spans="2:3" hidden="1" outlineLevel="1" x14ac:dyDescent="0.45">
      <c r="B156" s="70">
        <v>0.53</v>
      </c>
      <c r="C156" s="69" cm="1">
        <f t="array" aca="1" ref="C156" ca="1">IF(ISNUMBER(_xll.VoseSimPercentile(Out_Cost,0.53)),_xll.VoseSimPercentile(Out_Cost,0.53),NA())</f>
        <v>69.672236693536931</v>
      </c>
    </row>
    <row r="157" spans="2:3" hidden="1" outlineLevel="1" x14ac:dyDescent="0.45">
      <c r="B157" s="70">
        <v>0.54</v>
      </c>
      <c r="C157" s="69" cm="1">
        <f t="array" aca="1" ref="C157" ca="1">IF(ISNUMBER(_xll.VoseSimPercentile(Out_Cost,0.54)),_xll.VoseSimPercentile(Out_Cost,0.54),NA())</f>
        <v>69.97032637585167</v>
      </c>
    </row>
    <row r="158" spans="2:3" hidden="1" outlineLevel="1" x14ac:dyDescent="0.45">
      <c r="B158" s="70">
        <v>0.55000000000000004</v>
      </c>
      <c r="C158" s="69" cm="1">
        <f t="array" aca="1" ref="C158" ca="1">IF(ISNUMBER(_xll.VoseSimPercentile(Out_Cost,0.55)),_xll.VoseSimPercentile(Out_Cost,0.55),NA())</f>
        <v>70.255008845740335</v>
      </c>
    </row>
    <row r="159" spans="2:3" hidden="1" outlineLevel="1" x14ac:dyDescent="0.45">
      <c r="B159" s="70">
        <v>0.56000000000000005</v>
      </c>
      <c r="C159" s="69" cm="1">
        <f t="array" aca="1" ref="C159" ca="1">IF(ISNUMBER(_xll.VoseSimPercentile(Out_Cost,0.56)),_xll.VoseSimPercentile(Out_Cost,0.56),NA())</f>
        <v>70.557263797116775</v>
      </c>
    </row>
    <row r="160" spans="2:3" hidden="1" outlineLevel="1" x14ac:dyDescent="0.45">
      <c r="B160" s="70">
        <v>0.56999999999999995</v>
      </c>
      <c r="C160" s="69" cm="1">
        <f t="array" aca="1" ref="C160" ca="1">IF(ISNUMBER(_xll.VoseSimPercentile(Out_Cost,0.57)),_xll.VoseSimPercentile(Out_Cost,0.57),NA())</f>
        <v>70.849878891418626</v>
      </c>
    </row>
    <row r="161" spans="2:3" hidden="1" outlineLevel="1" x14ac:dyDescent="0.45">
      <c r="B161" s="70">
        <v>0.57999999999999996</v>
      </c>
      <c r="C161" s="69" cm="1">
        <f t="array" aca="1" ref="C161" ca="1">IF(ISNUMBER(_xll.VoseSimPercentile(Out_Cost,0.58)),_xll.VoseSimPercentile(Out_Cost,0.58),NA())</f>
        <v>71.19755213930361</v>
      </c>
    </row>
    <row r="162" spans="2:3" hidden="1" outlineLevel="1" x14ac:dyDescent="0.45">
      <c r="B162" s="70">
        <v>0.59</v>
      </c>
      <c r="C162" s="69" cm="1">
        <f t="array" aca="1" ref="C162" ca="1">IF(ISNUMBER(_xll.VoseSimPercentile(Out_Cost,0.59)),_xll.VoseSimPercentile(Out_Cost,0.59),NA())</f>
        <v>71.526118842517434</v>
      </c>
    </row>
    <row r="163" spans="2:3" hidden="1" outlineLevel="1" x14ac:dyDescent="0.45">
      <c r="B163" s="70">
        <v>0.6</v>
      </c>
      <c r="C163" s="69" cm="1">
        <f t="array" aca="1" ref="C163" ca="1">IF(ISNUMBER(_xll.VoseSimPercentile(Out_Cost,0.6)),_xll.VoseSimPercentile(Out_Cost,0.6),NA())</f>
        <v>71.809456340332176</v>
      </c>
    </row>
    <row r="164" spans="2:3" hidden="1" outlineLevel="1" x14ac:dyDescent="0.45">
      <c r="B164" s="70">
        <v>0.61</v>
      </c>
      <c r="C164" s="69" cm="1">
        <f t="array" aca="1" ref="C164" ca="1">IF(ISNUMBER(_xll.VoseSimPercentile(Out_Cost,0.61)),_xll.VoseSimPercentile(Out_Cost,0.61),NA())</f>
        <v>72.126376841377493</v>
      </c>
    </row>
    <row r="165" spans="2:3" hidden="1" outlineLevel="1" x14ac:dyDescent="0.45">
      <c r="B165" s="70">
        <v>0.62</v>
      </c>
      <c r="C165" s="69" cm="1">
        <f t="array" aca="1" ref="C165" ca="1">IF(ISNUMBER(_xll.VoseSimPercentile(Out_Cost,0.62)),_xll.VoseSimPercentile(Out_Cost,0.62),NA())</f>
        <v>72.505946661472464</v>
      </c>
    </row>
    <row r="166" spans="2:3" hidden="1" outlineLevel="1" x14ac:dyDescent="0.45">
      <c r="B166" s="70">
        <v>0.63</v>
      </c>
      <c r="C166" s="69" cm="1">
        <f t="array" aca="1" ref="C166" ca="1">IF(ISNUMBER(_xll.VoseSimPercentile(Out_Cost,0.63)),_xll.VoseSimPercentile(Out_Cost,0.63),NA())</f>
        <v>72.814160597193833</v>
      </c>
    </row>
    <row r="167" spans="2:3" hidden="1" outlineLevel="1" x14ac:dyDescent="0.45">
      <c r="B167" s="70">
        <v>0.64</v>
      </c>
      <c r="C167" s="69" cm="1">
        <f t="array" aca="1" ref="C167" ca="1">IF(ISNUMBER(_xll.VoseSimPercentile(Out_Cost,0.64)),_xll.VoseSimPercentile(Out_Cost,0.64),NA())</f>
        <v>73.191071929283993</v>
      </c>
    </row>
    <row r="168" spans="2:3" hidden="1" outlineLevel="1" x14ac:dyDescent="0.45">
      <c r="B168" s="70">
        <v>0.65</v>
      </c>
      <c r="C168" s="69" cm="1">
        <f t="array" aca="1" ref="C168" ca="1">IF(ISNUMBER(_xll.VoseSimPercentile(Out_Cost,0.65)),_xll.VoseSimPercentile(Out_Cost,0.65),NA())</f>
        <v>73.523144795987434</v>
      </c>
    </row>
    <row r="169" spans="2:3" hidden="1" outlineLevel="1" x14ac:dyDescent="0.45">
      <c r="B169" s="70">
        <v>0.66</v>
      </c>
      <c r="C169" s="69" cm="1">
        <f t="array" aca="1" ref="C169" ca="1">IF(ISNUMBER(_xll.VoseSimPercentile(Out_Cost,0.66)),_xll.VoseSimPercentile(Out_Cost,0.66),NA())</f>
        <v>73.827087096779508</v>
      </c>
    </row>
    <row r="170" spans="2:3" hidden="1" outlineLevel="1" x14ac:dyDescent="0.45">
      <c r="B170" s="70">
        <v>0.67</v>
      </c>
      <c r="C170" s="69" cm="1">
        <f t="array" aca="1" ref="C170" ca="1">IF(ISNUMBER(_xll.VoseSimPercentile(Out_Cost,0.67)),_xll.VoseSimPercentile(Out_Cost,0.67),NA())</f>
        <v>74.185808998797526</v>
      </c>
    </row>
    <row r="171" spans="2:3" hidden="1" outlineLevel="1" x14ac:dyDescent="0.45">
      <c r="B171" s="70">
        <v>0.68</v>
      </c>
      <c r="C171" s="69" cm="1">
        <f t="array" aca="1" ref="C171" ca="1">IF(ISNUMBER(_xll.VoseSimPercentile(Out_Cost,0.68)),_xll.VoseSimPercentile(Out_Cost,0.68),NA())</f>
        <v>74.478530403261459</v>
      </c>
    </row>
    <row r="172" spans="2:3" hidden="1" outlineLevel="1" x14ac:dyDescent="0.45">
      <c r="B172" s="70">
        <v>0.69</v>
      </c>
      <c r="C172" s="69" cm="1">
        <f t="array" aca="1" ref="C172" ca="1">IF(ISNUMBER(_xll.VoseSimPercentile(Out_Cost,0.69)),_xll.VoseSimPercentile(Out_Cost,0.69),NA())</f>
        <v>74.776825229421547</v>
      </c>
    </row>
    <row r="173" spans="2:3" hidden="1" outlineLevel="1" x14ac:dyDescent="0.45">
      <c r="B173" s="70">
        <v>0.7</v>
      </c>
      <c r="C173" s="69" cm="1">
        <f t="array" aca="1" ref="C173" ca="1">IF(ISNUMBER(_xll.VoseSimPercentile(Out_Cost,0.7)),_xll.VoseSimPercentile(Out_Cost,0.7),NA())</f>
        <v>75.158290631866393</v>
      </c>
    </row>
    <row r="174" spans="2:3" hidden="1" outlineLevel="1" x14ac:dyDescent="0.45">
      <c r="B174" s="70">
        <v>0.71</v>
      </c>
      <c r="C174" s="69" cm="1">
        <f t="array" aca="1" ref="C174" ca="1">IF(ISNUMBER(_xll.VoseSimPercentile(Out_Cost,0.71)),_xll.VoseSimPercentile(Out_Cost,0.71),NA())</f>
        <v>75.531115376043658</v>
      </c>
    </row>
    <row r="175" spans="2:3" hidden="1" outlineLevel="1" x14ac:dyDescent="0.45">
      <c r="B175" s="70">
        <v>0.72</v>
      </c>
      <c r="C175" s="69" cm="1">
        <f t="array" aca="1" ref="C175" ca="1">IF(ISNUMBER(_xll.VoseSimPercentile(Out_Cost,0.72)),_xll.VoseSimPercentile(Out_Cost,0.72),NA())</f>
        <v>75.908525728547914</v>
      </c>
    </row>
    <row r="176" spans="2:3" hidden="1" outlineLevel="1" x14ac:dyDescent="0.45">
      <c r="B176" s="70">
        <v>0.73</v>
      </c>
      <c r="C176" s="69" cm="1">
        <f t="array" aca="1" ref="C176" ca="1">IF(ISNUMBER(_xll.VoseSimPercentile(Out_Cost,0.73)),_xll.VoseSimPercentile(Out_Cost,0.73),NA())</f>
        <v>76.349500407501026</v>
      </c>
    </row>
    <row r="177" spans="2:3" hidden="1" outlineLevel="1" x14ac:dyDescent="0.45">
      <c r="B177" s="70">
        <v>0.74</v>
      </c>
      <c r="C177" s="69" cm="1">
        <f t="array" aca="1" ref="C177" ca="1">IF(ISNUMBER(_xll.VoseSimPercentile(Out_Cost,0.74)),_xll.VoseSimPercentile(Out_Cost,0.74),NA())</f>
        <v>76.745500960844666</v>
      </c>
    </row>
    <row r="178" spans="2:3" hidden="1" outlineLevel="1" x14ac:dyDescent="0.45">
      <c r="B178" s="70">
        <v>0.75</v>
      </c>
      <c r="C178" s="69" cm="1">
        <f t="array" aca="1" ref="C178" ca="1">IF(ISNUMBER(_xll.VoseSimPercentile(Out_Cost,0.75)),_xll.VoseSimPercentile(Out_Cost,0.75),NA())</f>
        <v>77.080644120121505</v>
      </c>
    </row>
    <row r="179" spans="2:3" hidden="1" outlineLevel="1" x14ac:dyDescent="0.45">
      <c r="B179" s="70">
        <v>0.76</v>
      </c>
      <c r="C179" s="69" cm="1">
        <f t="array" aca="1" ref="C179" ca="1">IF(ISNUMBER(_xll.VoseSimPercentile(Out_Cost,0.76)),_xll.VoseSimPercentile(Out_Cost,0.76),NA())</f>
        <v>77.489662426344836</v>
      </c>
    </row>
    <row r="180" spans="2:3" hidden="1" outlineLevel="1" x14ac:dyDescent="0.45">
      <c r="B180" s="70">
        <v>0.77</v>
      </c>
      <c r="C180" s="69" cm="1">
        <f t="array" aca="1" ref="C180" ca="1">IF(ISNUMBER(_xll.VoseSimPercentile(Out_Cost,0.77)),_xll.VoseSimPercentile(Out_Cost,0.77),NA())</f>
        <v>78.045464386244134</v>
      </c>
    </row>
    <row r="181" spans="2:3" hidden="1" outlineLevel="1" x14ac:dyDescent="0.45">
      <c r="B181" s="70">
        <v>0.78</v>
      </c>
      <c r="C181" s="69" cm="1">
        <f t="array" aca="1" ref="C181" ca="1">IF(ISNUMBER(_xll.VoseSimPercentile(Out_Cost,0.78)),_xll.VoseSimPercentile(Out_Cost,0.78),NA())</f>
        <v>78.519319383964444</v>
      </c>
    </row>
    <row r="182" spans="2:3" hidden="1" outlineLevel="1" x14ac:dyDescent="0.45">
      <c r="B182" s="70">
        <v>0.79</v>
      </c>
      <c r="C182" s="69" cm="1">
        <f t="array" aca="1" ref="C182" ca="1">IF(ISNUMBER(_xll.VoseSimPercentile(Out_Cost,0.79)),_xll.VoseSimPercentile(Out_Cost,0.79),NA())</f>
        <v>78.933949294354377</v>
      </c>
    </row>
    <row r="183" spans="2:3" hidden="1" outlineLevel="1" x14ac:dyDescent="0.45">
      <c r="B183" s="70">
        <v>0.8</v>
      </c>
      <c r="C183" s="69" cm="1">
        <f t="array" aca="1" ref="C183" ca="1">IF(ISNUMBER(_xll.VoseSimPercentile(Out_Cost,0.8)),_xll.VoseSimPercentile(Out_Cost,0.8),NA())</f>
        <v>79.454233454064436</v>
      </c>
    </row>
    <row r="184" spans="2:3" hidden="1" outlineLevel="1" x14ac:dyDescent="0.45">
      <c r="B184" s="70">
        <v>0.81</v>
      </c>
      <c r="C184" s="69" cm="1">
        <f t="array" aca="1" ref="C184" ca="1">IF(ISNUMBER(_xll.VoseSimPercentile(Out_Cost,0.81)),_xll.VoseSimPercentile(Out_Cost,0.81),NA())</f>
        <v>79.938529992596202</v>
      </c>
    </row>
    <row r="185" spans="2:3" hidden="1" outlineLevel="1" x14ac:dyDescent="0.45">
      <c r="B185" s="70">
        <v>0.82</v>
      </c>
      <c r="C185" s="69" cm="1">
        <f t="array" aca="1" ref="C185" ca="1">IF(ISNUMBER(_xll.VoseSimPercentile(Out_Cost,0.82)),_xll.VoseSimPercentile(Out_Cost,0.82),NA())</f>
        <v>80.40420979019693</v>
      </c>
    </row>
    <row r="186" spans="2:3" hidden="1" outlineLevel="1" x14ac:dyDescent="0.45">
      <c r="B186" s="70">
        <v>0.83</v>
      </c>
      <c r="C186" s="69" cm="1">
        <f t="array" aca="1" ref="C186" ca="1">IF(ISNUMBER(_xll.VoseSimPercentile(Out_Cost,0.83)),_xll.VoseSimPercentile(Out_Cost,0.83),NA())</f>
        <v>80.882607899397755</v>
      </c>
    </row>
    <row r="187" spans="2:3" hidden="1" outlineLevel="1" x14ac:dyDescent="0.45">
      <c r="B187" s="70">
        <v>0.84</v>
      </c>
      <c r="C187" s="69" cm="1">
        <f t="array" aca="1" ref="C187" ca="1">IF(ISNUMBER(_xll.VoseSimPercentile(Out_Cost,0.84)),_xll.VoseSimPercentile(Out_Cost,0.84),NA())</f>
        <v>81.425110751285047</v>
      </c>
    </row>
    <row r="188" spans="2:3" hidden="1" outlineLevel="1" x14ac:dyDescent="0.45">
      <c r="B188" s="70">
        <v>0.85</v>
      </c>
      <c r="C188" s="69" cm="1">
        <f t="array" aca="1" ref="C188" ca="1">IF(ISNUMBER(_xll.VoseSimPercentile(Out_Cost,0.85)),_xll.VoseSimPercentile(Out_Cost,0.85),NA())</f>
        <v>81.951371253869326</v>
      </c>
    </row>
    <row r="189" spans="2:3" hidden="1" outlineLevel="1" x14ac:dyDescent="0.45">
      <c r="B189" s="70">
        <v>0.86</v>
      </c>
      <c r="C189" s="69" cm="1">
        <f t="array" aca="1" ref="C189" ca="1">IF(ISNUMBER(_xll.VoseSimPercentile(Out_Cost,0.86)),_xll.VoseSimPercentile(Out_Cost,0.86),NA())</f>
        <v>82.486966955399708</v>
      </c>
    </row>
    <row r="190" spans="2:3" hidden="1" outlineLevel="1" x14ac:dyDescent="0.45">
      <c r="B190" s="70">
        <v>0.87</v>
      </c>
      <c r="C190" s="69" cm="1">
        <f t="array" aca="1" ref="C190" ca="1">IF(ISNUMBER(_xll.VoseSimPercentile(Out_Cost,0.87)),_xll.VoseSimPercentile(Out_Cost,0.87),NA())</f>
        <v>83.001788589898212</v>
      </c>
    </row>
    <row r="191" spans="2:3" hidden="1" outlineLevel="1" x14ac:dyDescent="0.45">
      <c r="B191" s="70">
        <v>0.88</v>
      </c>
      <c r="C191" s="69" cm="1">
        <f t="array" aca="1" ref="C191" ca="1">IF(ISNUMBER(_xll.VoseSimPercentile(Out_Cost,0.88)),_xll.VoseSimPercentile(Out_Cost,0.88),NA())</f>
        <v>83.549999769381799</v>
      </c>
    </row>
    <row r="192" spans="2:3" hidden="1" outlineLevel="1" x14ac:dyDescent="0.45">
      <c r="B192" s="70">
        <v>0.89</v>
      </c>
      <c r="C192" s="69" cm="1">
        <f t="array" aca="1" ref="C192" ca="1">IF(ISNUMBER(_xll.VoseSimPercentile(Out_Cost,0.89)),_xll.VoseSimPercentile(Out_Cost,0.89),NA())</f>
        <v>84.188606178675485</v>
      </c>
    </row>
    <row r="193" spans="2:7" hidden="1" outlineLevel="1" x14ac:dyDescent="0.45">
      <c r="B193" s="70">
        <v>0.9</v>
      </c>
      <c r="C193" s="69" cm="1">
        <f t="array" aca="1" ref="C193" ca="1">IF(ISNUMBER(_xll.VoseSimPercentile(Out_Cost,0.9)),_xll.VoseSimPercentile(Out_Cost,0.9),NA())</f>
        <v>84.937809626774666</v>
      </c>
    </row>
    <row r="194" spans="2:7" hidden="1" outlineLevel="1" x14ac:dyDescent="0.45">
      <c r="B194" s="70">
        <v>0.91</v>
      </c>
      <c r="C194" s="69" cm="1">
        <f t="array" aca="1" ref="C194" ca="1">IF(ISNUMBER(_xll.VoseSimPercentile(Out_Cost,0.91)),_xll.VoseSimPercentile(Out_Cost,0.91),NA())</f>
        <v>85.579782364399449</v>
      </c>
    </row>
    <row r="195" spans="2:7" hidden="1" outlineLevel="1" x14ac:dyDescent="0.45">
      <c r="B195" s="70">
        <v>0.92</v>
      </c>
      <c r="C195" s="69" cm="1">
        <f t="array" aca="1" ref="C195" ca="1">IF(ISNUMBER(_xll.VoseSimPercentile(Out_Cost,0.92)),_xll.VoseSimPercentile(Out_Cost,0.92),NA())</f>
        <v>86.284617141618739</v>
      </c>
    </row>
    <row r="196" spans="2:7" hidden="1" outlineLevel="1" x14ac:dyDescent="0.45">
      <c r="B196" s="70">
        <v>0.93</v>
      </c>
      <c r="C196" s="69" cm="1">
        <f t="array" aca="1" ref="C196" ca="1">IF(ISNUMBER(_xll.VoseSimPercentile(Out_Cost,0.93)),_xll.VoseSimPercentile(Out_Cost,0.93),NA())</f>
        <v>86.919828973616731</v>
      </c>
    </row>
    <row r="197" spans="2:7" hidden="1" outlineLevel="1" x14ac:dyDescent="0.45">
      <c r="B197" s="70">
        <v>0.94</v>
      </c>
      <c r="C197" s="69" cm="1">
        <f t="array" aca="1" ref="C197" ca="1">IF(ISNUMBER(_xll.VoseSimPercentile(Out_Cost,0.94)),_xll.VoseSimPercentile(Out_Cost,0.94),NA())</f>
        <v>87.92474700962012</v>
      </c>
    </row>
    <row r="198" spans="2:7" hidden="1" outlineLevel="1" x14ac:dyDescent="0.45">
      <c r="B198" s="70">
        <v>0.95</v>
      </c>
      <c r="C198" s="69" cm="1">
        <f t="array" aca="1" ref="C198" ca="1">IF(ISNUMBER(_xll.VoseSimPercentile(Out_Cost,0.95)),_xll.VoseSimPercentile(Out_Cost,0.95),NA())</f>
        <v>88.901323718814453</v>
      </c>
    </row>
    <row r="199" spans="2:7" hidden="1" outlineLevel="1" x14ac:dyDescent="0.45">
      <c r="B199" s="70">
        <v>0.96</v>
      </c>
      <c r="C199" s="69" cm="1">
        <f t="array" aca="1" ref="C199" ca="1">IF(ISNUMBER(_xll.VoseSimPercentile(Out_Cost,0.96)),_xll.VoseSimPercentile(Out_Cost,0.96),NA())</f>
        <v>90.096699959137254</v>
      </c>
    </row>
    <row r="200" spans="2:7" hidden="1" outlineLevel="1" x14ac:dyDescent="0.45">
      <c r="B200" s="70">
        <v>0.97</v>
      </c>
      <c r="C200" s="69" cm="1">
        <f t="array" aca="1" ref="C200" ca="1">IF(ISNUMBER(_xll.VoseSimPercentile(Out_Cost,0.97)),_xll.VoseSimPercentile(Out_Cost,0.97),NA())</f>
        <v>91.693168469769091</v>
      </c>
    </row>
    <row r="201" spans="2:7" hidden="1" outlineLevel="1" x14ac:dyDescent="0.45">
      <c r="B201" s="70">
        <v>0.98</v>
      </c>
      <c r="C201" s="69" cm="1">
        <f t="array" aca="1" ref="C201" ca="1">IF(ISNUMBER(_xll.VoseSimPercentile(Out_Cost,0.98)),_xll.VoseSimPercentile(Out_Cost,0.98),NA())</f>
        <v>93.513953164899448</v>
      </c>
    </row>
    <row r="202" spans="2:7" hidden="1" outlineLevel="1" x14ac:dyDescent="0.45">
      <c r="B202" s="70">
        <v>0.99</v>
      </c>
      <c r="C202" s="69" cm="1">
        <f t="array" aca="1" ref="C202" ca="1">IF(ISNUMBER(_xll.VoseSimPercentile(Out_Cost,0.99)),_xll.VoseSimPercentile(Out_Cost,0.99),NA())</f>
        <v>96.926594282775113</v>
      </c>
    </row>
    <row r="203" spans="2:7" hidden="1" outlineLevel="1" x14ac:dyDescent="0.45">
      <c r="B203" s="70">
        <v>0.995</v>
      </c>
      <c r="C203" s="69" cm="1">
        <f t="array" aca="1" ref="C203" ca="1">IF(ISNUMBER(_xll.VoseSimPercentile(Out_Cost,0.995)),_xll.VoseSimPercentile(Out_Cost,0.995),NA())</f>
        <v>100.008953615875</v>
      </c>
    </row>
    <row r="204" spans="2:7" hidden="1" outlineLevel="1" x14ac:dyDescent="0.45"/>
    <row r="205" spans="2:7" ht="18" hidden="1" customHeight="1" outlineLevel="1" x14ac:dyDescent="0.45">
      <c r="B205" s="23" t="s">
        <v>243</v>
      </c>
      <c r="C205" s="24" t="s">
        <v>244</v>
      </c>
      <c r="D205" s="24" t="s">
        <v>245</v>
      </c>
      <c r="E205" s="24" t="s">
        <v>246</v>
      </c>
      <c r="F205" s="24" t="s">
        <v>247</v>
      </c>
      <c r="G205" s="24" t="s">
        <v>248</v>
      </c>
    </row>
    <row r="206" spans="2:7" hidden="1" outlineLevel="1" x14ac:dyDescent="0.45">
      <c r="B206" s="71">
        <v>0</v>
      </c>
      <c r="C206" s="69">
        <f ca="1">IF(ISNUMBER($C$103),$C$103+($C$203-$C$103)*0/24,NA())</f>
        <v>43.893996864580807</v>
      </c>
      <c r="D206" s="72">
        <f t="shared" ref="D206:D230" ca="1" si="2">IF(ISNUMBER(C206),MATCH(C206,$C$103:$C$203,1),NA())</f>
        <v>1</v>
      </c>
      <c r="E206" s="69">
        <f t="shared" ref="E206:E229" ca="1" si="3">IF(ISNUMBER(C206),(C206+C207)/2,NA())</f>
        <v>45.063058463566101</v>
      </c>
      <c r="F206" s="70">
        <f t="shared" ref="F206:F229" ca="1" si="4">IF(ISNUMBER(G207),G207-G206,NA())</f>
        <v>5.937878579423665E-3</v>
      </c>
      <c r="G206" s="70" cm="1">
        <f t="array" aca="1" ref="G206" ca="1">IF(ISNUMBER(D206),IF(D206&gt;=101,INDEX($B$103:$B$203,101),INDEX($B$103:$B$203,D206)+(C206-INDEX($C$103:$C$203,D206))/MAX(0.000000000001,INDEX($C$103:$C$203,D206+1)-INDEX($C$103:$C$203,D206))*(INDEX($B$103:$B$203,D206+1)-INDEX($B$103:$B$203,D206))),NA())</f>
        <v>5.0000000000000001E-3</v>
      </c>
    </row>
    <row r="207" spans="2:7" hidden="1" outlineLevel="1" x14ac:dyDescent="0.45">
      <c r="B207" s="71">
        <v>1</v>
      </c>
      <c r="C207" s="69">
        <f ca="1">IF(ISNUMBER($C$103),$C$103+($C$203-$C$103)*1/24,NA())</f>
        <v>46.232120062551395</v>
      </c>
      <c r="D207" s="72">
        <f t="shared" ca="1" si="2"/>
        <v>2</v>
      </c>
      <c r="E207" s="69">
        <f t="shared" ca="1" si="3"/>
        <v>47.401181661536697</v>
      </c>
      <c r="F207" s="70">
        <f t="shared" ca="1" si="4"/>
        <v>1.3355300065445693E-2</v>
      </c>
      <c r="G207" s="70" cm="1">
        <f t="array" aca="1" ref="G207" ca="1">IF(ISNUMBER(D207),IF(D207&gt;=101,INDEX($B$103:$B$203,101),INDEX($B$103:$B$203,D207)+(C207-INDEX($C$103:$C$203,D207))/MAX(0.000000000001,INDEX($C$103:$C$203,D207+1)-INDEX($C$103:$C$203,D207))*(INDEX($B$103:$B$203,D207+1)-INDEX($B$103:$B$203,D207))),NA())</f>
        <v>1.0937878579423665E-2</v>
      </c>
    </row>
    <row r="208" spans="2:7" hidden="1" outlineLevel="1" x14ac:dyDescent="0.45">
      <c r="B208" s="71">
        <v>2</v>
      </c>
      <c r="C208" s="69">
        <f ca="1">IF(ISNUMBER($C$103),$C$103+($C$203-$C$103)*2/24,NA())</f>
        <v>48.570243260521991</v>
      </c>
      <c r="D208" s="72">
        <f t="shared" ca="1" si="2"/>
        <v>3</v>
      </c>
      <c r="E208" s="69">
        <f t="shared" ca="1" si="3"/>
        <v>49.739304859507286</v>
      </c>
      <c r="F208" s="70">
        <f t="shared" ca="1" si="4"/>
        <v>2.1138126914408077E-2</v>
      </c>
      <c r="G208" s="70" cm="1">
        <f t="array" aca="1" ref="G208" ca="1">IF(ISNUMBER(D208),IF(D208&gt;=101,INDEX($B$103:$B$203,101),INDEX($B$103:$B$203,D208)+(C208-INDEX($C$103:$C$203,D208))/MAX(0.000000000001,INDEX($C$103:$C$203,D208+1)-INDEX($C$103:$C$203,D208))*(INDEX($B$103:$B$203,D208+1)-INDEX($B$103:$B$203,D208))),NA())</f>
        <v>2.4293178644869358E-2</v>
      </c>
    </row>
    <row r="209" spans="2:7" hidden="1" outlineLevel="1" x14ac:dyDescent="0.45">
      <c r="B209" s="71">
        <v>3</v>
      </c>
      <c r="C209" s="69">
        <f ca="1">IF(ISNUMBER($C$103),$C$103+($C$203-$C$103)*3/24,NA())</f>
        <v>50.90836645849258</v>
      </c>
      <c r="D209" s="72">
        <f t="shared" ca="1" si="2"/>
        <v>5</v>
      </c>
      <c r="E209" s="69">
        <f t="shared" ca="1" si="3"/>
        <v>52.077428057477874</v>
      </c>
      <c r="F209" s="70">
        <f t="shared" ca="1" si="4"/>
        <v>3.2419726608319266E-2</v>
      </c>
      <c r="G209" s="70" cm="1">
        <f t="array" aca="1" ref="G209" ca="1">IF(ISNUMBER(D209),IF(D209&gt;=101,INDEX($B$103:$B$203,101),INDEX($B$103:$B$203,D209)+(C209-INDEX($C$103:$C$203,D209))/MAX(0.000000000001,INDEX($C$103:$C$203,D209+1)-INDEX($C$103:$C$203,D209))*(INDEX($B$103:$B$203,D209+1)-INDEX($B$103:$B$203,D209))),NA())</f>
        <v>4.5431305559277435E-2</v>
      </c>
    </row>
    <row r="210" spans="2:7" hidden="1" outlineLevel="1" x14ac:dyDescent="0.45">
      <c r="B210" s="71">
        <v>4</v>
      </c>
      <c r="C210" s="69">
        <f ca="1">IF(ISNUMBER($C$103),$C$103+($C$203-$C$103)*4/24,NA())</f>
        <v>53.246489656463169</v>
      </c>
      <c r="D210" s="72">
        <f t="shared" ca="1" si="2"/>
        <v>8</v>
      </c>
      <c r="E210" s="69">
        <f t="shared" ca="1" si="3"/>
        <v>54.415551255448463</v>
      </c>
      <c r="F210" s="70">
        <f t="shared" ca="1" si="4"/>
        <v>4.1020980596535556E-2</v>
      </c>
      <c r="G210" s="70" cm="1">
        <f t="array" aca="1" ref="G210" ca="1">IF(ISNUMBER(D210),IF(D210&gt;=101,INDEX($B$103:$B$203,101),INDEX($B$103:$B$203,D210)+(C210-INDEX($C$103:$C$203,D210))/MAX(0.000000000001,INDEX($C$103:$C$203,D210+1)-INDEX($C$103:$C$203,D210))*(INDEX($B$103:$B$203,D210+1)-INDEX($B$103:$B$203,D210))),NA())</f>
        <v>7.7851032167596701E-2</v>
      </c>
    </row>
    <row r="211" spans="2:7" hidden="1" outlineLevel="1" x14ac:dyDescent="0.45">
      <c r="B211" s="71">
        <v>5</v>
      </c>
      <c r="C211" s="69">
        <f ca="1">IF(ISNUMBER($C$103),$C$103+($C$203-$C$103)*5/24,NA())</f>
        <v>55.584612854433765</v>
      </c>
      <c r="D211" s="72">
        <f t="shared" ca="1" si="2"/>
        <v>12</v>
      </c>
      <c r="E211" s="69">
        <f t="shared" ca="1" si="3"/>
        <v>56.753674453419059</v>
      </c>
      <c r="F211" s="70">
        <f t="shared" ca="1" si="4"/>
        <v>5.4302983409714928E-2</v>
      </c>
      <c r="G211" s="70" cm="1">
        <f t="array" aca="1" ref="G211" ca="1">IF(ISNUMBER(D211),IF(D211&gt;=101,INDEX($B$103:$B$203,101),INDEX($B$103:$B$203,D211)+(C211-INDEX($C$103:$C$203,D211))/MAX(0.000000000001,INDEX($C$103:$C$203,D211+1)-INDEX($C$103:$C$203,D211))*(INDEX($B$103:$B$203,D211+1)-INDEX($B$103:$B$203,D211))),NA())</f>
        <v>0.11887201276413226</v>
      </c>
    </row>
    <row r="212" spans="2:7" hidden="1" outlineLevel="1" x14ac:dyDescent="0.45">
      <c r="B212" s="71">
        <v>6</v>
      </c>
      <c r="C212" s="69">
        <f ca="1">IF(ISNUMBER($C$103),$C$103+($C$203-$C$103)*6/24,NA())</f>
        <v>57.922736052404353</v>
      </c>
      <c r="D212" s="72">
        <f t="shared" ca="1" si="2"/>
        <v>18</v>
      </c>
      <c r="E212" s="69">
        <f t="shared" ca="1" si="3"/>
        <v>59.091797651389655</v>
      </c>
      <c r="F212" s="70">
        <f t="shared" ca="1" si="4"/>
        <v>5.8089468262298882E-2</v>
      </c>
      <c r="G212" s="70" cm="1">
        <f t="array" aca="1" ref="G212" ca="1">IF(ISNUMBER(D212),IF(D212&gt;=101,INDEX($B$103:$B$203,101),INDEX($B$103:$B$203,D212)+(C212-INDEX($C$103:$C$203,D212))/MAX(0.000000000001,INDEX($C$103:$C$203,D212+1)-INDEX($C$103:$C$203,D212))*(INDEX($B$103:$B$203,D212+1)-INDEX($B$103:$B$203,D212))),NA())</f>
        <v>0.17317499617384718</v>
      </c>
    </row>
    <row r="213" spans="2:7" hidden="1" outlineLevel="1" x14ac:dyDescent="0.45">
      <c r="B213" s="71">
        <v>7</v>
      </c>
      <c r="C213" s="69">
        <f ca="1">IF(ISNUMBER($C$103),$C$103+($C$203-$C$103)*7/24,NA())</f>
        <v>60.260859250374949</v>
      </c>
      <c r="D213" s="72">
        <f t="shared" ca="1" si="2"/>
        <v>24</v>
      </c>
      <c r="E213" s="69">
        <f t="shared" ca="1" si="3"/>
        <v>61.429920849360244</v>
      </c>
      <c r="F213" s="70">
        <f t="shared" ca="1" si="4"/>
        <v>6.9066394354938665E-2</v>
      </c>
      <c r="G213" s="70" cm="1">
        <f t="array" aca="1" ref="G213" ca="1">IF(ISNUMBER(D213),IF(D213&gt;=101,INDEX($B$103:$B$203,101),INDEX($B$103:$B$203,D213)+(C213-INDEX($C$103:$C$203,D213))/MAX(0.000000000001,INDEX($C$103:$C$203,D213+1)-INDEX($C$103:$C$203,D213))*(INDEX($B$103:$B$203,D213+1)-INDEX($B$103:$B$203,D213))),NA())</f>
        <v>0.23126446443614607</v>
      </c>
    </row>
    <row r="214" spans="2:7" hidden="1" outlineLevel="1" x14ac:dyDescent="0.45">
      <c r="B214" s="71">
        <v>8</v>
      </c>
      <c r="C214" s="69">
        <f ca="1">IF(ISNUMBER($C$103),$C$103+($C$203-$C$103)*8/24,NA())</f>
        <v>62.598982448345538</v>
      </c>
      <c r="D214" s="72">
        <f t="shared" ca="1" si="2"/>
        <v>31</v>
      </c>
      <c r="E214" s="69">
        <f t="shared" ca="1" si="3"/>
        <v>63.768044047330832</v>
      </c>
      <c r="F214" s="70">
        <f t="shared" ca="1" si="4"/>
        <v>7.6210386936910401E-2</v>
      </c>
      <c r="G214" s="70" cm="1">
        <f t="array" aca="1" ref="G214" ca="1">IF(ISNUMBER(D214),IF(D214&gt;=101,INDEX($B$103:$B$203,101),INDEX($B$103:$B$203,D214)+(C214-INDEX($C$103:$C$203,D214))/MAX(0.000000000001,INDEX($C$103:$C$203,D214+1)-INDEX($C$103:$C$203,D214))*(INDEX($B$103:$B$203,D214+1)-INDEX($B$103:$B$203,D214))),NA())</f>
        <v>0.30033085879108473</v>
      </c>
    </row>
    <row r="215" spans="2:7" hidden="1" outlineLevel="1" x14ac:dyDescent="0.45">
      <c r="B215" s="71">
        <v>9</v>
      </c>
      <c r="C215" s="69">
        <f ca="1">IF(ISNUMBER($C$103),$C$103+($C$203-$C$103)*9/24,NA())</f>
        <v>64.937105646316127</v>
      </c>
      <c r="D215" s="72">
        <f t="shared" ca="1" si="2"/>
        <v>38</v>
      </c>
      <c r="E215" s="69">
        <f t="shared" ca="1" si="3"/>
        <v>66.106167245301421</v>
      </c>
      <c r="F215" s="70">
        <f t="shared" ca="1" si="4"/>
        <v>7.6260394444684243E-2</v>
      </c>
      <c r="G215" s="70" cm="1">
        <f t="array" aca="1" ref="G215" ca="1">IF(ISNUMBER(D215),IF(D215&gt;=101,INDEX($B$103:$B$203,101),INDEX($B$103:$B$203,D215)+(C215-INDEX($C$103:$C$203,D215))/MAX(0.000000000001,INDEX($C$103:$C$203,D215+1)-INDEX($C$103:$C$203,D215))*(INDEX($B$103:$B$203,D215+1)-INDEX($B$103:$B$203,D215))),NA())</f>
        <v>0.37654124572799513</v>
      </c>
    </row>
    <row r="216" spans="2:7" hidden="1" outlineLevel="1" x14ac:dyDescent="0.45">
      <c r="B216" s="71">
        <v>10</v>
      </c>
      <c r="C216" s="69">
        <f ca="1">IF(ISNUMBER($C$103),$C$103+($C$203-$C$103)*10/24,NA())</f>
        <v>67.275228844286715</v>
      </c>
      <c r="D216" s="72">
        <f t="shared" ca="1" si="2"/>
        <v>46</v>
      </c>
      <c r="E216" s="69">
        <f t="shared" ca="1" si="3"/>
        <v>68.44429044327201</v>
      </c>
      <c r="F216" s="70">
        <f t="shared" ca="1" si="4"/>
        <v>7.5255217463718049E-2</v>
      </c>
      <c r="G216" s="70" cm="1">
        <f t="array" aca="1" ref="G216" ca="1">IF(ISNUMBER(D216),IF(D216&gt;=101,INDEX($B$103:$B$203,101),INDEX($B$103:$B$203,D216)+(C216-INDEX($C$103:$C$203,D216))/MAX(0.000000000001,INDEX($C$103:$C$203,D216+1)-INDEX($C$103:$C$203,D216))*(INDEX($B$103:$B$203,D216+1)-INDEX($B$103:$B$203,D216))),NA())</f>
        <v>0.45280164017267938</v>
      </c>
    </row>
    <row r="217" spans="2:7" hidden="1" outlineLevel="1" x14ac:dyDescent="0.45">
      <c r="B217" s="71">
        <v>11</v>
      </c>
      <c r="C217" s="69">
        <f ca="1">IF(ISNUMBER($C$103),$C$103+($C$203-$C$103)*11/24,NA())</f>
        <v>69.613352042257304</v>
      </c>
      <c r="D217" s="72">
        <f t="shared" ca="1" si="2"/>
        <v>53</v>
      </c>
      <c r="E217" s="69">
        <f t="shared" ca="1" si="3"/>
        <v>70.782413641242613</v>
      </c>
      <c r="F217" s="70">
        <f t="shared" ca="1" si="4"/>
        <v>7.6424357666093345E-2</v>
      </c>
      <c r="G217" s="70" cm="1">
        <f t="array" aca="1" ref="G217" ca="1">IF(ISNUMBER(D217),IF(D217&gt;=101,INDEX($B$103:$B$203,101),INDEX($B$103:$B$203,D217)+(C217-INDEX($C$103:$C$203,D217))/MAX(0.000000000001,INDEX($C$103:$C$203,D217+1)-INDEX($C$103:$C$203,D217))*(INDEX($B$103:$B$203,D217+1)-INDEX($B$103:$B$203,D217))),NA())</f>
        <v>0.52805685763639743</v>
      </c>
    </row>
    <row r="218" spans="2:7" hidden="1" outlineLevel="1" x14ac:dyDescent="0.45">
      <c r="B218" s="71">
        <v>12</v>
      </c>
      <c r="C218" s="69">
        <f ca="1">IF(ISNUMBER($C$103),$C$103+($C$203-$C$103)*12/24,NA())</f>
        <v>71.951475240227907</v>
      </c>
      <c r="D218" s="72">
        <f t="shared" ca="1" si="2"/>
        <v>61</v>
      </c>
      <c r="E218" s="69">
        <f t="shared" ca="1" si="3"/>
        <v>73.120536839213202</v>
      </c>
      <c r="F218" s="70">
        <f t="shared" ca="1" si="4"/>
        <v>6.9064457744242636E-2</v>
      </c>
      <c r="G218" s="70" cm="1">
        <f t="array" aca="1" ref="G218" ca="1">IF(ISNUMBER(D218),IF(D218&gt;=101,INDEX($B$103:$B$203,101),INDEX($B$103:$B$203,D218)+(C218-INDEX($C$103:$C$203,D218))/MAX(0.000000000001,INDEX($C$103:$C$203,D218+1)-INDEX($C$103:$C$203,D218))*(INDEX($B$103:$B$203,D218+1)-INDEX($B$103:$B$203,D218))),NA())</f>
        <v>0.60448121530249077</v>
      </c>
    </row>
    <row r="219" spans="2:7" hidden="1" outlineLevel="1" x14ac:dyDescent="0.45">
      <c r="B219" s="71">
        <v>13</v>
      </c>
      <c r="C219" s="69">
        <f ca="1">IF(ISNUMBER($C$103),$C$103+($C$203-$C$103)*13/24,NA())</f>
        <v>74.289598438198496</v>
      </c>
      <c r="D219" s="72">
        <f t="shared" ca="1" si="2"/>
        <v>68</v>
      </c>
      <c r="E219" s="69">
        <f t="shared" ca="1" si="3"/>
        <v>75.45866003718379</v>
      </c>
      <c r="F219" s="70">
        <f t="shared" ca="1" si="4"/>
        <v>6.3480105738646819E-2</v>
      </c>
      <c r="G219" s="70" cm="1">
        <f t="array" aca="1" ref="G219" ca="1">IF(ISNUMBER(D219),IF(D219&gt;=101,INDEX($B$103:$B$203,101),INDEX($B$103:$B$203,D219)+(C219-INDEX($C$103:$C$203,D219))/MAX(0.000000000001,INDEX($C$103:$C$203,D219+1)-INDEX($C$103:$C$203,D219))*(INDEX($B$103:$B$203,D219+1)-INDEX($B$103:$B$203,D219))),NA())</f>
        <v>0.67354567304673341</v>
      </c>
    </row>
    <row r="220" spans="2:7" hidden="1" outlineLevel="1" x14ac:dyDescent="0.45">
      <c r="B220" s="71">
        <v>14</v>
      </c>
      <c r="C220" s="69">
        <f ca="1">IF(ISNUMBER($C$103),$C$103+($C$203-$C$103)*14/24,NA())</f>
        <v>76.627721636169085</v>
      </c>
      <c r="D220" s="72">
        <f t="shared" ca="1" si="2"/>
        <v>74</v>
      </c>
      <c r="E220" s="69">
        <f t="shared" ca="1" si="3"/>
        <v>77.796783235154379</v>
      </c>
      <c r="F220" s="70">
        <f t="shared" ca="1" si="4"/>
        <v>5.3587261976865364E-2</v>
      </c>
      <c r="G220" s="70" cm="1">
        <f t="array" aca="1" ref="G220" ca="1">IF(ISNUMBER(D220),IF(D220&gt;=101,INDEX($B$103:$B$203,101),INDEX($B$103:$B$203,D220)+(C220-INDEX($C$103:$C$203,D220))/MAX(0.000000000001,INDEX($C$103:$C$203,D220+1)-INDEX($C$103:$C$203,D220))*(INDEX($B$103:$B$203,D220+1)-INDEX($B$103:$B$203,D220))),NA())</f>
        <v>0.73702577878538023</v>
      </c>
    </row>
    <row r="221" spans="2:7" hidden="1" outlineLevel="1" x14ac:dyDescent="0.45">
      <c r="B221" s="71">
        <v>15</v>
      </c>
      <c r="C221" s="69">
        <f ca="1">IF(ISNUMBER($C$103),$C$103+($C$203-$C$103)*15/24,NA())</f>
        <v>78.965844834139673</v>
      </c>
      <c r="D221" s="72">
        <f t="shared" ca="1" si="2"/>
        <v>80</v>
      </c>
      <c r="E221" s="69">
        <f t="shared" ca="1" si="3"/>
        <v>80.134906433124968</v>
      </c>
      <c r="F221" s="70">
        <f t="shared" ca="1" si="4"/>
        <v>4.7153925461925761E-2</v>
      </c>
      <c r="G221" s="70" cm="1">
        <f t="array" aca="1" ref="G221" ca="1">IF(ISNUMBER(D221),IF(D221&gt;=101,INDEX($B$103:$B$203,101),INDEX($B$103:$B$203,D221)+(C221-INDEX($C$103:$C$203,D221))/MAX(0.000000000001,INDEX($C$103:$C$203,D221+1)-INDEX($C$103:$C$203,D221))*(INDEX($B$103:$B$203,D221+1)-INDEX($B$103:$B$203,D221))),NA())</f>
        <v>0.79061304076224559</v>
      </c>
    </row>
    <row r="222" spans="2:7" hidden="1" outlineLevel="1" x14ac:dyDescent="0.45">
      <c r="B222" s="71">
        <v>16</v>
      </c>
      <c r="C222" s="69">
        <f ca="1">IF(ISNUMBER($C$103),$C$103+($C$203-$C$103)*16/24,NA())</f>
        <v>81.303968032110276</v>
      </c>
      <c r="D222" s="72">
        <f t="shared" ca="1" si="2"/>
        <v>84</v>
      </c>
      <c r="E222" s="69">
        <f t="shared" ca="1" si="3"/>
        <v>82.473029631095571</v>
      </c>
      <c r="F222" s="70">
        <f t="shared" ca="1" si="4"/>
        <v>4.3675102933902421E-2</v>
      </c>
      <c r="G222" s="70" cm="1">
        <f t="array" aca="1" ref="G222" ca="1">IF(ISNUMBER(D222),IF(D222&gt;=101,INDEX($B$103:$B$203,101),INDEX($B$103:$B$203,D222)+(C222-INDEX($C$103:$C$203,D222))/MAX(0.000000000001,INDEX($C$103:$C$203,D222+1)-INDEX($C$103:$C$203,D222))*(INDEX($B$103:$B$203,D222+1)-INDEX($B$103:$B$203,D222))),NA())</f>
        <v>0.83776696622417135</v>
      </c>
    </row>
    <row r="223" spans="2:7" hidden="1" outlineLevel="1" x14ac:dyDescent="0.45">
      <c r="B223" s="71">
        <v>17</v>
      </c>
      <c r="C223" s="69">
        <f ca="1">IF(ISNUMBER($C$103),$C$103+($C$203-$C$103)*17/24,NA())</f>
        <v>83.642091230080865</v>
      </c>
      <c r="D223" s="72">
        <f t="shared" ca="1" si="2"/>
        <v>89</v>
      </c>
      <c r="E223" s="69">
        <f t="shared" ca="1" si="3"/>
        <v>84.81115282906616</v>
      </c>
      <c r="F223" s="70">
        <f t="shared" ca="1" si="4"/>
        <v>3.4239149711854711E-2</v>
      </c>
      <c r="G223" s="70" cm="1">
        <f t="array" aca="1" ref="G223" ca="1">IF(ISNUMBER(D223),IF(D223&gt;=101,INDEX($B$103:$B$203,101),INDEX($B$103:$B$203,D223)+(C223-INDEX($C$103:$C$203,D223))/MAX(0.000000000001,INDEX($C$103:$C$203,D223+1)-INDEX($C$103:$C$203,D223))*(INDEX($B$103:$B$203,D223+1)-INDEX($B$103:$B$203,D223))),NA())</f>
        <v>0.88144206915807377</v>
      </c>
    </row>
    <row r="224" spans="2:7" hidden="1" outlineLevel="1" x14ac:dyDescent="0.45">
      <c r="B224" s="71">
        <v>18</v>
      </c>
      <c r="C224" s="69">
        <f ca="1">IF(ISNUMBER($C$103),$C$103+($C$203-$C$103)*18/24,NA())</f>
        <v>85.980214428051454</v>
      </c>
      <c r="D224" s="72">
        <f t="shared" ca="1" si="2"/>
        <v>92</v>
      </c>
      <c r="E224" s="69">
        <f t="shared" ca="1" si="3"/>
        <v>87.149276027036748</v>
      </c>
      <c r="F224" s="70">
        <f t="shared" ca="1" si="4"/>
        <v>2.8349090400160759E-2</v>
      </c>
      <c r="G224" s="70" cm="1">
        <f t="array" aca="1" ref="G224" ca="1">IF(ISNUMBER(D224),IF(D224&gt;=101,INDEX($B$103:$B$203,101),INDEX($B$103:$B$203,D224)+(C224-INDEX($C$103:$C$203,D224))/MAX(0.000000000001,INDEX($C$103:$C$203,D224+1)-INDEX($C$103:$C$203,D224))*(INDEX($B$103:$B$203,D224+1)-INDEX($B$103:$B$203,D224))),NA())</f>
        <v>0.91568121886992848</v>
      </c>
    </row>
    <row r="225" spans="2:7" hidden="1" outlineLevel="1" x14ac:dyDescent="0.45">
      <c r="B225" s="71">
        <v>19</v>
      </c>
      <c r="C225" s="69">
        <f ca="1">IF(ISNUMBER($C$103),$C$103+($C$203-$C$103)*19/24,NA())</f>
        <v>88.318337626022043</v>
      </c>
      <c r="D225" s="72">
        <f t="shared" ca="1" si="2"/>
        <v>95</v>
      </c>
      <c r="E225" s="69">
        <f t="shared" ca="1" si="3"/>
        <v>89.487399225007337</v>
      </c>
      <c r="F225" s="70">
        <f t="shared" ca="1" si="4"/>
        <v>1.947593505059475E-2</v>
      </c>
      <c r="G225" s="70" cm="1">
        <f t="array" aca="1" ref="G225" ca="1">IF(ISNUMBER(D225),IF(D225&gt;=101,INDEX($B$103:$B$203,101),INDEX($B$103:$B$203,D225)+(C225-INDEX($C$103:$C$203,D225))/MAX(0.000000000001,INDEX($C$103:$C$203,D225+1)-INDEX($C$103:$C$203,D225))*(INDEX($B$103:$B$203,D225+1)-INDEX($B$103:$B$203,D225))),NA())</f>
        <v>0.94403030927008924</v>
      </c>
    </row>
    <row r="226" spans="2:7" hidden="1" outlineLevel="1" x14ac:dyDescent="0.45">
      <c r="B226" s="71">
        <v>20</v>
      </c>
      <c r="C226" s="69">
        <f ca="1">IF(ISNUMBER($C$103),$C$103+($C$203-$C$103)*20/24,NA())</f>
        <v>90.656460823992632</v>
      </c>
      <c r="D226" s="72">
        <f t="shared" ca="1" si="2"/>
        <v>97</v>
      </c>
      <c r="E226" s="69">
        <f t="shared" ca="1" si="3"/>
        <v>91.825522422977926</v>
      </c>
      <c r="F226" s="70">
        <f t="shared" ca="1" si="4"/>
        <v>1.3641308905541605E-2</v>
      </c>
      <c r="G226" s="70" cm="1">
        <f t="array" aca="1" ref="G226" ca="1">IF(ISNUMBER(D226),IF(D226&gt;=101,INDEX($B$103:$B$203,101),INDEX($B$103:$B$203,D226)+(C226-INDEX($C$103:$C$203,D226))/MAX(0.000000000001,INDEX($C$103:$C$203,D226+1)-INDEX($C$103:$C$203,D226))*(INDEX($B$103:$B$203,D226+1)-INDEX($B$103:$B$203,D226))),NA())</f>
        <v>0.96350624432068399</v>
      </c>
    </row>
    <row r="227" spans="2:7" hidden="1" outlineLevel="1" x14ac:dyDescent="0.45">
      <c r="B227" s="71">
        <v>21</v>
      </c>
      <c r="C227" s="69">
        <f ca="1">IF(ISNUMBER($C$103),$C$103+($C$203-$C$103)*21/24,NA())</f>
        <v>92.99458402196322</v>
      </c>
      <c r="D227" s="72">
        <f t="shared" ca="1" si="2"/>
        <v>98</v>
      </c>
      <c r="E227" s="69">
        <f t="shared" ca="1" si="3"/>
        <v>94.163645620948515</v>
      </c>
      <c r="F227" s="70">
        <f t="shared" ca="1" si="4"/>
        <v>8.1819085959027316E-3</v>
      </c>
      <c r="G227" s="70" cm="1">
        <f t="array" aca="1" ref="G227" ca="1">IF(ISNUMBER(D227),IF(D227&gt;=101,INDEX($B$103:$B$203,101),INDEX($B$103:$B$203,D227)+(C227-INDEX($C$103:$C$203,D227))/MAX(0.000000000001,INDEX($C$103:$C$203,D227+1)-INDEX($C$103:$C$203,D227))*(INDEX($B$103:$B$203,D227+1)-INDEX($B$103:$B$203,D227))),NA())</f>
        <v>0.9771475532262256</v>
      </c>
    </row>
    <row r="228" spans="2:7" hidden="1" outlineLevel="1" x14ac:dyDescent="0.45">
      <c r="B228" s="71">
        <v>22</v>
      </c>
      <c r="C228" s="69">
        <f ca="1">IF(ISNUMBER($C$103),$C$103+($C$203-$C$103)*22/24,NA())</f>
        <v>95.332707219933809</v>
      </c>
      <c r="D228" s="72">
        <f t="shared" ca="1" si="2"/>
        <v>99</v>
      </c>
      <c r="E228" s="69">
        <f t="shared" ca="1" si="3"/>
        <v>96.501768818919103</v>
      </c>
      <c r="F228" s="70">
        <f t="shared" ca="1" si="4"/>
        <v>5.8777889470102984E-3</v>
      </c>
      <c r="G228" s="70" cm="1">
        <f t="array" aca="1" ref="G228" ca="1">IF(ISNUMBER(D228),IF(D228&gt;=101,INDEX($B$103:$B$203,101),INDEX($B$103:$B$203,D228)+(C228-INDEX($C$103:$C$203,D228))/MAX(0.000000000001,INDEX($C$103:$C$203,D228+1)-INDEX($C$103:$C$203,D228))*(INDEX($B$103:$B$203,D228+1)-INDEX($B$103:$B$203,D228))),NA())</f>
        <v>0.98532946182212833</v>
      </c>
    </row>
    <row r="229" spans="2:7" hidden="1" outlineLevel="1" x14ac:dyDescent="0.45">
      <c r="B229" s="71">
        <v>23</v>
      </c>
      <c r="C229" s="69">
        <f ca="1">IF(ISNUMBER($C$103),$C$103+($C$203-$C$103)*23/24,NA())</f>
        <v>97.670830417904398</v>
      </c>
      <c r="D229" s="72">
        <f t="shared" ca="1" si="2"/>
        <v>100</v>
      </c>
      <c r="E229" s="69">
        <f t="shared" ca="1" si="3"/>
        <v>98.839892016889706</v>
      </c>
      <c r="F229" s="70">
        <f t="shared" ca="1" si="4"/>
        <v>3.7927492308613697E-3</v>
      </c>
      <c r="G229" s="70" cm="1">
        <f t="array" aca="1" ref="G229" ca="1">IF(ISNUMBER(D229),IF(D229&gt;=101,INDEX($B$103:$B$203,101),INDEX($B$103:$B$203,D229)+(C229-INDEX($C$103:$C$203,D229))/MAX(0.000000000001,INDEX($C$103:$C$203,D229+1)-INDEX($C$103:$C$203,D229))*(INDEX($B$103:$B$203,D229+1)-INDEX($B$103:$B$203,D229))),NA())</f>
        <v>0.99120725076913863</v>
      </c>
    </row>
    <row r="230" spans="2:7" hidden="1" outlineLevel="1" x14ac:dyDescent="0.45">
      <c r="B230" s="71">
        <v>24</v>
      </c>
      <c r="C230" s="69">
        <f ca="1">IF(ISNUMBER($C$103),$C$103+($C$203-$C$103)*24/24,NA())</f>
        <v>100.008953615875</v>
      </c>
      <c r="D230" s="72">
        <f t="shared" ca="1" si="2"/>
        <v>101</v>
      </c>
      <c r="G230" s="70" cm="1">
        <f t="array" aca="1" ref="G230" ca="1">IF(ISNUMBER(D230),IF(D230&gt;=101,INDEX($B$103:$B$203,101),INDEX($B$103:$B$203,D230)+(C230-INDEX($C$103:$C$203,D230))/MAX(0.000000000001,INDEX($C$103:$C$203,D230+1)-INDEX($C$103:$C$203,D230))*(INDEX($B$103:$B$203,D230+1)-INDEX($B$103:$B$203,D230))),NA())</f>
        <v>0.995</v>
      </c>
    </row>
    <row r="231" spans="2:7" hidden="1" outlineLevel="1" x14ac:dyDescent="0.45"/>
    <row r="232" spans="2:7" ht="28.05" hidden="1" customHeight="1" outlineLevel="1" x14ac:dyDescent="0.45">
      <c r="B232" s="23" t="s">
        <v>249</v>
      </c>
      <c r="C232" s="24" t="s">
        <v>250</v>
      </c>
      <c r="D232" s="24" t="s">
        <v>220</v>
      </c>
      <c r="E232" s="24" t="s">
        <v>251</v>
      </c>
      <c r="F232" s="24" t="s">
        <v>104</v>
      </c>
      <c r="G232" s="5"/>
    </row>
    <row r="233" spans="2:7" hidden="1" outlineLevel="1" x14ac:dyDescent="0.45">
      <c r="B233" s="73" t="s">
        <v>252</v>
      </c>
      <c r="C233" s="69" cm="1">
        <f t="array" aca="1" ref="C233" ca="1">IF(ISNUMBER(_xll.VoseSimPercentile(Out_Cal_1,0.05)),_xll.VoseSimPercentile(Out_Cal_1,0.05),NA())</f>
        <v>1.7014792178875</v>
      </c>
      <c r="D233" s="69" cm="1">
        <f t="array" aca="1" ref="D233" ca="1">IF(ISNUMBER(_xll.VoseSimPercentile(Out_Cal_1,0.5)),_xll.VoseSimPercentile(Out_Cal_1,0.5),NA())</f>
        <v>3.230184563324026</v>
      </c>
      <c r="E233" s="69" cm="1">
        <f t="array" aca="1" ref="E233" ca="1">IF(ISNUMBER(_xll.VoseSimPercentile(Out_Cal_1,0.95)),_xll.VoseSimPercentile(Out_Cal_1,0.95),NA())</f>
        <v>5.1943671122837989</v>
      </c>
      <c r="F233" s="69" cm="1">
        <f t="array" aca="1" ref="F233" ca="1">IF(ISNUMBER(_xll.VoseSimMean(Out_Cal_1)),_xll.VoseSimMean(Out_Cal_1),NA())</f>
        <v>3.317055905612897</v>
      </c>
    </row>
    <row r="234" spans="2:7" hidden="1" outlineLevel="1" x14ac:dyDescent="0.45">
      <c r="B234" s="73" t="s">
        <v>253</v>
      </c>
      <c r="C234" s="69" cm="1">
        <f t="array" aca="1" ref="C234" ca="1">IF(ISNUMBER(_xll.VoseSimPercentile(Out_Cal_2,0.05)),_xll.VoseSimPercentile(Out_Cal_2,0.05),NA())</f>
        <v>3.6829259322742143</v>
      </c>
      <c r="D234" s="69" cm="1">
        <f t="array" aca="1" ref="D234" ca="1">IF(ISNUMBER(_xll.VoseSimPercentile(Out_Cal_2,0.5)),_xll.VoseSimPercentile(Out_Cal_2,0.5),NA())</f>
        <v>6.039581912814362</v>
      </c>
      <c r="E234" s="69" cm="1">
        <f t="array" aca="1" ref="E234" ca="1">IF(ISNUMBER(_xll.VoseSimPercentile(Out_Cal_2,0.95)),_xll.VoseSimPercentile(Out_Cal_2,0.95),NA())</f>
        <v>8.8194443611675677</v>
      </c>
      <c r="F234" s="69" cm="1">
        <f t="array" aca="1" ref="F234" ca="1">IF(ISNUMBER(_xll.VoseSimMean(Out_Cal_2)),_xll.VoseSimMean(Out_Cal_2),NA())</f>
        <v>6.1443412021751636</v>
      </c>
    </row>
    <row r="235" spans="2:7" hidden="1" outlineLevel="1" x14ac:dyDescent="0.45">
      <c r="B235" s="73" t="s">
        <v>254</v>
      </c>
      <c r="C235" s="69" cm="1">
        <f t="array" aca="1" ref="C235" ca="1">IF(ISNUMBER(_xll.VoseSimPercentile(Out_Cal_3,0.05)),_xll.VoseSimPercentile(Out_Cal_3,0.05),NA())</f>
        <v>5.9175976463432756</v>
      </c>
      <c r="D235" s="69" cm="1">
        <f t="array" aca="1" ref="D235" ca="1">IF(ISNUMBER(_xll.VoseSimPercentile(Out_Cal_3,0.5)),_xll.VoseSimPercentile(Out_Cal_3,0.5),NA())</f>
        <v>8.9450965422700612</v>
      </c>
      <c r="E235" s="69" cm="1">
        <f t="array" aca="1" ref="E235" ca="1">IF(ISNUMBER(_xll.VoseSimPercentile(Out_Cal_3,0.95)),_xll.VoseSimPercentile(Out_Cal_3,0.95),NA())</f>
        <v>12.817168646585159</v>
      </c>
      <c r="F235" s="69" cm="1">
        <f t="array" aca="1" ref="F235" ca="1">IF(ISNUMBER(_xll.VoseSimMean(Out_Cal_3)),_xll.VoseSimMean(Out_Cal_3),NA())</f>
        <v>9.0642560588817673</v>
      </c>
    </row>
    <row r="236" spans="2:7" hidden="1" outlineLevel="1" x14ac:dyDescent="0.45">
      <c r="B236" s="73" t="s">
        <v>255</v>
      </c>
      <c r="C236" s="69" cm="1">
        <f t="array" aca="1" ref="C236" ca="1">IF(ISNUMBER(_xll.VoseSimPercentile(Out_Cal_4,0.05)),_xll.VoseSimPercentile(Out_Cal_4,0.05),NA())</f>
        <v>8.0549945098042866</v>
      </c>
      <c r="D236" s="69" cm="1">
        <f t="array" aca="1" ref="D236" ca="1">IF(ISNUMBER(_xll.VoseSimPercentile(Out_Cal_4,0.5)),_xll.VoseSimPercentile(Out_Cal_4,0.5),NA())</f>
        <v>11.833948493219371</v>
      </c>
      <c r="E236" s="69" cm="1">
        <f t="array" aca="1" ref="E236" ca="1">IF(ISNUMBER(_xll.VoseSimPercentile(Out_Cal_4,0.95)),_xll.VoseSimPercentile(Out_Cal_4,0.95),NA())</f>
        <v>16.46373401644162</v>
      </c>
      <c r="F236" s="69" cm="1">
        <f t="array" aca="1" ref="F236" ca="1">IF(ISNUMBER(_xll.VoseSimMean(Out_Cal_4)),_xll.VoseSimMean(Out_Cal_4),NA())</f>
        <v>11.988529663648633</v>
      </c>
    </row>
    <row r="237" spans="2:7" hidden="1" outlineLevel="1" x14ac:dyDescent="0.45">
      <c r="B237" s="73" t="s">
        <v>256</v>
      </c>
      <c r="C237" s="69" cm="1">
        <f t="array" aca="1" ref="C237" ca="1">IF(ISNUMBER(_xll.VoseSimPercentile(Out_Cal_5,0.05)),_xll.VoseSimPercentile(Out_Cal_5,0.05),NA())</f>
        <v>5.8909322238310216</v>
      </c>
      <c r="D237" s="69" cm="1">
        <f t="array" aca="1" ref="D237" ca="1">IF(ISNUMBER(_xll.VoseSimPercentile(Out_Cal_5,0.5)),_xll.VoseSimPercentile(Out_Cal_5,0.5),NA())</f>
        <v>9.0502168472252364</v>
      </c>
      <c r="E237" s="69" cm="1">
        <f t="array" aca="1" ref="E237" ca="1">IF(ISNUMBER(_xll.VoseSimPercentile(Out_Cal_5,0.95)),_xll.VoseSimPercentile(Out_Cal_5,0.95),NA())</f>
        <v>12.777451935116039</v>
      </c>
      <c r="F237" s="69" cm="1">
        <f t="array" aca="1" ref="F237" ca="1">IF(ISNUMBER(_xll.VoseSimMean(Out_Cal_5)),_xll.VoseSimMean(Out_Cal_5),NA())</f>
        <v>9.131282216971206</v>
      </c>
    </row>
    <row r="238" spans="2:7" hidden="1" outlineLevel="1" x14ac:dyDescent="0.45">
      <c r="B238" s="73" t="s">
        <v>257</v>
      </c>
      <c r="C238" s="69" cm="1">
        <f t="array" aca="1" ref="C238" ca="1">IF(ISNUMBER(_xll.VoseSimPercentile(Out_Cal_6,0.05)),_xll.VoseSimPercentile(Out_Cal_6,0.05),NA())</f>
        <v>4.888433657105983</v>
      </c>
      <c r="D238" s="69" cm="1">
        <f t="array" aca="1" ref="D238" ca="1">IF(ISNUMBER(_xll.VoseSimPercentile(Out_Cal_6,0.5)),_xll.VoseSimPercentile(Out_Cal_6,0.5),NA())</f>
        <v>7.6588622274257183</v>
      </c>
      <c r="E238" s="69" cm="1">
        <f t="array" aca="1" ref="E238" ca="1">IF(ISNUMBER(_xll.VoseSimPercentile(Out_Cal_6,0.95)),_xll.VoseSimPercentile(Out_Cal_6,0.95),NA())</f>
        <v>10.942857326227804</v>
      </c>
      <c r="F238" s="69" cm="1">
        <f t="array" aca="1" ref="F238" ca="1">IF(ISNUMBER(_xll.VoseSimMean(Out_Cal_6)),_xll.VoseSimMean(Out_Cal_6),NA())</f>
        <v>7.7619192812206137</v>
      </c>
    </row>
    <row r="239" spans="2:7" hidden="1" outlineLevel="1" x14ac:dyDescent="0.45">
      <c r="B239" s="73" t="s">
        <v>258</v>
      </c>
      <c r="C239" s="69" cm="1">
        <f t="array" aca="1" ref="C239" ca="1">IF(ISNUMBER(_xll.VoseSimPercentile(Out_Cal_7,0.05)),_xll.VoseSimPercentile(Out_Cal_7,0.05),NA())</f>
        <v>4.1897057388984189</v>
      </c>
      <c r="D239" s="69" cm="1">
        <f t="array" aca="1" ref="D239" ca="1">IF(ISNUMBER(_xll.VoseSimPercentile(Out_Cal_7,0.5)),_xll.VoseSimPercentile(Out_Cal_7,0.5),NA())</f>
        <v>6.6785079600912916</v>
      </c>
      <c r="E239" s="69" cm="1">
        <f t="array" aca="1" ref="E239" ca="1">IF(ISNUMBER(_xll.VoseSimPercentile(Out_Cal_7,0.95)),_xll.VoseSimPercentile(Out_Cal_7,0.95),NA())</f>
        <v>9.7092009754664872</v>
      </c>
      <c r="F239" s="69" cm="1">
        <f t="array" aca="1" ref="F239" ca="1">IF(ISNUMBER(_xll.VoseSimMean(Out_Cal_7)),_xll.VoseSimMean(Out_Cal_7),NA())</f>
        <v>6.7708684745869085</v>
      </c>
    </row>
    <row r="240" spans="2:7" hidden="1" outlineLevel="1" x14ac:dyDescent="0.45">
      <c r="B240" s="73" t="s">
        <v>259</v>
      </c>
      <c r="C240" s="69" cm="1">
        <f t="array" aca="1" ref="C240" ca="1">IF(ISNUMBER(_xll.VoseSimPercentile(Out_Cal_8,0.05)),_xll.VoseSimPercentile(Out_Cal_8,0.05),NA())</f>
        <v>3.6646034207608009</v>
      </c>
      <c r="D240" s="69" cm="1">
        <f t="array" aca="1" ref="D240" ca="1">IF(ISNUMBER(_xll.VoseSimPercentile(Out_Cal_8,0.5)),_xll.VoseSimPercentile(Out_Cal_8,0.5),NA())</f>
        <v>5.9043238878057576</v>
      </c>
      <c r="E240" s="69" cm="1">
        <f t="array" aca="1" ref="E240" ca="1">IF(ISNUMBER(_xll.VoseSimPercentile(Out_Cal_8,0.95)),_xll.VoseSimPercentile(Out_Cal_8,0.95),NA())</f>
        <v>8.7066242353360277</v>
      </c>
      <c r="F240" s="69" cm="1">
        <f t="array" aca="1" ref="F240" ca="1">IF(ISNUMBER(_xll.VoseSimMean(Out_Cal_8)),_xll.VoseSimMean(Out_Cal_8),NA())</f>
        <v>6.0190844451712282</v>
      </c>
    </row>
    <row r="241" spans="2:6" hidden="1" outlineLevel="1" x14ac:dyDescent="0.45">
      <c r="B241" s="73" t="s">
        <v>260</v>
      </c>
      <c r="C241" s="69" cm="1">
        <f t="array" aca="1" ref="C241" ca="1">IF(ISNUMBER(_xll.VoseSimPercentile(Out_Cal_9,0.05)),_xll.VoseSimPercentile(Out_Cal_9,0.05),NA())</f>
        <v>2.5838879139601199</v>
      </c>
      <c r="D241" s="69" cm="1">
        <f t="array" aca="1" ref="D241" ca="1">IF(ISNUMBER(_xll.VoseSimPercentile(Out_Cal_9,0.5)),_xll.VoseSimPercentile(Out_Cal_9,0.5),NA())</f>
        <v>4.4332158115626381</v>
      </c>
      <c r="E241" s="69" cm="1">
        <f t="array" aca="1" ref="E241" ca="1">IF(ISNUMBER(_xll.VoseSimPercentile(Out_Cal_9,0.95)),_xll.VoseSimPercentile(Out_Cal_9,0.95),NA())</f>
        <v>6.8168814929476973</v>
      </c>
      <c r="F241" s="69" cm="1">
        <f t="array" aca="1" ref="F241" ca="1">IF(ISNUMBER(_xll.VoseSimMean(Out_Cal_9)),_xll.VoseSimMean(Out_Cal_9),NA())</f>
        <v>4.5321878030333602</v>
      </c>
    </row>
    <row r="242" spans="2:6" hidden="1" outlineLevel="1" x14ac:dyDescent="0.45">
      <c r="B242" s="73" t="s">
        <v>261</v>
      </c>
      <c r="C242" s="69" cm="1">
        <f t="array" aca="1" ref="C242" ca="1">IF(ISNUMBER(_xll.VoseSimPercentile(Out_Cal_10,0.05)),_xll.VoseSimPercentile(Out_Cal_10,0.05),NA())</f>
        <v>1.5241376042913914</v>
      </c>
      <c r="D242" s="69" cm="1">
        <f t="array" aca="1" ref="D242" ca="1">IF(ISNUMBER(_xll.VoseSimPercentile(Out_Cal_10,0.5)),_xll.VoseSimPercentile(Out_Cal_10,0.5),NA())</f>
        <v>2.9540214503825348</v>
      </c>
      <c r="E242" s="69" cm="1">
        <f t="array" aca="1" ref="E242" ca="1">IF(ISNUMBER(_xll.VoseSimPercentile(Out_Cal_10,0.95)),_xll.VoseSimPercentile(Out_Cal_10,0.95),NA())</f>
        <v>4.8301094035109058</v>
      </c>
      <c r="F242" s="69" cm="1">
        <f t="array" aca="1" ref="F242" ca="1">IF(ISNUMBER(_xll.VoseSimMean(Out_Cal_10)),_xll.VoseSimMean(Out_Cal_10),NA())</f>
        <v>3.0314510051235213</v>
      </c>
    </row>
    <row r="243" spans="2:6" hidden="1" outlineLevel="1" x14ac:dyDescent="0.45">
      <c r="B243" s="73" t="s">
        <v>262</v>
      </c>
      <c r="C243" s="69" cm="1">
        <f t="array" aca="1" ref="C243" ca="1">IF(ISNUMBER(_xll.VoseSimPercentile(Out_Cal_11,0.05)),_xll.VoseSimPercentile(Out_Cal_11,0.05),NA())</f>
        <v>0.54564282149216004</v>
      </c>
      <c r="D243" s="69" cm="1">
        <f t="array" aca="1" ref="D243" ca="1">IF(ISNUMBER(_xll.VoseSimPercentile(Out_Cal_11,0.5)),_xll.VoseSimPercentile(Out_Cal_11,0.5),NA())</f>
        <v>1.4531628400366934</v>
      </c>
      <c r="E243" s="69" cm="1">
        <f t="array" aca="1" ref="E243" ca="1">IF(ISNUMBER(_xll.VoseSimPercentile(Out_Cal_11,0.95)),_xll.VoseSimPercentile(Out_Cal_11,0.95),NA())</f>
        <v>2.7784898273886607</v>
      </c>
      <c r="F243" s="69" cm="1">
        <f t="array" aca="1" ref="F243" ca="1">IF(ISNUMBER(_xll.VoseSimMean(Out_Cal_11)),_xll.VoseSimMean(Out_Cal_11),NA())</f>
        <v>1.5278195433006394</v>
      </c>
    </row>
  </sheetData>
  <mergeCells count="5">
    <mergeCell ref="B42:G42"/>
    <mergeCell ref="B45:G45"/>
    <mergeCell ref="B41:G41"/>
    <mergeCell ref="B43:G43"/>
    <mergeCell ref="B44:G44"/>
  </mergeCells>
  <conditionalFormatting sqref="B7">
    <cfRule type="expression" dxfId="4" priority="2">
      <formula>LEFT($B$7,1)="✗"</formula>
    </cfRule>
  </conditionalFormatting>
  <conditionalFormatting sqref="B6:G6">
    <cfRule type="expression" dxfId="3" priority="1">
      <formula>LEFT($B$6,1)&lt;&gt;"✔"</formula>
    </cfRule>
  </conditionalFormatting>
  <conditionalFormatting sqref="C233:F243">
    <cfRule type="expression" dxfId="2" priority="5">
      <formula>ISNA(C233)</formula>
    </cfRule>
  </conditionalFormatting>
  <conditionalFormatting sqref="C103:G230">
    <cfRule type="expression" dxfId="1" priority="4">
      <formula>ISNA($C$103)</formula>
    </cfRule>
  </conditionalFormatting>
  <conditionalFormatting sqref="D51:D100">
    <cfRule type="expression" dxfId="0" priority="3">
      <formula>ISNA(D51)</formula>
    </cfRule>
  </conditionalFormatting>
  <hyperlinks>
    <hyperlink ref="B4" location="'Warranty'!A1" display="◂  Warranty"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39"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1B327-1B2E-4E79-A142-1251B576B1D5}">
  <dimension ref="A1:B1"/>
  <sheetViews>
    <sheetView workbookViewId="0"/>
  </sheetViews>
  <sheetFormatPr defaultRowHeight="14.25" x14ac:dyDescent="0.45"/>
  <sheetData>
    <row r="1" spans="1:2" x14ac:dyDescent="0.45">
      <c r="A1" s="78" t="s">
        <v>263</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2B6FC-F186-48B6-A40A-49FE28A7F25B}">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4624A-2F9C-4291-9B9D-A4918C5A4687}">
  <dimension ref="B3:B202"/>
  <sheetViews>
    <sheetView workbookViewId="0"/>
  </sheetViews>
  <sheetFormatPr defaultRowHeight="14.25" x14ac:dyDescent="0.45"/>
  <sheetData>
    <row r="3" spans="2:2" x14ac:dyDescent="0.45">
      <c r="B3">
        <v>51</v>
      </c>
    </row>
    <row r="4" spans="2:2" x14ac:dyDescent="0.45">
      <c r="B4">
        <v>133</v>
      </c>
    </row>
    <row r="5" spans="2:2" x14ac:dyDescent="0.45">
      <c r="B5">
        <v>269</v>
      </c>
    </row>
    <row r="6" spans="2:2" x14ac:dyDescent="0.45">
      <c r="B6">
        <v>336</v>
      </c>
    </row>
    <row r="7" spans="2:2" x14ac:dyDescent="0.45">
      <c r="B7">
        <v>371</v>
      </c>
    </row>
    <row r="8" spans="2:2" x14ac:dyDescent="0.45">
      <c r="B8">
        <v>315</v>
      </c>
    </row>
    <row r="9" spans="2:2" x14ac:dyDescent="0.45">
      <c r="B9">
        <v>261</v>
      </c>
    </row>
    <row r="10" spans="2:2" x14ac:dyDescent="0.45">
      <c r="B10">
        <v>171</v>
      </c>
    </row>
    <row r="11" spans="2:2" x14ac:dyDescent="0.45">
      <c r="B11">
        <v>81</v>
      </c>
    </row>
    <row r="12" spans="2:2" x14ac:dyDescent="0.45">
      <c r="B12">
        <v>12</v>
      </c>
    </row>
    <row r="13" spans="2:2" x14ac:dyDescent="0.45">
      <c r="B13">
        <v>35</v>
      </c>
    </row>
    <row r="14" spans="2:2" x14ac:dyDescent="0.45">
      <c r="B14">
        <v>162</v>
      </c>
    </row>
    <row r="15" spans="2:2" x14ac:dyDescent="0.45">
      <c r="B15">
        <v>245</v>
      </c>
    </row>
    <row r="16" spans="2:2" x14ac:dyDescent="0.45">
      <c r="B16">
        <v>342</v>
      </c>
    </row>
    <row r="17" spans="2:2" x14ac:dyDescent="0.45">
      <c r="B17">
        <v>335</v>
      </c>
    </row>
    <row r="18" spans="2:2" x14ac:dyDescent="0.45">
      <c r="B18">
        <v>340</v>
      </c>
    </row>
    <row r="19" spans="2:2" x14ac:dyDescent="0.45">
      <c r="B19">
        <v>275</v>
      </c>
    </row>
    <row r="20" spans="2:2" x14ac:dyDescent="0.45">
      <c r="B20">
        <v>159</v>
      </c>
    </row>
    <row r="21" spans="2:2" x14ac:dyDescent="0.45">
      <c r="B21">
        <v>86</v>
      </c>
    </row>
    <row r="22" spans="2:2" x14ac:dyDescent="0.45">
      <c r="B22">
        <v>21</v>
      </c>
    </row>
    <row r="23" spans="2:2" x14ac:dyDescent="0.45">
      <c r="B23">
        <v>53</v>
      </c>
    </row>
    <row r="24" spans="2:2" x14ac:dyDescent="0.45">
      <c r="B24">
        <v>184</v>
      </c>
    </row>
    <row r="25" spans="2:2" x14ac:dyDescent="0.45">
      <c r="B25">
        <v>288</v>
      </c>
    </row>
    <row r="26" spans="2:2" x14ac:dyDescent="0.45">
      <c r="B26">
        <v>365</v>
      </c>
    </row>
    <row r="27" spans="2:2" x14ac:dyDescent="0.45">
      <c r="B27">
        <v>322</v>
      </c>
    </row>
    <row r="28" spans="2:2" x14ac:dyDescent="0.45">
      <c r="B28">
        <v>355</v>
      </c>
    </row>
    <row r="29" spans="2:2" x14ac:dyDescent="0.45">
      <c r="B29">
        <v>229</v>
      </c>
    </row>
    <row r="30" spans="2:2" x14ac:dyDescent="0.45">
      <c r="B30">
        <v>135</v>
      </c>
    </row>
    <row r="31" spans="2:2" x14ac:dyDescent="0.45">
      <c r="B31">
        <v>60</v>
      </c>
    </row>
    <row r="32" spans="2:2" x14ac:dyDescent="0.45">
      <c r="B32">
        <v>9</v>
      </c>
    </row>
    <row r="33" spans="2:2" x14ac:dyDescent="0.45">
      <c r="B33">
        <v>28</v>
      </c>
    </row>
    <row r="34" spans="2:2" x14ac:dyDescent="0.45">
      <c r="B34">
        <v>150</v>
      </c>
    </row>
    <row r="35" spans="2:2" x14ac:dyDescent="0.45">
      <c r="B35">
        <v>274</v>
      </c>
    </row>
    <row r="36" spans="2:2" x14ac:dyDescent="0.45">
      <c r="B36">
        <v>329</v>
      </c>
    </row>
    <row r="37" spans="2:2" x14ac:dyDescent="0.45">
      <c r="B37">
        <v>371</v>
      </c>
    </row>
    <row r="38" spans="2:2" x14ac:dyDescent="0.45">
      <c r="B38">
        <v>316</v>
      </c>
    </row>
    <row r="39" spans="2:2" x14ac:dyDescent="0.45">
      <c r="B39">
        <v>260</v>
      </c>
    </row>
    <row r="40" spans="2:2" x14ac:dyDescent="0.45">
      <c r="B40">
        <v>162</v>
      </c>
    </row>
    <row r="41" spans="2:2" x14ac:dyDescent="0.45">
      <c r="B41">
        <v>89</v>
      </c>
    </row>
    <row r="42" spans="2:2" x14ac:dyDescent="0.45">
      <c r="B42">
        <v>21</v>
      </c>
    </row>
    <row r="43" spans="2:2" x14ac:dyDescent="0.45">
      <c r="B43">
        <v>36</v>
      </c>
    </row>
    <row r="44" spans="2:2" x14ac:dyDescent="0.45">
      <c r="B44">
        <v>158</v>
      </c>
    </row>
    <row r="45" spans="2:2" x14ac:dyDescent="0.45">
      <c r="B45">
        <v>247</v>
      </c>
    </row>
    <row r="46" spans="2:2" x14ac:dyDescent="0.45">
      <c r="B46">
        <v>319</v>
      </c>
    </row>
    <row r="47" spans="2:2" x14ac:dyDescent="0.45">
      <c r="B47">
        <v>366</v>
      </c>
    </row>
    <row r="48" spans="2:2" x14ac:dyDescent="0.45">
      <c r="B48">
        <v>351</v>
      </c>
    </row>
    <row r="49" spans="2:2" x14ac:dyDescent="0.45">
      <c r="B49">
        <v>239</v>
      </c>
    </row>
    <row r="50" spans="2:2" x14ac:dyDescent="0.45">
      <c r="B50">
        <v>162</v>
      </c>
    </row>
    <row r="51" spans="2:2" x14ac:dyDescent="0.45">
      <c r="B51">
        <v>95</v>
      </c>
    </row>
    <row r="52" spans="2:2" x14ac:dyDescent="0.45">
      <c r="B52">
        <v>27</v>
      </c>
    </row>
    <row r="53" spans="2:2" x14ac:dyDescent="0.45">
      <c r="B53">
        <v>34</v>
      </c>
    </row>
    <row r="54" spans="2:2" x14ac:dyDescent="0.45">
      <c r="B54">
        <v>138</v>
      </c>
    </row>
    <row r="55" spans="2:2" x14ac:dyDescent="0.45">
      <c r="B55">
        <v>318</v>
      </c>
    </row>
    <row r="56" spans="2:2" x14ac:dyDescent="0.45">
      <c r="B56">
        <v>462</v>
      </c>
    </row>
    <row r="57" spans="2:2" x14ac:dyDescent="0.45">
      <c r="B57">
        <v>434</v>
      </c>
    </row>
    <row r="58" spans="2:2" x14ac:dyDescent="0.45">
      <c r="B58">
        <v>331</v>
      </c>
    </row>
    <row r="59" spans="2:2" x14ac:dyDescent="0.45">
      <c r="B59">
        <v>200</v>
      </c>
    </row>
    <row r="60" spans="2:2" x14ac:dyDescent="0.45">
      <c r="B60">
        <v>64</v>
      </c>
    </row>
    <row r="61" spans="2:2" x14ac:dyDescent="0.45">
      <c r="B61">
        <v>16</v>
      </c>
    </row>
    <row r="62" spans="2:2" x14ac:dyDescent="0.45">
      <c r="B62">
        <v>3</v>
      </c>
    </row>
    <row r="63" spans="2:2" x14ac:dyDescent="0.45">
      <c r="B63">
        <v>27</v>
      </c>
    </row>
    <row r="64" spans="2:2" x14ac:dyDescent="0.45">
      <c r="B64">
        <v>123</v>
      </c>
    </row>
    <row r="65" spans="2:2" x14ac:dyDescent="0.45">
      <c r="B65">
        <v>294</v>
      </c>
    </row>
    <row r="66" spans="2:2" x14ac:dyDescent="0.45">
      <c r="B66">
        <v>430</v>
      </c>
    </row>
    <row r="67" spans="2:2" x14ac:dyDescent="0.45">
      <c r="B67">
        <v>458</v>
      </c>
    </row>
    <row r="68" spans="2:2" x14ac:dyDescent="0.45">
      <c r="B68">
        <v>362</v>
      </c>
    </row>
    <row r="69" spans="2:2" x14ac:dyDescent="0.45">
      <c r="B69">
        <v>212</v>
      </c>
    </row>
    <row r="70" spans="2:2" x14ac:dyDescent="0.45">
      <c r="B70">
        <v>70</v>
      </c>
    </row>
    <row r="71" spans="2:2" x14ac:dyDescent="0.45">
      <c r="B71">
        <v>20</v>
      </c>
    </row>
    <row r="72" spans="2:2" x14ac:dyDescent="0.45">
      <c r="B72">
        <v>4</v>
      </c>
    </row>
    <row r="73" spans="2:2" x14ac:dyDescent="0.45">
      <c r="B73">
        <v>28</v>
      </c>
    </row>
    <row r="74" spans="2:2" x14ac:dyDescent="0.45">
      <c r="B74">
        <v>135</v>
      </c>
    </row>
    <row r="75" spans="2:2" x14ac:dyDescent="0.45">
      <c r="B75">
        <v>319</v>
      </c>
    </row>
    <row r="76" spans="2:2" x14ac:dyDescent="0.45">
      <c r="B76">
        <v>468</v>
      </c>
    </row>
    <row r="77" spans="2:2" x14ac:dyDescent="0.45">
      <c r="B77">
        <v>463</v>
      </c>
    </row>
    <row r="78" spans="2:2" x14ac:dyDescent="0.45">
      <c r="B78">
        <v>311</v>
      </c>
    </row>
    <row r="79" spans="2:2" x14ac:dyDescent="0.45">
      <c r="B79">
        <v>188</v>
      </c>
    </row>
    <row r="80" spans="2:2" x14ac:dyDescent="0.45">
      <c r="B80">
        <v>68</v>
      </c>
    </row>
    <row r="81" spans="2:2" x14ac:dyDescent="0.45">
      <c r="B81">
        <v>16</v>
      </c>
    </row>
    <row r="82" spans="2:2" x14ac:dyDescent="0.45">
      <c r="B82">
        <v>4</v>
      </c>
    </row>
    <row r="83" spans="2:2" x14ac:dyDescent="0.45">
      <c r="B83">
        <v>9</v>
      </c>
    </row>
    <row r="84" spans="2:2" x14ac:dyDescent="0.45">
      <c r="B84">
        <v>90</v>
      </c>
    </row>
    <row r="85" spans="2:2" x14ac:dyDescent="0.45">
      <c r="B85">
        <v>244</v>
      </c>
    </row>
    <row r="86" spans="2:2" x14ac:dyDescent="0.45">
      <c r="B86">
        <v>417</v>
      </c>
    </row>
    <row r="87" spans="2:2" x14ac:dyDescent="0.45">
      <c r="B87">
        <v>536</v>
      </c>
    </row>
    <row r="88" spans="2:2" x14ac:dyDescent="0.45">
      <c r="B88">
        <v>386</v>
      </c>
    </row>
    <row r="89" spans="2:2" x14ac:dyDescent="0.45">
      <c r="B89">
        <v>204</v>
      </c>
    </row>
    <row r="90" spans="2:2" x14ac:dyDescent="0.45">
      <c r="B90">
        <v>83</v>
      </c>
    </row>
    <row r="91" spans="2:2" x14ac:dyDescent="0.45">
      <c r="B91">
        <v>24</v>
      </c>
    </row>
    <row r="92" spans="2:2" x14ac:dyDescent="0.45">
      <c r="B92">
        <v>7</v>
      </c>
    </row>
    <row r="93" spans="2:2" x14ac:dyDescent="0.45">
      <c r="B93">
        <v>28</v>
      </c>
    </row>
    <row r="94" spans="2:2" x14ac:dyDescent="0.45">
      <c r="B94">
        <v>161</v>
      </c>
    </row>
    <row r="95" spans="2:2" x14ac:dyDescent="0.45">
      <c r="B95">
        <v>354</v>
      </c>
    </row>
    <row r="96" spans="2:2" x14ac:dyDescent="0.45">
      <c r="B96">
        <v>435</v>
      </c>
    </row>
    <row r="97" spans="2:2" x14ac:dyDescent="0.45">
      <c r="B97">
        <v>419</v>
      </c>
    </row>
    <row r="98" spans="2:2" x14ac:dyDescent="0.45">
      <c r="B98">
        <v>306</v>
      </c>
    </row>
    <row r="99" spans="2:2" x14ac:dyDescent="0.45">
      <c r="B99">
        <v>188</v>
      </c>
    </row>
    <row r="100" spans="2:2" x14ac:dyDescent="0.45">
      <c r="B100">
        <v>77</v>
      </c>
    </row>
    <row r="101" spans="2:2" x14ac:dyDescent="0.45">
      <c r="B101">
        <v>21</v>
      </c>
    </row>
    <row r="102" spans="2:2" x14ac:dyDescent="0.45">
      <c r="B102">
        <v>11</v>
      </c>
    </row>
    <row r="103" spans="2:2" x14ac:dyDescent="0.45">
      <c r="B103">
        <v>14</v>
      </c>
    </row>
    <row r="104" spans="2:2" x14ac:dyDescent="0.45">
      <c r="B104">
        <v>128</v>
      </c>
    </row>
    <row r="105" spans="2:2" x14ac:dyDescent="0.45">
      <c r="B105">
        <v>352</v>
      </c>
    </row>
    <row r="106" spans="2:2" x14ac:dyDescent="0.45">
      <c r="B106">
        <v>578</v>
      </c>
    </row>
    <row r="107" spans="2:2" x14ac:dyDescent="0.45">
      <c r="B107">
        <v>474</v>
      </c>
    </row>
    <row r="108" spans="2:2" x14ac:dyDescent="0.45">
      <c r="B108">
        <v>294</v>
      </c>
    </row>
    <row r="109" spans="2:2" x14ac:dyDescent="0.45">
      <c r="B109">
        <v>111</v>
      </c>
    </row>
    <row r="110" spans="2:2" x14ac:dyDescent="0.45">
      <c r="B110">
        <v>39</v>
      </c>
    </row>
    <row r="111" spans="2:2" x14ac:dyDescent="0.45">
      <c r="B111">
        <v>9</v>
      </c>
    </row>
    <row r="112" spans="2:2" x14ac:dyDescent="0.45">
      <c r="B112">
        <v>1</v>
      </c>
    </row>
    <row r="113" spans="2:2" x14ac:dyDescent="0.45">
      <c r="B113">
        <v>13</v>
      </c>
    </row>
    <row r="114" spans="2:2" x14ac:dyDescent="0.45">
      <c r="B114">
        <v>82</v>
      </c>
    </row>
    <row r="115" spans="2:2" x14ac:dyDescent="0.45">
      <c r="B115">
        <v>273</v>
      </c>
    </row>
    <row r="116" spans="2:2" x14ac:dyDescent="0.45">
      <c r="B116">
        <v>420</v>
      </c>
    </row>
    <row r="117" spans="2:2" x14ac:dyDescent="0.45">
      <c r="B117">
        <v>428</v>
      </c>
    </row>
    <row r="118" spans="2:2" x14ac:dyDescent="0.45">
      <c r="B118">
        <v>388</v>
      </c>
    </row>
    <row r="119" spans="2:2" x14ac:dyDescent="0.45">
      <c r="B119">
        <v>214</v>
      </c>
    </row>
    <row r="120" spans="2:2" x14ac:dyDescent="0.45">
      <c r="B120">
        <v>122</v>
      </c>
    </row>
    <row r="121" spans="2:2" x14ac:dyDescent="0.45">
      <c r="B121">
        <v>46</v>
      </c>
    </row>
    <row r="122" spans="2:2" x14ac:dyDescent="0.45">
      <c r="B122">
        <v>14</v>
      </c>
    </row>
    <row r="123" spans="2:2" x14ac:dyDescent="0.45">
      <c r="B123">
        <v>34</v>
      </c>
    </row>
    <row r="124" spans="2:2" x14ac:dyDescent="0.45">
      <c r="B124">
        <v>225</v>
      </c>
    </row>
    <row r="125" spans="2:2" x14ac:dyDescent="0.45">
      <c r="B125">
        <v>499</v>
      </c>
    </row>
    <row r="126" spans="2:2" x14ac:dyDescent="0.45">
      <c r="B126">
        <v>546</v>
      </c>
    </row>
    <row r="127" spans="2:2" x14ac:dyDescent="0.45">
      <c r="B127">
        <v>393</v>
      </c>
    </row>
    <row r="128" spans="2:2" x14ac:dyDescent="0.45">
      <c r="B128">
        <v>206</v>
      </c>
    </row>
    <row r="129" spans="2:2" x14ac:dyDescent="0.45">
      <c r="B129">
        <v>76</v>
      </c>
    </row>
    <row r="130" spans="2:2" x14ac:dyDescent="0.45">
      <c r="B130">
        <v>18</v>
      </c>
    </row>
    <row r="131" spans="2:2" x14ac:dyDescent="0.45">
      <c r="B131">
        <v>2</v>
      </c>
    </row>
    <row r="132" spans="2:2" x14ac:dyDescent="0.45">
      <c r="B132">
        <v>1</v>
      </c>
    </row>
    <row r="133" spans="2:2" x14ac:dyDescent="0.45">
      <c r="B133">
        <v>10</v>
      </c>
    </row>
    <row r="134" spans="2:2" x14ac:dyDescent="0.45">
      <c r="B134">
        <v>61</v>
      </c>
    </row>
    <row r="135" spans="2:2" x14ac:dyDescent="0.45">
      <c r="B135">
        <v>269</v>
      </c>
    </row>
    <row r="136" spans="2:2" x14ac:dyDescent="0.45">
      <c r="B136">
        <v>428</v>
      </c>
    </row>
    <row r="137" spans="2:2" x14ac:dyDescent="0.45">
      <c r="B137">
        <v>516</v>
      </c>
    </row>
    <row r="138" spans="2:2" x14ac:dyDescent="0.45">
      <c r="B138">
        <v>415</v>
      </c>
    </row>
    <row r="139" spans="2:2" x14ac:dyDescent="0.45">
      <c r="B139">
        <v>201</v>
      </c>
    </row>
    <row r="140" spans="2:2" x14ac:dyDescent="0.45">
      <c r="B140">
        <v>64</v>
      </c>
    </row>
    <row r="141" spans="2:2" x14ac:dyDescent="0.45">
      <c r="B141">
        <v>29</v>
      </c>
    </row>
    <row r="142" spans="2:2" x14ac:dyDescent="0.45">
      <c r="B142">
        <v>7</v>
      </c>
    </row>
    <row r="143" spans="2:2" x14ac:dyDescent="0.45">
      <c r="B143">
        <v>55</v>
      </c>
    </row>
    <row r="144" spans="2:2" x14ac:dyDescent="0.45">
      <c r="B144">
        <v>239</v>
      </c>
    </row>
    <row r="145" spans="2:2" x14ac:dyDescent="0.45">
      <c r="B145">
        <v>489</v>
      </c>
    </row>
    <row r="146" spans="2:2" x14ac:dyDescent="0.45">
      <c r="B146">
        <v>525</v>
      </c>
    </row>
    <row r="147" spans="2:2" x14ac:dyDescent="0.45">
      <c r="B147">
        <v>426</v>
      </c>
    </row>
    <row r="148" spans="2:2" x14ac:dyDescent="0.45">
      <c r="B148">
        <v>192</v>
      </c>
    </row>
    <row r="149" spans="2:2" x14ac:dyDescent="0.45">
      <c r="B149">
        <v>57</v>
      </c>
    </row>
    <row r="150" spans="2:2" x14ac:dyDescent="0.45">
      <c r="B150">
        <v>15</v>
      </c>
    </row>
    <row r="151" spans="2:2" x14ac:dyDescent="0.45">
      <c r="B151">
        <v>1</v>
      </c>
    </row>
    <row r="152" spans="2:2" x14ac:dyDescent="0.45">
      <c r="B152">
        <v>1</v>
      </c>
    </row>
    <row r="153" spans="2:2" x14ac:dyDescent="0.45">
      <c r="B153">
        <v>10</v>
      </c>
    </row>
    <row r="154" spans="2:2" x14ac:dyDescent="0.45">
      <c r="B154">
        <v>97</v>
      </c>
    </row>
    <row r="155" spans="2:2" x14ac:dyDescent="0.45">
      <c r="B155">
        <v>351</v>
      </c>
    </row>
    <row r="156" spans="2:2" x14ac:dyDescent="0.45">
      <c r="B156">
        <v>562</v>
      </c>
    </row>
    <row r="157" spans="2:2" x14ac:dyDescent="0.45">
      <c r="B157">
        <v>557</v>
      </c>
    </row>
    <row r="158" spans="2:2" x14ac:dyDescent="0.45">
      <c r="B158">
        <v>296</v>
      </c>
    </row>
    <row r="159" spans="2:2" x14ac:dyDescent="0.45">
      <c r="B159">
        <v>92</v>
      </c>
    </row>
    <row r="160" spans="2:2" x14ac:dyDescent="0.45">
      <c r="B160">
        <v>32</v>
      </c>
    </row>
    <row r="161" spans="2:2" x14ac:dyDescent="0.45">
      <c r="B161">
        <v>2</v>
      </c>
    </row>
    <row r="162" spans="2:2" x14ac:dyDescent="0.45">
      <c r="B162">
        <v>1</v>
      </c>
    </row>
    <row r="163" spans="2:2" x14ac:dyDescent="0.45">
      <c r="B163">
        <v>24</v>
      </c>
    </row>
    <row r="164" spans="2:2" x14ac:dyDescent="0.45">
      <c r="B164">
        <v>163</v>
      </c>
    </row>
    <row r="165" spans="2:2" x14ac:dyDescent="0.45">
      <c r="B165">
        <v>389</v>
      </c>
    </row>
    <row r="166" spans="2:2" x14ac:dyDescent="0.45">
      <c r="B166">
        <v>497</v>
      </c>
    </row>
    <row r="167" spans="2:2" x14ac:dyDescent="0.45">
      <c r="B167">
        <v>474</v>
      </c>
    </row>
    <row r="168" spans="2:2" x14ac:dyDescent="0.45">
      <c r="B168">
        <v>272</v>
      </c>
    </row>
    <row r="169" spans="2:2" x14ac:dyDescent="0.45">
      <c r="B169">
        <v>128</v>
      </c>
    </row>
    <row r="170" spans="2:2" x14ac:dyDescent="0.45">
      <c r="B170">
        <v>36</v>
      </c>
    </row>
    <row r="171" spans="2:2" x14ac:dyDescent="0.45">
      <c r="B171">
        <v>13</v>
      </c>
    </row>
    <row r="172" spans="2:2" x14ac:dyDescent="0.45">
      <c r="B172">
        <v>4</v>
      </c>
    </row>
    <row r="173" spans="2:2" x14ac:dyDescent="0.45">
      <c r="B173">
        <v>34</v>
      </c>
    </row>
    <row r="174" spans="2:2" x14ac:dyDescent="0.45">
      <c r="B174">
        <v>179</v>
      </c>
    </row>
    <row r="175" spans="2:2" x14ac:dyDescent="0.45">
      <c r="B175">
        <v>373</v>
      </c>
    </row>
    <row r="176" spans="2:2" x14ac:dyDescent="0.45">
      <c r="B176">
        <v>510</v>
      </c>
    </row>
    <row r="177" spans="2:2" x14ac:dyDescent="0.45">
      <c r="B177">
        <v>444</v>
      </c>
    </row>
    <row r="178" spans="2:2" x14ac:dyDescent="0.45">
      <c r="B178">
        <v>268</v>
      </c>
    </row>
    <row r="179" spans="2:2" x14ac:dyDescent="0.45">
      <c r="B179">
        <v>130</v>
      </c>
    </row>
    <row r="180" spans="2:2" x14ac:dyDescent="0.45">
      <c r="B180">
        <v>50</v>
      </c>
    </row>
    <row r="181" spans="2:2" x14ac:dyDescent="0.45">
      <c r="B181">
        <v>9</v>
      </c>
    </row>
    <row r="182" spans="2:2" x14ac:dyDescent="0.45">
      <c r="B182">
        <v>3</v>
      </c>
    </row>
    <row r="183" spans="2:2" x14ac:dyDescent="0.45">
      <c r="B183">
        <v>19</v>
      </c>
    </row>
    <row r="184" spans="2:2" x14ac:dyDescent="0.45">
      <c r="B184">
        <v>170</v>
      </c>
    </row>
    <row r="185" spans="2:2" x14ac:dyDescent="0.45">
      <c r="B185">
        <v>514</v>
      </c>
    </row>
    <row r="186" spans="2:2" x14ac:dyDescent="0.45">
      <c r="B186">
        <v>605</v>
      </c>
    </row>
    <row r="187" spans="2:2" x14ac:dyDescent="0.45">
      <c r="B187">
        <v>437</v>
      </c>
    </row>
    <row r="188" spans="2:2" x14ac:dyDescent="0.45">
      <c r="B188">
        <v>179</v>
      </c>
    </row>
    <row r="189" spans="2:2" x14ac:dyDescent="0.45">
      <c r="B189">
        <v>52</v>
      </c>
    </row>
    <row r="190" spans="2:2" x14ac:dyDescent="0.45">
      <c r="B190">
        <v>17</v>
      </c>
    </row>
    <row r="191" spans="2:2" x14ac:dyDescent="0.45">
      <c r="B191">
        <v>6</v>
      </c>
    </row>
    <row r="192" spans="2:2" x14ac:dyDescent="0.45">
      <c r="B192">
        <v>1</v>
      </c>
    </row>
    <row r="193" spans="2:2" x14ac:dyDescent="0.45">
      <c r="B193">
        <v>62</v>
      </c>
    </row>
    <row r="194" spans="2:2" x14ac:dyDescent="0.45">
      <c r="B194">
        <v>354</v>
      </c>
    </row>
    <row r="195" spans="2:2" x14ac:dyDescent="0.45">
      <c r="B195">
        <v>585</v>
      </c>
    </row>
    <row r="196" spans="2:2" x14ac:dyDescent="0.45">
      <c r="B196">
        <v>506</v>
      </c>
    </row>
    <row r="197" spans="2:2" x14ac:dyDescent="0.45">
      <c r="B197">
        <v>292</v>
      </c>
    </row>
    <row r="198" spans="2:2" x14ac:dyDescent="0.45">
      <c r="B198">
        <v>132</v>
      </c>
    </row>
    <row r="199" spans="2:2" x14ac:dyDescent="0.45">
      <c r="B199">
        <v>46</v>
      </c>
    </row>
    <row r="200" spans="2:2" x14ac:dyDescent="0.45">
      <c r="B200">
        <v>12</v>
      </c>
    </row>
    <row r="201" spans="2:2" x14ac:dyDescent="0.45">
      <c r="B201">
        <v>7</v>
      </c>
    </row>
    <row r="202" spans="2:2" x14ac:dyDescent="0.45">
      <c r="B202">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455B1785-FB81-4217-9C22-064241C03A41}">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79</vt:i4>
      </vt:variant>
    </vt:vector>
  </HeadingPairs>
  <TitlesOfParts>
    <vt:vector size="86" baseType="lpstr">
      <vt:lpstr>About</vt:lpstr>
      <vt:lpstr>Inputs</vt:lpstr>
      <vt:lpstr>Warranty</vt:lpstr>
      <vt:lpstr>Results</vt:lpstr>
      <vt:lpstr>ModelRiskDSN</vt:lpstr>
      <vt:lpstr>ModelRiskSYS1</vt:lpstr>
      <vt:lpstr>ModelRiskCharts</vt:lpstr>
      <vt:lpstr>BaseRate</vt:lpstr>
      <vt:lpstr>Cal_1</vt:lpstr>
      <vt:lpstr>Cal_10</vt:lpstr>
      <vt:lpstr>Cal_11</vt:lpstr>
      <vt:lpstr>Cal_2</vt:lpstr>
      <vt:lpstr>Cal_3</vt:lpstr>
      <vt:lpstr>Cal_4</vt:lpstr>
      <vt:lpstr>Cal_5</vt:lpstr>
      <vt:lpstr>Cal_6</vt:lpstr>
      <vt:lpstr>Cal_7</vt:lpstr>
      <vt:lpstr>Cal_8</vt:lpstr>
      <vt:lpstr>Cal_9</vt:lpstr>
      <vt:lpstr>Checks</vt:lpstr>
      <vt:lpstr>ClaimCost</vt:lpstr>
      <vt:lpstr>ClaimMean</vt:lpstr>
      <vt:lpstr>ClaimRate</vt:lpstr>
      <vt:lpstr>Claims_1</vt:lpstr>
      <vt:lpstr>Claims_2</vt:lpstr>
      <vt:lpstr>Claims_3</vt:lpstr>
      <vt:lpstr>Claims_4</vt:lpstr>
      <vt:lpstr>ClaimSD</vt:lpstr>
      <vt:lpstr>ClaimsTotal</vt:lpstr>
      <vt:lpstr>CostTotal</vt:lpstr>
      <vt:lpstr>ExpClaims</vt:lpstr>
      <vt:lpstr>ExpCost</vt:lpstr>
      <vt:lpstr>ExpRate</vt:lpstr>
      <vt:lpstr>ExpTools</vt:lpstr>
      <vt:lpstr>FailTime</vt:lpstr>
      <vt:lpstr>FieldClaims</vt:lpstr>
      <vt:lpstr>FieldRate</vt:lpstr>
      <vt:lpstr>FieldUnits</vt:lpstr>
      <vt:lpstr>InputMeans</vt:lpstr>
      <vt:lpstr>Out_Cal_1</vt:lpstr>
      <vt:lpstr>Out_Cal_10</vt:lpstr>
      <vt:lpstr>Out_Cal_11</vt:lpstr>
      <vt:lpstr>Out_Cal_2</vt:lpstr>
      <vt:lpstr>Out_Cal_3</vt:lpstr>
      <vt:lpstr>Out_Cal_4</vt:lpstr>
      <vt:lpstr>Out_Cal_5</vt:lpstr>
      <vt:lpstr>Out_Cal_6</vt:lpstr>
      <vt:lpstr>Out_Cal_7</vt:lpstr>
      <vt:lpstr>Out_Cal_8</vt:lpstr>
      <vt:lpstr>Out_Cal_9</vt:lpstr>
      <vt:lpstr>Out_Claims</vt:lpstr>
      <vt:lpstr>Out_Cost</vt:lpstr>
      <vt:lpstr>Out_PerUnit</vt:lpstr>
      <vt:lpstr>Out_Reserve</vt:lpstr>
      <vt:lpstr>Results!Print_Area</vt:lpstr>
      <vt:lpstr>Inputs!Print_Titles</vt:lpstr>
      <vt:lpstr>Results!Print_Titles</vt:lpstr>
      <vt:lpstr>Redesign</vt:lpstr>
      <vt:lpstr>Redesign_Hi</vt:lpstr>
      <vt:lpstr>Redesign_Lo</vt:lpstr>
      <vt:lpstr>Redesign_Mean</vt:lpstr>
      <vt:lpstr>Redesign_ML</vt:lpstr>
      <vt:lpstr>Sales_1</vt:lpstr>
      <vt:lpstr>Sales_1_Hi</vt:lpstr>
      <vt:lpstr>Sales_1_Lo</vt:lpstr>
      <vt:lpstr>Sales_1_Mean</vt:lpstr>
      <vt:lpstr>Sales_1_ML</vt:lpstr>
      <vt:lpstr>Sales_2</vt:lpstr>
      <vt:lpstr>Sales_2_Hi</vt:lpstr>
      <vt:lpstr>Sales_2_Lo</vt:lpstr>
      <vt:lpstr>Sales_2_Mean</vt:lpstr>
      <vt:lpstr>Sales_2_ML</vt:lpstr>
      <vt:lpstr>Sales_3</vt:lpstr>
      <vt:lpstr>Sales_3_Hi</vt:lpstr>
      <vt:lpstr>Sales_3_Lo</vt:lpstr>
      <vt:lpstr>Sales_3_Mean</vt:lpstr>
      <vt:lpstr>Sales_3_ML</vt:lpstr>
      <vt:lpstr>Sales_4</vt:lpstr>
      <vt:lpstr>Sales_4_Hi</vt:lpstr>
      <vt:lpstr>Sales_4_Lo</vt:lpstr>
      <vt:lpstr>Sales_4_Mean</vt:lpstr>
      <vt:lpstr>Sales_4_ML</vt:lpstr>
      <vt:lpstr>UnitsSold</vt:lpstr>
      <vt:lpstr>WarrantyYears</vt:lpstr>
      <vt:lpstr>WScale</vt:lpstr>
      <vt:lpstr>WShape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MF-05 Warranty Cost Forecast</dc:title>
  <dc:subject>ModelRisk industry example library — Manufacturing</dc:subject>
  <dc:creator>Vose Software</dc:creator>
  <cp:keywords>ModelRisk; Monte Carlo; Manufacturing</cp:keywords>
  <dc:description>This year's sales running off through a two-year warranty: warranty cost per tool, claims by quarter and the year-end reserve.</dc:description>
  <cp:lastModifiedBy>Timour Koupeev</cp:lastModifiedBy>
  <cp:lastPrinted>2026-10-05T10:52:05Z</cp:lastPrinted>
  <dcterms:created xsi:type="dcterms:W3CDTF">2026-10-05T10:47:00Z</dcterms:created>
  <dcterms:modified xsi:type="dcterms:W3CDTF">2026-10-05T10:52:07Z</dcterms:modified>
</cp:coreProperties>
</file>