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TimourKoupeev\source\repos\ModelRisk-Examples\models\Manufacturing\"/>
    </mc:Choice>
  </mc:AlternateContent>
  <xr:revisionPtr revIDLastSave="0" documentId="8_{9DFA179D-65F6-4792-81EF-310CE7944D0E}" xr6:coauthVersionLast="47" xr6:coauthVersionMax="47" xr10:uidLastSave="{00000000-0000-0000-0000-000000000000}"/>
  <bookViews>
    <workbookView xWindow="-98" yWindow="-98" windowWidth="21795" windowHeight="12975" xr2:uid="{00000000-000D-0000-FFFF-FFFF00000000}"/>
  </bookViews>
  <sheets>
    <sheet name="About" sheetId="1" r:id="rId1"/>
    <sheet name="Inputs" sheetId="2" r:id="rId2"/>
    <sheet name="Data" sheetId="3" r:id="rId3"/>
    <sheet name="Failures" sheetId="4" r:id="rId4"/>
    <sheet name="Results" sheetId="5" r:id="rId5"/>
    <sheet name="ModelRiskDSN" sheetId="6" state="hidden" r:id="rId6"/>
    <sheet name="ModelRiskSYS1" sheetId="7" state="hidden" r:id="rId7"/>
    <sheet name="ModelRiskCharts" sheetId="8" state="hidden" r:id="rId8"/>
  </sheets>
  <definedNames>
    <definedName name="Checks">Failures!$F$89:$F$90</definedName>
    <definedName name="CostHour">Inputs!$D$11</definedName>
    <definedName name="Down_Cap">Failures!$F$68</definedName>
    <definedName name="Down_CapS">Failures!$G$68</definedName>
    <definedName name="Down_Fil">Failures!$D$68</definedName>
    <definedName name="Down_Lab">Failures!$I$68</definedName>
    <definedName name="Down_Pak">Failures!$K$68</definedName>
    <definedName name="ExpDown_Cap">Failures!$H$19</definedName>
    <definedName name="ExpDown_Fil">Failures!$H$18</definedName>
    <definedName name="ExpDown_Lab">Failures!$H$20</definedName>
    <definedName name="ExpDown_Pak">Failures!$H$21</definedName>
    <definedName name="Fails_Cap">Failures!$E$67</definedName>
    <definedName name="Fails_Fil">Failures!$C$67</definedName>
    <definedName name="Fails_Lab">Failures!$H$67</definedName>
    <definedName name="Fails_Pak">Failures!$J$67</definedName>
    <definedName name="FillerTTF">Data!$C$9:INDEX(Data!$C$9:$C$508,COUNT(Data!$C$9:$C$508))</definedName>
    <definedName name="FitScale">Failures!$D$10</definedName>
    <definedName name="FitShape">Failures!$D$9</definedName>
    <definedName name="Last_Cap">Failures!$E$66</definedName>
    <definedName name="Last_Fil">Failures!$C$66</definedName>
    <definedName name="Last_Lab">Failures!$H$66</definedName>
    <definedName name="Last_Pak">Failures!$J$66</definedName>
    <definedName name="MTBF_Cap">Failures!$E$19</definedName>
    <definedName name="MTBF_Fil">Failures!$E$18</definedName>
    <definedName name="MTBF_Lab">Failures!$E$20</definedName>
    <definedName name="MTBF_Pak">Failures!$E$21</definedName>
    <definedName name="Out_Avail">Failures!$E$75</definedName>
    <definedName name="Out_Down">Failures!$E$73</definedName>
    <definedName name="Out_Down_Cap">Failures!$E$79</definedName>
    <definedName name="Out_Down_Fil">Failures!$E$78</definedName>
    <definedName name="Out_Down_Lab">Failures!$E$80</definedName>
    <definedName name="Out_Down_Pak">Failures!$E$81</definedName>
    <definedName name="Out_DownS">Failures!$E$74</definedName>
    <definedName name="Out_Fails_Cap">Failures!$E$83</definedName>
    <definedName name="Out_Fails_Fil">Failures!$E$82</definedName>
    <definedName name="Out_Fails_Lab">Failures!$E$84</definedName>
    <definedName name="Out_Fails_Pak">Failures!$E$85</definedName>
    <definedName name="Out_Lost">Failures!$E$76</definedName>
    <definedName name="Out_Net">Failures!$E$77</definedName>
    <definedName name="_xlnm.Print_Area" localSheetId="4">Results!$A$1:$R$47</definedName>
    <definedName name="_xlnm.Print_Titles" localSheetId="1">Inputs!$1:$4</definedName>
    <definedName name="_xlnm.Print_Titles" localSheetId="4">Results!$1:$4</definedName>
    <definedName name="RepM_Cap">Inputs!$D$22</definedName>
    <definedName name="RepM_Fil">Inputs!$D$18</definedName>
    <definedName name="RepM_Lab">Inputs!$D$26</definedName>
    <definedName name="RepM_Pak">Inputs!$D$30</definedName>
    <definedName name="RepS_Cap">Inputs!$D$23</definedName>
    <definedName name="RepS_Fil">Inputs!$D$19</definedName>
    <definedName name="RepS_Lab">Inputs!$D$27</definedName>
    <definedName name="RepS_Pak">Inputs!$D$31</definedName>
    <definedName name="Scale_Cap">Inputs!$D$21</definedName>
    <definedName name="Scale_Fil">Failures!$D$12</definedName>
    <definedName name="Scale_Lab">Inputs!$D$25</definedName>
    <definedName name="Scale_Pak">Inputs!$D$29</definedName>
    <definedName name="SchedHours">Inputs!$D$10</definedName>
    <definedName name="Shape_Cap">Inputs!$D$20</definedName>
    <definedName name="Shape_Fil">Failures!$D$11</definedName>
    <definedName name="Shape_Lab">Inputs!$D$24</definedName>
    <definedName name="Shape_Pak">Inputs!$D$28</definedName>
    <definedName name="Show_Scale_Fil">Inputs!$D$17</definedName>
    <definedName name="Show_Shape_Fil">Inputs!$D$16</definedName>
    <definedName name="SimOpt_AccountDomain" hidden="1">""</definedName>
    <definedName name="SimOpt_AccountName" hidden="1">""</definedName>
    <definedName name="SimOpt_AccountPassword" hidden="1">""</definedName>
    <definedName name="SimOpt_CheckPrecisionAfter" hidden="1">10</definedName>
    <definedName name="SimOpt_GotoSample" hidden="1">0</definedName>
    <definedName name="SimOpt_Macros0" hidden="1">""</definedName>
    <definedName name="SimOpt_Macros1" hidden="1">""</definedName>
    <definedName name="SimOpt_Macros2" hidden="1">""</definedName>
    <definedName name="SimOpt_Macros3" hidden="1">""</definedName>
    <definedName name="SimOpt_MacrosUsage" hidden="1">0</definedName>
    <definedName name="SimOpt_MinSimBufferSize" hidden="1">0</definedName>
    <definedName name="SimOpt_RefreshExcel" hidden="1">0</definedName>
    <definedName name="SimOpt_RefreshRate" hidden="1">1</definedName>
    <definedName name="SimOpt_SamplesCount" hidden="1">10000</definedName>
    <definedName name="SimOpt_Seed0" hidden="1">1</definedName>
    <definedName name="SimOpt_SeedFixed" hidden="1">1</definedName>
    <definedName name="SimOpt_SeedMultiplyType" hidden="1">0</definedName>
    <definedName name="SimOpt_ServerAddress" hidden="1">""</definedName>
    <definedName name="SimOpt_ShowResultsAtEnd" hidden="1">1</definedName>
    <definedName name="SimOpt_ShowSparklines" hidden="1">0</definedName>
    <definedName name="SimOpt_SimsCount" hidden="1">1</definedName>
    <definedName name="SimOpt_SkipTurboConsistency" hidden="1">0</definedName>
    <definedName name="SimOpt_StopOnOutputError" hidden="1">0</definedName>
    <definedName name="SimOpt_TurboParityChecked" hidden="1">0</definedName>
    <definedName name="SimOpt_UploadEnabled" hidden="1">0</definedName>
    <definedName name="SimOpt_UploadModel" hidden="1">0</definedName>
    <definedName name="SimOpt_UploadProfile" hidden="1">"MODELRISK"</definedName>
    <definedName name="SimOpt_UploadRemotely" hidden="1">0</definedName>
    <definedName name="SimOpt_UseTurboByDefault" hidden="1">0</definedName>
    <definedName name="StandbyCost">Inputs!$D$37</definedName>
    <definedName name="SwitchTime">Inputs!$D$36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02" i="5" l="1"/>
  <c r="C101" i="5"/>
  <c r="C100" i="5"/>
  <c r="C99" i="5"/>
  <c r="C98" i="5"/>
  <c r="C97" i="5"/>
  <c r="C96" i="5"/>
  <c r="C95" i="5"/>
  <c r="C94" i="5"/>
  <c r="C93" i="5"/>
  <c r="C92" i="5"/>
  <c r="C91" i="5"/>
  <c r="C90" i="5"/>
  <c r="C89" i="5"/>
  <c r="C88" i="5"/>
  <c r="C87" i="5"/>
  <c r="C86" i="5"/>
  <c r="C85" i="5"/>
  <c r="C84" i="5"/>
  <c r="C83" i="5"/>
  <c r="C82" i="5"/>
  <c r="C81" i="5"/>
  <c r="C80" i="5"/>
  <c r="C79" i="5"/>
  <c r="C78" i="5"/>
  <c r="C77" i="5"/>
  <c r="C76" i="5"/>
  <c r="C75" i="5"/>
  <c r="C74" i="5"/>
  <c r="C73" i="5"/>
  <c r="C72" i="5"/>
  <c r="C71" i="5"/>
  <c r="C70" i="5"/>
  <c r="C69" i="5"/>
  <c r="C68" i="5"/>
  <c r="C67" i="5"/>
  <c r="C66" i="5"/>
  <c r="C65" i="5"/>
  <c r="C64" i="5"/>
  <c r="C63" i="5"/>
  <c r="C62" i="5"/>
  <c r="C61" i="5"/>
  <c r="C60" i="5"/>
  <c r="C59" i="5"/>
  <c r="C58" i="5"/>
  <c r="C57" i="5"/>
  <c r="C56" i="5"/>
  <c r="C55" i="5"/>
  <c r="C54" i="5"/>
  <c r="C53" i="5"/>
  <c r="G25" i="5"/>
  <c r="G24" i="5"/>
  <c r="G23" i="5"/>
  <c r="G22" i="5"/>
  <c r="F21" i="4"/>
  <c r="D21" i="4"/>
  <c r="C21" i="4"/>
  <c r="F20" i="4"/>
  <c r="D20" i="4"/>
  <c r="C20" i="4"/>
  <c r="F19" i="4"/>
  <c r="D19" i="4"/>
  <c r="C19" i="4"/>
  <c r="F18" i="4"/>
  <c r="B7" i="4"/>
  <c r="F12" i="3"/>
  <c r="F11" i="3"/>
  <c r="F10" i="3"/>
  <c r="F9" i="3"/>
  <c r="K48" i="4" a="1"/>
  <c r="K42" i="4" a="1"/>
  <c r="D56" i="4" a="1"/>
  <c r="F32" i="4" a="1"/>
  <c r="K28" i="4" a="1"/>
  <c r="D51" i="4" a="1"/>
  <c r="E21" i="4" a="1"/>
  <c r="K56" i="4" a="1"/>
  <c r="I53" i="4" a="1"/>
  <c r="D29" i="4" a="1"/>
  <c r="F57" i="4" a="1"/>
  <c r="I52" i="4" a="1"/>
  <c r="D28" i="4" a="1"/>
  <c r="K66" i="4" a="1"/>
  <c r="D64" i="4" a="1"/>
  <c r="K46" i="4" a="1"/>
  <c r="F62" i="4" a="1"/>
  <c r="I51" i="4" a="1"/>
  <c r="I37" i="4" a="1"/>
  <c r="F34" i="4" a="1"/>
  <c r="I41" i="4" a="1"/>
  <c r="I65" i="4" a="1"/>
  <c r="D30" i="4" a="1"/>
  <c r="K44" i="4" a="1"/>
  <c r="I48" i="4" a="1"/>
  <c r="F64" i="4" a="1"/>
  <c r="F43" i="4" a="1"/>
  <c r="I43" i="4" a="1"/>
  <c r="F59" i="4" a="1"/>
  <c r="K59" i="4" a="1"/>
  <c r="D55" i="4" a="1"/>
  <c r="K27" i="4" a="1"/>
  <c r="F53" i="4" a="1"/>
  <c r="D36" i="4" a="1"/>
  <c r="I32" i="4" a="1"/>
  <c r="K63" i="4" a="1"/>
  <c r="D58" i="4" a="1"/>
  <c r="I45" i="4" a="1"/>
  <c r="F61" i="4" a="1"/>
  <c r="I54" i="4" a="1"/>
  <c r="D34" i="4" a="1"/>
  <c r="F36" i="4" a="1"/>
  <c r="K64" i="4" a="1"/>
  <c r="K36" i="4" a="1"/>
  <c r="I39" i="4" a="1"/>
  <c r="F55" i="4" a="1"/>
  <c r="K54" i="4" a="1"/>
  <c r="I34" i="4" a="1"/>
  <c r="F50" i="4" a="1"/>
  <c r="K53" i="4" a="1"/>
  <c r="D46" i="4" a="1"/>
  <c r="I56" i="4" a="1"/>
  <c r="F30" i="4" a="1"/>
  <c r="H27" i="4" a="1"/>
  <c r="D63" i="4" a="1"/>
  <c r="K57" i="4" a="1"/>
  <c r="F52" i="4" a="1"/>
  <c r="I40" i="4" a="1"/>
  <c r="F56" i="4" a="1"/>
  <c r="I49" i="4" a="1"/>
  <c r="F65" i="4" a="1"/>
  <c r="K60" i="4" a="1"/>
  <c r="J27" i="4" a="1"/>
  <c r="I30" i="4" a="1"/>
  <c r="F46" i="4" a="1"/>
  <c r="K47" i="4" a="1"/>
  <c r="D65" i="4" a="1"/>
  <c r="K33" i="4" a="1"/>
  <c r="K34" i="4" a="1"/>
  <c r="D37" i="4" a="1"/>
  <c r="D50" i="4" a="1"/>
  <c r="I27" i="4" a="1"/>
  <c r="K58" i="4" a="1"/>
  <c r="D54" i="4" a="1"/>
  <c r="K38" i="4" a="1"/>
  <c r="F38" i="4" a="1"/>
  <c r="I31" i="4" a="1"/>
  <c r="K52" i="4" a="1"/>
  <c r="K61" i="4" a="1"/>
  <c r="D61" i="4" a="1"/>
  <c r="F37" i="4" a="1"/>
  <c r="K41" i="4" a="1"/>
  <c r="D60" i="4" a="1"/>
  <c r="D41" i="4" a="1"/>
  <c r="I57" i="4" a="1"/>
  <c r="D32" i="4" a="1"/>
  <c r="F58" i="4" a="1"/>
  <c r="D49" i="4" a="1"/>
  <c r="K51" i="4" a="1"/>
  <c r="D45" i="4" a="1"/>
  <c r="K31" i="4" a="1"/>
  <c r="E27" i="4" a="1"/>
  <c r="D62" i="4" a="1"/>
  <c r="K55" i="4" a="1"/>
  <c r="I35" i="4" a="1"/>
  <c r="F51" i="4" a="1"/>
  <c r="F31" i="4" a="1"/>
  <c r="F39" i="4" a="1"/>
  <c r="K29" i="4" a="1"/>
  <c r="D33" i="4" a="1"/>
  <c r="F45" i="4" a="1"/>
  <c r="I61" i="4" a="1"/>
  <c r="K50" i="4" a="1"/>
  <c r="K30" i="4" a="1"/>
  <c r="F60" i="4" a="1"/>
  <c r="I62" i="4" a="1"/>
  <c r="E19" i="4" a="1"/>
  <c r="D47" i="4" a="1"/>
  <c r="F47" i="4" a="1"/>
  <c r="F49" i="4" a="1"/>
  <c r="I46" i="4" a="1"/>
  <c r="K43" i="4" a="1"/>
  <c r="I64" i="4" a="1"/>
  <c r="F42" i="4" a="1"/>
  <c r="I42" i="4" a="1"/>
  <c r="D11" i="4" a="1"/>
  <c r="D38" i="4" a="1"/>
  <c r="F29" i="4" a="1"/>
  <c r="F44" i="4" a="1"/>
  <c r="D40" i="4" a="1"/>
  <c r="K37" i="4" a="1"/>
  <c r="I59" i="4" a="1"/>
  <c r="F33" i="4" a="1"/>
  <c r="I33" i="4" a="1"/>
  <c r="D9" i="4" a="1"/>
  <c r="D44" i="4" a="1"/>
  <c r="I47" i="4" a="1"/>
  <c r="F35" i="4" a="1"/>
  <c r="D31" i="4" a="1"/>
  <c r="D53" i="4" a="1"/>
  <c r="I44" i="4" a="1"/>
  <c r="F28" i="4" a="1"/>
  <c r="I28" i="4" a="1"/>
  <c r="F66" i="4" a="1"/>
  <c r="I38" i="4" a="1"/>
  <c r="D35" i="4" a="1"/>
  <c r="F48" i="4" a="1"/>
  <c r="D48" i="4" a="1"/>
  <c r="D66" i="4" a="1"/>
  <c r="F41" i="4" a="1"/>
  <c r="D59" i="4" a="1"/>
  <c r="K40" i="4" a="1"/>
  <c r="I63" i="4" a="1"/>
  <c r="I29" i="4" a="1"/>
  <c r="E20" i="4" a="1"/>
  <c r="K32" i="4" a="1"/>
  <c r="I58" i="4" a="1"/>
  <c r="F63" i="4" a="1"/>
  <c r="K65" i="4" a="1"/>
  <c r="I60" i="4" a="1"/>
  <c r="K62" i="4" a="1"/>
  <c r="D52" i="4" a="1"/>
  <c r="F40" i="4" a="1"/>
  <c r="I50" i="4" a="1"/>
  <c r="K35" i="4" a="1"/>
  <c r="D42" i="4" a="1"/>
  <c r="F54" i="4" a="1"/>
  <c r="K45" i="4" a="1"/>
  <c r="I55" i="4" a="1"/>
  <c r="K49" i="4" a="1"/>
  <c r="D43" i="4" a="1"/>
  <c r="K39" i="4" a="1"/>
  <c r="I36" i="4" a="1"/>
  <c r="F27" i="4" a="1"/>
  <c r="D27" i="4" a="1"/>
  <c r="I66" i="4" a="1"/>
  <c r="D39" i="4" a="1"/>
  <c r="D57" i="4" a="1"/>
  <c r="D57" i="4" l="1"/>
  <c r="D39" i="4"/>
  <c r="I66" i="4"/>
  <c r="D27" i="4"/>
  <c r="F27" i="4"/>
  <c r="G27" i="4" s="1"/>
  <c r="I36" i="4"/>
  <c r="K39" i="4"/>
  <c r="D43" i="4"/>
  <c r="K49" i="4"/>
  <c r="I55" i="4"/>
  <c r="K45" i="4"/>
  <c r="F54" i="4"/>
  <c r="G54" i="4" s="1"/>
  <c r="D42" i="4"/>
  <c r="K35" i="4"/>
  <c r="I50" i="4"/>
  <c r="F40" i="4"/>
  <c r="G40" i="4" s="1"/>
  <c r="D52" i="4"/>
  <c r="K62" i="4"/>
  <c r="I60" i="4"/>
  <c r="K65" i="4"/>
  <c r="F63" i="4"/>
  <c r="G63" i="4" s="1"/>
  <c r="I58" i="4"/>
  <c r="K32" i="4"/>
  <c r="E20" i="4"/>
  <c r="I29" i="4"/>
  <c r="I63" i="4"/>
  <c r="K40" i="4"/>
  <c r="D59" i="4"/>
  <c r="F41" i="4"/>
  <c r="G41" i="4" s="1"/>
  <c r="D66" i="4"/>
  <c r="D48" i="4"/>
  <c r="F48" i="4"/>
  <c r="G48" i="4" s="1"/>
  <c r="D35" i="4"/>
  <c r="I38" i="4"/>
  <c r="F66" i="4"/>
  <c r="G66" i="4" s="1"/>
  <c r="I28" i="4"/>
  <c r="F28" i="4"/>
  <c r="G28" i="4" s="1"/>
  <c r="I44" i="4"/>
  <c r="D53" i="4"/>
  <c r="D31" i="4"/>
  <c r="F35" i="4"/>
  <c r="G35" i="4" s="1"/>
  <c r="I47" i="4"/>
  <c r="D44" i="4"/>
  <c r="D9" i="4"/>
  <c r="D10" i="4"/>
  <c r="I33" i="4"/>
  <c r="F33" i="4"/>
  <c r="G33" i="4" s="1"/>
  <c r="I59" i="4"/>
  <c r="K37" i="4"/>
  <c r="D40" i="4"/>
  <c r="F44" i="4"/>
  <c r="G44" i="4" s="1"/>
  <c r="F29" i="4"/>
  <c r="G29" i="4" s="1"/>
  <c r="D38" i="4"/>
  <c r="D12" i="4"/>
  <c r="D11" i="4"/>
  <c r="I42" i="4"/>
  <c r="F42" i="4"/>
  <c r="G42" i="4" s="1"/>
  <c r="I64" i="4"/>
  <c r="K43" i="4"/>
  <c r="I46" i="4"/>
  <c r="F49" i="4"/>
  <c r="G49" i="4" s="1"/>
  <c r="F47" i="4"/>
  <c r="G47" i="4" s="1"/>
  <c r="D47" i="4"/>
  <c r="E19" i="4"/>
  <c r="I62" i="4"/>
  <c r="F60" i="4"/>
  <c r="G60" i="4" s="1"/>
  <c r="K30" i="4"/>
  <c r="K50" i="4"/>
  <c r="I61" i="4"/>
  <c r="F45" i="4"/>
  <c r="G45" i="4" s="1"/>
  <c r="D33" i="4"/>
  <c r="K29" i="4"/>
  <c r="F39" i="4"/>
  <c r="G39" i="4" s="1"/>
  <c r="F31" i="4"/>
  <c r="G31" i="4" s="1"/>
  <c r="F51" i="4"/>
  <c r="G51" i="4" s="1"/>
  <c r="I35" i="4"/>
  <c r="K55" i="4"/>
  <c r="D62" i="4"/>
  <c r="E27" i="4"/>
  <c r="K31" i="4"/>
  <c r="D45" i="4"/>
  <c r="K51" i="4"/>
  <c r="D49" i="4"/>
  <c r="F58" i="4"/>
  <c r="G58" i="4" s="1"/>
  <c r="D32" i="4"/>
  <c r="I57" i="4"/>
  <c r="D41" i="4"/>
  <c r="D60" i="4"/>
  <c r="K41" i="4"/>
  <c r="F37" i="4"/>
  <c r="G37" i="4" s="1"/>
  <c r="D61" i="4"/>
  <c r="K61" i="4"/>
  <c r="K52" i="4"/>
  <c r="I31" i="4"/>
  <c r="F38" i="4"/>
  <c r="G38" i="4" s="1"/>
  <c r="K38" i="4"/>
  <c r="D54" i="4"/>
  <c r="K58" i="4"/>
  <c r="I27" i="4"/>
  <c r="D50" i="4"/>
  <c r="D37" i="4"/>
  <c r="K34" i="4"/>
  <c r="K33" i="4"/>
  <c r="D65" i="4"/>
  <c r="K47" i="4"/>
  <c r="F46" i="4"/>
  <c r="G46" i="4" s="1"/>
  <c r="I30" i="4"/>
  <c r="J27" i="4"/>
  <c r="K60" i="4"/>
  <c r="F65" i="4"/>
  <c r="G65" i="4" s="1"/>
  <c r="I49" i="4"/>
  <c r="F56" i="4"/>
  <c r="G56" i="4" s="1"/>
  <c r="I40" i="4"/>
  <c r="F52" i="4"/>
  <c r="G52" i="4" s="1"/>
  <c r="K57" i="4"/>
  <c r="D63" i="4"/>
  <c r="H27" i="4"/>
  <c r="F30" i="4"/>
  <c r="G30" i="4" s="1"/>
  <c r="I56" i="4"/>
  <c r="D46" i="4"/>
  <c r="K53" i="4"/>
  <c r="F50" i="4"/>
  <c r="G50" i="4" s="1"/>
  <c r="I34" i="4"/>
  <c r="K54" i="4"/>
  <c r="F55" i="4"/>
  <c r="G55" i="4" s="1"/>
  <c r="I39" i="4"/>
  <c r="K36" i="4"/>
  <c r="K64" i="4"/>
  <c r="F36" i="4"/>
  <c r="G36" i="4" s="1"/>
  <c r="D34" i="4"/>
  <c r="I54" i="4"/>
  <c r="F61" i="4"/>
  <c r="G61" i="4" s="1"/>
  <c r="I45" i="4"/>
  <c r="D58" i="4"/>
  <c r="K63" i="4"/>
  <c r="I32" i="4"/>
  <c r="D36" i="4"/>
  <c r="F53" i="4"/>
  <c r="G53" i="4" s="1"/>
  <c r="K27" i="4"/>
  <c r="D55" i="4"/>
  <c r="K59" i="4"/>
  <c r="F59" i="4"/>
  <c r="G59" i="4" s="1"/>
  <c r="I43" i="4"/>
  <c r="F43" i="4"/>
  <c r="G43" i="4" s="1"/>
  <c r="F64" i="4"/>
  <c r="G64" i="4" s="1"/>
  <c r="I48" i="4"/>
  <c r="K44" i="4"/>
  <c r="D30" i="4"/>
  <c r="I65" i="4"/>
  <c r="I41" i="4"/>
  <c r="F34" i="4"/>
  <c r="G34" i="4" s="1"/>
  <c r="I37" i="4"/>
  <c r="I51" i="4"/>
  <c r="F62" i="4"/>
  <c r="G62" i="4" s="1"/>
  <c r="K46" i="4"/>
  <c r="D64" i="4"/>
  <c r="K66" i="4"/>
  <c r="D28" i="4"/>
  <c r="I52" i="4"/>
  <c r="F57" i="4"/>
  <c r="G57" i="4" s="1"/>
  <c r="D29" i="4"/>
  <c r="I53" i="4"/>
  <c r="K56" i="4"/>
  <c r="E21" i="4"/>
  <c r="D51" i="4"/>
  <c r="K28" i="4"/>
  <c r="F32" i="4"/>
  <c r="G32" i="4" s="1"/>
  <c r="D56" i="4"/>
  <c r="K42" i="4"/>
  <c r="K48" i="4"/>
  <c r="C27" i="4" a="1"/>
  <c r="G21" i="4" l="1"/>
  <c r="H21" i="4" s="1"/>
  <c r="C25" i="5"/>
  <c r="G19" i="4"/>
  <c r="H19" i="4" s="1"/>
  <c r="C23" i="5"/>
  <c r="G20" i="4"/>
  <c r="H20" i="4" s="1"/>
  <c r="C24" i="5"/>
  <c r="C27" i="4"/>
  <c r="D17" i="2"/>
  <c r="D18" i="4"/>
  <c r="F90" i="4"/>
  <c r="D16" i="2"/>
  <c r="C18" i="4"/>
  <c r="E28" i="4" a="1"/>
  <c r="J28" i="4" a="1"/>
  <c r="H28" i="4" a="1"/>
  <c r="E18" i="4" a="1"/>
  <c r="E18" i="4" l="1"/>
  <c r="H28" i="4"/>
  <c r="J28" i="4"/>
  <c r="E28" i="4"/>
  <c r="C28" i="4" a="1"/>
  <c r="G18" i="4" l="1"/>
  <c r="H18" i="4" s="1"/>
  <c r="C22" i="5"/>
  <c r="C28" i="4"/>
  <c r="H29" i="4" a="1"/>
  <c r="E29" i="4" a="1"/>
  <c r="J29" i="4" a="1"/>
  <c r="J29" i="4" l="1"/>
  <c r="E29" i="4"/>
  <c r="H29" i="4"/>
  <c r="C29" i="4" a="1"/>
  <c r="C29" i="4" l="1"/>
  <c r="J30" i="4" a="1"/>
  <c r="H30" i="4" a="1"/>
  <c r="E30" i="4" a="1"/>
  <c r="E30" i="4" l="1"/>
  <c r="H30" i="4"/>
  <c r="J30" i="4"/>
  <c r="C30" i="4" a="1"/>
  <c r="C30" i="4" l="1"/>
  <c r="J31" i="4" a="1"/>
  <c r="E31" i="4" a="1"/>
  <c r="H31" i="4" a="1"/>
  <c r="H31" i="4" l="1"/>
  <c r="E31" i="4"/>
  <c r="J31" i="4"/>
  <c r="C31" i="4" a="1"/>
  <c r="C31" i="4" l="1"/>
  <c r="H32" i="4" a="1"/>
  <c r="J32" i="4" a="1"/>
  <c r="E32" i="4" a="1"/>
  <c r="E32" i="4" l="1"/>
  <c r="J32" i="4"/>
  <c r="H32" i="4"/>
  <c r="E33" i="4" a="1"/>
  <c r="J33" i="4" a="1"/>
  <c r="H33" i="4" a="1"/>
  <c r="C32" i="4" a="1"/>
  <c r="C32" i="4" l="1"/>
  <c r="H33" i="4"/>
  <c r="J33" i="4"/>
  <c r="E33" i="4"/>
  <c r="C33" i="4" a="1"/>
  <c r="H34" i="4" a="1"/>
  <c r="J34" i="4" a="1"/>
  <c r="E34" i="4" a="1"/>
  <c r="E34" i="4" l="1"/>
  <c r="J34" i="4"/>
  <c r="H34" i="4"/>
  <c r="C33" i="4"/>
  <c r="E35" i="4" a="1"/>
  <c r="J35" i="4" a="1"/>
  <c r="H35" i="4" a="1"/>
  <c r="C34" i="4" a="1"/>
  <c r="C34" i="4" l="1"/>
  <c r="H35" i="4"/>
  <c r="J35" i="4"/>
  <c r="E35" i="4"/>
  <c r="C35" i="4" a="1"/>
  <c r="H36" i="4" a="1"/>
  <c r="J36" i="4" a="1"/>
  <c r="E36" i="4" a="1"/>
  <c r="E36" i="4" l="1"/>
  <c r="J36" i="4"/>
  <c r="H36" i="4"/>
  <c r="C35" i="4"/>
  <c r="E37" i="4" a="1"/>
  <c r="J37" i="4" a="1"/>
  <c r="H37" i="4" a="1"/>
  <c r="C36" i="4" a="1"/>
  <c r="C36" i="4" l="1"/>
  <c r="H37" i="4"/>
  <c r="J37" i="4"/>
  <c r="E37" i="4"/>
  <c r="C37" i="4" a="1"/>
  <c r="H38" i="4" a="1"/>
  <c r="J38" i="4" a="1"/>
  <c r="E38" i="4" a="1"/>
  <c r="E38" i="4" l="1"/>
  <c r="J38" i="4"/>
  <c r="H38" i="4"/>
  <c r="C37" i="4"/>
  <c r="E39" i="4" a="1"/>
  <c r="J39" i="4" a="1"/>
  <c r="H39" i="4" a="1"/>
  <c r="C38" i="4" a="1"/>
  <c r="C38" i="4" l="1"/>
  <c r="H39" i="4"/>
  <c r="J39" i="4"/>
  <c r="E39" i="4"/>
  <c r="C39" i="4" a="1"/>
  <c r="H40" i="4" a="1"/>
  <c r="J40" i="4" a="1"/>
  <c r="E40" i="4" a="1"/>
  <c r="E40" i="4" l="1"/>
  <c r="J40" i="4"/>
  <c r="H40" i="4"/>
  <c r="C39" i="4"/>
  <c r="E41" i="4" a="1"/>
  <c r="J41" i="4" a="1"/>
  <c r="H41" i="4" a="1"/>
  <c r="C40" i="4" a="1"/>
  <c r="C40" i="4" l="1"/>
  <c r="H41" i="4"/>
  <c r="J41" i="4"/>
  <c r="E41" i="4"/>
  <c r="C41" i="4" a="1"/>
  <c r="H42" i="4" a="1"/>
  <c r="J42" i="4" a="1"/>
  <c r="E42" i="4" a="1"/>
  <c r="E42" i="4" l="1"/>
  <c r="J42" i="4"/>
  <c r="H42" i="4"/>
  <c r="C41" i="4"/>
  <c r="C42" i="4" a="1"/>
  <c r="E43" i="4" a="1"/>
  <c r="J43" i="4" a="1"/>
  <c r="H43" i="4" a="1"/>
  <c r="H43" i="4" l="1"/>
  <c r="J43" i="4"/>
  <c r="E43" i="4"/>
  <c r="C42" i="4"/>
  <c r="H44" i="4" a="1"/>
  <c r="C43" i="4" a="1"/>
  <c r="J44" i="4" a="1"/>
  <c r="E44" i="4" a="1"/>
  <c r="E44" i="4" l="1"/>
  <c r="J44" i="4"/>
  <c r="C43" i="4"/>
  <c r="H44" i="4"/>
  <c r="C44" i="4" a="1"/>
  <c r="H45" i="4" a="1"/>
  <c r="E45" i="4" a="1"/>
  <c r="J45" i="4" a="1"/>
  <c r="J45" i="4" l="1"/>
  <c r="E45" i="4"/>
  <c r="H45" i="4"/>
  <c r="C44" i="4"/>
  <c r="J46" i="4" a="1"/>
  <c r="E46" i="4" a="1"/>
  <c r="H46" i="4" a="1"/>
  <c r="C45" i="4" a="1"/>
  <c r="C45" i="4" l="1"/>
  <c r="H46" i="4"/>
  <c r="E46" i="4"/>
  <c r="J46" i="4"/>
  <c r="C46" i="4" a="1"/>
  <c r="H47" i="4" a="1"/>
  <c r="E47" i="4" a="1"/>
  <c r="J47" i="4" a="1"/>
  <c r="J47" i="4" l="1"/>
  <c r="E47" i="4"/>
  <c r="H47" i="4"/>
  <c r="C46" i="4"/>
  <c r="J48" i="4" a="1"/>
  <c r="E48" i="4" a="1"/>
  <c r="H48" i="4" a="1"/>
  <c r="C47" i="4" a="1"/>
  <c r="C47" i="4" l="1"/>
  <c r="H48" i="4"/>
  <c r="E48" i="4"/>
  <c r="J48" i="4"/>
  <c r="C48" i="4" a="1"/>
  <c r="H49" i="4" a="1"/>
  <c r="E49" i="4" a="1"/>
  <c r="J49" i="4" a="1"/>
  <c r="J49" i="4" l="1"/>
  <c r="E49" i="4"/>
  <c r="H49" i="4"/>
  <c r="C48" i="4"/>
  <c r="J50" i="4" a="1"/>
  <c r="E50" i="4" a="1"/>
  <c r="H50" i="4" a="1"/>
  <c r="C49" i="4" a="1"/>
  <c r="C49" i="4" l="1"/>
  <c r="H50" i="4"/>
  <c r="E50" i="4"/>
  <c r="J50" i="4"/>
  <c r="C50" i="4" a="1"/>
  <c r="H51" i="4" a="1"/>
  <c r="E51" i="4" a="1"/>
  <c r="J51" i="4" a="1"/>
  <c r="J51" i="4" l="1"/>
  <c r="E51" i="4"/>
  <c r="H51" i="4"/>
  <c r="C50" i="4"/>
  <c r="J52" i="4" a="1"/>
  <c r="E52" i="4" a="1"/>
  <c r="H52" i="4" a="1"/>
  <c r="C51" i="4" a="1"/>
  <c r="C51" i="4" l="1"/>
  <c r="H52" i="4"/>
  <c r="E52" i="4"/>
  <c r="J52" i="4"/>
  <c r="C52" i="4" a="1"/>
  <c r="H53" i="4" a="1"/>
  <c r="E53" i="4" a="1"/>
  <c r="J53" i="4" a="1"/>
  <c r="J53" i="4" l="1"/>
  <c r="E53" i="4"/>
  <c r="H53" i="4"/>
  <c r="C52" i="4"/>
  <c r="J54" i="4" a="1"/>
  <c r="E54" i="4" a="1"/>
  <c r="H54" i="4" a="1"/>
  <c r="C53" i="4" a="1"/>
  <c r="C53" i="4" l="1"/>
  <c r="H54" i="4"/>
  <c r="E54" i="4"/>
  <c r="J54" i="4"/>
  <c r="C54" i="4" a="1"/>
  <c r="H55" i="4" a="1"/>
  <c r="E55" i="4" a="1"/>
  <c r="J55" i="4" a="1"/>
  <c r="J55" i="4" l="1"/>
  <c r="E55" i="4"/>
  <c r="H55" i="4"/>
  <c r="C54" i="4"/>
  <c r="J56" i="4" a="1"/>
  <c r="E56" i="4" a="1"/>
  <c r="H56" i="4" a="1"/>
  <c r="C55" i="4" a="1"/>
  <c r="C55" i="4" l="1"/>
  <c r="H56" i="4"/>
  <c r="E56" i="4"/>
  <c r="J56" i="4"/>
  <c r="C56" i="4" a="1"/>
  <c r="H57" i="4" a="1"/>
  <c r="E57" i="4" a="1"/>
  <c r="J57" i="4" a="1"/>
  <c r="J57" i="4" l="1"/>
  <c r="E57" i="4"/>
  <c r="H57" i="4"/>
  <c r="C56" i="4"/>
  <c r="J58" i="4" a="1"/>
  <c r="E58" i="4" a="1"/>
  <c r="H58" i="4" a="1"/>
  <c r="C57" i="4" a="1"/>
  <c r="C57" i="4" l="1"/>
  <c r="H58" i="4"/>
  <c r="E58" i="4"/>
  <c r="J58" i="4"/>
  <c r="C58" i="4" a="1"/>
  <c r="H59" i="4" a="1"/>
  <c r="E59" i="4" a="1"/>
  <c r="J59" i="4" a="1"/>
  <c r="J59" i="4" l="1"/>
  <c r="E59" i="4"/>
  <c r="H59" i="4"/>
  <c r="C58" i="4"/>
  <c r="J60" i="4" a="1"/>
  <c r="E60" i="4" a="1"/>
  <c r="H60" i="4" a="1"/>
  <c r="C59" i="4" a="1"/>
  <c r="C59" i="4" l="1"/>
  <c r="H60" i="4"/>
  <c r="E60" i="4"/>
  <c r="J60" i="4"/>
  <c r="C60" i="4" a="1"/>
  <c r="H61" i="4" a="1"/>
  <c r="E61" i="4" a="1"/>
  <c r="J61" i="4" a="1"/>
  <c r="J61" i="4" l="1"/>
  <c r="E61" i="4"/>
  <c r="H61" i="4"/>
  <c r="C60" i="4"/>
  <c r="J62" i="4" a="1"/>
  <c r="H62" i="4" a="1"/>
  <c r="C61" i="4" a="1"/>
  <c r="E62" i="4" a="1"/>
  <c r="E62" i="4" l="1"/>
  <c r="C61" i="4"/>
  <c r="H62" i="4"/>
  <c r="J62" i="4"/>
  <c r="E63" i="4" a="1"/>
  <c r="C62" i="4" a="1"/>
  <c r="H63" i="4" a="1"/>
  <c r="J63" i="4" a="1"/>
  <c r="J63" i="4" l="1"/>
  <c r="H63" i="4"/>
  <c r="C62" i="4"/>
  <c r="E63" i="4"/>
  <c r="J64" i="4" a="1"/>
  <c r="H64" i="4" a="1"/>
  <c r="C63" i="4" a="1"/>
  <c r="E64" i="4" a="1"/>
  <c r="E64" i="4" l="1"/>
  <c r="C63" i="4"/>
  <c r="H64" i="4"/>
  <c r="J64" i="4"/>
  <c r="E65" i="4" a="1"/>
  <c r="C64" i="4" a="1"/>
  <c r="H65" i="4" a="1"/>
  <c r="J65" i="4" a="1"/>
  <c r="J65" i="4" l="1"/>
  <c r="H65" i="4"/>
  <c r="C64" i="4"/>
  <c r="E65" i="4"/>
  <c r="J66" i="4" a="1"/>
  <c r="H66" i="4" a="1"/>
  <c r="C65" i="4" a="1"/>
  <c r="E66" i="4" a="1"/>
  <c r="E66" i="4" l="1"/>
  <c r="C65" i="4"/>
  <c r="H66" i="4"/>
  <c r="J66" i="4"/>
  <c r="C66" i="4" a="1"/>
  <c r="C66" i="4" l="1"/>
  <c r="J67" i="4"/>
  <c r="E85" i="4" s="1" a="1"/>
  <c r="E85" i="4" s="1"/>
  <c r="K68" i="4"/>
  <c r="E81" i="4" s="1" a="1"/>
  <c r="E81" i="4" s="1"/>
  <c r="I68" i="4"/>
  <c r="E80" i="4" s="1" a="1"/>
  <c r="E80" i="4" s="1"/>
  <c r="H67" i="4"/>
  <c r="E84" i="4" s="1" a="1"/>
  <c r="E84" i="4" s="1"/>
  <c r="F68" i="4"/>
  <c r="E79" i="4" s="1" a="1"/>
  <c r="E79" i="4" s="1"/>
  <c r="E67" i="4"/>
  <c r="E83" i="4" s="1" a="1"/>
  <c r="E83" i="4" s="1"/>
  <c r="G68" i="4"/>
  <c r="D25" i="5" a="1"/>
  <c r="D23" i="5" a="1"/>
  <c r="E25" i="5" a="1"/>
  <c r="E24" i="5" a="1"/>
  <c r="D24" i="5" a="1"/>
  <c r="E23" i="5" a="1"/>
  <c r="E23" i="5" l="1"/>
  <c r="D24" i="5"/>
  <c r="E24" i="5"/>
  <c r="E25" i="5"/>
  <c r="D23" i="5"/>
  <c r="D25" i="5"/>
  <c r="F89" i="4"/>
  <c r="B7" i="5" s="1"/>
  <c r="C67" i="4"/>
  <c r="E82" i="4" s="1" a="1"/>
  <c r="E82" i="4" s="1"/>
  <c r="D68" i="4"/>
  <c r="D22" i="5" a="1"/>
  <c r="D22" i="5" l="1"/>
  <c r="E73" i="4" a="1"/>
  <c r="E73" i="4" s="1"/>
  <c r="E78" i="4" a="1"/>
  <c r="E78" i="4" s="1"/>
  <c r="E74" i="4" a="1"/>
  <c r="E74" i="4" s="1"/>
  <c r="C140" i="5" a="1"/>
  <c r="C167" i="5" a="1"/>
  <c r="C183" i="5" a="1"/>
  <c r="C161" i="5" a="1"/>
  <c r="C134" i="5" a="1"/>
  <c r="C112" i="5" a="1"/>
  <c r="C111" i="5" a="1"/>
  <c r="D79" i="5" a="1"/>
  <c r="C184" i="5" a="1"/>
  <c r="C123" i="5" a="1"/>
  <c r="D77" i="5" a="1"/>
  <c r="D90" i="5" a="1"/>
  <c r="D71" i="5" a="1"/>
  <c r="C173" i="5" a="1"/>
  <c r="C120" i="5" a="1"/>
  <c r="C135" i="5" a="1"/>
  <c r="C109" i="5" a="1"/>
  <c r="B6" i="5" a="1"/>
  <c r="D96" i="5" a="1"/>
  <c r="D58" i="5" a="1"/>
  <c r="C179" i="5" a="1"/>
  <c r="D99" i="5" a="1"/>
  <c r="C147" i="5" a="1"/>
  <c r="D102" i="5" a="1"/>
  <c r="D75" i="5" a="1"/>
  <c r="D56" i="5" a="1"/>
  <c r="C180" i="5" a="1"/>
  <c r="C190" i="5" a="1"/>
  <c r="D94" i="5" a="1"/>
  <c r="C193" i="5" a="1"/>
  <c r="C176" i="5" a="1"/>
  <c r="C175" i="5" a="1"/>
  <c r="C148" i="5" a="1"/>
  <c r="C115" i="5" a="1"/>
  <c r="C162" i="5" a="1"/>
  <c r="C108" i="5" a="1"/>
  <c r="D69" i="5" a="1"/>
  <c r="D64" i="5" a="1"/>
  <c r="D30" i="5" a="1"/>
  <c r="E12" i="5" a="1"/>
  <c r="C198" i="5" a="1"/>
  <c r="C186" i="5" a="1"/>
  <c r="C142" i="5" a="1"/>
  <c r="C205" i="5" a="1"/>
  <c r="D70" i="5" a="1"/>
  <c r="C187" i="5" a="1"/>
  <c r="C144" i="5" a="1"/>
  <c r="C154" i="5" a="1"/>
  <c r="C137" i="5" a="1"/>
  <c r="D84" i="5" a="1"/>
  <c r="C203" i="5" a="1"/>
  <c r="C172" i="5" a="1"/>
  <c r="C166" i="5" a="1"/>
  <c r="C133" i="5" a="1"/>
  <c r="C122" i="5" a="1"/>
  <c r="C116" i="5" a="1"/>
  <c r="D76" i="5" a="1"/>
  <c r="C119" i="5" a="1"/>
  <c r="C124" i="5" a="1"/>
  <c r="C150" i="5" a="1"/>
  <c r="C160" i="5" a="1"/>
  <c r="C199" i="5" a="1"/>
  <c r="C164" i="5" a="1"/>
  <c r="C163" i="5" a="1"/>
  <c r="C188" i="5" a="1"/>
  <c r="D59" i="5" a="1"/>
  <c r="D80" i="5" a="1"/>
  <c r="D93" i="5" a="1"/>
  <c r="C138" i="5" a="1"/>
  <c r="D74" i="5" a="1"/>
  <c r="D95" i="5" a="1"/>
  <c r="D100" i="5" a="1"/>
  <c r="C196" i="5" a="1"/>
  <c r="C136" i="5" a="1"/>
  <c r="D65" i="5" a="1"/>
  <c r="C194" i="5" a="1"/>
  <c r="C178" i="5" a="1"/>
  <c r="C114" i="5" a="1"/>
  <c r="C177" i="5" a="1"/>
  <c r="C113" i="5" a="1"/>
  <c r="G12" i="5" a="1"/>
  <c r="C139" i="5" a="1"/>
  <c r="D72" i="5" a="1"/>
  <c r="C149" i="5" a="1"/>
  <c r="D85" i="5" a="1"/>
  <c r="C192" i="5" a="1"/>
  <c r="C127" i="5" a="1"/>
  <c r="D66" i="5" a="1"/>
  <c r="C153" i="5" a="1"/>
  <c r="D87" i="5" a="1"/>
  <c r="C158" i="5" a="1"/>
  <c r="D92" i="5" a="1"/>
  <c r="C189" i="5" a="1"/>
  <c r="C125" i="5" a="1"/>
  <c r="D57" i="5" a="1"/>
  <c r="D54" i="5" a="1"/>
  <c r="C182" i="5" a="1"/>
  <c r="C200" i="5" a="1"/>
  <c r="D61" i="5" a="1"/>
  <c r="C106" i="5" a="1"/>
  <c r="D63" i="5" a="1"/>
  <c r="C168" i="5" a="1"/>
  <c r="C201" i="5" a="1"/>
  <c r="C151" i="5" a="1"/>
  <c r="D86" i="5" a="1"/>
  <c r="C156" i="5" a="1"/>
  <c r="D91" i="5" a="1"/>
  <c r="C118" i="5" a="1"/>
  <c r="C128" i="5" a="1"/>
  <c r="C170" i="5" a="1"/>
  <c r="C191" i="5" a="1"/>
  <c r="C132" i="5" a="1"/>
  <c r="C131" i="5" a="1"/>
  <c r="D68" i="5" a="1"/>
  <c r="D97" i="5" a="1"/>
  <c r="C197" i="5" a="1"/>
  <c r="C146" i="5" a="1"/>
  <c r="D78" i="5" a="1"/>
  <c r="C145" i="5" a="1"/>
  <c r="D83" i="5" a="1"/>
  <c r="C171" i="5" a="1"/>
  <c r="C107" i="5" a="1"/>
  <c r="C181" i="5" a="1"/>
  <c r="C117" i="5" a="1"/>
  <c r="D53" i="5" a="1"/>
  <c r="C159" i="5" a="1"/>
  <c r="D98" i="5" a="1"/>
  <c r="C185" i="5" a="1"/>
  <c r="C121" i="5" a="1"/>
  <c r="D55" i="5" a="1"/>
  <c r="C126" i="5" a="1"/>
  <c r="D60" i="5" a="1"/>
  <c r="C157" i="5" a="1"/>
  <c r="D89" i="5" a="1"/>
  <c r="D12" i="5" a="1"/>
  <c r="C152" i="5" a="1"/>
  <c r="D81" i="5" a="1"/>
  <c r="C202" i="5" a="1"/>
  <c r="C195" i="5" a="1"/>
  <c r="C130" i="5" a="1"/>
  <c r="D62" i="5" a="1"/>
  <c r="C129" i="5" a="1"/>
  <c r="D67" i="5" a="1"/>
  <c r="C155" i="5" a="1"/>
  <c r="D88" i="5" a="1"/>
  <c r="C165" i="5" a="1"/>
  <c r="D101" i="5" a="1"/>
  <c r="F12" i="5" a="1"/>
  <c r="C143" i="5" a="1"/>
  <c r="D82" i="5" a="1"/>
  <c r="C169" i="5" a="1"/>
  <c r="C105" i="5" a="1"/>
  <c r="C174" i="5" a="1"/>
  <c r="C110" i="5" a="1"/>
  <c r="C204" i="5" a="1"/>
  <c r="C141" i="5" a="1"/>
  <c r="D73" i="5" a="1"/>
  <c r="E59" i="5" a="1"/>
  <c r="E101" i="5" a="1"/>
  <c r="E75" i="5" a="1"/>
  <c r="E57" i="5" a="1"/>
  <c r="E56" i="5" a="1"/>
  <c r="E53" i="5" a="1"/>
  <c r="E87" i="5" a="1"/>
  <c r="E76" i="5" a="1"/>
  <c r="E67" i="5" a="1"/>
  <c r="D31" i="5" a="1"/>
  <c r="E98" i="5" a="1"/>
  <c r="E79" i="5" a="1"/>
  <c r="E68" i="5" a="1"/>
  <c r="E102" i="5" a="1"/>
  <c r="E90" i="5" a="1"/>
  <c r="E71" i="5" a="1"/>
  <c r="E60" i="5" a="1"/>
  <c r="E94" i="5" a="1"/>
  <c r="E96" i="5" a="1"/>
  <c r="E93" i="5" a="1"/>
  <c r="E82" i="5" a="1"/>
  <c r="E63" i="5" a="1"/>
  <c r="E97" i="5" a="1"/>
  <c r="E86" i="5" a="1"/>
  <c r="E74" i="5" a="1"/>
  <c r="E88" i="5" a="1"/>
  <c r="E85" i="5" a="1"/>
  <c r="E55" i="5" a="1"/>
  <c r="E89" i="5" a="1"/>
  <c r="E78" i="5" a="1"/>
  <c r="E99" i="5" a="1"/>
  <c r="E80" i="5" a="1"/>
  <c r="E77" i="5" a="1"/>
  <c r="E66" i="5" a="1"/>
  <c r="E100" i="5" a="1"/>
  <c r="E81" i="5" a="1"/>
  <c r="E70" i="5" a="1"/>
  <c r="E91" i="5" a="1"/>
  <c r="E72" i="5" a="1"/>
  <c r="E69" i="5" a="1"/>
  <c r="E58" i="5" a="1"/>
  <c r="E92" i="5" a="1"/>
  <c r="E73" i="5" a="1"/>
  <c r="E62" i="5" a="1"/>
  <c r="E83" i="5" a="1"/>
  <c r="E64" i="5" a="1"/>
  <c r="E61" i="5" a="1"/>
  <c r="E95" i="5" a="1"/>
  <c r="E84" i="5" a="1"/>
  <c r="E65" i="5" a="1"/>
  <c r="E54" i="5" a="1"/>
  <c r="E22" i="5" a="1"/>
  <c r="E22" i="5" l="1"/>
  <c r="E54" i="5"/>
  <c r="E65" i="5"/>
  <c r="E84" i="5"/>
  <c r="E95" i="5"/>
  <c r="E61" i="5"/>
  <c r="E64" i="5"/>
  <c r="E83" i="5"/>
  <c r="E62" i="5"/>
  <c r="E73" i="5"/>
  <c r="E92" i="5"/>
  <c r="E58" i="5"/>
  <c r="E69" i="5"/>
  <c r="E72" i="5"/>
  <c r="E91" i="5"/>
  <c r="E70" i="5"/>
  <c r="E81" i="5"/>
  <c r="E100" i="5"/>
  <c r="E66" i="5"/>
  <c r="E77" i="5"/>
  <c r="E80" i="5"/>
  <c r="E99" i="5"/>
  <c r="E78" i="5"/>
  <c r="E89" i="5"/>
  <c r="E55" i="5"/>
  <c r="E85" i="5"/>
  <c r="E88" i="5"/>
  <c r="E74" i="5"/>
  <c r="E86" i="5"/>
  <c r="E97" i="5"/>
  <c r="E63" i="5"/>
  <c r="E82" i="5"/>
  <c r="E93" i="5"/>
  <c r="E96" i="5"/>
  <c r="E94" i="5"/>
  <c r="E60" i="5"/>
  <c r="E71" i="5"/>
  <c r="E90" i="5"/>
  <c r="E102" i="5"/>
  <c r="E68" i="5"/>
  <c r="E79" i="5"/>
  <c r="E98" i="5"/>
  <c r="D31" i="5"/>
  <c r="E67" i="5"/>
  <c r="E76" i="5"/>
  <c r="E87" i="5"/>
  <c r="E53" i="5"/>
  <c r="E56" i="5"/>
  <c r="E57" i="5"/>
  <c r="E75" i="5"/>
  <c r="E101" i="5"/>
  <c r="E59" i="5"/>
  <c r="D73" i="5"/>
  <c r="C141" i="5"/>
  <c r="C204" i="5"/>
  <c r="C110" i="5"/>
  <c r="C174" i="5"/>
  <c r="C105" i="5"/>
  <c r="C169" i="5"/>
  <c r="D82" i="5"/>
  <c r="C143" i="5"/>
  <c r="F12" i="5"/>
  <c r="D101" i="5"/>
  <c r="C165" i="5"/>
  <c r="D88" i="5"/>
  <c r="C155" i="5"/>
  <c r="D67" i="5"/>
  <c r="C129" i="5"/>
  <c r="D62" i="5"/>
  <c r="C130" i="5"/>
  <c r="C195" i="5"/>
  <c r="C202" i="5"/>
  <c r="D81" i="5"/>
  <c r="C152" i="5"/>
  <c r="D12" i="5"/>
  <c r="D89" i="5"/>
  <c r="C157" i="5"/>
  <c r="D60" i="5"/>
  <c r="C126" i="5"/>
  <c r="D55" i="5"/>
  <c r="C121" i="5"/>
  <c r="C185" i="5"/>
  <c r="D98" i="5"/>
  <c r="C159" i="5"/>
  <c r="D53" i="5"/>
  <c r="C117" i="5"/>
  <c r="C181" i="5"/>
  <c r="C107" i="5"/>
  <c r="C171" i="5"/>
  <c r="D83" i="5"/>
  <c r="C145" i="5"/>
  <c r="D78" i="5"/>
  <c r="C146" i="5"/>
  <c r="C197" i="5"/>
  <c r="D97" i="5"/>
  <c r="D68" i="5"/>
  <c r="C131" i="5"/>
  <c r="C132" i="5"/>
  <c r="C191" i="5"/>
  <c r="C170" i="5"/>
  <c r="C128" i="5"/>
  <c r="C118" i="5"/>
  <c r="D91" i="5"/>
  <c r="C156" i="5"/>
  <c r="D86" i="5"/>
  <c r="C151" i="5"/>
  <c r="C201" i="5"/>
  <c r="C168" i="5"/>
  <c r="D63" i="5"/>
  <c r="C106" i="5"/>
  <c r="D61" i="5"/>
  <c r="C200" i="5"/>
  <c r="C182" i="5"/>
  <c r="D54" i="5"/>
  <c r="D57" i="5"/>
  <c r="C125" i="5"/>
  <c r="C189" i="5"/>
  <c r="D92" i="5"/>
  <c r="C158" i="5"/>
  <c r="D87" i="5"/>
  <c r="C153" i="5"/>
  <c r="D66" i="5"/>
  <c r="C127" i="5"/>
  <c r="C192" i="5"/>
  <c r="D85" i="5"/>
  <c r="C149" i="5"/>
  <c r="D72" i="5"/>
  <c r="C139" i="5"/>
  <c r="G12" i="5"/>
  <c r="C113" i="5"/>
  <c r="C177" i="5"/>
  <c r="C114" i="5"/>
  <c r="C178" i="5"/>
  <c r="C194" i="5"/>
  <c r="D65" i="5"/>
  <c r="C136" i="5"/>
  <c r="C196" i="5"/>
  <c r="D100" i="5"/>
  <c r="D95" i="5"/>
  <c r="D74" i="5"/>
  <c r="C138" i="5"/>
  <c r="D93" i="5"/>
  <c r="D80" i="5"/>
  <c r="D59" i="5"/>
  <c r="C188" i="5"/>
  <c r="C163" i="5"/>
  <c r="C164" i="5"/>
  <c r="C199" i="5"/>
  <c r="C160" i="5"/>
  <c r="C150" i="5"/>
  <c r="C124" i="5"/>
  <c r="C119" i="5"/>
  <c r="D76" i="5"/>
  <c r="C116" i="5"/>
  <c r="C122" i="5"/>
  <c r="C133" i="5"/>
  <c r="C166" i="5"/>
  <c r="C172" i="5"/>
  <c r="C203" i="5"/>
  <c r="D84" i="5"/>
  <c r="C137" i="5"/>
  <c r="C154" i="5"/>
  <c r="C144" i="5"/>
  <c r="C187" i="5"/>
  <c r="D70" i="5"/>
  <c r="C205" i="5"/>
  <c r="C142" i="5"/>
  <c r="C186" i="5"/>
  <c r="C198" i="5"/>
  <c r="E12" i="5"/>
  <c r="D30" i="5"/>
  <c r="D32" i="5" s="1"/>
  <c r="D64" i="5"/>
  <c r="D69" i="5"/>
  <c r="C108" i="5"/>
  <c r="C162" i="5"/>
  <c r="C115" i="5"/>
  <c r="C148" i="5"/>
  <c r="C175" i="5"/>
  <c r="C176" i="5"/>
  <c r="C193" i="5"/>
  <c r="D94" i="5"/>
  <c r="C190" i="5"/>
  <c r="C180" i="5"/>
  <c r="D56" i="5"/>
  <c r="D75" i="5"/>
  <c r="D102" i="5"/>
  <c r="C147" i="5"/>
  <c r="D99" i="5"/>
  <c r="C179" i="5"/>
  <c r="D58" i="5"/>
  <c r="D96" i="5"/>
  <c r="B6" i="5"/>
  <c r="C109" i="5"/>
  <c r="C135" i="5"/>
  <c r="C120" i="5"/>
  <c r="C173" i="5"/>
  <c r="D71" i="5"/>
  <c r="D90" i="5"/>
  <c r="D77" i="5"/>
  <c r="C123" i="5"/>
  <c r="C184" i="5"/>
  <c r="D79" i="5"/>
  <c r="C111" i="5"/>
  <c r="C112" i="5"/>
  <c r="C134" i="5"/>
  <c r="C161" i="5"/>
  <c r="C183" i="5"/>
  <c r="C167" i="5"/>
  <c r="C140" i="5"/>
  <c r="E76" i="4" a="1"/>
  <c r="E76" i="4" s="1"/>
  <c r="E75" i="4" a="1"/>
  <c r="E75" i="4" s="1"/>
  <c r="E77" i="4" a="1"/>
  <c r="E77" i="4" s="1"/>
  <c r="E13" i="5" a="1"/>
  <c r="F13" i="5" a="1"/>
  <c r="D13" i="5" a="1"/>
  <c r="G13" i="5" a="1"/>
  <c r="D34" i="5" a="1"/>
  <c r="D35" i="5" a="1"/>
  <c r="D33" i="5" a="1"/>
  <c r="D16" i="5" a="1"/>
  <c r="D15" i="5" a="1"/>
  <c r="D15" i="5" l="1"/>
  <c r="D16" i="5"/>
  <c r="D33" i="5"/>
  <c r="D35" i="5"/>
  <c r="D34" i="5"/>
  <c r="G13" i="5"/>
  <c r="D13" i="5"/>
  <c r="F13" i="5"/>
  <c r="E13" i="5"/>
  <c r="C209" i="5"/>
  <c r="C230" i="5"/>
  <c r="C216" i="5"/>
  <c r="C221" i="5"/>
  <c r="C214" i="5"/>
  <c r="C222" i="5"/>
  <c r="C208" i="5"/>
  <c r="C220" i="5"/>
  <c r="C226" i="5"/>
  <c r="C210" i="5"/>
  <c r="C225" i="5"/>
  <c r="C229" i="5"/>
  <c r="C228" i="5"/>
  <c r="C215" i="5"/>
  <c r="C231" i="5"/>
  <c r="C224" i="5"/>
  <c r="C218" i="5"/>
  <c r="C223" i="5"/>
  <c r="C217" i="5"/>
  <c r="C227" i="5"/>
  <c r="C219" i="5"/>
  <c r="C232" i="5"/>
  <c r="D232" i="5" s="1"/>
  <c r="G232" i="5" s="1" a="1"/>
  <c r="G232" i="5" s="1"/>
  <c r="C212" i="5"/>
  <c r="C211" i="5"/>
  <c r="C213" i="5"/>
  <c r="F22" i="5"/>
  <c r="F25" i="5"/>
  <c r="F24" i="5"/>
  <c r="F23" i="5"/>
  <c r="E215" i="5" l="1"/>
  <c r="D215" i="5"/>
  <c r="G215" i="5" s="1" a="1"/>
  <c r="G215" i="5" s="1"/>
  <c r="E219" i="5"/>
  <c r="D219" i="5"/>
  <c r="G219" i="5" s="1" a="1"/>
  <c r="G219" i="5" s="1"/>
  <c r="D228" i="5"/>
  <c r="G228" i="5" s="1" a="1"/>
  <c r="G228" i="5" s="1"/>
  <c r="E228" i="5"/>
  <c r="D221" i="5"/>
  <c r="G221" i="5" s="1" a="1"/>
  <c r="G221" i="5" s="1"/>
  <c r="E221" i="5"/>
  <c r="D209" i="5"/>
  <c r="G209" i="5" s="1" a="1"/>
  <c r="G209" i="5" s="1"/>
  <c r="E209" i="5"/>
  <c r="E212" i="5"/>
  <c r="D212" i="5"/>
  <c r="G212" i="5" s="1" a="1"/>
  <c r="G212" i="5" s="1"/>
  <c r="D231" i="5"/>
  <c r="G231" i="5" s="1" a="1"/>
  <c r="G231" i="5" s="1"/>
  <c r="F230" i="5" s="1"/>
  <c r="E231" i="5"/>
  <c r="D208" i="5"/>
  <c r="G208" i="5" s="1" a="1"/>
  <c r="G208" i="5" s="1"/>
  <c r="E208" i="5"/>
  <c r="E222" i="5"/>
  <c r="D222" i="5"/>
  <c r="G222" i="5" s="1" a="1"/>
  <c r="G222" i="5" s="1"/>
  <c r="D214" i="5"/>
  <c r="G214" i="5" s="1" a="1"/>
  <c r="G214" i="5" s="1"/>
  <c r="E214" i="5"/>
  <c r="E227" i="5"/>
  <c r="D227" i="5"/>
  <c r="G227" i="5" s="1" a="1"/>
  <c r="G227" i="5" s="1"/>
  <c r="F226" i="5" s="1"/>
  <c r="E229" i="5"/>
  <c r="D229" i="5"/>
  <c r="G229" i="5" s="1" a="1"/>
  <c r="G229" i="5" s="1"/>
  <c r="E217" i="5"/>
  <c r="D217" i="5"/>
  <c r="G217" i="5" s="1" a="1"/>
  <c r="G217" i="5" s="1"/>
  <c r="D225" i="5"/>
  <c r="G225" i="5" s="1" a="1"/>
  <c r="G225" i="5" s="1"/>
  <c r="E225" i="5"/>
  <c r="D216" i="5"/>
  <c r="G216" i="5" s="1" a="1"/>
  <c r="G216" i="5" s="1"/>
  <c r="F215" i="5" s="1"/>
  <c r="E216" i="5"/>
  <c r="D223" i="5"/>
  <c r="G223" i="5" s="1" a="1"/>
  <c r="G223" i="5" s="1"/>
  <c r="F222" i="5" s="1"/>
  <c r="E223" i="5"/>
  <c r="E210" i="5"/>
  <c r="D210" i="5"/>
  <c r="G210" i="5" s="1" a="1"/>
  <c r="G210" i="5" s="1"/>
  <c r="F209" i="5" s="1"/>
  <c r="D230" i="5"/>
  <c r="G230" i="5" s="1" a="1"/>
  <c r="G230" i="5" s="1"/>
  <c r="E230" i="5"/>
  <c r="D213" i="5"/>
  <c r="G213" i="5" s="1" a="1"/>
  <c r="G213" i="5" s="1"/>
  <c r="F212" i="5" s="1"/>
  <c r="E213" i="5"/>
  <c r="D218" i="5"/>
  <c r="G218" i="5" s="1" a="1"/>
  <c r="G218" i="5" s="1"/>
  <c r="F217" i="5" s="1"/>
  <c r="E218" i="5"/>
  <c r="D226" i="5"/>
  <c r="G226" i="5" s="1" a="1"/>
  <c r="G226" i="5" s="1"/>
  <c r="E226" i="5"/>
  <c r="D211" i="5"/>
  <c r="G211" i="5" s="1" a="1"/>
  <c r="G211" i="5" s="1"/>
  <c r="E211" i="5"/>
  <c r="E224" i="5"/>
  <c r="D224" i="5"/>
  <c r="G224" i="5" s="1" a="1"/>
  <c r="G224" i="5" s="1"/>
  <c r="D220" i="5"/>
  <c r="G220" i="5" s="1" a="1"/>
  <c r="G220" i="5" s="1"/>
  <c r="E220" i="5"/>
  <c r="F211" i="5" l="1"/>
  <c r="F210" i="5"/>
  <c r="F227" i="5"/>
  <c r="F229" i="5"/>
  <c r="F218" i="5"/>
  <c r="F219" i="5"/>
  <c r="F220" i="5"/>
  <c r="F223" i="5"/>
  <c r="F221" i="5"/>
  <c r="F231" i="5"/>
  <c r="F213" i="5"/>
  <c r="F225" i="5"/>
  <c r="F208" i="5"/>
  <c r="F214" i="5"/>
  <c r="F224" i="5"/>
  <c r="F216" i="5"/>
  <c r="F228" i="5"/>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<sst xmlns="http://schemas.openxmlformats.org/spreadsheetml/2006/main" count="377" uniqueCount="263">
  <si>
    <t>Reliability and Availability of a Production Line</t>
  </si>
  <si>
    <t>ModelRisk example  ·  Manufacturing  ·  MF-03</t>
  </si>
  <si>
    <t>How often will the line stop, what does it cost, and is a standby machine worth it?  Failures and repairs through a year.</t>
  </si>
  <si>
    <t>Next:  Inputs  ▸</t>
  </si>
  <si>
    <t>Model card</t>
  </si>
  <si>
    <t>Industry</t>
  </si>
  <si>
    <t>Manufacturing</t>
  </si>
  <si>
    <t>Difficulty</t>
  </si>
  <si>
    <t>★★★☆☆   Four machines in series, each failing and being repaired at random through the year; one fitted to its failure records.</t>
  </si>
  <si>
    <t>Business question</t>
  </si>
  <si>
    <t>A packaging line has four machines in series: filler, capper, labeller and case packer. When any one stops, the line stops. How many hours a year will the line be down, what will that cost, which machine causes most of it — and does a standby capper, at US$30,000 a year, pay for itself?</t>
  </si>
  <si>
    <t>Who it is for</t>
  </si>
  <si>
    <t>Maintenance and reliability engineers, production managers, operations finance.</t>
  </si>
  <si>
    <t>Main outputs</t>
  </si>
  <si>
    <t>The line's downtime and availability, and the contribution lost · each machine's failures and downtime · the hours and money a standby capper saves, and the chance that it pays for itself.</t>
  </si>
  <si>
    <t>ModelRisk techniques</t>
  </si>
  <si>
    <t>Times between failures as Weibull distributions (VoseWeibull), the filler's fitted to its records with parameter uncertainty (VoseWeibullFitP) · repair times as Lognormal · each machine's failures through the year laid out cycle by cycle · downtime counted within the scheduled hours · a standby option on the same simulated failures.</t>
  </si>
  <si>
    <t>File</t>
  </si>
  <si>
    <t>MF-03 Reliability and availability of a production line  ·  Version 1.0  ·  October 2026  ·  built with ModelRisk 10</t>
  </si>
  <si>
    <t>The business question</t>
  </si>
  <si>
    <t>A food company's packaging line fills, caps, labels and packs 2,400 jars an hour, and every hour it stands still costs about US$1,200 of contribution. The four machines run in series, so a stop anywhere stops the line. The filler's last 30 failures were logged; for the other machines the maintenance team knows their typical times between failures and repair times. The engineers want to know how much the line will stand still next year, which machine is to blame, and whether a standby capper — switched in within a quarter of an hour whenever the capper fails — is worth its US$30,000 a year.</t>
  </si>
  <si>
    <t>How the model works</t>
  </si>
  <si>
    <t>Four sheets after this one, read from left to right. Each one feeds the next.</t>
  </si>
  <si>
    <t>1  Inputs</t>
  </si>
  <si>
    <t>The production hours scheduled in the year and the contribution lost per hour stopped; for each machine the Weibull shape and scale of its running time between failures and the mean and spread of its repair time; the standby capper's switch-over time and cost.</t>
  </si>
  <si>
    <t>2  Data</t>
  </si>
  <si>
    <t>The running hours between the filler's last 30 failures.</t>
  </si>
  <si>
    <t>3  Failures</t>
  </si>
  <si>
    <t>The filler's Weibull is fitted to its records with parameter uncertainty (VoseWeibullFitP). Each machine then fails again and again through the year: running time to the next failure from its Weibull, repair time from its Lognormal. Failures inside the scheduled hours are counted and their repairs added up; the standby capper replaces each capper repair by the switch-over time.</t>
  </si>
  <si>
    <t>4  Results</t>
  </si>
  <si>
    <t>The line's downtime, availability and lost contribution; each machine's share; the hours, money and chance of profit of the standby capper.</t>
  </si>
  <si>
    <t>How to use it</t>
  </si>
  <si>
    <t>Step 1</t>
  </si>
  <si>
    <t>Enter your scheduled hours and the contribution lost per hour.</t>
  </si>
  <si>
    <t>Step 2</t>
  </si>
  <si>
    <t>Enter each machine's failure and repair data, or paste a machine's failure records on the Data sheet.</t>
  </si>
  <si>
    <t>Step 3</t>
  </si>
  <si>
    <t>Run a simulation from the ModelRisk ribbon (10,000 samples with a fixed seed are set).</t>
  </si>
  <si>
    <t>Step 4</t>
  </si>
  <si>
    <t>Improve first the machine with the largest share of downtime; test options like the standby capper.</t>
  </si>
  <si>
    <t>Workbook map</t>
  </si>
  <si>
    <t>Inputs</t>
  </si>
  <si>
    <t>Line, machines, standby option.</t>
  </si>
  <si>
    <t>Data</t>
  </si>
  <si>
    <t>The filler's failure records.</t>
  </si>
  <si>
    <t>Failures</t>
  </si>
  <si>
    <t>Fitted filler; failures and repairs cycle by cycle; downtime; outputs and checks.</t>
  </si>
  <si>
    <t>Results</t>
  </si>
  <si>
    <t>Availability and cost; machines compared; the standby capper.</t>
  </si>
  <si>
    <t>Colour key</t>
  </si>
  <si>
    <t>Input</t>
  </si>
  <si>
    <t>An assumption you may change. Only these cells are inputs.</t>
  </si>
  <si>
    <t>Uncertain variable</t>
  </si>
  <si>
    <t>A ModelRisk distribution: a new random value is drawn at every recalculation (F9) and every simulation sample.</t>
  </si>
  <si>
    <t>Calculation</t>
  </si>
  <si>
    <t>A formula. Do not overwrite.</t>
  </si>
  <si>
    <t>Key output</t>
  </si>
  <si>
    <t>Marked with VoseOutput; its full distribution is recorded when you simulate.</t>
  </si>
  <si>
    <t>Simulation result</t>
  </si>
  <si>
    <t>A VoseSim… function: a statistic of the last simulation, filled in automatically.</t>
  </si>
  <si>
    <t>Units and conventions</t>
  </si>
  <si>
    <t>Time</t>
  </si>
  <si>
    <t>Hours of running or of repair.</t>
  </si>
  <si>
    <t>Money</t>
  </si>
  <si>
    <t>US$ thousand.</t>
  </si>
  <si>
    <t>Weibull</t>
  </si>
  <si>
    <t>Shape below 1: failures mostly early; 1: at random; above 1: wear-out.</t>
  </si>
  <si>
    <t>Availability</t>
  </si>
  <si>
    <t>Running hours ÷ scheduled hours.</t>
  </si>
  <si>
    <t>Key assumptions and limitations</t>
  </si>
  <si>
    <t>Series</t>
  </si>
  <si>
    <t>Any machine down stops the line; stops of different machines do not overlap.</t>
  </si>
  <si>
    <t>Ageing</t>
  </si>
  <si>
    <t>Each machine is counted as running through all the scheduled hours — a slight overstatement of failures when availability is high (here about 2%).</t>
  </si>
  <si>
    <t>Repairs</t>
  </si>
  <si>
    <t>A repaired machine is as good as new; repair times are independent.</t>
  </si>
  <si>
    <t>The line and all figures are invented for this example.</t>
  </si>
  <si>
    <t>ModelRisk functions used</t>
  </si>
  <si>
    <t>VoseWeibull</t>
  </si>
  <si>
    <t>Running time between failures.</t>
  </si>
  <si>
    <t>VoseWeibullFitP</t>
  </si>
  <si>
    <t>The filler's Weibull parameters fitted to its records, with parameter uncertainty (array).</t>
  </si>
  <si>
    <t>VoseLognormal</t>
  </si>
  <si>
    <t>Repair time, by its mean and standard deviation.</t>
  </si>
  <si>
    <t>VoseSimMean, VoseSimPercentile, VoseSimProbability</t>
  </si>
  <si>
    <t>Statistics of the simulation on the Results sheet.</t>
  </si>
  <si>
    <t>Further reading</t>
  </si>
  <si>
    <t>Reliability engineering</t>
  </si>
  <si>
    <t>O'Connor, P. D. T. &amp; Kleyner, A. (2012). Practical Reliability Engineering, 5th edition. Wiley.</t>
  </si>
  <si>
    <t>Risk analysis</t>
  </si>
  <si>
    <t>Vose, D. (2008). Risk Analysis: A Quantitative Guide, 3rd edition. Wiley — renewal processes.</t>
  </si>
  <si>
    <t>© 2026 Vose Software   ·   www.vosesoftware.com   ·   An illustrative example: the figures are invented for teaching and do not describe a real company, project or asset.</t>
  </si>
  <si>
    <t>INPUTS   ·   Every assumption the model uses, with its uncertainty and its basis. Change only the yellow cells.</t>
  </si>
  <si>
    <t>◂  About</t>
  </si>
  <si>
    <t>Next:  Data  ▸</t>
  </si>
  <si>
    <t>How to read this sheet:  yellow cells are inputs.</t>
  </si>
  <si>
    <t>1   The line</t>
  </si>
  <si>
    <t>Assumption</t>
  </si>
  <si>
    <t>Unit</t>
  </si>
  <si>
    <t>Value in model</t>
  </si>
  <si>
    <t>Uncertainty</t>
  </si>
  <si>
    <t>Basis / source (illustrative)</t>
  </si>
  <si>
    <t>Scheduled production hours</t>
  </si>
  <si>
    <t>hours a year</t>
  </si>
  <si>
    <t>Fixed</t>
  </si>
  <si>
    <t>Two shifts, five days a week.</t>
  </si>
  <si>
    <t>Contribution lost per hour stopped</t>
  </si>
  <si>
    <t>US$ thousand</t>
  </si>
  <si>
    <t>2,400 jars an hour × US$0.50.</t>
  </si>
  <si>
    <t>2   Machines</t>
  </si>
  <si>
    <t>Running time between failures (Weibull) and time to repair (Lognormal).</t>
  </si>
  <si>
    <t>Filler: Weibull shape  (fitted)</t>
  </si>
  <si>
    <t>Calculated</t>
  </si>
  <si>
    <t>Fitted to its failure records on the Data sheet (Failures sheet).</t>
  </si>
  <si>
    <t>Filler: Weibull scale  (fitted)</t>
  </si>
  <si>
    <t>hours</t>
  </si>
  <si>
    <t>Filler: average repair</t>
  </si>
  <si>
    <t>Shape and scale fitted to its failure records (Data sheet).</t>
  </si>
  <si>
    <t>Filler: repair standard deviation</t>
  </si>
  <si>
    <t>Capper: Weibull shape</t>
  </si>
  <si>
    <t>Torque heads jam; some repairs wait for parts.</t>
  </si>
  <si>
    <t>Capper: Weibull scale</t>
  </si>
  <si>
    <t>Capper: average repair</t>
  </si>
  <si>
    <t>Capper: repair standard deviation</t>
  </si>
  <si>
    <t>Labeller: Weibull shape</t>
  </si>
  <si>
    <t>Mostly quick resets.</t>
  </si>
  <si>
    <t>Labeller: Weibull scale</t>
  </si>
  <si>
    <t>Labeller: average repair</t>
  </si>
  <si>
    <t>Labeller: repair standard deviation</t>
  </si>
  <si>
    <t>Case packer: Weibull shape</t>
  </si>
  <si>
    <t>Rare but long stops.</t>
  </si>
  <si>
    <t>Case packer: Weibull scale</t>
  </si>
  <si>
    <t>Case packer: average repair</t>
  </si>
  <si>
    <t>Case packer: repair standard deviation</t>
  </si>
  <si>
    <t>3   Standby capper</t>
  </si>
  <si>
    <t>Switched in whenever the capper fails.</t>
  </si>
  <si>
    <t>Time to switch over</t>
  </si>
  <si>
    <t>Instead of waiting for the repair.</t>
  </si>
  <si>
    <t>Cost of the standby capper</t>
  </si>
  <si>
    <t>US$ thousand a year</t>
  </si>
  <si>
    <t>Lease and upkeep.</t>
  </si>
  <si>
    <t>DATA   ·   The filler's running hours between failures, one record a row. Yellow cells are data.</t>
  </si>
  <si>
    <t>◂  Inputs</t>
  </si>
  <si>
    <t>Next:  Failures  ▸</t>
  </si>
  <si>
    <t>1   Filler failure records</t>
  </si>
  <si>
    <t>Hours run between one failure and the next, in the order they happened. Paste your own, up to 500: the model reads every row.</t>
  </si>
  <si>
    <t>Record</t>
  </si>
  <si>
    <t>Hours</t>
  </si>
  <si>
    <t>Records</t>
  </si>
  <si>
    <t>Average</t>
  </si>
  <si>
    <t>Shortest</t>
  </si>
  <si>
    <t>Longest</t>
  </si>
  <si>
    <t>FAILURES   ·   Each machine's failures and repairs through the year (hours), and the downtime they cause.</t>
  </si>
  <si>
    <t>◂  Data</t>
  </si>
  <si>
    <t>Next:  Results  ▸</t>
  </si>
  <si>
    <t>1   The filler, from its records</t>
  </si>
  <si>
    <t>Quantity</t>
  </si>
  <si>
    <t>Value</t>
  </si>
  <si>
    <t>How it is calculated</t>
  </si>
  <si>
    <t>Weibull shape, best fit</t>
  </si>
  <si>
    <t>VoseWeibullFitP(data, FALSE)</t>
  </si>
  <si>
    <t>Weibull scale, best fit</t>
  </si>
  <si>
    <t>Weibull shape, this iteration</t>
  </si>
  <si>
    <t>VoseWeibullFitP(data, TRUE): plausible parameters, given 30 records</t>
  </si>
  <si>
    <t>Weibull scale, this iteration</t>
  </si>
  <si>
    <t>2   The machines, on average</t>
  </si>
  <si>
    <t>Best-estimate reliability: mean time between failures and expected downtime in a year.</t>
  </si>
  <si>
    <t>Machine</t>
  </si>
  <si>
    <t>Shape</t>
  </si>
  <si>
    <t>Scale</t>
  </si>
  <si>
    <t>MTBF</t>
  </si>
  <si>
    <t>Repair</t>
  </si>
  <si>
    <t>Downtime</t>
  </si>
  <si>
    <t>a year</t>
  </si>
  <si>
    <t>Filler</t>
  </si>
  <si>
    <t>MTBF: VoseMean(VoseWeibullObject(shape, scale))</t>
  </si>
  <si>
    <t>Capper</t>
  </si>
  <si>
    <t>Failures ≈ scheduled hours ÷ MTBF; downtime ≈ failures × repair</t>
  </si>
  <si>
    <t>Labeller</t>
  </si>
  <si>
    <t>Case packer</t>
  </si>
  <si>
    <t>3   Failures through the year</t>
  </si>
  <si>
    <t>Cumulative running hours at each failure, and its repair time. Only failures within the scheduled hours count.</t>
  </si>
  <si>
    <t>Failure</t>
  </si>
  <si>
    <t>repair</t>
  </si>
  <si>
    <t>standby</t>
  </si>
  <si>
    <t>fails at</t>
  </si>
  <si>
    <t>Fails at: the previous failure + VoseWeibull(shape, scale)</t>
  </si>
  <si>
    <t>Repair: VoseLognormal(mean, standard deviation)</t>
  </si>
  <si>
    <t>Standby: the switch-over time, or the repair if shorter</t>
  </si>
  <si>
    <t>Failures in the year</t>
  </si>
  <si>
    <t>COUNTIF and SUMIF over the failures up to the scheduled hours; later ones are grey</t>
  </si>
  <si>
    <t>Downtime in the year  (hours)</t>
  </si>
  <si>
    <t>4   Value in this iteration</t>
  </si>
  <si>
    <t>Key outputs, recorded by ModelRisk at every sample (VoseOutput). Their statistics appear on the Results sheet.</t>
  </si>
  <si>
    <t>Output</t>
  </si>
  <si>
    <t>Meaning</t>
  </si>
  <si>
    <t>Line downtime</t>
  </si>
  <si>
    <t>All four machines' repairs inside the year</t>
  </si>
  <si>
    <t>Line downtime, with a standby capper</t>
  </si>
  <si>
    <t>Running ÷ scheduled hours</t>
  </si>
  <si>
    <t>Contribution lost</t>
  </si>
  <si>
    <t>Downtime × cost per hour</t>
  </si>
  <si>
    <t>Standby capper: saving net of its cost</t>
  </si>
  <si>
    <t>Hours saved × cost per hour − cost of the standby</t>
  </si>
  <si>
    <t>Downtime: filler</t>
  </si>
  <si>
    <t>Downtime: capper</t>
  </si>
  <si>
    <t>Downtime: labeller</t>
  </si>
  <si>
    <t>Downtime: case packer</t>
  </si>
  <si>
    <t>Failures: filler</t>
  </si>
  <si>
    <t>failures</t>
  </si>
  <si>
    <t>Failures: capper</t>
  </si>
  <si>
    <t>Failures: labeller</t>
  </si>
  <si>
    <t>Failures: case packer</t>
  </si>
  <si>
    <t>5   Model checks</t>
  </si>
  <si>
    <t>Should all read OK. A CHECK means an input has been set outside the range the model is built for.</t>
  </si>
  <si>
    <t>40 failures are listed: enough to cover the year for every machine</t>
  </si>
  <si>
    <t>The fitted filler wears out  (shape above 1)</t>
  </si>
  <si>
    <t>RESULTS   ·   Filled in automatically from the last simulation. Run a simulation after changing any input.</t>
  </si>
  <si>
    <t>◂  Failures</t>
  </si>
  <si>
    <t>1   How much will the line stand still?</t>
  </si>
  <si>
    <t>Line downtime in a year — distribution</t>
  </si>
  <si>
    <t>Downtime in a year of scheduled production, and what it costs.</t>
  </si>
  <si>
    <t>Measure</t>
  </si>
  <si>
    <t>5th pct</t>
  </si>
  <si>
    <t>Median</t>
  </si>
  <si>
    <t>95th pct</t>
  </si>
  <si>
    <t>Mean</t>
  </si>
  <si>
    <t>US$k</t>
  </si>
  <si>
    <t>Availability, average year</t>
  </si>
  <si>
    <t>Availability, 1 year in 20  (5th percentile)</t>
  </si>
  <si>
    <t>2   Which machine stops the line?</t>
  </si>
  <si>
    <t>Average failures and downtime in a year, by machine.</t>
  </si>
  <si>
    <t>Share</t>
  </si>
  <si>
    <t>of downtime</t>
  </si>
  <si>
    <t>hours, mean</t>
  </si>
  <si>
    <t>3   Is a standby capper worth it?</t>
  </si>
  <si>
    <t>Line downtime — cumulative probability</t>
  </si>
  <si>
    <t>The same failures, with each capper repair replaced by a quarter-hour switch.</t>
  </si>
  <si>
    <t>Line downtime a year, without the standby</t>
  </si>
  <si>
    <t xml:space="preserve">   …with the standby</t>
  </si>
  <si>
    <t>Hours saved</t>
  </si>
  <si>
    <t>Saving net of the standby's cost, average</t>
  </si>
  <si>
    <t>Saving net of cost, 1 year in 20  (5th percentile)</t>
  </si>
  <si>
    <t>Chance that the standby pays for itself</t>
  </si>
  <si>
    <t>4   How to read these results</t>
  </si>
  <si>
    <t>•  The line stands still about 104 hours in an average year — 98.3% availability — and about 137 hours in a bad year (1 in 20). At US$1,200 an hour that is about US$125,000 of lost contribution a year, and up to about US$164,000.</t>
  </si>
  <si>
    <t>•  The capper causes about 41% of the downtime: it fails most often, about 22 times a year, and its repairs are long and variable. The case packer fails rarely but takes four hours to repair on average (28%); the labeller's frequent short stops matter least.</t>
  </si>
  <si>
    <t>•  A standby capper turns each capper repair into a quarter-hour switch. It saves about 38 hours a year — about US$15,000 a year after its cost — and pays for itself in about 84% of years; in a quiet year for the capper it does not.</t>
  </si>
  <si>
    <t>•  The filler's reliability rests on only 30 records, so its Weibull parameters are uncertain: the model draws plausible ones in every iteration (VoseWeibullFitP with uncertainty). Its shape of about 1.7 says the filler wears out, so preventive maintenance could cut its failures (see MF-08).</t>
  </si>
  <si>
    <t>Chart data</t>
  </si>
  <si>
    <t>Statistics of the last simulation behind the charts and the ranking above. Grouped: click + in the left margin to show them.</t>
  </si>
  <si>
    <t>Cumulative probability</t>
  </si>
  <si>
    <t>Exceedance</t>
  </si>
  <si>
    <t>Out_Down</t>
  </si>
  <si>
    <t>Out_DownS</t>
  </si>
  <si>
    <t>Percentiles: Out_Down</t>
  </si>
  <si>
    <t>Histogram: Out_Down</t>
  </si>
  <si>
    <t>Edge</t>
  </si>
  <si>
    <t>Index</t>
  </si>
  <si>
    <t>Mid-point</t>
  </si>
  <si>
    <t>Probability</t>
  </si>
  <si>
    <t>Below edge</t>
  </si>
  <si>
    <t>DSN Files Count: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</si>
</sst>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0_);\(#,##0\);&quot;–&quot;_)"/>
    <numFmt numFmtId="165" formatCode="#,##0.0_);\(#,##0.0\);&quot;–&quot;_)"/>
    <numFmt numFmtId="166" formatCode="#,##0.00_);\(#,##0.00\);&quot;–&quot;_)"/>
    <numFmt numFmtId="167" formatCode="0.000"/>
    <numFmt numFmtId="168" formatCode="#,##0.0_);\(#,##0.0\);&quot;–&quot;_);&quot;–&quot;"/>
    <numFmt numFmtId="169" formatCode="0.00%;\-0.00%;0.00%;&quot;–&quot;"/>
    <numFmt numFmtId="170" formatCode="0%;\-0%;0%;&quot;–&quot;"/>
    <numFmt numFmtId="171" formatCode="0.0%;\-0.0%;0.0%;&quot;–&quot;"/>
    <numFmt numFmtId="172" formatCode="0.0%"/>
  </numFmts>
  <fonts count="23" x14ac:knownFonts="1">
    <font>
      <sz val="11"/>
      <color theme="1"/>
      <name val="Calibri"/>
      <family val="2"/>
      <scheme val="minor"/>
    </font>
    <font>
      <sz val="10"/>
      <color rgb="FF0E4F92"/>
      <name val="Calibri"/>
    </font>
    <font>
      <sz val="10"/>
      <color rgb="FF9A3412"/>
      <name val="Calibri"/>
    </font>
    <font>
      <sz val="10"/>
      <color rgb="FF0F2A47"/>
      <name val="Calibri"/>
    </font>
    <font>
      <b/>
      <sz val="10"/>
      <color rgb="FF14532D"/>
      <name val="Calibri"/>
    </font>
    <font>
      <b/>
      <sz val="16"/>
      <color rgb="FFFFFFFF"/>
      <name val="Calibri"/>
    </font>
    <font>
      <sz val="10"/>
      <color rgb="FFD6E2F0"/>
      <name val="Calibri"/>
    </font>
    <font>
      <sz val="9"/>
      <color rgb="FFD6E2F0"/>
      <name val="Calibri"/>
    </font>
    <font>
      <u/>
      <sz val="9"/>
      <color rgb="FF0E4F92"/>
      <name val="Calibri"/>
    </font>
    <font>
      <b/>
      <sz val="20"/>
      <color rgb="FFFFFFFF"/>
      <name val="Calibri"/>
    </font>
    <font>
      <b/>
      <sz val="12"/>
      <color rgb="FF0E4F92"/>
      <name val="Calibri"/>
    </font>
    <font>
      <b/>
      <sz val="10"/>
      <color rgb="FF3F5876"/>
      <name val="Calibri"/>
    </font>
    <font>
      <b/>
      <sz val="10"/>
      <color rgb="FF0F2A47"/>
      <name val="Calibri"/>
    </font>
    <font>
      <i/>
      <sz val="9"/>
      <color rgb="FF3F5876"/>
      <name val="Calibri"/>
    </font>
    <font>
      <u/>
      <sz val="10"/>
      <color rgb="FF0E4F92"/>
      <name val="Calibri"/>
    </font>
    <font>
      <b/>
      <sz val="10"/>
      <color rgb="FF0E4F92"/>
      <name val="Calibri"/>
    </font>
    <font>
      <i/>
      <sz val="9"/>
      <color rgb="FF8AA0BA"/>
      <name val="Calibri"/>
    </font>
    <font>
      <b/>
      <sz val="9"/>
      <color rgb="FF3F5876"/>
      <name val="Calibri"/>
    </font>
    <font>
      <sz val="9"/>
      <color rgb="FF3F5876"/>
      <name val="Calibri"/>
    </font>
    <font>
      <sz val="9"/>
      <color rgb="FF8AA0BA"/>
      <name val="Calibri"/>
    </font>
    <font>
      <sz val="8"/>
      <color rgb="FF3F5876"/>
      <name val="Calibri"/>
    </font>
    <font>
      <b/>
      <sz val="10"/>
      <color rgb="FF15803D"/>
      <name val="Calibri"/>
    </font>
    <font>
      <b/>
      <sz val="11"/>
      <color rgb="FF0E4F92"/>
      <name val="Calibri"/>
    </font>
  </fonts>
  <fills count="8">
    <fill>
      <patternFill patternType="none"/>
    </fill>
    <fill>
      <patternFill patternType="gray125"/>
    </fill>
    <fill>
      <patternFill patternType="solid">
        <fgColor rgb="FFFFF4CC"/>
        <bgColor rgb="FFFFF4CC"/>
      </patternFill>
    </fill>
    <fill>
      <patternFill patternType="solid">
        <fgColor rgb="FFFCE4D6"/>
        <bgColor rgb="FFFCE4D6"/>
      </patternFill>
    </fill>
    <fill>
      <patternFill patternType="solid">
        <fgColor rgb="FFE3F1E6"/>
        <bgColor rgb="FFE3F1E6"/>
      </patternFill>
    </fill>
    <fill>
      <patternFill patternType="solid">
        <fgColor rgb="FFE8EEF7"/>
        <bgColor rgb="FFE8EEF7"/>
      </patternFill>
    </fill>
    <fill>
      <patternFill patternType="solid">
        <fgColor rgb="FF0E4F92"/>
        <bgColor rgb="FF0E4F92"/>
      </patternFill>
    </fill>
    <fill>
      <patternFill patternType="solid">
        <fgColor rgb="FFEEF1F5"/>
        <bgColor rgb="FFEEF1F5"/>
      </patternFill>
    </fill>
  </fills>
  <borders count="12">
    <border>
      <left/>
      <right/>
      <top/>
      <bottom/>
      <diagonal/>
    </border>
    <border>
      <left style="thin">
        <color rgb="FFC6D1DF"/>
      </left>
      <right style="thin">
        <color rgb="FFC6D1DF"/>
      </right>
      <top style="thin">
        <color rgb="FFC6D1DF"/>
      </top>
      <bottom style="thin">
        <color rgb="FFC6D1DF"/>
      </bottom>
      <diagonal/>
    </border>
    <border>
      <left/>
      <right/>
      <top/>
      <bottom/>
      <diagonal/>
    </border>
    <border>
      <left style="thin">
        <color rgb="FF15803D"/>
      </left>
      <right style="thin">
        <color rgb="FF15803D"/>
      </right>
      <top style="thin">
        <color rgb="FF15803D"/>
      </top>
      <bottom style="thin">
        <color rgb="FF15803D"/>
      </bottom>
      <diagonal/>
    </border>
    <border>
      <left/>
      <right/>
      <top/>
      <bottom style="thin">
        <color rgb="FFC6D1DF"/>
      </bottom>
      <diagonal/>
    </border>
    <border>
      <left/>
      <right/>
      <top/>
      <bottom style="medium">
        <color rgb="FF0E4F92"/>
      </bottom>
      <diagonal/>
    </border>
    <border>
      <left/>
      <right/>
      <top/>
      <bottom style="thin">
        <color rgb="FFE4E9F0"/>
      </bottom>
      <diagonal/>
    </border>
    <border>
      <left style="thin">
        <color rgb="FFC6D1DF"/>
      </left>
      <right style="thin">
        <color rgb="FFC6D1DF"/>
      </right>
      <top style="thin">
        <color rgb="FFC6D1DF"/>
      </top>
      <bottom style="thin">
        <color rgb="FFE4E9F0"/>
      </bottom>
      <diagonal/>
    </border>
    <border>
      <left/>
      <right/>
      <top/>
      <bottom style="thin">
        <color rgb="FFE4E9F0"/>
      </bottom>
      <diagonal/>
    </border>
    <border>
      <left/>
      <right/>
      <top style="thin">
        <color rgb="FF3F5876"/>
      </top>
      <bottom/>
      <diagonal/>
    </border>
    <border>
      <left style="thin">
        <color rgb="FF15803D"/>
      </left>
      <right style="thin">
        <color rgb="FF15803D"/>
      </right>
      <top style="thin">
        <color rgb="FF15803D"/>
      </top>
      <bottom style="thin">
        <color rgb="FFE4E9F0"/>
      </bottom>
      <diagonal/>
    </border>
    <border>
      <left/>
      <right/>
      <top style="thin">
        <color rgb="FFC6D1DF"/>
      </top>
      <bottom style="thin">
        <color rgb="FFC6D1DF"/>
      </bottom>
      <diagonal/>
    </border>
  </borders>
  <cellStyleXfs count="6">
    <xf numFmtId="0" fontId="0" fillId="0" borderId="0"/>
    <xf numFmtId="0" fontId="1" fillId="2" borderId="1">
      <alignment horizontal="right" vertical="center"/>
    </xf>
    <xf numFmtId="0" fontId="2" fillId="3" borderId="1">
      <alignment horizontal="right" vertical="center"/>
    </xf>
    <xf numFmtId="0" fontId="3" fillId="0" borderId="2">
      <alignment horizontal="right" vertical="center"/>
    </xf>
    <xf numFmtId="0" fontId="4" fillId="4" borderId="3">
      <alignment horizontal="right" vertical="center"/>
    </xf>
    <xf numFmtId="0" fontId="1" fillId="5" borderId="1">
      <alignment horizontal="right" vertical="center"/>
    </xf>
  </cellStyleXfs>
  <cellXfs count="79">
    <xf numFmtId="0" fontId="0" fillId="0" borderId="0" xfId="0"/>
    <xf numFmtId="0" fontId="0" fillId="6" borderId="0" xfId="0" applyFill="1"/>
    <xf numFmtId="0" fontId="9" fillId="6" borderId="0" xfId="0" applyFont="1" applyFill="1" applyAlignment="1">
      <alignment vertical="center"/>
    </xf>
    <xf numFmtId="0" fontId="7" fillId="6" borderId="0" xfId="0" applyFont="1" applyFill="1" applyAlignment="1">
      <alignment horizontal="right" vertical="center"/>
    </xf>
    <xf numFmtId="0" fontId="6" fillId="6" borderId="0" xfId="0" applyFont="1" applyFill="1" applyAlignment="1">
      <alignment vertical="center"/>
    </xf>
    <xf numFmtId="0" fontId="0" fillId="7" borderId="4" xfId="0" applyFill="1" applyBorder="1"/>
    <xf numFmtId="0" fontId="8" fillId="7" borderId="4" xfId="0" applyFont="1" applyFill="1" applyBorder="1" applyAlignment="1">
      <alignment horizontal="right" vertical="center"/>
    </xf>
    <xf numFmtId="0" fontId="10" fillId="0" borderId="5" xfId="0" applyFont="1" applyBorder="1"/>
    <xf numFmtId="0" fontId="0" fillId="0" borderId="5" xfId="0" applyBorder="1"/>
    <xf numFmtId="0" fontId="11" fillId="0" borderId="6" xfId="0" applyFont="1" applyBorder="1" applyAlignment="1">
      <alignment horizontal="left" vertical="top" indent="1"/>
    </xf>
    <xf numFmtId="0" fontId="3" fillId="0" borderId="6" xfId="0" applyFont="1" applyBorder="1" applyAlignment="1">
      <alignment horizontal="left" vertical="top" wrapText="1" indent="1"/>
    </xf>
    <xf numFmtId="0" fontId="12" fillId="0" borderId="6" xfId="0" applyFont="1" applyBorder="1" applyAlignment="1">
      <alignment horizontal="left" vertical="top" wrapText="1" indent="1"/>
    </xf>
    <xf numFmtId="0" fontId="3" fillId="0" borderId="0" xfId="0" applyFont="1" applyAlignment="1">
      <alignment horizontal="left" vertical="top" wrapText="1" indent="1"/>
    </xf>
    <xf numFmtId="0" fontId="13" fillId="0" borderId="0" xfId="0" applyFont="1" applyAlignment="1">
      <alignment vertical="center"/>
    </xf>
    <xf numFmtId="0" fontId="14" fillId="0" borderId="6" xfId="0" applyFont="1" applyBorder="1" applyAlignment="1">
      <alignment horizontal="left" vertical="center" indent="1"/>
    </xf>
    <xf numFmtId="0" fontId="1" fillId="2" borderId="1" xfId="1" applyAlignment="1">
      <alignment horizontal="center" vertical="center"/>
    </xf>
    <xf numFmtId="0" fontId="2" fillId="3" borderId="1" xfId="2" applyAlignment="1">
      <alignment horizontal="center" vertical="center"/>
    </xf>
    <xf numFmtId="0" fontId="3" fillId="0" borderId="2" xfId="3" applyAlignment="1">
      <alignment horizontal="center" vertical="center"/>
    </xf>
    <xf numFmtId="0" fontId="4" fillId="4" borderId="3" xfId="4" applyAlignment="1">
      <alignment horizontal="center" vertical="center"/>
    </xf>
    <xf numFmtId="0" fontId="1" fillId="5" borderId="1" xfId="5" applyAlignment="1">
      <alignment horizontal="center" vertical="center"/>
    </xf>
    <xf numFmtId="0" fontId="15" fillId="0" borderId="6" xfId="0" applyFont="1" applyBorder="1" applyAlignment="1">
      <alignment horizontal="left" vertical="top" wrapText="1" indent="1"/>
    </xf>
    <xf numFmtId="0" fontId="5" fillId="6" borderId="0" xfId="0" applyFont="1" applyFill="1" applyAlignment="1">
      <alignment vertical="center"/>
    </xf>
    <xf numFmtId="0" fontId="8" fillId="7" borderId="4" xfId="0" applyFont="1" applyFill="1" applyBorder="1" applyAlignment="1">
      <alignment vertical="center"/>
    </xf>
    <xf numFmtId="0" fontId="17" fillId="7" borderId="4" xfId="0" applyFont="1" applyFill="1" applyBorder="1" applyAlignment="1">
      <alignment horizontal="left" vertical="center" wrapText="1" indent="1"/>
    </xf>
    <xf numFmtId="0" fontId="17" fillId="7" borderId="4" xfId="0" applyFont="1" applyFill="1" applyBorder="1" applyAlignment="1">
      <alignment horizontal="right" vertical="center" wrapText="1"/>
    </xf>
    <xf numFmtId="0" fontId="3" fillId="0" borderId="6" xfId="0" applyFont="1" applyBorder="1" applyAlignment="1">
      <alignment horizontal="left" vertical="center" indent="1"/>
    </xf>
    <xf numFmtId="0" fontId="18" fillId="0" borderId="6" xfId="0" applyFont="1" applyBorder="1" applyAlignment="1">
      <alignment horizontal="left" vertical="center" indent="1"/>
    </xf>
    <xf numFmtId="164" fontId="1" fillId="2" borderId="7" xfId="1" applyNumberFormat="1" applyBorder="1">
      <alignment horizontal="right" vertical="center"/>
    </xf>
    <xf numFmtId="0" fontId="0" fillId="0" borderId="6" xfId="0" applyBorder="1"/>
    <xf numFmtId="0" fontId="18" fillId="0" borderId="6" xfId="0" applyFont="1" applyBorder="1" applyAlignment="1">
      <alignment horizontal="left" vertical="center" wrapText="1" indent="1"/>
    </xf>
    <xf numFmtId="165" fontId="1" fillId="2" borderId="7" xfId="1" applyNumberFormat="1" applyBorder="1">
      <alignment horizontal="right" vertical="center"/>
    </xf>
    <xf numFmtId="2" fontId="3" fillId="0" borderId="8" xfId="3" applyNumberFormat="1" applyBorder="1">
      <alignment horizontal="right" vertical="center"/>
    </xf>
    <xf numFmtId="164" fontId="3" fillId="0" borderId="8" xfId="3" applyNumberFormat="1" applyBorder="1">
      <alignment horizontal="right" vertical="center"/>
    </xf>
    <xf numFmtId="2" fontId="1" fillId="2" borderId="7" xfId="1" applyNumberFormat="1" applyBorder="1">
      <alignment horizontal="right" vertical="center"/>
    </xf>
    <xf numFmtId="166" fontId="1" fillId="2" borderId="7" xfId="1" applyNumberFormat="1" applyBorder="1">
      <alignment horizontal="right" vertical="center"/>
    </xf>
    <xf numFmtId="0" fontId="17" fillId="7" borderId="4" xfId="0" applyFont="1" applyFill="1" applyBorder="1" applyAlignment="1">
      <alignment horizontal="left" vertical="center" indent="1"/>
    </xf>
    <xf numFmtId="0" fontId="17" fillId="7" borderId="4" xfId="0" applyFont="1" applyFill="1" applyBorder="1" applyAlignment="1">
      <alignment horizontal="right" vertical="center"/>
    </xf>
    <xf numFmtId="0" fontId="19" fillId="0" borderId="6" xfId="0" applyFont="1" applyBorder="1" applyAlignment="1">
      <alignment horizontal="left" vertical="center" indent="1"/>
    </xf>
    <xf numFmtId="0" fontId="3" fillId="0" borderId="0" xfId="0" applyFont="1" applyAlignment="1">
      <alignment horizontal="left" vertical="center" indent="1"/>
    </xf>
    <xf numFmtId="164" fontId="3" fillId="0" borderId="2" xfId="3" applyNumberFormat="1">
      <alignment horizontal="right" vertical="center"/>
    </xf>
    <xf numFmtId="167" fontId="3" fillId="0" borderId="8" xfId="3" applyNumberFormat="1" applyBorder="1">
      <alignment horizontal="right" vertical="center"/>
    </xf>
    <xf numFmtId="165" fontId="3" fillId="0" borderId="8" xfId="3" applyNumberFormat="1" applyBorder="1">
      <alignment horizontal="right" vertical="center"/>
    </xf>
    <xf numFmtId="167" fontId="2" fillId="3" borderId="7" xfId="2" applyNumberFormat="1" applyBorder="1">
      <alignment horizontal="right" vertical="center"/>
    </xf>
    <xf numFmtId="165" fontId="2" fillId="3" borderId="7" xfId="2" applyNumberFormat="1" applyBorder="1">
      <alignment horizontal="right" vertical="center"/>
    </xf>
    <xf numFmtId="0" fontId="17" fillId="7" borderId="2" xfId="0" applyFont="1" applyFill="1" applyBorder="1" applyAlignment="1">
      <alignment horizontal="left" vertical="center" indent="1"/>
    </xf>
    <xf numFmtId="0" fontId="17" fillId="7" borderId="2" xfId="0" applyFont="1" applyFill="1" applyBorder="1" applyAlignment="1">
      <alignment horizontal="right" vertical="center"/>
    </xf>
    <xf numFmtId="0" fontId="20" fillId="7" borderId="4" xfId="0" applyFont="1" applyFill="1" applyBorder="1" applyAlignment="1">
      <alignment horizontal="right" vertical="center"/>
    </xf>
    <xf numFmtId="164" fontId="2" fillId="3" borderId="7" xfId="2" applyNumberFormat="1" applyBorder="1">
      <alignment horizontal="right" vertical="center"/>
    </xf>
    <xf numFmtId="166" fontId="3" fillId="0" borderId="8" xfId="3" applyNumberFormat="1" applyBorder="1">
      <alignment horizontal="right" vertical="center"/>
    </xf>
    <xf numFmtId="0" fontId="12" fillId="0" borderId="9" xfId="0" applyFont="1" applyBorder="1" applyAlignment="1">
      <alignment horizontal="left" vertical="center" indent="1"/>
    </xf>
    <xf numFmtId="164" fontId="12" fillId="0" borderId="9" xfId="3" applyNumberFormat="1" applyFont="1" applyBorder="1">
      <alignment horizontal="right" vertical="center"/>
    </xf>
    <xf numFmtId="0" fontId="0" fillId="0" borderId="9" xfId="0" applyBorder="1"/>
    <xf numFmtId="0" fontId="18" fillId="0" borderId="0" xfId="0" applyFont="1" applyAlignment="1">
      <alignment horizontal="left" vertical="center" indent="1"/>
    </xf>
    <xf numFmtId="0" fontId="12" fillId="0" borderId="0" xfId="0" applyFont="1" applyAlignment="1">
      <alignment horizontal="left" vertical="center" indent="1"/>
    </xf>
    <xf numFmtId="165" fontId="12" fillId="0" borderId="2" xfId="3" applyNumberFormat="1" applyFont="1">
      <alignment horizontal="right" vertical="center"/>
    </xf>
    <xf numFmtId="165" fontId="4" fillId="4" borderId="10" xfId="4" applyNumberFormat="1" applyBorder="1">
      <alignment horizontal="right" vertical="center"/>
    </xf>
    <xf numFmtId="10" fontId="4" fillId="4" borderId="10" xfId="4" applyNumberFormat="1" applyBorder="1">
      <alignment horizontal="right" vertical="center"/>
    </xf>
    <xf numFmtId="164" fontId="4" fillId="4" borderId="10" xfId="4" applyNumberFormat="1" applyBorder="1">
      <alignment horizontal="right" vertical="center"/>
    </xf>
    <xf numFmtId="0" fontId="21" fillId="0" borderId="6" xfId="0" applyFont="1" applyBorder="1" applyAlignment="1">
      <alignment horizontal="center" vertical="center"/>
    </xf>
    <xf numFmtId="0" fontId="15" fillId="5" borderId="11" xfId="0" applyFont="1" applyFill="1" applyBorder="1" applyAlignment="1">
      <alignment horizontal="left" vertical="center" indent="1"/>
    </xf>
    <xf numFmtId="0" fontId="0" fillId="5" borderId="11" xfId="0" applyFill="1" applyBorder="1"/>
    <xf numFmtId="0" fontId="22" fillId="0" borderId="5" xfId="0" applyFont="1" applyBorder="1"/>
    <xf numFmtId="168" fontId="1" fillId="5" borderId="7" xfId="5" applyNumberFormat="1" applyBorder="1">
      <alignment horizontal="right" vertical="center"/>
    </xf>
    <xf numFmtId="0" fontId="12" fillId="0" borderId="6" xfId="0" applyFont="1" applyBorder="1" applyAlignment="1">
      <alignment horizontal="left" vertical="center" indent="1"/>
    </xf>
    <xf numFmtId="169" fontId="1" fillId="5" borderId="7" xfId="5" applyNumberFormat="1" applyBorder="1">
      <alignment horizontal="right" vertical="center"/>
    </xf>
    <xf numFmtId="0" fontId="17" fillId="7" borderId="2" xfId="0" applyFont="1" applyFill="1" applyBorder="1" applyAlignment="1">
      <alignment horizontal="left" vertical="center" wrapText="1" indent="1"/>
    </xf>
    <xf numFmtId="0" fontId="17" fillId="7" borderId="2" xfId="0" applyFont="1" applyFill="1" applyBorder="1" applyAlignment="1">
      <alignment horizontal="right" vertical="center" wrapText="1"/>
    </xf>
    <xf numFmtId="170" fontId="1" fillId="5" borderId="7" xfId="5" applyNumberFormat="1" applyBorder="1">
      <alignment horizontal="right" vertical="center"/>
    </xf>
    <xf numFmtId="171" fontId="1" fillId="5" borderId="7" xfId="5" applyNumberFormat="1" applyBorder="1">
      <alignment horizontal="right" vertical="center"/>
    </xf>
    <xf numFmtId="9" fontId="3" fillId="0" borderId="2" xfId="3" applyNumberFormat="1">
      <alignment horizontal="right" vertical="center"/>
    </xf>
    <xf numFmtId="4" fontId="3" fillId="0" borderId="2" xfId="3" applyNumberFormat="1">
      <alignment horizontal="right" vertical="center"/>
    </xf>
    <xf numFmtId="172" fontId="3" fillId="0" borderId="2" xfId="3" applyNumberFormat="1">
      <alignment horizontal="right" vertical="center"/>
    </xf>
    <xf numFmtId="0" fontId="19" fillId="0" borderId="0" xfId="0" applyFont="1"/>
    <xf numFmtId="1" fontId="3" fillId="0" borderId="2" xfId="3" applyNumberFormat="1">
      <alignment horizontal="right" vertical="center"/>
    </xf>
    <xf numFmtId="0" fontId="16" fillId="0" borderId="0" xfId="0" applyFont="1"/>
    <xf numFmtId="0" fontId="0" fillId="0" borderId="0" xfId="0"/>
    <xf numFmtId="0" fontId="3" fillId="0" borderId="0" xfId="0" applyFont="1" applyAlignment="1">
      <alignment horizontal="left" vertical="top" wrapText="1" indent="1"/>
    </xf>
    <xf numFmtId="0" fontId="13" fillId="0" borderId="0" xfId="0" applyFont="1" applyAlignment="1">
      <alignment horizontal="left" vertical="center" wrapText="1" indent="1"/>
    </xf>
    <xf numFmtId="0" fontId="0" fillId="0" borderId="0" xfId="0" applyAlignment="1"/>
  </cellXfs>
  <cellStyles count="6">
    <cellStyle name="Normal" xfId="0" builtinId="0"/>
    <cellStyle name="Vose Calculation" xfId="3" xr:uid="{00000000-0005-0000-0000-000003000000}"/>
    <cellStyle name="Vose Input" xfId="1" xr:uid="{00000000-0005-0000-0000-000001000000}"/>
    <cellStyle name="Vose Output" xfId="4" xr:uid="{00000000-0005-0000-0000-000004000000}"/>
    <cellStyle name="Vose Sim Result" xfId="5" xr:uid="{00000000-0005-0000-0000-000005000000}"/>
    <cellStyle name="Vose Uncertain" xfId="2" xr:uid="{00000000-0005-0000-0000-000002000000}"/>
  </cellStyles>
  <dxfs count="9">
    <dxf>
      <font>
        <color rgb="FF8AA0BA"/>
      </font>
    </dxf>
    <dxf>
      <font>
        <color rgb="FF8AA0BA"/>
      </font>
    </dxf>
    <dxf>
      <font>
        <color rgb="FFB45309"/>
      </font>
      <fill>
        <patternFill patternType="solid">
          <fgColor rgb="FFFEF3C7"/>
          <bgColor rgb="FFFEF3C7"/>
        </patternFill>
      </fill>
    </dxf>
    <dxf>
      <font>
        <b/>
        <color rgb="FFB91C1C"/>
      </font>
    </dxf>
    <dxf>
      <font>
        <color rgb="FF8AA0BA"/>
      </font>
    </dxf>
    <dxf>
      <font>
        <color rgb="FF8AA0BA"/>
      </font>
    </dxf>
    <dxf>
      <font>
        <b/>
        <color rgb="FFB91C1C"/>
      </font>
      <fill>
        <patternFill patternType="solid">
          <fgColor rgb="FFFEE2E2"/>
          <bgColor rgb="FFFEE2E2"/>
        </patternFill>
      </fill>
    </dxf>
    <dxf>
      <font>
        <color rgb="FF8AA0BA"/>
      </font>
    </dxf>
    <dxf>
      <font>
        <color rgb="FF8AA0BA"/>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barChart>
        <c:barDir val="col"/>
        <c:grouping val="clustered"/>
        <c:varyColors val="0"/>
        <c:ser>
          <c:idx val="0"/>
          <c:order val="0"/>
          <c:tx>
            <c:v>Line downtime</c:v>
          </c:tx>
          <c:spPr>
            <a:solidFill>
              <a:srgbClr val="0E4F92"/>
            </a:solidFill>
            <a:ln>
              <a:noFill/>
              <a:prstDash val="solid"/>
            </a:ln>
          </c:spPr>
          <c:invertIfNegative val="1"/>
          <c:cat>
            <c:numRef>
              <c:f>Results!$E$208:$E$231</c:f>
              <c:numCache>
                <c:formatCode>#,##0.00</c:formatCode>
                <c:ptCount val="24"/>
                <c:pt idx="0">
                  <c:v>65.583719107816705</c:v>
                </c:pt>
                <c:pt idx="1">
                  <c:v>69.674020529087301</c:v>
                </c:pt>
                <c:pt idx="2">
                  <c:v>73.764321950357925</c:v>
                </c:pt>
                <c:pt idx="3">
                  <c:v>77.854623371628549</c:v>
                </c:pt>
                <c:pt idx="4">
                  <c:v>81.944924792899144</c:v>
                </c:pt>
                <c:pt idx="5">
                  <c:v>86.035226214169768</c:v>
                </c:pt>
                <c:pt idx="6">
                  <c:v>90.125527635440363</c:v>
                </c:pt>
                <c:pt idx="7">
                  <c:v>94.215829056710987</c:v>
                </c:pt>
                <c:pt idx="8">
                  <c:v>98.306130477981597</c:v>
                </c:pt>
                <c:pt idx="9">
                  <c:v>102.39643189925221</c:v>
                </c:pt>
                <c:pt idx="10">
                  <c:v>106.48673332052282</c:v>
                </c:pt>
                <c:pt idx="11">
                  <c:v>110.57703474179343</c:v>
                </c:pt>
                <c:pt idx="12">
                  <c:v>114.66733616306405</c:v>
                </c:pt>
                <c:pt idx="13">
                  <c:v>118.75763758433466</c:v>
                </c:pt>
                <c:pt idx="14">
                  <c:v>122.84793900560527</c:v>
                </c:pt>
                <c:pt idx="15">
                  <c:v>126.93824042687589</c:v>
                </c:pt>
                <c:pt idx="16">
                  <c:v>131.02854184814652</c:v>
                </c:pt>
                <c:pt idx="17">
                  <c:v>135.11884326941708</c:v>
                </c:pt>
                <c:pt idx="18">
                  <c:v>139.20914469068771</c:v>
                </c:pt>
                <c:pt idx="19">
                  <c:v>143.29944611195833</c:v>
                </c:pt>
                <c:pt idx="20">
                  <c:v>147.38974753322896</c:v>
                </c:pt>
                <c:pt idx="21">
                  <c:v>151.48004895449955</c:v>
                </c:pt>
                <c:pt idx="22">
                  <c:v>155.57035037577015</c:v>
                </c:pt>
                <c:pt idx="23">
                  <c:v>159.66065179704077</c:v>
                </c:pt>
              </c:numCache>
            </c:numRef>
          </c:cat>
          <c:val>
            <c:numRef>
              <c:f>Results!$F$208:$F$231</c:f>
              <c:numCache>
                <c:formatCode>0.0%</c:formatCode>
                <c:ptCount val="24"/>
                <c:pt idx="0">
                  <c:v>7.4245157360731126E-3</c:v>
                </c:pt>
                <c:pt idx="1">
                  <c:v>1.492900035101211E-2</c:v>
                </c:pt>
                <c:pt idx="2">
                  <c:v>2.2485673643535493E-2</c:v>
                </c:pt>
                <c:pt idx="3">
                  <c:v>3.533851434755924E-2</c:v>
                </c:pt>
                <c:pt idx="4">
                  <c:v>5.4995886747220835E-2</c:v>
                </c:pt>
                <c:pt idx="5">
                  <c:v>6.5068121493354558E-2</c:v>
                </c:pt>
                <c:pt idx="6">
                  <c:v>7.7612991372860679E-2</c:v>
                </c:pt>
                <c:pt idx="7">
                  <c:v>8.6653916106803119E-2</c:v>
                </c:pt>
                <c:pt idx="8">
                  <c:v>9.1104804888180346E-2</c:v>
                </c:pt>
                <c:pt idx="9">
                  <c:v>9.0359021975581544E-2</c:v>
                </c:pt>
                <c:pt idx="10">
                  <c:v>8.1059010925297437E-2</c:v>
                </c:pt>
                <c:pt idx="11">
                  <c:v>7.5718896871730279E-2</c:v>
                </c:pt>
                <c:pt idx="12">
                  <c:v>6.5420581609382689E-2</c:v>
                </c:pt>
                <c:pt idx="13">
                  <c:v>5.5958855421482046E-2</c:v>
                </c:pt>
                <c:pt idx="14">
                  <c:v>4.2978717426486623E-2</c:v>
                </c:pt>
                <c:pt idx="15">
                  <c:v>3.486341675461968E-2</c:v>
                </c:pt>
                <c:pt idx="16">
                  <c:v>2.6854544431689553E-2</c:v>
                </c:pt>
                <c:pt idx="17">
                  <c:v>1.8639165363304677E-2</c:v>
                </c:pt>
                <c:pt idx="18">
                  <c:v>1.2805626778041868E-2</c:v>
                </c:pt>
                <c:pt idx="19">
                  <c:v>9.9710170823555933E-3</c:v>
                </c:pt>
                <c:pt idx="20">
                  <c:v>7.1472741267607498E-3</c:v>
                </c:pt>
                <c:pt idx="21">
                  <c:v>5.1094733004241055E-3</c:v>
                </c:pt>
                <c:pt idx="22">
                  <c:v>4.1908599135928037E-3</c:v>
                </c:pt>
                <c:pt idx="23">
                  <c:v>3.3101133326508547E-3</c:v>
                </c:pt>
              </c:numCache>
            </c:numRef>
          </c:val>
          <c:extLst>
            <c:ext xmlns:c14="http://schemas.microsoft.com/office/drawing/2007/8/2/chart" uri="{6F2FDCE9-48DA-4B69-8628-5D25D57E5C99}">
              <c14:invertSolidFillFmt>
                <c14:spPr xmlns:c14="http://schemas.microsoft.com/office/drawing/2007/8/2/chart">
                  <a:solidFill>
                    <a:srgbClr val="FFFFFF"/>
                  </a:solidFill>
                  <a:ln>
                    <a:noFill/>
                    <a:prstDash val="solid"/>
                  </a:ln>
                </c14:spPr>
              </c14:invertSolidFillFmt>
            </c:ext>
            <c:ext xmlns:c16="http://schemas.microsoft.com/office/drawing/2014/chart" uri="{C3380CC4-5D6E-409C-BE32-E72D297353CC}">
              <c16:uniqueId val="{00000000-AD3D-447E-B42D-C5D228EFB347}"/>
            </c:ext>
          </c:extLst>
        </c:ser>
        <c:dLbls>
          <c:showLegendKey val="0"/>
          <c:showVal val="0"/>
          <c:showCatName val="0"/>
          <c:showSerName val="0"/>
          <c:showPercent val="0"/>
          <c:showBubbleSize val="0"/>
        </c:dLbls>
        <c:gapWidth val="8"/>
        <c:axId val="10"/>
        <c:axId val="100"/>
      </c:barChart>
      <c:catAx>
        <c:axId val="10"/>
        <c:scaling>
          <c:orientation val="minMax"/>
        </c:scaling>
        <c:delete val="0"/>
        <c:axPos val="b"/>
        <c:title>
          <c:tx>
            <c:rich>
              <a:bodyPr/>
              <a:lstStyle/>
              <a:p>
                <a:pPr>
                  <a:defRPr/>
                </a:pPr>
                <a:r>
                  <a:rPr lang="en-US"/>
                  <a:t>hours</a:t>
                </a:r>
              </a:p>
            </c:rich>
          </c:tx>
          <c:overlay val="0"/>
        </c:title>
        <c:numFmt formatCode="0" sourceLinked="0"/>
        <c:majorTickMark val="none"/>
        <c:minorTickMark val="none"/>
        <c:tickLblPos val="nextTo"/>
        <c:crossAx val="100"/>
        <c:crosses val="autoZero"/>
        <c:auto val="1"/>
        <c:lblAlgn val="ctr"/>
        <c:lblOffset val="100"/>
        <c:tickLblSkip val="4"/>
        <c:noMultiLvlLbl val="1"/>
      </c:catAx>
      <c:valAx>
        <c:axId val="100"/>
        <c:scaling>
          <c:orientation val="minMax"/>
        </c:scaling>
        <c:delete val="0"/>
        <c:axPos val="l"/>
        <c:majorGridlines>
          <c:spPr>
            <a:ln>
              <a:solidFill>
                <a:srgbClr val="E4E9F0"/>
              </a:solidFill>
              <a:prstDash val="solid"/>
            </a:ln>
          </c:spPr>
        </c:majorGridlines>
        <c:title>
          <c:tx>
            <c:rich>
              <a:bodyPr/>
              <a:lstStyle/>
              <a:p>
                <a:pPr>
                  <a:defRPr/>
                </a:pPr>
                <a:r>
                  <a:rPr lang="en-US"/>
                  <a:t>Probability</a:t>
                </a:r>
              </a:p>
            </c:rich>
          </c:tx>
          <c:overlay val="0"/>
        </c:title>
        <c:numFmt formatCode="0%" sourceLinked="0"/>
        <c:majorTickMark val="none"/>
        <c:minorTickMark val="none"/>
        <c:tickLblPos val="nextTo"/>
        <c:crossAx val="10"/>
        <c:crosses val="min"/>
        <c:crossBetween val="between"/>
      </c:valAx>
    </c:plotArea>
    <c:plotVisOnly val="0"/>
    <c:dispBlanksAs val="gap"/>
    <c:showDLblsOverMax val="1"/>
  </c:chart>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13"/>
  <c:chart>
    <c:autoTitleDeleted val="1"/>
    <c:plotArea>
      <c:layout/>
      <c:scatterChart>
        <c:scatterStyle val="lineMarker"/>
        <c:varyColors val="0"/>
        <c:ser>
          <c:idx val="0"/>
          <c:order val="0"/>
          <c:tx>
            <c:v>Without standby</c:v>
          </c:tx>
          <c:spPr>
            <a:ln w="25400">
              <a:solidFill>
                <a:srgbClr val="0E4F92"/>
              </a:solidFill>
              <a:prstDash val="solid"/>
            </a:ln>
          </c:spPr>
          <c:marker>
            <c:symbol val="none"/>
          </c:marker>
          <c:xVal>
            <c:numRef>
              <c:f>Results!$D$53:$D$102</c:f>
              <c:numCache>
                <c:formatCode>#,##0.00</c:formatCode>
                <c:ptCount val="50"/>
                <c:pt idx="0">
                  <c:v>66.801031842330815</c:v>
                </c:pt>
                <c:pt idx="1">
                  <c:v>72.26034072636817</c:v>
                </c:pt>
                <c:pt idx="2">
                  <c:v>75.831539086545291</c:v>
                </c:pt>
                <c:pt idx="3">
                  <c:v>78.281691630350565</c:v>
                </c:pt>
                <c:pt idx="4">
                  <c:v>80.351072553345531</c:v>
                </c:pt>
                <c:pt idx="5">
                  <c:v>82.059463411235754</c:v>
                </c:pt>
                <c:pt idx="6">
                  <c:v>83.389823971541588</c:v>
                </c:pt>
                <c:pt idx="7">
                  <c:v>84.689071229578389</c:v>
                </c:pt>
                <c:pt idx="8">
                  <c:v>85.825709372993018</c:v>
                </c:pt>
                <c:pt idx="9">
                  <c:v>87.17234489057725</c:v>
                </c:pt>
                <c:pt idx="10">
                  <c:v>88.299201553995971</c:v>
                </c:pt>
                <c:pt idx="11">
                  <c:v>89.453828553886012</c:v>
                </c:pt>
                <c:pt idx="12">
                  <c:v>90.491474798154499</c:v>
                </c:pt>
                <c:pt idx="13">
                  <c:v>91.534119146082759</c:v>
                </c:pt>
                <c:pt idx="14">
                  <c:v>92.474698697636597</c:v>
                </c:pt>
                <c:pt idx="15">
                  <c:v>93.501799390887484</c:v>
                </c:pt>
                <c:pt idx="16">
                  <c:v>94.375048999007333</c:v>
                </c:pt>
                <c:pt idx="17">
                  <c:v>95.309780685839002</c:v>
                </c:pt>
                <c:pt idx="18">
                  <c:v>96.284700959662189</c:v>
                </c:pt>
                <c:pt idx="19">
                  <c:v>97.243490495824261</c:v>
                </c:pt>
                <c:pt idx="20">
                  <c:v>98.176917319129728</c:v>
                </c:pt>
                <c:pt idx="21">
                  <c:v>99.061128209659842</c:v>
                </c:pt>
                <c:pt idx="22">
                  <c:v>99.914112375621372</c:v>
                </c:pt>
                <c:pt idx="23">
                  <c:v>100.85995617750955</c:v>
                </c:pt>
                <c:pt idx="24">
                  <c:v>101.93480947285633</c:v>
                </c:pt>
                <c:pt idx="25">
                  <c:v>102.76448179407926</c:v>
                </c:pt>
                <c:pt idx="26">
                  <c:v>103.56312563329146</c:v>
                </c:pt>
                <c:pt idx="27">
                  <c:v>104.39261601584056</c:v>
                </c:pt>
                <c:pt idx="28">
                  <c:v>105.37640396486414</c:v>
                </c:pt>
                <c:pt idx="29">
                  <c:v>106.3756292671016</c:v>
                </c:pt>
                <c:pt idx="30">
                  <c:v>107.29033482483949</c:v>
                </c:pt>
                <c:pt idx="31">
                  <c:v>108.446360401335</c:v>
                </c:pt>
                <c:pt idx="32">
                  <c:v>109.46088860004151</c:v>
                </c:pt>
                <c:pt idx="33">
                  <c:v>110.55088649450398</c:v>
                </c:pt>
                <c:pt idx="34">
                  <c:v>111.67134733356542</c:v>
                </c:pt>
                <c:pt idx="35">
                  <c:v>112.73547966828917</c:v>
                </c:pt>
                <c:pt idx="36">
                  <c:v>113.95920358110541</c:v>
                </c:pt>
                <c:pt idx="37">
                  <c:v>115.162502331273</c:v>
                </c:pt>
                <c:pt idx="38">
                  <c:v>116.54017557914963</c:v>
                </c:pt>
                <c:pt idx="39">
                  <c:v>117.6321204987853</c:v>
                </c:pt>
                <c:pt idx="40">
                  <c:v>119.28779472396826</c:v>
                </c:pt>
                <c:pt idx="41">
                  <c:v>120.86970509523736</c:v>
                </c:pt>
                <c:pt idx="42">
                  <c:v>122.68437598360458</c:v>
                </c:pt>
                <c:pt idx="43">
                  <c:v>124.65853183195972</c:v>
                </c:pt>
                <c:pt idx="44">
                  <c:v>127.03413564665445</c:v>
                </c:pt>
                <c:pt idx="45">
                  <c:v>129.31415172929579</c:v>
                </c:pt>
                <c:pt idx="46">
                  <c:v>132.35320083834762</c:v>
                </c:pt>
                <c:pt idx="47">
                  <c:v>136.44236418480762</c:v>
                </c:pt>
                <c:pt idx="48">
                  <c:v>142.94545179330947</c:v>
                </c:pt>
                <c:pt idx="49">
                  <c:v>155.52731100268139</c:v>
                </c:pt>
              </c:numCache>
            </c:numRef>
          </c:xVal>
          <c:yVal>
            <c:numRef>
              <c:f>Results!$B$53:$B$102</c:f>
              <c:numCache>
                <c:formatCode>0%</c:formatCode>
                <c:ptCount val="50"/>
                <c:pt idx="0">
                  <c:v>0.01</c:v>
                </c:pt>
                <c:pt idx="1">
                  <c:v>0.03</c:v>
                </c:pt>
                <c:pt idx="2">
                  <c:v>0.05</c:v>
                </c:pt>
                <c:pt idx="3">
                  <c:v>7.0000000000000007E-2</c:v>
                </c:pt>
                <c:pt idx="4">
                  <c:v>0.09</c:v>
                </c:pt>
                <c:pt idx="5">
                  <c:v>0.11</c:v>
                </c:pt>
                <c:pt idx="6">
                  <c:v>0.13</c:v>
                </c:pt>
                <c:pt idx="7">
                  <c:v>0.15</c:v>
                </c:pt>
                <c:pt idx="8">
                  <c:v>0.17</c:v>
                </c:pt>
                <c:pt idx="9">
                  <c:v>0.19</c:v>
                </c:pt>
                <c:pt idx="10">
                  <c:v>0.21</c:v>
                </c:pt>
                <c:pt idx="11">
                  <c:v>0.23</c:v>
                </c:pt>
                <c:pt idx="12">
                  <c:v>0.25</c:v>
                </c:pt>
                <c:pt idx="13">
                  <c:v>0.27</c:v>
                </c:pt>
                <c:pt idx="14">
                  <c:v>0.28999999999999998</c:v>
                </c:pt>
                <c:pt idx="15">
                  <c:v>0.31</c:v>
                </c:pt>
                <c:pt idx="16">
                  <c:v>0.33</c:v>
                </c:pt>
                <c:pt idx="17">
                  <c:v>0.35</c:v>
                </c:pt>
                <c:pt idx="18">
                  <c:v>0.37</c:v>
                </c:pt>
                <c:pt idx="19">
                  <c:v>0.39</c:v>
                </c:pt>
                <c:pt idx="20">
                  <c:v>0.41</c:v>
                </c:pt>
                <c:pt idx="21">
                  <c:v>0.43</c:v>
                </c:pt>
                <c:pt idx="22">
                  <c:v>0.45</c:v>
                </c:pt>
                <c:pt idx="23">
                  <c:v>0.47</c:v>
                </c:pt>
                <c:pt idx="24">
                  <c:v>0.49</c:v>
                </c:pt>
                <c:pt idx="25">
                  <c:v>0.51</c:v>
                </c:pt>
                <c:pt idx="26">
                  <c:v>0.53</c:v>
                </c:pt>
                <c:pt idx="27">
                  <c:v>0.55000000000000004</c:v>
                </c:pt>
                <c:pt idx="28">
                  <c:v>0.56999999999999995</c:v>
                </c:pt>
                <c:pt idx="29">
                  <c:v>0.59</c:v>
                </c:pt>
                <c:pt idx="30">
                  <c:v>0.61</c:v>
                </c:pt>
                <c:pt idx="31">
                  <c:v>0.63</c:v>
                </c:pt>
                <c:pt idx="32">
                  <c:v>0.65</c:v>
                </c:pt>
                <c:pt idx="33">
                  <c:v>0.67</c:v>
                </c:pt>
                <c:pt idx="34">
                  <c:v>0.69</c:v>
                </c:pt>
                <c:pt idx="35">
                  <c:v>0.71</c:v>
                </c:pt>
                <c:pt idx="36">
                  <c:v>0.73</c:v>
                </c:pt>
                <c:pt idx="37">
                  <c:v>0.75</c:v>
                </c:pt>
                <c:pt idx="38">
                  <c:v>0.77</c:v>
                </c:pt>
                <c:pt idx="39">
                  <c:v>0.79</c:v>
                </c:pt>
                <c:pt idx="40">
                  <c:v>0.81</c:v>
                </c:pt>
                <c:pt idx="41">
                  <c:v>0.83</c:v>
                </c:pt>
                <c:pt idx="42">
                  <c:v>0.85</c:v>
                </c:pt>
                <c:pt idx="43">
                  <c:v>0.87</c:v>
                </c:pt>
                <c:pt idx="44">
                  <c:v>0.89</c:v>
                </c:pt>
                <c:pt idx="45">
                  <c:v>0.91</c:v>
                </c:pt>
                <c:pt idx="46">
                  <c:v>0.93</c:v>
                </c:pt>
                <c:pt idx="47">
                  <c:v>0.95</c:v>
                </c:pt>
                <c:pt idx="48">
                  <c:v>0.97</c:v>
                </c:pt>
                <c:pt idx="49">
                  <c:v>0.99</c:v>
                </c:pt>
              </c:numCache>
            </c:numRef>
          </c:yVal>
          <c:smooth val="1"/>
          <c:extLst>
            <c:ext xmlns:c16="http://schemas.microsoft.com/office/drawing/2014/chart" uri="{C3380CC4-5D6E-409C-BE32-E72D297353CC}">
              <c16:uniqueId val="{00000000-7C00-413A-B2D3-3124A26C240E}"/>
            </c:ext>
          </c:extLst>
        </c:ser>
        <c:ser>
          <c:idx val="1"/>
          <c:order val="1"/>
          <c:tx>
            <c:v>With a standby capper</c:v>
          </c:tx>
          <c:spPr>
            <a:ln w="25400">
              <a:solidFill>
                <a:srgbClr val="B45309"/>
              </a:solidFill>
              <a:prstDash val="dash"/>
            </a:ln>
          </c:spPr>
          <c:marker>
            <c:symbol val="none"/>
          </c:marker>
          <c:xVal>
            <c:numRef>
              <c:f>Results!$E$53:$E$102</c:f>
              <c:numCache>
                <c:formatCode>#,##0.00</c:formatCode>
                <c:ptCount val="50"/>
                <c:pt idx="0">
                  <c:v>41.188328053760145</c:v>
                </c:pt>
                <c:pt idx="1">
                  <c:v>45.592605312164238</c:v>
                </c:pt>
                <c:pt idx="2">
                  <c:v>47.588918887379336</c:v>
                </c:pt>
                <c:pt idx="3">
                  <c:v>49.095204288703449</c:v>
                </c:pt>
                <c:pt idx="4">
                  <c:v>50.445881918404567</c:v>
                </c:pt>
                <c:pt idx="5">
                  <c:v>51.544136760738148</c:v>
                </c:pt>
                <c:pt idx="6">
                  <c:v>52.483468257967097</c:v>
                </c:pt>
                <c:pt idx="7">
                  <c:v>53.255986401452361</c:v>
                </c:pt>
                <c:pt idx="8">
                  <c:v>54.102928408620699</c:v>
                </c:pt>
                <c:pt idx="9">
                  <c:v>54.913225982165713</c:v>
                </c:pt>
                <c:pt idx="10">
                  <c:v>55.712091526616604</c:v>
                </c:pt>
                <c:pt idx="11">
                  <c:v>56.381330534221483</c:v>
                </c:pt>
                <c:pt idx="12">
                  <c:v>57.097870563677475</c:v>
                </c:pt>
                <c:pt idx="13">
                  <c:v>57.808317293288418</c:v>
                </c:pt>
                <c:pt idx="14">
                  <c:v>58.421302094118602</c:v>
                </c:pt>
                <c:pt idx="15">
                  <c:v>59.142498697975007</c:v>
                </c:pt>
                <c:pt idx="16">
                  <c:v>59.775432170441114</c:v>
                </c:pt>
                <c:pt idx="17">
                  <c:v>60.41823778733486</c:v>
                </c:pt>
                <c:pt idx="18">
                  <c:v>61.024622051856248</c:v>
                </c:pt>
                <c:pt idx="19">
                  <c:v>61.702321034597617</c:v>
                </c:pt>
                <c:pt idx="20">
                  <c:v>62.275460039431707</c:v>
                </c:pt>
                <c:pt idx="21">
                  <c:v>62.937546583223082</c:v>
                </c:pt>
                <c:pt idx="22">
                  <c:v>63.59759792450992</c:v>
                </c:pt>
                <c:pt idx="23">
                  <c:v>64.242747749416438</c:v>
                </c:pt>
                <c:pt idx="24">
                  <c:v>64.775518398304314</c:v>
                </c:pt>
                <c:pt idx="25">
                  <c:v>65.397881205204342</c:v>
                </c:pt>
                <c:pt idx="26">
                  <c:v>66.013896180478284</c:v>
                </c:pt>
                <c:pt idx="27">
                  <c:v>66.624253443422887</c:v>
                </c:pt>
                <c:pt idx="28">
                  <c:v>67.211458630375844</c:v>
                </c:pt>
                <c:pt idx="29">
                  <c:v>67.823798796962251</c:v>
                </c:pt>
                <c:pt idx="30">
                  <c:v>68.500009602799963</c:v>
                </c:pt>
                <c:pt idx="31">
                  <c:v>69.247254793200824</c:v>
                </c:pt>
                <c:pt idx="32">
                  <c:v>69.87776451446787</c:v>
                </c:pt>
                <c:pt idx="33">
                  <c:v>70.531013740920088</c:v>
                </c:pt>
                <c:pt idx="34">
                  <c:v>71.34772074640945</c:v>
                </c:pt>
                <c:pt idx="35">
                  <c:v>72.130574045288512</c:v>
                </c:pt>
                <c:pt idx="36">
                  <c:v>72.955660351640063</c:v>
                </c:pt>
                <c:pt idx="37">
                  <c:v>73.7653786765201</c:v>
                </c:pt>
                <c:pt idx="38">
                  <c:v>74.598273666226333</c:v>
                </c:pt>
                <c:pt idx="39">
                  <c:v>75.612605188987203</c:v>
                </c:pt>
                <c:pt idx="40">
                  <c:v>76.679605709862415</c:v>
                </c:pt>
                <c:pt idx="41">
                  <c:v>77.641554201716687</c:v>
                </c:pt>
                <c:pt idx="42">
                  <c:v>78.945306820232389</c:v>
                </c:pt>
                <c:pt idx="43">
                  <c:v>80.32257818384474</c:v>
                </c:pt>
                <c:pt idx="44">
                  <c:v>81.79282916713619</c:v>
                </c:pt>
                <c:pt idx="45">
                  <c:v>83.498203355588601</c:v>
                </c:pt>
                <c:pt idx="46">
                  <c:v>85.706235608830724</c:v>
                </c:pt>
                <c:pt idx="47">
                  <c:v>88.349778053519714</c:v>
                </c:pt>
                <c:pt idx="48">
                  <c:v>92.375412743233028</c:v>
                </c:pt>
                <c:pt idx="49">
                  <c:v>101.491049903622</c:v>
                </c:pt>
              </c:numCache>
            </c:numRef>
          </c:xVal>
          <c:yVal>
            <c:numRef>
              <c:f>Results!$B$53:$B$102</c:f>
              <c:numCache>
                <c:formatCode>0%</c:formatCode>
                <c:ptCount val="50"/>
                <c:pt idx="0">
                  <c:v>0.01</c:v>
                </c:pt>
                <c:pt idx="1">
                  <c:v>0.03</c:v>
                </c:pt>
                <c:pt idx="2">
                  <c:v>0.05</c:v>
                </c:pt>
                <c:pt idx="3">
                  <c:v>7.0000000000000007E-2</c:v>
                </c:pt>
                <c:pt idx="4">
                  <c:v>0.09</c:v>
                </c:pt>
                <c:pt idx="5">
                  <c:v>0.11</c:v>
                </c:pt>
                <c:pt idx="6">
                  <c:v>0.13</c:v>
                </c:pt>
                <c:pt idx="7">
                  <c:v>0.15</c:v>
                </c:pt>
                <c:pt idx="8">
                  <c:v>0.17</c:v>
                </c:pt>
                <c:pt idx="9">
                  <c:v>0.19</c:v>
                </c:pt>
                <c:pt idx="10">
                  <c:v>0.21</c:v>
                </c:pt>
                <c:pt idx="11">
                  <c:v>0.23</c:v>
                </c:pt>
                <c:pt idx="12">
                  <c:v>0.25</c:v>
                </c:pt>
                <c:pt idx="13">
                  <c:v>0.27</c:v>
                </c:pt>
                <c:pt idx="14">
                  <c:v>0.28999999999999998</c:v>
                </c:pt>
                <c:pt idx="15">
                  <c:v>0.31</c:v>
                </c:pt>
                <c:pt idx="16">
                  <c:v>0.33</c:v>
                </c:pt>
                <c:pt idx="17">
                  <c:v>0.35</c:v>
                </c:pt>
                <c:pt idx="18">
                  <c:v>0.37</c:v>
                </c:pt>
                <c:pt idx="19">
                  <c:v>0.39</c:v>
                </c:pt>
                <c:pt idx="20">
                  <c:v>0.41</c:v>
                </c:pt>
                <c:pt idx="21">
                  <c:v>0.43</c:v>
                </c:pt>
                <c:pt idx="22">
                  <c:v>0.45</c:v>
                </c:pt>
                <c:pt idx="23">
                  <c:v>0.47</c:v>
                </c:pt>
                <c:pt idx="24">
                  <c:v>0.49</c:v>
                </c:pt>
                <c:pt idx="25">
                  <c:v>0.51</c:v>
                </c:pt>
                <c:pt idx="26">
                  <c:v>0.53</c:v>
                </c:pt>
                <c:pt idx="27">
                  <c:v>0.55000000000000004</c:v>
                </c:pt>
                <c:pt idx="28">
                  <c:v>0.56999999999999995</c:v>
                </c:pt>
                <c:pt idx="29">
                  <c:v>0.59</c:v>
                </c:pt>
                <c:pt idx="30">
                  <c:v>0.61</c:v>
                </c:pt>
                <c:pt idx="31">
                  <c:v>0.63</c:v>
                </c:pt>
                <c:pt idx="32">
                  <c:v>0.65</c:v>
                </c:pt>
                <c:pt idx="33">
                  <c:v>0.67</c:v>
                </c:pt>
                <c:pt idx="34">
                  <c:v>0.69</c:v>
                </c:pt>
                <c:pt idx="35">
                  <c:v>0.71</c:v>
                </c:pt>
                <c:pt idx="36">
                  <c:v>0.73</c:v>
                </c:pt>
                <c:pt idx="37">
                  <c:v>0.75</c:v>
                </c:pt>
                <c:pt idx="38">
                  <c:v>0.77</c:v>
                </c:pt>
                <c:pt idx="39">
                  <c:v>0.79</c:v>
                </c:pt>
                <c:pt idx="40">
                  <c:v>0.81</c:v>
                </c:pt>
                <c:pt idx="41">
                  <c:v>0.83</c:v>
                </c:pt>
                <c:pt idx="42">
                  <c:v>0.85</c:v>
                </c:pt>
                <c:pt idx="43">
                  <c:v>0.87</c:v>
                </c:pt>
                <c:pt idx="44">
                  <c:v>0.89</c:v>
                </c:pt>
                <c:pt idx="45">
                  <c:v>0.91</c:v>
                </c:pt>
                <c:pt idx="46">
                  <c:v>0.93</c:v>
                </c:pt>
                <c:pt idx="47">
                  <c:v>0.95</c:v>
                </c:pt>
                <c:pt idx="48">
                  <c:v>0.97</c:v>
                </c:pt>
                <c:pt idx="49">
                  <c:v>0.99</c:v>
                </c:pt>
              </c:numCache>
            </c:numRef>
          </c:yVal>
          <c:smooth val="1"/>
          <c:extLst>
            <c:ext xmlns:c16="http://schemas.microsoft.com/office/drawing/2014/chart" uri="{C3380CC4-5D6E-409C-BE32-E72D297353CC}">
              <c16:uniqueId val="{00000001-7C00-413A-B2D3-3124A26C240E}"/>
            </c:ext>
          </c:extLst>
        </c:ser>
        <c:dLbls>
          <c:showLegendKey val="0"/>
          <c:showVal val="0"/>
          <c:showCatName val="0"/>
          <c:showSerName val="0"/>
          <c:showPercent val="0"/>
          <c:showBubbleSize val="0"/>
        </c:dLbls>
        <c:axId val="10"/>
        <c:axId val="20"/>
      </c:scatterChart>
      <c:valAx>
        <c:axId val="10"/>
        <c:scaling>
          <c:orientation val="minMax"/>
        </c:scaling>
        <c:delete val="0"/>
        <c:axPos val="b"/>
        <c:title>
          <c:tx>
            <c:rich>
              <a:bodyPr/>
              <a:lstStyle/>
              <a:p>
                <a:pPr>
                  <a:defRPr/>
                </a:pPr>
                <a:r>
                  <a:rPr lang="en-US"/>
                  <a:t>hours</a:t>
                </a:r>
              </a:p>
            </c:rich>
          </c:tx>
          <c:overlay val="0"/>
        </c:title>
        <c:numFmt formatCode="0" sourceLinked="0"/>
        <c:majorTickMark val="none"/>
        <c:minorTickMark val="none"/>
        <c:tickLblPos val="nextTo"/>
        <c:crossAx val="20"/>
        <c:crosses val="autoZero"/>
        <c:crossBetween val="midCat"/>
      </c:valAx>
      <c:valAx>
        <c:axId val="20"/>
        <c:scaling>
          <c:orientation val="minMax"/>
          <c:max val="1"/>
          <c:min val="0"/>
        </c:scaling>
        <c:delete val="0"/>
        <c:axPos val="l"/>
        <c:majorGridlines>
          <c:spPr>
            <a:ln>
              <a:solidFill>
                <a:srgbClr val="E4E9F0"/>
              </a:solidFill>
              <a:prstDash val="solid"/>
            </a:ln>
          </c:spPr>
        </c:majorGridlines>
        <c:title>
          <c:tx>
            <c:rich>
              <a:bodyPr/>
              <a:lstStyle/>
              <a:p>
                <a:pPr>
                  <a:defRPr/>
                </a:pPr>
                <a:r>
                  <a:rPr lang="en-US"/>
                  <a:t>Cumulative probability</a:t>
                </a:r>
              </a:p>
            </c:rich>
          </c:tx>
          <c:overlay val="0"/>
        </c:title>
        <c:numFmt formatCode="0%" sourceLinked="0"/>
        <c:majorTickMark val="none"/>
        <c:minorTickMark val="none"/>
        <c:tickLblPos val="nextTo"/>
        <c:crossAx val="10"/>
        <c:crosses val="min"/>
        <c:crossBetween val="midCat"/>
      </c:valAx>
    </c:plotArea>
    <c:legend>
      <c:legendPos val="b"/>
      <c:overlay val="0"/>
    </c:legend>
    <c:plotVisOnly val="0"/>
    <c:dispBlanksAs val="gap"/>
    <c:showDLblsOverMax val="1"/>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1</xdr:col>
      <xdr:colOff>0</xdr:colOff>
      <xdr:row>19</xdr:row>
      <xdr:rowOff>0</xdr:rowOff>
    </xdr:from>
    <xdr:ext cx="9144000" cy="1524000"/>
    <xdr:pic>
      <xdr:nvPicPr>
        <xdr:cNvPr id="2" name="Image 1" descr="Picture">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8</xdr:col>
      <xdr:colOff>0</xdr:colOff>
      <xdr:row>9</xdr:row>
      <xdr:rowOff>0</xdr:rowOff>
    </xdr:from>
    <xdr:ext cx="6263999" cy="2376000"/>
    <xdr:graphicFrame macro="">
      <xdr:nvGraphicFramePr>
        <xdr:cNvPr id="2" name="Chart 1">
          <a:extLst>
            <a:ext uri="{FF2B5EF4-FFF2-40B4-BE49-F238E27FC236}">
              <a16:creationId xmlns:a16="http://schemas.microsoft.com/office/drawing/2014/main" id="{00000000-0008-0000-04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8</xdr:col>
      <xdr:colOff>0</xdr:colOff>
      <xdr:row>27</xdr:row>
      <xdr:rowOff>0</xdr:rowOff>
    </xdr:from>
    <xdr:ext cx="6263999" cy="2664000"/>
    <xdr:graphicFrame macro="">
      <xdr:nvGraphicFramePr>
        <xdr:cNvPr id="3" name="Chart 2">
          <a:extLst>
            <a:ext uri="{FF2B5EF4-FFF2-40B4-BE49-F238E27FC236}">
              <a16:creationId xmlns:a16="http://schemas.microsoft.com/office/drawing/2014/main" id="{00000000-0008-0000-04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E4F92"/>
    <pageSetUpPr fitToPage="1"/>
  </sheetPr>
  <dimension ref="A1:D74"/>
  <sheetViews>
    <sheetView showGridLines="0" tabSelected="1" workbookViewId="0">
      <pane ySplit="5" topLeftCell="A6" activePane="bottomLeft" state="frozen"/>
      <selection pane="bottomLeft"/>
    </sheetView>
  </sheetViews>
  <sheetFormatPr defaultRowHeight="14.25" x14ac:dyDescent="0.45"/>
  <cols>
    <col min="1" max="1" width="2" customWidth="1"/>
    <col min="2" max="2" width="26" customWidth="1"/>
    <col min="3" max="3" width="112" customWidth="1"/>
    <col min="4" max="4" width="2" customWidth="1"/>
    <col min="6" max="6" width="9.06640625" customWidth="1"/>
  </cols>
  <sheetData>
    <row r="1" spans="1:4" ht="6" customHeight="1" x14ac:dyDescent="0.45"/>
    <row r="2" spans="1:4" ht="34.049999999999997" customHeight="1" x14ac:dyDescent="0.45">
      <c r="A2" s="1"/>
      <c r="B2" s="2" t="s">
        <v>0</v>
      </c>
      <c r="C2" s="1"/>
      <c r="D2" s="3" t="s">
        <v>1</v>
      </c>
    </row>
    <row r="3" spans="1:4" ht="20" customHeight="1" x14ac:dyDescent="0.45">
      <c r="A3" s="1"/>
      <c r="B3" s="4" t="s">
        <v>2</v>
      </c>
      <c r="C3" s="1"/>
      <c r="D3" s="1"/>
    </row>
    <row r="4" spans="1:4" ht="20" customHeight="1" x14ac:dyDescent="0.45">
      <c r="A4" s="5"/>
      <c r="B4" s="5"/>
      <c r="C4" s="5"/>
      <c r="D4" s="6" t="s">
        <v>3</v>
      </c>
    </row>
    <row r="5" spans="1:4" ht="8" customHeight="1" x14ac:dyDescent="0.45"/>
    <row r="6" spans="1:4" ht="22.05" customHeight="1" x14ac:dyDescent="0.5">
      <c r="B6" s="7" t="s">
        <v>4</v>
      </c>
      <c r="C6" s="8"/>
    </row>
    <row r="7" spans="1:4" x14ac:dyDescent="0.45">
      <c r="B7" s="9" t="s">
        <v>5</v>
      </c>
      <c r="C7" s="10" t="s">
        <v>6</v>
      </c>
    </row>
    <row r="8" spans="1:4" x14ac:dyDescent="0.45">
      <c r="B8" s="9" t="s">
        <v>7</v>
      </c>
      <c r="C8" s="10" t="s">
        <v>8</v>
      </c>
    </row>
    <row r="9" spans="1:4" ht="26.25" x14ac:dyDescent="0.45">
      <c r="B9" s="9" t="s">
        <v>9</v>
      </c>
      <c r="C9" s="11" t="s">
        <v>10</v>
      </c>
    </row>
    <row r="10" spans="1:4" x14ac:dyDescent="0.45">
      <c r="B10" s="9" t="s">
        <v>11</v>
      </c>
      <c r="C10" s="10" t="s">
        <v>12</v>
      </c>
    </row>
    <row r="11" spans="1:4" ht="26.25" x14ac:dyDescent="0.45">
      <c r="B11" s="9" t="s">
        <v>13</v>
      </c>
      <c r="C11" s="10" t="s">
        <v>14</v>
      </c>
    </row>
    <row r="12" spans="1:4" ht="39.4" x14ac:dyDescent="0.45">
      <c r="B12" s="9" t="s">
        <v>15</v>
      </c>
      <c r="C12" s="10" t="s">
        <v>16</v>
      </c>
    </row>
    <row r="13" spans="1:4" x14ac:dyDescent="0.45">
      <c r="B13" s="9" t="s">
        <v>17</v>
      </c>
      <c r="C13" s="10" t="s">
        <v>18</v>
      </c>
    </row>
    <row r="14" spans="1:4" ht="12" customHeight="1" x14ac:dyDescent="0.45"/>
    <row r="15" spans="1:4" ht="22.05" customHeight="1" x14ac:dyDescent="0.5">
      <c r="B15" s="7" t="s">
        <v>19</v>
      </c>
      <c r="C15" s="8"/>
    </row>
    <row r="16" spans="1:4" ht="57" customHeight="1" x14ac:dyDescent="0.45">
      <c r="B16" s="76" t="s">
        <v>20</v>
      </c>
      <c r="C16" s="75"/>
    </row>
    <row r="17" spans="2:3" ht="12" customHeight="1" x14ac:dyDescent="0.45"/>
    <row r="18" spans="2:3" ht="22.05" customHeight="1" x14ac:dyDescent="0.5">
      <c r="B18" s="7" t="s">
        <v>21</v>
      </c>
      <c r="C18" s="8"/>
    </row>
    <row r="19" spans="2:3" ht="18" customHeight="1" x14ac:dyDescent="0.45">
      <c r="B19" s="13" t="s">
        <v>22</v>
      </c>
    </row>
    <row r="20" spans="2:3" ht="15" customHeight="1" x14ac:dyDescent="0.45"/>
    <row r="21" spans="2:3" ht="15" customHeight="1" x14ac:dyDescent="0.45"/>
    <row r="22" spans="2:3" ht="15" customHeight="1" x14ac:dyDescent="0.45"/>
    <row r="23" spans="2:3" ht="15" customHeight="1" x14ac:dyDescent="0.45"/>
    <row r="24" spans="2:3" ht="15" customHeight="1" x14ac:dyDescent="0.45"/>
    <row r="25" spans="2:3" ht="15" customHeight="1" x14ac:dyDescent="0.45"/>
    <row r="26" spans="2:3" ht="15" customHeight="1" x14ac:dyDescent="0.45"/>
    <row r="27" spans="2:3" ht="15" customHeight="1" x14ac:dyDescent="0.45"/>
    <row r="28" spans="2:3" ht="26.25" x14ac:dyDescent="0.45">
      <c r="B28" s="9" t="s">
        <v>23</v>
      </c>
      <c r="C28" s="10" t="s">
        <v>24</v>
      </c>
    </row>
    <row r="29" spans="2:3" x14ac:dyDescent="0.45">
      <c r="B29" s="9" t="s">
        <v>25</v>
      </c>
      <c r="C29" s="10" t="s">
        <v>26</v>
      </c>
    </row>
    <row r="30" spans="2:3" ht="39.4" x14ac:dyDescent="0.45">
      <c r="B30" s="9" t="s">
        <v>27</v>
      </c>
      <c r="C30" s="10" t="s">
        <v>28</v>
      </c>
    </row>
    <row r="31" spans="2:3" x14ac:dyDescent="0.45">
      <c r="B31" s="9" t="s">
        <v>29</v>
      </c>
      <c r="C31" s="10" t="s">
        <v>30</v>
      </c>
    </row>
    <row r="32" spans="2:3" ht="12" customHeight="1" x14ac:dyDescent="0.45"/>
    <row r="33" spans="2:3" ht="22.05" customHeight="1" x14ac:dyDescent="0.5">
      <c r="B33" s="7" t="s">
        <v>31</v>
      </c>
      <c r="C33" s="8"/>
    </row>
    <row r="34" spans="2:3" x14ac:dyDescent="0.45">
      <c r="B34" s="9" t="s">
        <v>32</v>
      </c>
      <c r="C34" s="10" t="s">
        <v>33</v>
      </c>
    </row>
    <row r="35" spans="2:3" x14ac:dyDescent="0.45">
      <c r="B35" s="9" t="s">
        <v>34</v>
      </c>
      <c r="C35" s="10" t="s">
        <v>35</v>
      </c>
    </row>
    <row r="36" spans="2:3" x14ac:dyDescent="0.45">
      <c r="B36" s="9" t="s">
        <v>36</v>
      </c>
      <c r="C36" s="10" t="s">
        <v>37</v>
      </c>
    </row>
    <row r="37" spans="2:3" x14ac:dyDescent="0.45">
      <c r="B37" s="9" t="s">
        <v>38</v>
      </c>
      <c r="C37" s="10" t="s">
        <v>39</v>
      </c>
    </row>
    <row r="38" spans="2:3" ht="12" customHeight="1" x14ac:dyDescent="0.45"/>
    <row r="39" spans="2:3" ht="22.05" customHeight="1" x14ac:dyDescent="0.5">
      <c r="B39" s="7" t="s">
        <v>40</v>
      </c>
      <c r="C39" s="8"/>
    </row>
    <row r="40" spans="2:3" x14ac:dyDescent="0.45">
      <c r="B40" s="14" t="s">
        <v>41</v>
      </c>
      <c r="C40" s="10" t="s">
        <v>42</v>
      </c>
    </row>
    <row r="41" spans="2:3" x14ac:dyDescent="0.45">
      <c r="B41" s="14" t="s">
        <v>43</v>
      </c>
      <c r="C41" s="10" t="s">
        <v>44</v>
      </c>
    </row>
    <row r="42" spans="2:3" x14ac:dyDescent="0.45">
      <c r="B42" s="14" t="s">
        <v>45</v>
      </c>
      <c r="C42" s="10" t="s">
        <v>46</v>
      </c>
    </row>
    <row r="43" spans="2:3" x14ac:dyDescent="0.45">
      <c r="B43" s="14" t="s">
        <v>47</v>
      </c>
      <c r="C43" s="10" t="s">
        <v>48</v>
      </c>
    </row>
    <row r="44" spans="2:3" ht="12" customHeight="1" x14ac:dyDescent="0.45"/>
    <row r="45" spans="2:3" ht="22.05" customHeight="1" x14ac:dyDescent="0.5">
      <c r="B45" s="7" t="s">
        <v>49</v>
      </c>
      <c r="C45" s="8"/>
    </row>
    <row r="46" spans="2:3" x14ac:dyDescent="0.45">
      <c r="B46" s="15" t="s">
        <v>50</v>
      </c>
      <c r="C46" s="12" t="s">
        <v>51</v>
      </c>
    </row>
    <row r="47" spans="2:3" x14ac:dyDescent="0.45">
      <c r="B47" s="16" t="s">
        <v>52</v>
      </c>
      <c r="C47" s="12" t="s">
        <v>53</v>
      </c>
    </row>
    <row r="48" spans="2:3" x14ac:dyDescent="0.45">
      <c r="B48" s="17" t="s">
        <v>54</v>
      </c>
      <c r="C48" s="12" t="s">
        <v>55</v>
      </c>
    </row>
    <row r="49" spans="2:3" x14ac:dyDescent="0.45">
      <c r="B49" s="18" t="s">
        <v>56</v>
      </c>
      <c r="C49" s="12" t="s">
        <v>57</v>
      </c>
    </row>
    <row r="50" spans="2:3" x14ac:dyDescent="0.45">
      <c r="B50" s="19" t="s">
        <v>58</v>
      </c>
      <c r="C50" s="12" t="s">
        <v>59</v>
      </c>
    </row>
    <row r="51" spans="2:3" ht="12" customHeight="1" x14ac:dyDescent="0.45"/>
    <row r="52" spans="2:3" ht="22.05" customHeight="1" x14ac:dyDescent="0.5">
      <c r="B52" s="7" t="s">
        <v>60</v>
      </c>
      <c r="C52" s="8"/>
    </row>
    <row r="53" spans="2:3" x14ac:dyDescent="0.45">
      <c r="B53" s="9" t="s">
        <v>61</v>
      </c>
      <c r="C53" s="10" t="s">
        <v>62</v>
      </c>
    </row>
    <row r="54" spans="2:3" x14ac:dyDescent="0.45">
      <c r="B54" s="9" t="s">
        <v>63</v>
      </c>
      <c r="C54" s="10" t="s">
        <v>64</v>
      </c>
    </row>
    <row r="55" spans="2:3" x14ac:dyDescent="0.45">
      <c r="B55" s="9" t="s">
        <v>65</v>
      </c>
      <c r="C55" s="10" t="s">
        <v>66</v>
      </c>
    </row>
    <row r="56" spans="2:3" x14ac:dyDescent="0.45">
      <c r="B56" s="9" t="s">
        <v>67</v>
      </c>
      <c r="C56" s="10" t="s">
        <v>68</v>
      </c>
    </row>
    <row r="57" spans="2:3" ht="12" customHeight="1" x14ac:dyDescent="0.45"/>
    <row r="58" spans="2:3" ht="22.05" customHeight="1" x14ac:dyDescent="0.5">
      <c r="B58" s="7" t="s">
        <v>69</v>
      </c>
      <c r="C58" s="8"/>
    </row>
    <row r="59" spans="2:3" x14ac:dyDescent="0.45">
      <c r="B59" s="9" t="s">
        <v>70</v>
      </c>
      <c r="C59" s="10" t="s">
        <v>71</v>
      </c>
    </row>
    <row r="60" spans="2:3" x14ac:dyDescent="0.45">
      <c r="B60" s="9" t="s">
        <v>72</v>
      </c>
      <c r="C60" s="10" t="s">
        <v>73</v>
      </c>
    </row>
    <row r="61" spans="2:3" x14ac:dyDescent="0.45">
      <c r="B61" s="9" t="s">
        <v>74</v>
      </c>
      <c r="C61" s="10" t="s">
        <v>75</v>
      </c>
    </row>
    <row r="62" spans="2:3" x14ac:dyDescent="0.45">
      <c r="B62" s="9" t="s">
        <v>43</v>
      </c>
      <c r="C62" s="10" t="s">
        <v>76</v>
      </c>
    </row>
    <row r="63" spans="2:3" ht="12" customHeight="1" x14ac:dyDescent="0.45"/>
    <row r="64" spans="2:3" ht="22.05" customHeight="1" x14ac:dyDescent="0.5">
      <c r="B64" s="7" t="s">
        <v>77</v>
      </c>
      <c r="C64" s="8"/>
    </row>
    <row r="65" spans="2:3" x14ac:dyDescent="0.45">
      <c r="B65" s="20" t="s">
        <v>78</v>
      </c>
      <c r="C65" s="10" t="s">
        <v>79</v>
      </c>
    </row>
    <row r="66" spans="2:3" x14ac:dyDescent="0.45">
      <c r="B66" s="20" t="s">
        <v>80</v>
      </c>
      <c r="C66" s="10" t="s">
        <v>81</v>
      </c>
    </row>
    <row r="67" spans="2:3" x14ac:dyDescent="0.45">
      <c r="B67" s="20" t="s">
        <v>82</v>
      </c>
      <c r="C67" s="10" t="s">
        <v>83</v>
      </c>
    </row>
    <row r="68" spans="2:3" ht="39.4" x14ac:dyDescent="0.45">
      <c r="B68" s="20" t="s">
        <v>84</v>
      </c>
      <c r="C68" s="10" t="s">
        <v>85</v>
      </c>
    </row>
    <row r="69" spans="2:3" ht="12" customHeight="1" x14ac:dyDescent="0.45"/>
    <row r="70" spans="2:3" ht="22.05" customHeight="1" x14ac:dyDescent="0.5">
      <c r="B70" s="7" t="s">
        <v>86</v>
      </c>
      <c r="C70" s="8"/>
    </row>
    <row r="71" spans="2:3" x14ac:dyDescent="0.45">
      <c r="B71" s="9" t="s">
        <v>87</v>
      </c>
      <c r="C71" s="10" t="s">
        <v>88</v>
      </c>
    </row>
    <row r="72" spans="2:3" x14ac:dyDescent="0.45">
      <c r="B72" s="9" t="s">
        <v>89</v>
      </c>
      <c r="C72" s="10" t="s">
        <v>90</v>
      </c>
    </row>
    <row r="73" spans="2:3" ht="16.05" customHeight="1" x14ac:dyDescent="0.45"/>
    <row r="74" spans="2:3" x14ac:dyDescent="0.45">
      <c r="B74" s="74" t="s">
        <v>91</v>
      </c>
      <c r="C74" s="75"/>
    </row>
  </sheetData>
  <mergeCells count="2">
    <mergeCell ref="B74:C74"/>
    <mergeCell ref="B16:C16"/>
  </mergeCells>
  <hyperlinks>
    <hyperlink ref="D4" location="'Inputs'!A1" display="Next:  Inputs  ▸" xr:uid="{00000000-0004-0000-0000-000000000000}"/>
    <hyperlink ref="B40" location="'Inputs'!A1" display="Inputs" xr:uid="{00000000-0004-0000-0000-000001000000}"/>
    <hyperlink ref="B41" location="'Data'!A1" display="Data" xr:uid="{00000000-0004-0000-0000-000002000000}"/>
    <hyperlink ref="B42" location="'Failures'!A1" display="Failures" xr:uid="{00000000-0004-0000-0000-000003000000}"/>
    <hyperlink ref="B43" location="'Results'!A1" display="Results" xr:uid="{00000000-0004-0000-0000-000004000000}"/>
  </hyperlinks>
  <printOptions horizontalCentered="1"/>
  <pageMargins left="0.4" right="0.4" top="0.5" bottom="0.6" header="0.25" footer="0.25"/>
  <pageSetup paperSize="9" scale="67" fitToHeight="0" orientation="portrait" r:id="rId1"/>
  <headerFooter>
    <oddFooter>&amp;L&amp;K3F5876&amp;8&amp;F · &amp;A&amp;R&amp;K3F5876&amp;8Page &amp;P of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E0A800"/>
    <pageSetUpPr fitToPage="1"/>
  </sheetPr>
  <dimension ref="A1:J38"/>
  <sheetViews>
    <sheetView showGridLines="0" workbookViewId="0">
      <pane ySplit="5" topLeftCell="A6" activePane="bottomLeft" state="frozen"/>
      <selection pane="bottomLeft"/>
    </sheetView>
  </sheetViews>
  <sheetFormatPr defaultRowHeight="14.25" x14ac:dyDescent="0.45"/>
  <cols>
    <col min="1" max="1" width="2" customWidth="1"/>
    <col min="2" max="2" width="44" customWidth="1"/>
    <col min="3" max="3" width="19" customWidth="1"/>
    <col min="4" max="4" width="13" customWidth="1"/>
    <col min="5" max="5" width="19" customWidth="1"/>
    <col min="6" max="9" width="10" customWidth="1"/>
    <col min="10" max="10" width="59" customWidth="1"/>
    <col min="12" max="12" width="9.06640625" customWidth="1"/>
  </cols>
  <sheetData>
    <row r="1" spans="1:10" ht="6" customHeight="1" x14ac:dyDescent="0.45"/>
    <row r="2" spans="1:10" ht="30" customHeight="1" x14ac:dyDescent="0.45">
      <c r="A2" s="1"/>
      <c r="B2" s="21" t="s">
        <v>0</v>
      </c>
      <c r="C2" s="1"/>
      <c r="D2" s="1"/>
      <c r="E2" s="1"/>
      <c r="F2" s="1"/>
      <c r="G2" s="1"/>
      <c r="H2" s="1"/>
      <c r="I2" s="1"/>
      <c r="J2" s="3" t="s">
        <v>1</v>
      </c>
    </row>
    <row r="3" spans="1:10" ht="20" customHeight="1" x14ac:dyDescent="0.45">
      <c r="A3" s="1"/>
      <c r="B3" s="4" t="s">
        <v>92</v>
      </c>
      <c r="C3" s="1"/>
      <c r="D3" s="1"/>
      <c r="E3" s="1"/>
      <c r="F3" s="1"/>
      <c r="G3" s="1"/>
      <c r="H3" s="1"/>
      <c r="I3" s="1"/>
      <c r="J3" s="1"/>
    </row>
    <row r="4" spans="1:10" ht="20" customHeight="1" x14ac:dyDescent="0.45">
      <c r="A4" s="5"/>
      <c r="B4" s="22" t="s">
        <v>93</v>
      </c>
      <c r="C4" s="5"/>
      <c r="D4" s="5"/>
      <c r="E4" s="5"/>
      <c r="F4" s="5"/>
      <c r="G4" s="5"/>
      <c r="H4" s="5"/>
      <c r="I4" s="5"/>
      <c r="J4" s="6" t="s">
        <v>94</v>
      </c>
    </row>
    <row r="5" spans="1:10" ht="8" customHeight="1" x14ac:dyDescent="0.45"/>
    <row r="6" spans="1:10" ht="20" customHeight="1" x14ac:dyDescent="0.45">
      <c r="B6" s="77" t="s">
        <v>95</v>
      </c>
      <c r="C6" s="75"/>
      <c r="D6" s="75"/>
      <c r="E6" s="75"/>
      <c r="F6" s="75"/>
      <c r="G6" s="75"/>
      <c r="H6" s="75"/>
      <c r="I6" s="75"/>
      <c r="J6" s="75"/>
    </row>
    <row r="7" spans="1:10" ht="6" customHeight="1" x14ac:dyDescent="0.45"/>
    <row r="8" spans="1:10" ht="22.05" customHeight="1" x14ac:dyDescent="0.5">
      <c r="B8" s="7" t="s">
        <v>96</v>
      </c>
      <c r="C8" s="8"/>
      <c r="D8" s="8"/>
      <c r="E8" s="8"/>
      <c r="F8" s="8"/>
      <c r="G8" s="8"/>
      <c r="H8" s="8"/>
      <c r="I8" s="8"/>
      <c r="J8" s="8"/>
    </row>
    <row r="9" spans="1:10" ht="18" customHeight="1" x14ac:dyDescent="0.45">
      <c r="B9" s="23" t="s">
        <v>97</v>
      </c>
      <c r="C9" s="23" t="s">
        <v>98</v>
      </c>
      <c r="D9" s="24" t="s">
        <v>99</v>
      </c>
      <c r="E9" s="23" t="s">
        <v>100</v>
      </c>
      <c r="F9" s="5"/>
      <c r="G9" s="5"/>
      <c r="H9" s="5"/>
      <c r="I9" s="5"/>
      <c r="J9" s="23" t="s">
        <v>101</v>
      </c>
    </row>
    <row r="10" spans="1:10" x14ac:dyDescent="0.45">
      <c r="B10" s="25" t="s">
        <v>102</v>
      </c>
      <c r="C10" s="26" t="s">
        <v>103</v>
      </c>
      <c r="D10" s="27">
        <v>6000</v>
      </c>
      <c r="E10" s="26" t="s">
        <v>104</v>
      </c>
      <c r="F10" s="28"/>
      <c r="G10" s="28"/>
      <c r="H10" s="28"/>
      <c r="I10" s="28"/>
      <c r="J10" s="29" t="s">
        <v>105</v>
      </c>
    </row>
    <row r="11" spans="1:10" x14ac:dyDescent="0.45">
      <c r="B11" s="25" t="s">
        <v>106</v>
      </c>
      <c r="C11" s="26" t="s">
        <v>107</v>
      </c>
      <c r="D11" s="30">
        <v>1.2</v>
      </c>
      <c r="E11" s="26" t="s">
        <v>104</v>
      </c>
      <c r="F11" s="28"/>
      <c r="G11" s="28"/>
      <c r="H11" s="28"/>
      <c r="I11" s="28"/>
      <c r="J11" s="29" t="s">
        <v>108</v>
      </c>
    </row>
    <row r="12" spans="1:10" ht="8" customHeight="1" x14ac:dyDescent="0.45"/>
    <row r="13" spans="1:10" ht="22.05" customHeight="1" x14ac:dyDescent="0.5">
      <c r="B13" s="7" t="s">
        <v>109</v>
      </c>
      <c r="C13" s="8"/>
      <c r="D13" s="8"/>
      <c r="E13" s="8"/>
      <c r="F13" s="8"/>
      <c r="G13" s="8"/>
      <c r="H13" s="8"/>
      <c r="I13" s="8"/>
      <c r="J13" s="8"/>
    </row>
    <row r="14" spans="1:10" ht="18" customHeight="1" x14ac:dyDescent="0.45">
      <c r="B14" s="13" t="s">
        <v>110</v>
      </c>
    </row>
    <row r="15" spans="1:10" ht="18" customHeight="1" x14ac:dyDescent="0.45">
      <c r="B15" s="23" t="s">
        <v>97</v>
      </c>
      <c r="C15" s="23" t="s">
        <v>98</v>
      </c>
      <c r="D15" s="24" t="s">
        <v>99</v>
      </c>
      <c r="E15" s="23" t="s">
        <v>100</v>
      </c>
      <c r="F15" s="5"/>
      <c r="G15" s="5"/>
      <c r="H15" s="5"/>
      <c r="I15" s="5"/>
      <c r="J15" s="23" t="s">
        <v>101</v>
      </c>
    </row>
    <row r="16" spans="1:10" x14ac:dyDescent="0.45">
      <c r="B16" s="25" t="s">
        <v>111</v>
      </c>
      <c r="C16" s="26"/>
      <c r="D16" s="31">
        <f>FitShape</f>
        <v>1.7329814974935362</v>
      </c>
      <c r="E16" s="26" t="s">
        <v>112</v>
      </c>
      <c r="F16" s="28"/>
      <c r="G16" s="28"/>
      <c r="H16" s="28"/>
      <c r="I16" s="28"/>
      <c r="J16" s="29" t="s">
        <v>113</v>
      </c>
    </row>
    <row r="17" spans="2:10" x14ac:dyDescent="0.45">
      <c r="B17" s="25" t="s">
        <v>114</v>
      </c>
      <c r="C17" s="26" t="s">
        <v>115</v>
      </c>
      <c r="D17" s="32">
        <f>FitScale</f>
        <v>450.26911278832307</v>
      </c>
      <c r="E17" s="26" t="s">
        <v>112</v>
      </c>
      <c r="F17" s="28"/>
      <c r="G17" s="28"/>
      <c r="H17" s="28"/>
      <c r="I17" s="28"/>
      <c r="J17" s="29"/>
    </row>
    <row r="18" spans="2:10" x14ac:dyDescent="0.45">
      <c r="B18" s="25" t="s">
        <v>116</v>
      </c>
      <c r="C18" s="26" t="s">
        <v>115</v>
      </c>
      <c r="D18" s="30">
        <v>1.5</v>
      </c>
      <c r="E18" s="26" t="s">
        <v>104</v>
      </c>
      <c r="F18" s="28"/>
      <c r="G18" s="28"/>
      <c r="H18" s="28"/>
      <c r="I18" s="28"/>
      <c r="J18" s="29" t="s">
        <v>117</v>
      </c>
    </row>
    <row r="19" spans="2:10" x14ac:dyDescent="0.45">
      <c r="B19" s="25" t="s">
        <v>118</v>
      </c>
      <c r="C19" s="26" t="s">
        <v>115</v>
      </c>
      <c r="D19" s="30">
        <v>1.2</v>
      </c>
      <c r="E19" s="26" t="s">
        <v>104</v>
      </c>
      <c r="F19" s="28"/>
      <c r="G19" s="28"/>
      <c r="H19" s="28"/>
      <c r="I19" s="28"/>
      <c r="J19" s="29"/>
    </row>
    <row r="20" spans="2:10" x14ac:dyDescent="0.45">
      <c r="B20" s="25" t="s">
        <v>119</v>
      </c>
      <c r="C20" s="26"/>
      <c r="D20" s="33">
        <v>1.3</v>
      </c>
      <c r="E20" s="26" t="s">
        <v>104</v>
      </c>
      <c r="F20" s="28"/>
      <c r="G20" s="28"/>
      <c r="H20" s="28"/>
      <c r="I20" s="28"/>
      <c r="J20" s="29" t="s">
        <v>120</v>
      </c>
    </row>
    <row r="21" spans="2:10" x14ac:dyDescent="0.45">
      <c r="B21" s="25" t="s">
        <v>121</v>
      </c>
      <c r="C21" s="26" t="s">
        <v>115</v>
      </c>
      <c r="D21" s="27">
        <v>300</v>
      </c>
      <c r="E21" s="26" t="s">
        <v>104</v>
      </c>
      <c r="F21" s="28"/>
      <c r="G21" s="28"/>
      <c r="H21" s="28"/>
      <c r="I21" s="28"/>
      <c r="J21" s="29"/>
    </row>
    <row r="22" spans="2:10" x14ac:dyDescent="0.45">
      <c r="B22" s="25" t="s">
        <v>122</v>
      </c>
      <c r="C22" s="26" t="s">
        <v>115</v>
      </c>
      <c r="D22" s="30">
        <v>2</v>
      </c>
      <c r="E22" s="26" t="s">
        <v>104</v>
      </c>
      <c r="F22" s="28"/>
      <c r="G22" s="28"/>
      <c r="H22" s="28"/>
      <c r="I22" s="28"/>
      <c r="J22" s="29"/>
    </row>
    <row r="23" spans="2:10" x14ac:dyDescent="0.45">
      <c r="B23" s="25" t="s">
        <v>123</v>
      </c>
      <c r="C23" s="26" t="s">
        <v>115</v>
      </c>
      <c r="D23" s="30">
        <v>2.5</v>
      </c>
      <c r="E23" s="26" t="s">
        <v>104</v>
      </c>
      <c r="F23" s="28"/>
      <c r="G23" s="28"/>
      <c r="H23" s="28"/>
      <c r="I23" s="28"/>
      <c r="J23" s="29"/>
    </row>
    <row r="24" spans="2:10" x14ac:dyDescent="0.45">
      <c r="B24" s="25" t="s">
        <v>124</v>
      </c>
      <c r="C24" s="26"/>
      <c r="D24" s="33">
        <v>1.1000000000000001</v>
      </c>
      <c r="E24" s="26" t="s">
        <v>104</v>
      </c>
      <c r="F24" s="28"/>
      <c r="G24" s="28"/>
      <c r="H24" s="28"/>
      <c r="I24" s="28"/>
      <c r="J24" s="29" t="s">
        <v>125</v>
      </c>
    </row>
    <row r="25" spans="2:10" x14ac:dyDescent="0.45">
      <c r="B25" s="25" t="s">
        <v>126</v>
      </c>
      <c r="C25" s="26" t="s">
        <v>115</v>
      </c>
      <c r="D25" s="27">
        <v>500</v>
      </c>
      <c r="E25" s="26" t="s">
        <v>104</v>
      </c>
      <c r="F25" s="28"/>
      <c r="G25" s="28"/>
      <c r="H25" s="28"/>
      <c r="I25" s="28"/>
      <c r="J25" s="29"/>
    </row>
    <row r="26" spans="2:10" x14ac:dyDescent="0.45">
      <c r="B26" s="25" t="s">
        <v>127</v>
      </c>
      <c r="C26" s="26" t="s">
        <v>115</v>
      </c>
      <c r="D26" s="30">
        <v>0.8</v>
      </c>
      <c r="E26" s="26" t="s">
        <v>104</v>
      </c>
      <c r="F26" s="28"/>
      <c r="G26" s="28"/>
      <c r="H26" s="28"/>
      <c r="I26" s="28"/>
      <c r="J26" s="29"/>
    </row>
    <row r="27" spans="2:10" x14ac:dyDescent="0.45">
      <c r="B27" s="25" t="s">
        <v>128</v>
      </c>
      <c r="C27" s="26" t="s">
        <v>115</v>
      </c>
      <c r="D27" s="30">
        <v>0.6</v>
      </c>
      <c r="E27" s="26" t="s">
        <v>104</v>
      </c>
      <c r="F27" s="28"/>
      <c r="G27" s="28"/>
      <c r="H27" s="28"/>
      <c r="I27" s="28"/>
      <c r="J27" s="29"/>
    </row>
    <row r="28" spans="2:10" x14ac:dyDescent="0.45">
      <c r="B28" s="25" t="s">
        <v>129</v>
      </c>
      <c r="C28" s="26"/>
      <c r="D28" s="33">
        <v>1.8</v>
      </c>
      <c r="E28" s="26" t="s">
        <v>104</v>
      </c>
      <c r="F28" s="28"/>
      <c r="G28" s="28"/>
      <c r="H28" s="28"/>
      <c r="I28" s="28"/>
      <c r="J28" s="29" t="s">
        <v>130</v>
      </c>
    </row>
    <row r="29" spans="2:10" x14ac:dyDescent="0.45">
      <c r="B29" s="25" t="s">
        <v>131</v>
      </c>
      <c r="C29" s="26" t="s">
        <v>115</v>
      </c>
      <c r="D29" s="27">
        <v>900</v>
      </c>
      <c r="E29" s="26" t="s">
        <v>104</v>
      </c>
      <c r="F29" s="28"/>
      <c r="G29" s="28"/>
      <c r="H29" s="28"/>
      <c r="I29" s="28"/>
      <c r="J29" s="29"/>
    </row>
    <row r="30" spans="2:10" x14ac:dyDescent="0.45">
      <c r="B30" s="25" t="s">
        <v>132</v>
      </c>
      <c r="C30" s="26" t="s">
        <v>115</v>
      </c>
      <c r="D30" s="30">
        <v>4</v>
      </c>
      <c r="E30" s="26" t="s">
        <v>104</v>
      </c>
      <c r="F30" s="28"/>
      <c r="G30" s="28"/>
      <c r="H30" s="28"/>
      <c r="I30" s="28"/>
      <c r="J30" s="29"/>
    </row>
    <row r="31" spans="2:10" x14ac:dyDescent="0.45">
      <c r="B31" s="25" t="s">
        <v>133</v>
      </c>
      <c r="C31" s="26" t="s">
        <v>115</v>
      </c>
      <c r="D31" s="30">
        <v>3</v>
      </c>
      <c r="E31" s="26" t="s">
        <v>104</v>
      </c>
      <c r="F31" s="28"/>
      <c r="G31" s="28"/>
      <c r="H31" s="28"/>
      <c r="I31" s="28"/>
      <c r="J31" s="29"/>
    </row>
    <row r="32" spans="2:10" ht="8" customHeight="1" x14ac:dyDescent="0.45"/>
    <row r="33" spans="2:10" ht="22.05" customHeight="1" x14ac:dyDescent="0.5">
      <c r="B33" s="7" t="s">
        <v>134</v>
      </c>
      <c r="C33" s="8"/>
      <c r="D33" s="8"/>
      <c r="E33" s="8"/>
      <c r="F33" s="8"/>
      <c r="G33" s="8"/>
      <c r="H33" s="8"/>
      <c r="I33" s="8"/>
      <c r="J33" s="8"/>
    </row>
    <row r="34" spans="2:10" ht="18" customHeight="1" x14ac:dyDescent="0.45">
      <c r="B34" s="13" t="s">
        <v>135</v>
      </c>
    </row>
    <row r="35" spans="2:10" ht="18" customHeight="1" x14ac:dyDescent="0.45">
      <c r="B35" s="23" t="s">
        <v>97</v>
      </c>
      <c r="C35" s="23" t="s">
        <v>98</v>
      </c>
      <c r="D35" s="24" t="s">
        <v>99</v>
      </c>
      <c r="E35" s="23" t="s">
        <v>100</v>
      </c>
      <c r="F35" s="5"/>
      <c r="G35" s="5"/>
      <c r="H35" s="5"/>
      <c r="I35" s="5"/>
      <c r="J35" s="23" t="s">
        <v>101</v>
      </c>
    </row>
    <row r="36" spans="2:10" x14ac:dyDescent="0.45">
      <c r="B36" s="25" t="s">
        <v>136</v>
      </c>
      <c r="C36" s="26" t="s">
        <v>115</v>
      </c>
      <c r="D36" s="34">
        <v>0.25</v>
      </c>
      <c r="E36" s="26" t="s">
        <v>104</v>
      </c>
      <c r="F36" s="28"/>
      <c r="G36" s="28"/>
      <c r="H36" s="28"/>
      <c r="I36" s="28"/>
      <c r="J36" s="29" t="s">
        <v>137</v>
      </c>
    </row>
    <row r="37" spans="2:10" x14ac:dyDescent="0.45">
      <c r="B37" s="25" t="s">
        <v>138</v>
      </c>
      <c r="C37" s="26" t="s">
        <v>139</v>
      </c>
      <c r="D37" s="27">
        <v>30</v>
      </c>
      <c r="E37" s="26" t="s">
        <v>104</v>
      </c>
      <c r="F37" s="28"/>
      <c r="G37" s="28"/>
      <c r="H37" s="28"/>
      <c r="I37" s="28"/>
      <c r="J37" s="29" t="s">
        <v>140</v>
      </c>
    </row>
    <row r="38" spans="2:10" ht="8" customHeight="1" x14ac:dyDescent="0.45"/>
  </sheetData>
  <mergeCells count="1">
    <mergeCell ref="B6:J6"/>
  </mergeCells>
  <dataValidations count="1">
    <dataValidation type="decimal" operator="greaterThan" showErrorMessage="1" errorTitle="Positive value" error="Enter a value greater than zero." sqref="D36:D37 D18:D31 D10:D11" xr:uid="{00000000-0002-0000-0100-000000000000}">
      <formula1>0</formula1>
    </dataValidation>
  </dataValidations>
  <hyperlinks>
    <hyperlink ref="B4" location="'About'!A1" display="◂  About" xr:uid="{00000000-0004-0000-0100-000000000000}"/>
    <hyperlink ref="J4" location="'Data'!A1" display="Next:  Data  ▸" xr:uid="{00000000-0004-0000-0100-000001000000}"/>
  </hyperlinks>
  <printOptions horizontalCentered="1"/>
  <pageMargins left="0.4" right="0.4" top="0.5" bottom="0.6" header="0.25" footer="0.25"/>
  <pageSetup paperSize="9" scale="70" fitToHeight="0" orientation="landscape" r:id="rId1"/>
  <headerFooter>
    <oddFooter>&amp;L&amp;K3F5876&amp;8&amp;F · &amp;A&amp;R&amp;K3F5876&amp;8Page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E0A800"/>
    <pageSetUpPr fitToPage="1"/>
  </sheetPr>
  <dimension ref="A1:F38"/>
  <sheetViews>
    <sheetView showGridLines="0" workbookViewId="0"/>
  </sheetViews>
  <sheetFormatPr defaultRowHeight="14.25" x14ac:dyDescent="0.45"/>
  <cols>
    <col min="1" max="1" width="2" customWidth="1"/>
    <col min="2" max="3" width="12" customWidth="1"/>
    <col min="4" max="4" width="4" customWidth="1"/>
    <col min="5" max="5" width="20" customWidth="1"/>
    <col min="6" max="6" width="12" customWidth="1"/>
  </cols>
  <sheetData>
    <row r="1" spans="1:6" ht="6" customHeight="1" x14ac:dyDescent="0.45"/>
    <row r="2" spans="1:6" ht="30" customHeight="1" x14ac:dyDescent="0.45">
      <c r="A2" s="1"/>
      <c r="B2" s="21" t="s">
        <v>0</v>
      </c>
      <c r="C2" s="1"/>
      <c r="D2" s="1"/>
      <c r="E2" s="1"/>
      <c r="F2" s="3" t="s">
        <v>1</v>
      </c>
    </row>
    <row r="3" spans="1:6" ht="20" customHeight="1" x14ac:dyDescent="0.45">
      <c r="A3" s="1"/>
      <c r="B3" s="4" t="s">
        <v>141</v>
      </c>
      <c r="C3" s="1"/>
      <c r="D3" s="1"/>
      <c r="E3" s="1"/>
      <c r="F3" s="1"/>
    </row>
    <row r="4" spans="1:6" ht="20" customHeight="1" x14ac:dyDescent="0.45">
      <c r="A4" s="5"/>
      <c r="B4" s="22" t="s">
        <v>142</v>
      </c>
      <c r="C4" s="5"/>
      <c r="D4" s="5"/>
      <c r="E4" s="5"/>
      <c r="F4" s="6" t="s">
        <v>143</v>
      </c>
    </row>
    <row r="5" spans="1:6" ht="8" customHeight="1" x14ac:dyDescent="0.45"/>
    <row r="6" spans="1:6" ht="22.05" customHeight="1" x14ac:dyDescent="0.5">
      <c r="B6" s="7" t="s">
        <v>144</v>
      </c>
      <c r="C6" s="8"/>
    </row>
    <row r="7" spans="1:6" ht="18" customHeight="1" x14ac:dyDescent="0.45">
      <c r="B7" s="13" t="s">
        <v>145</v>
      </c>
    </row>
    <row r="8" spans="1:6" ht="18" customHeight="1" x14ac:dyDescent="0.45">
      <c r="B8" s="35" t="s">
        <v>146</v>
      </c>
      <c r="C8" s="36" t="s">
        <v>147</v>
      </c>
    </row>
    <row r="9" spans="1:6" x14ac:dyDescent="0.45">
      <c r="B9" s="37">
        <v>1</v>
      </c>
      <c r="C9" s="27">
        <v>264</v>
      </c>
      <c r="E9" s="38" t="s">
        <v>148</v>
      </c>
      <c r="F9" s="39">
        <f>COUNT(FillerTTF)</f>
        <v>30</v>
      </c>
    </row>
    <row r="10" spans="1:6" x14ac:dyDescent="0.45">
      <c r="B10" s="37">
        <v>2</v>
      </c>
      <c r="C10" s="27">
        <v>200</v>
      </c>
      <c r="E10" s="38" t="s">
        <v>149</v>
      </c>
      <c r="F10" s="39">
        <f>AVERAGE(FillerTTF)</f>
        <v>403.1</v>
      </c>
    </row>
    <row r="11" spans="1:6" x14ac:dyDescent="0.45">
      <c r="B11" s="37">
        <v>3</v>
      </c>
      <c r="C11" s="27">
        <v>649</v>
      </c>
      <c r="E11" s="38" t="s">
        <v>150</v>
      </c>
      <c r="F11" s="39">
        <f>MIN(FillerTTF)</f>
        <v>17</v>
      </c>
    </row>
    <row r="12" spans="1:6" x14ac:dyDescent="0.45">
      <c r="B12" s="37">
        <v>4</v>
      </c>
      <c r="C12" s="27">
        <v>365</v>
      </c>
      <c r="E12" s="38" t="s">
        <v>151</v>
      </c>
      <c r="F12" s="39">
        <f>MAX(FillerTTF)</f>
        <v>953</v>
      </c>
    </row>
    <row r="13" spans="1:6" x14ac:dyDescent="0.45">
      <c r="B13" s="37">
        <v>5</v>
      </c>
      <c r="C13" s="27">
        <v>621</v>
      </c>
    </row>
    <row r="14" spans="1:6" x14ac:dyDescent="0.45">
      <c r="B14" s="37">
        <v>6</v>
      </c>
      <c r="C14" s="27">
        <v>159</v>
      </c>
    </row>
    <row r="15" spans="1:6" x14ac:dyDescent="0.45">
      <c r="B15" s="37">
        <v>7</v>
      </c>
      <c r="C15" s="27">
        <v>448</v>
      </c>
    </row>
    <row r="16" spans="1:6" x14ac:dyDescent="0.45">
      <c r="B16" s="37">
        <v>8</v>
      </c>
      <c r="C16" s="27">
        <v>932</v>
      </c>
    </row>
    <row r="17" spans="2:3" x14ac:dyDescent="0.45">
      <c r="B17" s="37">
        <v>9</v>
      </c>
      <c r="C17" s="27">
        <v>452</v>
      </c>
    </row>
    <row r="18" spans="2:3" x14ac:dyDescent="0.45">
      <c r="B18" s="37">
        <v>10</v>
      </c>
      <c r="C18" s="27">
        <v>281</v>
      </c>
    </row>
    <row r="19" spans="2:3" x14ac:dyDescent="0.45">
      <c r="B19" s="37">
        <v>11</v>
      </c>
      <c r="C19" s="27">
        <v>550</v>
      </c>
    </row>
    <row r="20" spans="2:3" x14ac:dyDescent="0.45">
      <c r="B20" s="37">
        <v>12</v>
      </c>
      <c r="C20" s="27">
        <v>236</v>
      </c>
    </row>
    <row r="21" spans="2:3" x14ac:dyDescent="0.45">
      <c r="B21" s="37">
        <v>13</v>
      </c>
      <c r="C21" s="27">
        <v>367</v>
      </c>
    </row>
    <row r="22" spans="2:3" x14ac:dyDescent="0.45">
      <c r="B22" s="37">
        <v>14</v>
      </c>
      <c r="C22" s="27">
        <v>592</v>
      </c>
    </row>
    <row r="23" spans="2:3" x14ac:dyDescent="0.45">
      <c r="B23" s="37">
        <v>15</v>
      </c>
      <c r="C23" s="27">
        <v>259</v>
      </c>
    </row>
    <row r="24" spans="2:3" x14ac:dyDescent="0.45">
      <c r="B24" s="37">
        <v>16</v>
      </c>
      <c r="C24" s="27">
        <v>953</v>
      </c>
    </row>
    <row r="25" spans="2:3" x14ac:dyDescent="0.45">
      <c r="B25" s="37">
        <v>17</v>
      </c>
      <c r="C25" s="27">
        <v>630</v>
      </c>
    </row>
    <row r="26" spans="2:3" x14ac:dyDescent="0.45">
      <c r="B26" s="37">
        <v>18</v>
      </c>
      <c r="C26" s="27">
        <v>359</v>
      </c>
    </row>
    <row r="27" spans="2:3" x14ac:dyDescent="0.45">
      <c r="B27" s="37">
        <v>19</v>
      </c>
      <c r="C27" s="27">
        <v>580</v>
      </c>
    </row>
    <row r="28" spans="2:3" x14ac:dyDescent="0.45">
      <c r="B28" s="37">
        <v>20</v>
      </c>
      <c r="C28" s="27">
        <v>158</v>
      </c>
    </row>
    <row r="29" spans="2:3" x14ac:dyDescent="0.45">
      <c r="B29" s="37">
        <v>21</v>
      </c>
      <c r="C29" s="27">
        <v>53</v>
      </c>
    </row>
    <row r="30" spans="2:3" x14ac:dyDescent="0.45">
      <c r="B30" s="37">
        <v>22</v>
      </c>
      <c r="C30" s="27">
        <v>442</v>
      </c>
    </row>
    <row r="31" spans="2:3" x14ac:dyDescent="0.45">
      <c r="B31" s="37">
        <v>23</v>
      </c>
      <c r="C31" s="27">
        <v>320</v>
      </c>
    </row>
    <row r="32" spans="2:3" x14ac:dyDescent="0.45">
      <c r="B32" s="37">
        <v>24</v>
      </c>
      <c r="C32" s="27">
        <v>786</v>
      </c>
    </row>
    <row r="33" spans="2:3" x14ac:dyDescent="0.45">
      <c r="B33" s="37">
        <v>25</v>
      </c>
      <c r="C33" s="27">
        <v>266</v>
      </c>
    </row>
    <row r="34" spans="2:3" x14ac:dyDescent="0.45">
      <c r="B34" s="37">
        <v>26</v>
      </c>
      <c r="C34" s="27">
        <v>412</v>
      </c>
    </row>
    <row r="35" spans="2:3" x14ac:dyDescent="0.45">
      <c r="B35" s="37">
        <v>27</v>
      </c>
      <c r="C35" s="27">
        <v>176</v>
      </c>
    </row>
    <row r="36" spans="2:3" x14ac:dyDescent="0.45">
      <c r="B36" s="37">
        <v>28</v>
      </c>
      <c r="C36" s="27">
        <v>400</v>
      </c>
    </row>
    <row r="37" spans="2:3" x14ac:dyDescent="0.45">
      <c r="B37" s="37">
        <v>29</v>
      </c>
      <c r="C37" s="27">
        <v>17</v>
      </c>
    </row>
    <row r="38" spans="2:3" x14ac:dyDescent="0.45">
      <c r="B38" s="37">
        <v>30</v>
      </c>
      <c r="C38" s="27">
        <v>166</v>
      </c>
    </row>
  </sheetData>
  <hyperlinks>
    <hyperlink ref="B4" location="'Inputs'!A1" display="◂  Inputs" xr:uid="{00000000-0004-0000-0200-000000000000}"/>
    <hyperlink ref="F4" location="'Failures'!A1" display="Next:  Failures  ▸" xr:uid="{00000000-0004-0000-0200-000001000000}"/>
  </hyperlinks>
  <printOptions horizontalCentered="1"/>
  <pageMargins left="0.4" right="0.4" top="0.5" bottom="0.6" header="0.25" footer="0.25"/>
  <pageSetup paperSize="9" fitToHeight="0" orientation="landscape" r:id="rId1"/>
  <headerFooter>
    <oddFooter>&amp;L&amp;K3F5876&amp;8&amp;F · &amp;A&amp;R&amp;K3F5876&amp;8Page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8AA0BA"/>
    <pageSetUpPr fitToPage="1"/>
  </sheetPr>
  <dimension ref="A1:M91"/>
  <sheetViews>
    <sheetView showGridLines="0" workbookViewId="0"/>
  </sheetViews>
  <sheetFormatPr defaultRowHeight="14.25" x14ac:dyDescent="0.45"/>
  <cols>
    <col min="1" max="1" width="2" customWidth="1"/>
    <col min="2" max="2" width="30" customWidth="1"/>
    <col min="3" max="3" width="11" customWidth="1"/>
    <col min="4" max="4" width="10" customWidth="1"/>
    <col min="5" max="5" width="11" customWidth="1"/>
    <col min="6" max="7" width="10" customWidth="1"/>
    <col min="8" max="8" width="11" customWidth="1"/>
    <col min="9" max="9" width="10" customWidth="1"/>
    <col min="10" max="10" width="11" customWidth="1"/>
    <col min="11" max="11" width="10" customWidth="1"/>
    <col min="12" max="12" width="3" customWidth="1"/>
    <col min="13" max="13" width="46" customWidth="1"/>
  </cols>
  <sheetData>
    <row r="1" spans="1:13" ht="6" customHeight="1" x14ac:dyDescent="0.45"/>
    <row r="2" spans="1:13" ht="30" customHeight="1" x14ac:dyDescent="0.45">
      <c r="A2" s="1"/>
      <c r="B2" s="21" t="s">
        <v>0</v>
      </c>
      <c r="C2" s="1"/>
      <c r="D2" s="1"/>
      <c r="E2" s="1"/>
      <c r="F2" s="1"/>
      <c r="G2" s="1"/>
      <c r="H2" s="1"/>
      <c r="I2" s="1"/>
      <c r="J2" s="1"/>
      <c r="K2" s="1"/>
      <c r="L2" s="1"/>
      <c r="M2" s="3" t="s">
        <v>1</v>
      </c>
    </row>
    <row r="3" spans="1:13" ht="20" customHeight="1" x14ac:dyDescent="0.45">
      <c r="A3" s="1"/>
      <c r="B3" s="4" t="s">
        <v>152</v>
      </c>
      <c r="C3" s="1"/>
      <c r="D3" s="1"/>
      <c r="E3" s="1"/>
      <c r="F3" s="1"/>
      <c r="G3" s="1"/>
      <c r="H3" s="1"/>
      <c r="I3" s="1"/>
      <c r="J3" s="1"/>
      <c r="K3" s="1"/>
      <c r="L3" s="1"/>
      <c r="M3" s="1"/>
    </row>
    <row r="4" spans="1:13" ht="20" customHeight="1" x14ac:dyDescent="0.45">
      <c r="A4" s="5"/>
      <c r="B4" s="22" t="s">
        <v>153</v>
      </c>
      <c r="C4" s="5"/>
      <c r="D4" s="5"/>
      <c r="E4" s="5"/>
      <c r="F4" s="5"/>
      <c r="G4" s="5"/>
      <c r="H4" s="5"/>
      <c r="I4" s="5"/>
      <c r="J4" s="5"/>
      <c r="K4" s="5"/>
      <c r="L4" s="5"/>
      <c r="M4" s="6" t="s">
        <v>154</v>
      </c>
    </row>
    <row r="5" spans="1:13" ht="8" customHeight="1" x14ac:dyDescent="0.45"/>
    <row r="6" spans="1:13" ht="22.05" customHeight="1" x14ac:dyDescent="0.5">
      <c r="B6" s="7" t="s">
        <v>155</v>
      </c>
      <c r="C6" s="8"/>
      <c r="D6" s="8"/>
      <c r="E6" s="8"/>
      <c r="F6" s="8"/>
      <c r="G6" s="8"/>
      <c r="H6" s="8"/>
      <c r="I6" s="8"/>
      <c r="J6" s="8"/>
      <c r="K6" s="8"/>
      <c r="L6" s="8"/>
      <c r="M6" s="8"/>
    </row>
    <row r="7" spans="1:13" ht="18" customHeight="1" x14ac:dyDescent="0.45">
      <c r="B7" s="13" t="str">
        <f>"A Weibull fitted to the "&amp;COUNT(FillerTTF)&amp;" times between failures."</f>
        <v>A Weibull fitted to the 30 times between failures.</v>
      </c>
    </row>
    <row r="8" spans="1:13" ht="18" customHeight="1" x14ac:dyDescent="0.45">
      <c r="B8" s="35" t="s">
        <v>156</v>
      </c>
      <c r="C8" s="35" t="s">
        <v>98</v>
      </c>
      <c r="D8" s="36" t="s">
        <v>157</v>
      </c>
      <c r="E8" s="5"/>
      <c r="F8" s="5"/>
      <c r="G8" s="5"/>
      <c r="H8" s="5"/>
      <c r="I8" s="5"/>
      <c r="J8" s="5"/>
      <c r="K8" s="5"/>
      <c r="L8" s="5"/>
      <c r="M8" s="35" t="s">
        <v>158</v>
      </c>
    </row>
    <row r="9" spans="1:13" x14ac:dyDescent="0.45">
      <c r="B9" s="25" t="s">
        <v>159</v>
      </c>
      <c r="C9" s="26"/>
      <c r="D9" s="40">
        <f t="array" ref="D9:D10">_xll.VoseWeibullFitP(FillerTTF,FALSE)</f>
        <v>1.7329814974935362</v>
      </c>
      <c r="E9" s="28"/>
      <c r="F9" s="28"/>
      <c r="G9" s="28"/>
      <c r="H9" s="28"/>
      <c r="I9" s="28"/>
      <c r="J9" s="28"/>
      <c r="K9" s="28"/>
      <c r="L9" s="28"/>
      <c r="M9" s="26" t="s">
        <v>160</v>
      </c>
    </row>
    <row r="10" spans="1:13" x14ac:dyDescent="0.45">
      <c r="B10" s="25" t="s">
        <v>161</v>
      </c>
      <c r="C10" s="26" t="s">
        <v>115</v>
      </c>
      <c r="D10" s="41">
        <v>450.26911278832307</v>
      </c>
      <c r="E10" s="28"/>
      <c r="F10" s="28"/>
      <c r="G10" s="28"/>
      <c r="H10" s="28"/>
      <c r="I10" s="28"/>
      <c r="J10" s="28"/>
      <c r="K10" s="28"/>
      <c r="L10" s="28"/>
      <c r="M10" s="26"/>
    </row>
    <row r="11" spans="1:13" x14ac:dyDescent="0.45">
      <c r="B11" s="25" t="s">
        <v>162</v>
      </c>
      <c r="C11" s="26"/>
      <c r="D11" s="42">
        <f t="array" aca="1" ref="D11:D12" ca="1">_xll.VoseWeibullFitP(FillerTTF,TRUE)</f>
        <v>1.8204407516432406</v>
      </c>
      <c r="E11" s="28"/>
      <c r="F11" s="28"/>
      <c r="G11" s="28"/>
      <c r="H11" s="28"/>
      <c r="I11" s="28"/>
      <c r="J11" s="28"/>
      <c r="K11" s="28"/>
      <c r="L11" s="28"/>
      <c r="M11" s="26" t="s">
        <v>163</v>
      </c>
    </row>
    <row r="12" spans="1:13" x14ac:dyDescent="0.45">
      <c r="B12" s="25" t="s">
        <v>164</v>
      </c>
      <c r="C12" s="26" t="s">
        <v>115</v>
      </c>
      <c r="D12" s="43">
        <f ca="1"/>
        <v>428.86198637599057</v>
      </c>
      <c r="E12" s="28"/>
      <c r="F12" s="28"/>
      <c r="G12" s="28"/>
      <c r="H12" s="28"/>
      <c r="I12" s="28"/>
      <c r="J12" s="28"/>
      <c r="K12" s="28"/>
      <c r="L12" s="28"/>
      <c r="M12" s="26"/>
    </row>
    <row r="13" spans="1:13" ht="8" customHeight="1" x14ac:dyDescent="0.45"/>
    <row r="14" spans="1:13" ht="22.05" customHeight="1" x14ac:dyDescent="0.5">
      <c r="B14" s="7" t="s">
        <v>165</v>
      </c>
      <c r="C14" s="8"/>
      <c r="D14" s="8"/>
      <c r="E14" s="8"/>
      <c r="F14" s="8"/>
      <c r="G14" s="8"/>
      <c r="H14" s="8"/>
      <c r="I14" s="8"/>
      <c r="J14" s="8"/>
      <c r="K14" s="8"/>
      <c r="L14" s="8"/>
      <c r="M14" s="8"/>
    </row>
    <row r="15" spans="1:13" ht="18" customHeight="1" x14ac:dyDescent="0.45">
      <c r="B15" s="13" t="s">
        <v>166</v>
      </c>
    </row>
    <row r="16" spans="1:13" ht="18" customHeight="1" x14ac:dyDescent="0.45">
      <c r="B16" s="44" t="s">
        <v>167</v>
      </c>
      <c r="C16" s="45" t="s">
        <v>168</v>
      </c>
      <c r="D16" s="45" t="s">
        <v>169</v>
      </c>
      <c r="E16" s="45" t="s">
        <v>170</v>
      </c>
      <c r="F16" s="45" t="s">
        <v>171</v>
      </c>
      <c r="G16" s="45" t="s">
        <v>45</v>
      </c>
      <c r="H16" s="45" t="s">
        <v>172</v>
      </c>
      <c r="I16" s="5"/>
      <c r="J16" s="5"/>
      <c r="K16" s="5"/>
      <c r="L16" s="5"/>
      <c r="M16" s="5"/>
    </row>
    <row r="17" spans="2:13" x14ac:dyDescent="0.45">
      <c r="B17" s="46"/>
      <c r="C17" s="46"/>
      <c r="D17" s="46" t="s">
        <v>115</v>
      </c>
      <c r="E17" s="46" t="s">
        <v>115</v>
      </c>
      <c r="F17" s="46" t="s">
        <v>115</v>
      </c>
      <c r="G17" s="46" t="s">
        <v>173</v>
      </c>
      <c r="H17" s="46" t="s">
        <v>103</v>
      </c>
    </row>
    <row r="18" spans="2:13" x14ac:dyDescent="0.45">
      <c r="B18" s="25" t="s">
        <v>174</v>
      </c>
      <c r="C18" s="31">
        <f>FitShape</f>
        <v>1.7329814974935362</v>
      </c>
      <c r="D18" s="32">
        <f>FitScale</f>
        <v>450.26911278832307</v>
      </c>
      <c r="E18" s="32" cm="1">
        <f t="array" ref="E18">_xll.VoseMean(_xll.VoseWeibullObject(C18,D18))</f>
        <v>401.25106856500798</v>
      </c>
      <c r="F18" s="41">
        <f>RepM_Fil</f>
        <v>1.5</v>
      </c>
      <c r="G18" s="41">
        <f>SchedHours/E18</f>
        <v>14.953231206231468</v>
      </c>
      <c r="H18" s="41">
        <f>G18*F18</f>
        <v>22.429846809347204</v>
      </c>
      <c r="I18" s="28"/>
      <c r="J18" s="28"/>
      <c r="K18" s="28"/>
      <c r="L18" s="28"/>
      <c r="M18" s="26" t="s">
        <v>175</v>
      </c>
    </row>
    <row r="19" spans="2:13" x14ac:dyDescent="0.45">
      <c r="B19" s="25" t="s">
        <v>176</v>
      </c>
      <c r="C19" s="31">
        <f>Shape_Cap</f>
        <v>1.3</v>
      </c>
      <c r="D19" s="32">
        <f>Scale_Cap</f>
        <v>300</v>
      </c>
      <c r="E19" s="32" cm="1">
        <f t="array" ref="E19">_xll.VoseMean(_xll.VoseWeibullObject(C19,D19))</f>
        <v>277.07301646679343</v>
      </c>
      <c r="F19" s="41">
        <f>RepM_Cap</f>
        <v>2</v>
      </c>
      <c r="G19" s="41">
        <f>SchedHours/E19</f>
        <v>21.654941634199467</v>
      </c>
      <c r="H19" s="41">
        <f>G19*F19</f>
        <v>43.309883268398934</v>
      </c>
      <c r="I19" s="28"/>
      <c r="J19" s="28"/>
      <c r="K19" s="28"/>
      <c r="L19" s="28"/>
      <c r="M19" s="26" t="s">
        <v>177</v>
      </c>
    </row>
    <row r="20" spans="2:13" x14ac:dyDescent="0.45">
      <c r="B20" s="25" t="s">
        <v>178</v>
      </c>
      <c r="C20" s="31">
        <f>Shape_Lab</f>
        <v>1.1000000000000001</v>
      </c>
      <c r="D20" s="32">
        <f>Scale_Lab</f>
        <v>500</v>
      </c>
      <c r="E20" s="32" cm="1">
        <f t="array" ref="E20">_xll.VoseMean(_xll.VoseWeibullObject(C20,D20))</f>
        <v>482.45624450552577</v>
      </c>
      <c r="F20" s="41">
        <f>RepM_Lab</f>
        <v>0.8</v>
      </c>
      <c r="G20" s="41">
        <f>SchedHours/E20</f>
        <v>12.436360951550041</v>
      </c>
      <c r="H20" s="41">
        <f>G20*F20</f>
        <v>9.9490887612400343</v>
      </c>
      <c r="I20" s="28"/>
      <c r="J20" s="28"/>
      <c r="K20" s="28"/>
      <c r="L20" s="28"/>
      <c r="M20" s="28"/>
    </row>
    <row r="21" spans="2:13" x14ac:dyDescent="0.45">
      <c r="B21" s="25" t="s">
        <v>179</v>
      </c>
      <c r="C21" s="31">
        <f>Shape_Pak</f>
        <v>1.8</v>
      </c>
      <c r="D21" s="32">
        <f>Scale_Pak</f>
        <v>900</v>
      </c>
      <c r="E21" s="32" cm="1">
        <f t="array" ref="E21">_xll.VoseMean(_xll.VoseWeibullObject(C21,D21))</f>
        <v>800.35805920699158</v>
      </c>
      <c r="F21" s="41">
        <f>RepM_Pak</f>
        <v>4</v>
      </c>
      <c r="G21" s="41">
        <f>SchedHours/E21</f>
        <v>7.4966446966810105</v>
      </c>
      <c r="H21" s="41">
        <f>G21*F21</f>
        <v>29.986578786724042</v>
      </c>
      <c r="I21" s="28"/>
      <c r="J21" s="28"/>
      <c r="K21" s="28"/>
      <c r="L21" s="28"/>
      <c r="M21" s="28"/>
    </row>
    <row r="22" spans="2:13" ht="8" customHeight="1" x14ac:dyDescent="0.45"/>
    <row r="23" spans="2:13" ht="22.05" customHeight="1" x14ac:dyDescent="0.5">
      <c r="B23" s="7" t="s">
        <v>180</v>
      </c>
      <c r="C23" s="8"/>
      <c r="D23" s="8"/>
      <c r="E23" s="8"/>
      <c r="F23" s="8"/>
      <c r="G23" s="8"/>
      <c r="H23" s="8"/>
      <c r="I23" s="8"/>
      <c r="J23" s="8"/>
      <c r="K23" s="8"/>
      <c r="L23" s="8"/>
      <c r="M23" s="8"/>
    </row>
    <row r="24" spans="2:13" ht="18" customHeight="1" x14ac:dyDescent="0.45">
      <c r="B24" s="13" t="s">
        <v>181</v>
      </c>
    </row>
    <row r="25" spans="2:13" ht="18" customHeight="1" x14ac:dyDescent="0.45">
      <c r="B25" s="44" t="s">
        <v>182</v>
      </c>
      <c r="C25" s="45" t="s">
        <v>174</v>
      </c>
      <c r="D25" s="45" t="s">
        <v>183</v>
      </c>
      <c r="E25" s="45" t="s">
        <v>176</v>
      </c>
      <c r="F25" s="45" t="s">
        <v>183</v>
      </c>
      <c r="G25" s="45" t="s">
        <v>184</v>
      </c>
      <c r="H25" s="45" t="s">
        <v>178</v>
      </c>
      <c r="I25" s="45" t="s">
        <v>183</v>
      </c>
      <c r="J25" s="45" t="s">
        <v>179</v>
      </c>
      <c r="K25" s="45" t="s">
        <v>183</v>
      </c>
      <c r="L25" s="5"/>
      <c r="M25" s="5"/>
    </row>
    <row r="26" spans="2:13" x14ac:dyDescent="0.45">
      <c r="B26" s="46"/>
      <c r="C26" s="46" t="s">
        <v>185</v>
      </c>
      <c r="D26" s="46" t="s">
        <v>115</v>
      </c>
      <c r="E26" s="46" t="s">
        <v>185</v>
      </c>
      <c r="F26" s="46" t="s">
        <v>115</v>
      </c>
      <c r="G26" s="46" t="s">
        <v>115</v>
      </c>
      <c r="H26" s="46" t="s">
        <v>185</v>
      </c>
      <c r="I26" s="46" t="s">
        <v>115</v>
      </c>
      <c r="J26" s="46" t="s">
        <v>185</v>
      </c>
      <c r="K26" s="46" t="s">
        <v>115</v>
      </c>
    </row>
    <row r="27" spans="2:13" x14ac:dyDescent="0.45">
      <c r="B27" s="37">
        <v>1</v>
      </c>
      <c r="C27" s="47" cm="1">
        <f t="array" aca="1" ref="C27" ca="1">_xll.VoseWeibull(Shape_Fil,Scale_Fil)</f>
        <v>119.40782677477013</v>
      </c>
      <c r="D27" s="43" cm="1">
        <f t="array" aca="1" ref="D27" ca="1">_xll.VoseLognormal(RepM_Fil,RepS_Fil)</f>
        <v>2.7631006228009296</v>
      </c>
      <c r="E27" s="47" cm="1">
        <f t="array" aca="1" ref="E27" ca="1">_xll.VoseWeibull(Shape_Cap,Scale_Cap)</f>
        <v>775.88348210434265</v>
      </c>
      <c r="F27" s="43" cm="1">
        <f t="array" aca="1" ref="F27" ca="1">_xll.VoseLognormal(RepM_Cap,RepS_Cap)</f>
        <v>0.74711034447813884</v>
      </c>
      <c r="G27" s="48">
        <f t="shared" ref="G27:G66" ca="1" si="0">MIN(F27,SwitchTime)</f>
        <v>0.25</v>
      </c>
      <c r="H27" s="47" cm="1">
        <f t="array" aca="1" ref="H27" ca="1">_xll.VoseWeibull(Shape_Lab,Scale_Lab)</f>
        <v>95.682544965416326</v>
      </c>
      <c r="I27" s="43" cm="1">
        <f t="array" aca="1" ref="I27" ca="1">_xll.VoseLognormal(RepM_Lab,RepS_Lab)</f>
        <v>0.27672362122625616</v>
      </c>
      <c r="J27" s="47" cm="1">
        <f t="array" aca="1" ref="J27" ca="1">_xll.VoseWeibull(Shape_Pak,Scale_Pak)</f>
        <v>1129.4244084546947</v>
      </c>
      <c r="K27" s="43" cm="1">
        <f t="array" aca="1" ref="K27" ca="1">_xll.VoseLognormal(RepM_Pak,RepS_Pak)</f>
        <v>2.3731067784722715</v>
      </c>
      <c r="L27" s="28"/>
      <c r="M27" s="26" t="s">
        <v>186</v>
      </c>
    </row>
    <row r="28" spans="2:13" x14ac:dyDescent="0.45">
      <c r="B28" s="37">
        <v>2</v>
      </c>
      <c r="C28" s="47" cm="1">
        <f t="array" aca="1" ref="C28" ca="1">C27+_xll.VoseWeibull(Shape_Fil,Scale_Fil)</f>
        <v>897.30588989075716</v>
      </c>
      <c r="D28" s="43" cm="1">
        <f t="array" aca="1" ref="D28" ca="1">_xll.VoseLognormal(RepM_Fil,RepS_Fil)</f>
        <v>1.5806778677863518</v>
      </c>
      <c r="E28" s="47" cm="1">
        <f t="array" aca="1" ref="E28" ca="1">E27+_xll.VoseWeibull(Shape_Cap,Scale_Cap)</f>
        <v>1078.2669546191059</v>
      </c>
      <c r="F28" s="43" cm="1">
        <f t="array" aca="1" ref="F28" ca="1">_xll.VoseLognormal(RepM_Cap,RepS_Cap)</f>
        <v>3.7276038625734862</v>
      </c>
      <c r="G28" s="48">
        <f t="shared" ca="1" si="0"/>
        <v>0.25</v>
      </c>
      <c r="H28" s="47" cm="1">
        <f t="array" aca="1" ref="H28" ca="1">H27+_xll.VoseWeibull(Shape_Lab,Scale_Lab)</f>
        <v>470.71172729741875</v>
      </c>
      <c r="I28" s="43" cm="1">
        <f t="array" aca="1" ref="I28" ca="1">_xll.VoseLognormal(RepM_Lab,RepS_Lab)</f>
        <v>0.48295157956851659</v>
      </c>
      <c r="J28" s="47" cm="1">
        <f t="array" aca="1" ref="J28" ca="1">J27+_xll.VoseWeibull(Shape_Pak,Scale_Pak)</f>
        <v>1617.6153981125622</v>
      </c>
      <c r="K28" s="43" cm="1">
        <f t="array" aca="1" ref="K28" ca="1">_xll.VoseLognormal(RepM_Pak,RepS_Pak)</f>
        <v>3.118089290915167</v>
      </c>
      <c r="L28" s="28"/>
      <c r="M28" s="26" t="s">
        <v>187</v>
      </c>
    </row>
    <row r="29" spans="2:13" x14ac:dyDescent="0.45">
      <c r="B29" s="37">
        <v>3</v>
      </c>
      <c r="C29" s="47" cm="1">
        <f t="array" aca="1" ref="C29" ca="1">C28+_xll.VoseWeibull(Shape_Fil,Scale_Fil)</f>
        <v>1298.7145095135602</v>
      </c>
      <c r="D29" s="43" cm="1">
        <f t="array" aca="1" ref="D29" ca="1">_xll.VoseLognormal(RepM_Fil,RepS_Fil)</f>
        <v>0.49994174313285428</v>
      </c>
      <c r="E29" s="47" cm="1">
        <f t="array" aca="1" ref="E29" ca="1">E28+_xll.VoseWeibull(Shape_Cap,Scale_Cap)</f>
        <v>1445.8761949996456</v>
      </c>
      <c r="F29" s="43" cm="1">
        <f t="array" aca="1" ref="F29" ca="1">_xll.VoseLognormal(RepM_Cap,RepS_Cap)</f>
        <v>5.0043075786315452</v>
      </c>
      <c r="G29" s="48">
        <f t="shared" ca="1" si="0"/>
        <v>0.25</v>
      </c>
      <c r="H29" s="47" cm="1">
        <f t="array" aca="1" ref="H29" ca="1">H28+_xll.VoseWeibull(Shape_Lab,Scale_Lab)</f>
        <v>580.44973378631767</v>
      </c>
      <c r="I29" s="43" cm="1">
        <f t="array" aca="1" ref="I29" ca="1">_xll.VoseLognormal(RepM_Lab,RepS_Lab)</f>
        <v>0.30025077059514599</v>
      </c>
      <c r="J29" s="47" cm="1">
        <f t="array" aca="1" ref="J29" ca="1">J28+_xll.VoseWeibull(Shape_Pak,Scale_Pak)</f>
        <v>2972.761464691308</v>
      </c>
      <c r="K29" s="43" cm="1">
        <f t="array" aca="1" ref="K29" ca="1">_xll.VoseLognormal(RepM_Pak,RepS_Pak)</f>
        <v>5.1561414625729816</v>
      </c>
      <c r="L29" s="28"/>
      <c r="M29" s="26" t="s">
        <v>188</v>
      </c>
    </row>
    <row r="30" spans="2:13" x14ac:dyDescent="0.45">
      <c r="B30" s="37">
        <v>4</v>
      </c>
      <c r="C30" s="47" cm="1">
        <f t="array" aca="1" ref="C30" ca="1">C29+_xll.VoseWeibull(Shape_Fil,Scale_Fil)</f>
        <v>1523.6873955648944</v>
      </c>
      <c r="D30" s="43" cm="1">
        <f t="array" aca="1" ref="D30" ca="1">_xll.VoseLognormal(RepM_Fil,RepS_Fil)</f>
        <v>0.74949734032926396</v>
      </c>
      <c r="E30" s="47" cm="1">
        <f t="array" aca="1" ref="E30" ca="1">E29+_xll.VoseWeibull(Shape_Cap,Scale_Cap)</f>
        <v>1650.3920178349279</v>
      </c>
      <c r="F30" s="43" cm="1">
        <f t="array" aca="1" ref="F30" ca="1">_xll.VoseLognormal(RepM_Cap,RepS_Cap)</f>
        <v>3.0902321403484003</v>
      </c>
      <c r="G30" s="48">
        <f t="shared" ca="1" si="0"/>
        <v>0.25</v>
      </c>
      <c r="H30" s="47" cm="1">
        <f t="array" aca="1" ref="H30" ca="1">H29+_xll.VoseWeibull(Shape_Lab,Scale_Lab)</f>
        <v>616.23557780395515</v>
      </c>
      <c r="I30" s="43" cm="1">
        <f t="array" aca="1" ref="I30" ca="1">_xll.VoseLognormal(RepM_Lab,RepS_Lab)</f>
        <v>0.52175609595525296</v>
      </c>
      <c r="J30" s="47" cm="1">
        <f t="array" aca="1" ref="J30" ca="1">J29+_xll.VoseWeibull(Shape_Pak,Scale_Pak)</f>
        <v>3732.0703844447053</v>
      </c>
      <c r="K30" s="43" cm="1">
        <f t="array" aca="1" ref="K30" ca="1">_xll.VoseLognormal(RepM_Pak,RepS_Pak)</f>
        <v>5.0222336395945328</v>
      </c>
      <c r="L30" s="28"/>
      <c r="M30" s="28"/>
    </row>
    <row r="31" spans="2:13" x14ac:dyDescent="0.45">
      <c r="B31" s="37">
        <v>5</v>
      </c>
      <c r="C31" s="47" cm="1">
        <f t="array" aca="1" ref="C31" ca="1">C30+_xll.VoseWeibull(Shape_Fil,Scale_Fil)</f>
        <v>1738.6426259241321</v>
      </c>
      <c r="D31" s="43" cm="1">
        <f t="array" aca="1" ref="D31" ca="1">_xll.VoseLognormal(RepM_Fil,RepS_Fil)</f>
        <v>1.0260229356257824</v>
      </c>
      <c r="E31" s="47" cm="1">
        <f t="array" aca="1" ref="E31" ca="1">E30+_xll.VoseWeibull(Shape_Cap,Scale_Cap)</f>
        <v>1810.9519266271504</v>
      </c>
      <c r="F31" s="43" cm="1">
        <f t="array" aca="1" ref="F31" ca="1">_xll.VoseLognormal(RepM_Cap,RepS_Cap)</f>
        <v>7.9600435973771413</v>
      </c>
      <c r="G31" s="48">
        <f t="shared" ca="1" si="0"/>
        <v>0.25</v>
      </c>
      <c r="H31" s="47" cm="1">
        <f t="array" aca="1" ref="H31" ca="1">H30+_xll.VoseWeibull(Shape_Lab,Scale_Lab)</f>
        <v>845.70293694777411</v>
      </c>
      <c r="I31" s="43" cm="1">
        <f t="array" aca="1" ref="I31" ca="1">_xll.VoseLognormal(RepM_Lab,RepS_Lab)</f>
        <v>1.2205773378125617</v>
      </c>
      <c r="J31" s="47" cm="1">
        <f t="array" aca="1" ref="J31" ca="1">J30+_xll.VoseWeibull(Shape_Pak,Scale_Pak)</f>
        <v>4124.7231225548267</v>
      </c>
      <c r="K31" s="43" cm="1">
        <f t="array" aca="1" ref="K31" ca="1">_xll.VoseLognormal(RepM_Pak,RepS_Pak)</f>
        <v>2.4251494057966729</v>
      </c>
      <c r="L31" s="28"/>
      <c r="M31" s="28"/>
    </row>
    <row r="32" spans="2:13" x14ac:dyDescent="0.45">
      <c r="B32" s="37">
        <v>6</v>
      </c>
      <c r="C32" s="47" cm="1">
        <f t="array" aca="1" ref="C32" ca="1">C31+_xll.VoseWeibull(Shape_Fil,Scale_Fil)</f>
        <v>2340.144667311507</v>
      </c>
      <c r="D32" s="43" cm="1">
        <f t="array" aca="1" ref="D32" ca="1">_xll.VoseLognormal(RepM_Fil,RepS_Fil)</f>
        <v>0.57599989329657886</v>
      </c>
      <c r="E32" s="47" cm="1">
        <f t="array" aca="1" ref="E32" ca="1">E31+_xll.VoseWeibull(Shape_Cap,Scale_Cap)</f>
        <v>2256.2816212808139</v>
      </c>
      <c r="F32" s="43" cm="1">
        <f t="array" aca="1" ref="F32" ca="1">_xll.VoseLognormal(RepM_Cap,RepS_Cap)</f>
        <v>1.130538220543452</v>
      </c>
      <c r="G32" s="48">
        <f t="shared" ca="1" si="0"/>
        <v>0.25</v>
      </c>
      <c r="H32" s="47" cm="1">
        <f t="array" aca="1" ref="H32" ca="1">H31+_xll.VoseWeibull(Shape_Lab,Scale_Lab)</f>
        <v>1131.7573183443333</v>
      </c>
      <c r="I32" s="43" cm="1">
        <f t="array" aca="1" ref="I32" ca="1">_xll.VoseLognormal(RepM_Lab,RepS_Lab)</f>
        <v>0.3604932811772778</v>
      </c>
      <c r="J32" s="47" cm="1">
        <f t="array" aca="1" ref="J32" ca="1">J31+_xll.VoseWeibull(Shape_Pak,Scale_Pak)</f>
        <v>5603.3336617687492</v>
      </c>
      <c r="K32" s="43" cm="1">
        <f t="array" aca="1" ref="K32" ca="1">_xll.VoseLognormal(RepM_Pak,RepS_Pak)</f>
        <v>6.4166918599316967</v>
      </c>
      <c r="L32" s="28"/>
      <c r="M32" s="28"/>
    </row>
    <row r="33" spans="2:13" x14ac:dyDescent="0.45">
      <c r="B33" s="37">
        <v>7</v>
      </c>
      <c r="C33" s="47" cm="1">
        <f t="array" aca="1" ref="C33" ca="1">C32+_xll.VoseWeibull(Shape_Fil,Scale_Fil)</f>
        <v>2877.8308150728262</v>
      </c>
      <c r="D33" s="43" cm="1">
        <f t="array" aca="1" ref="D33" ca="1">_xll.VoseLognormal(RepM_Fil,RepS_Fil)</f>
        <v>1.3965048151190378</v>
      </c>
      <c r="E33" s="47" cm="1">
        <f t="array" aca="1" ref="E33" ca="1">E32+_xll.VoseWeibull(Shape_Cap,Scale_Cap)</f>
        <v>2711.8979523055082</v>
      </c>
      <c r="F33" s="43" cm="1">
        <f t="array" aca="1" ref="F33" ca="1">_xll.VoseLognormal(RepM_Cap,RepS_Cap)</f>
        <v>8.6475873433625328</v>
      </c>
      <c r="G33" s="48">
        <f t="shared" ca="1" si="0"/>
        <v>0.25</v>
      </c>
      <c r="H33" s="47" cm="1">
        <f t="array" aca="1" ref="H33" ca="1">H32+_xll.VoseWeibull(Shape_Lab,Scale_Lab)</f>
        <v>1346.7759751018978</v>
      </c>
      <c r="I33" s="43" cm="1">
        <f t="array" aca="1" ref="I33" ca="1">_xll.VoseLognormal(RepM_Lab,RepS_Lab)</f>
        <v>0.64980034418504973</v>
      </c>
      <c r="J33" s="47" cm="1">
        <f t="array" aca="1" ref="J33" ca="1">J32+_xll.VoseWeibull(Shape_Pak,Scale_Pak)</f>
        <v>5712.2691647630181</v>
      </c>
      <c r="K33" s="43" cm="1">
        <f t="array" aca="1" ref="K33" ca="1">_xll.VoseLognormal(RepM_Pak,RepS_Pak)</f>
        <v>5.0528378651208028</v>
      </c>
      <c r="L33" s="28"/>
      <c r="M33" s="28"/>
    </row>
    <row r="34" spans="2:13" x14ac:dyDescent="0.45">
      <c r="B34" s="37">
        <v>8</v>
      </c>
      <c r="C34" s="47" cm="1">
        <f t="array" aca="1" ref="C34" ca="1">C33+_xll.VoseWeibull(Shape_Fil,Scale_Fil)</f>
        <v>3133.4108197505479</v>
      </c>
      <c r="D34" s="43" cm="1">
        <f t="array" aca="1" ref="D34" ca="1">_xll.VoseLognormal(RepM_Fil,RepS_Fil)</f>
        <v>8.5797102955851141</v>
      </c>
      <c r="E34" s="47" cm="1">
        <f t="array" aca="1" ref="E34" ca="1">E33+_xll.VoseWeibull(Shape_Cap,Scale_Cap)</f>
        <v>2814.1838672676217</v>
      </c>
      <c r="F34" s="43" cm="1">
        <f t="array" aca="1" ref="F34" ca="1">_xll.VoseLognormal(RepM_Cap,RepS_Cap)</f>
        <v>2.3199773831435784</v>
      </c>
      <c r="G34" s="48">
        <f t="shared" ca="1" si="0"/>
        <v>0.25</v>
      </c>
      <c r="H34" s="47" cm="1">
        <f t="array" aca="1" ref="H34" ca="1">H33+_xll.VoseWeibull(Shape_Lab,Scale_Lab)</f>
        <v>1487.2141767118133</v>
      </c>
      <c r="I34" s="43" cm="1">
        <f t="array" aca="1" ref="I34" ca="1">_xll.VoseLognormal(RepM_Lab,RepS_Lab)</f>
        <v>1.5626002642686663</v>
      </c>
      <c r="J34" s="47" cm="1">
        <f t="array" aca="1" ref="J34" ca="1">J33+_xll.VoseWeibull(Shape_Pak,Scale_Pak)</f>
        <v>6794.8834844462754</v>
      </c>
      <c r="K34" s="43" cm="1">
        <f t="array" aca="1" ref="K34" ca="1">_xll.VoseLognormal(RepM_Pak,RepS_Pak)</f>
        <v>3.7257455594517639</v>
      </c>
      <c r="L34" s="28"/>
      <c r="M34" s="28"/>
    </row>
    <row r="35" spans="2:13" x14ac:dyDescent="0.45">
      <c r="B35" s="37">
        <v>9</v>
      </c>
      <c r="C35" s="47" cm="1">
        <f t="array" aca="1" ref="C35" ca="1">C34+_xll.VoseWeibull(Shape_Fil,Scale_Fil)</f>
        <v>3455.6677891276181</v>
      </c>
      <c r="D35" s="43" cm="1">
        <f t="array" aca="1" ref="D35" ca="1">_xll.VoseLognormal(RepM_Fil,RepS_Fil)</f>
        <v>1.0531521958329839</v>
      </c>
      <c r="E35" s="47" cm="1">
        <f t="array" aca="1" ref="E35" ca="1">E34+_xll.VoseWeibull(Shape_Cap,Scale_Cap)</f>
        <v>3023.5233534487961</v>
      </c>
      <c r="F35" s="43" cm="1">
        <f t="array" aca="1" ref="F35" ca="1">_xll.VoseLognormal(RepM_Cap,RepS_Cap)</f>
        <v>3.2084399088187046</v>
      </c>
      <c r="G35" s="48">
        <f t="shared" ca="1" si="0"/>
        <v>0.25</v>
      </c>
      <c r="H35" s="47" cm="1">
        <f t="array" aca="1" ref="H35" ca="1">H34+_xll.VoseWeibull(Shape_Lab,Scale_Lab)</f>
        <v>1533.5301308545381</v>
      </c>
      <c r="I35" s="43" cm="1">
        <f t="array" aca="1" ref="I35" ca="1">_xll.VoseLognormal(RepM_Lab,RepS_Lab)</f>
        <v>0.52299822840850363</v>
      </c>
      <c r="J35" s="47" cm="1">
        <f t="array" aca="1" ref="J35" ca="1">J34+_xll.VoseWeibull(Shape_Pak,Scale_Pak)</f>
        <v>7569.1465725293565</v>
      </c>
      <c r="K35" s="43" cm="1">
        <f t="array" aca="1" ref="K35" ca="1">_xll.VoseLognormal(RepM_Pak,RepS_Pak)</f>
        <v>3.7344916190388635</v>
      </c>
      <c r="L35" s="28"/>
      <c r="M35" s="28"/>
    </row>
    <row r="36" spans="2:13" x14ac:dyDescent="0.45">
      <c r="B36" s="37">
        <v>10</v>
      </c>
      <c r="C36" s="47" cm="1">
        <f t="array" aca="1" ref="C36" ca="1">C35+_xll.VoseWeibull(Shape_Fil,Scale_Fil)</f>
        <v>4513.0439859423504</v>
      </c>
      <c r="D36" s="43" cm="1">
        <f t="array" aca="1" ref="D36" ca="1">_xll.VoseLognormal(RepM_Fil,RepS_Fil)</f>
        <v>0.72471014882487106</v>
      </c>
      <c r="E36" s="47" cm="1">
        <f t="array" aca="1" ref="E36" ca="1">E35+_xll.VoseWeibull(Shape_Cap,Scale_Cap)</f>
        <v>3292.7503961155508</v>
      </c>
      <c r="F36" s="43" cm="1">
        <f t="array" aca="1" ref="F36" ca="1">_xll.VoseLognormal(RepM_Cap,RepS_Cap)</f>
        <v>1.0874701871550909</v>
      </c>
      <c r="G36" s="48">
        <f t="shared" ca="1" si="0"/>
        <v>0.25</v>
      </c>
      <c r="H36" s="47" cm="1">
        <f t="array" aca="1" ref="H36" ca="1">H35+_xll.VoseWeibull(Shape_Lab,Scale_Lab)</f>
        <v>1889.3687081805797</v>
      </c>
      <c r="I36" s="43" cm="1">
        <f t="array" aca="1" ref="I36" ca="1">_xll.VoseLognormal(RepM_Lab,RepS_Lab)</f>
        <v>0.15798132139777762</v>
      </c>
      <c r="J36" s="47" cm="1">
        <f t="array" aca="1" ref="J36" ca="1">J35+_xll.VoseWeibull(Shape_Pak,Scale_Pak)</f>
        <v>7929.3318786234968</v>
      </c>
      <c r="K36" s="43" cm="1">
        <f t="array" aca="1" ref="K36" ca="1">_xll.VoseLognormal(RepM_Pak,RepS_Pak)</f>
        <v>4.4144412707160789</v>
      </c>
      <c r="L36" s="28"/>
      <c r="M36" s="28"/>
    </row>
    <row r="37" spans="2:13" x14ac:dyDescent="0.45">
      <c r="B37" s="37">
        <v>11</v>
      </c>
      <c r="C37" s="47" cm="1">
        <f t="array" aca="1" ref="C37" ca="1">C36+_xll.VoseWeibull(Shape_Fil,Scale_Fil)</f>
        <v>4988.6107306989425</v>
      </c>
      <c r="D37" s="43" cm="1">
        <f t="array" aca="1" ref="D37" ca="1">_xll.VoseLognormal(RepM_Fil,RepS_Fil)</f>
        <v>1.0194034400551015</v>
      </c>
      <c r="E37" s="47" cm="1">
        <f t="array" aca="1" ref="E37" ca="1">E36+_xll.VoseWeibull(Shape_Cap,Scale_Cap)</f>
        <v>3374.8349317340594</v>
      </c>
      <c r="F37" s="43" cm="1">
        <f t="array" aca="1" ref="F37" ca="1">_xll.VoseLognormal(RepM_Cap,RepS_Cap)</f>
        <v>0.90798443305896193</v>
      </c>
      <c r="G37" s="48">
        <f t="shared" ca="1" si="0"/>
        <v>0.25</v>
      </c>
      <c r="H37" s="47" cm="1">
        <f t="array" aca="1" ref="H37" ca="1">H36+_xll.VoseWeibull(Shape_Lab,Scale_Lab)</f>
        <v>2022.5366479680142</v>
      </c>
      <c r="I37" s="43" cm="1">
        <f t="array" aca="1" ref="I37" ca="1">_xll.VoseLognormal(RepM_Lab,RepS_Lab)</f>
        <v>1.1947989287852745</v>
      </c>
      <c r="J37" s="47" cm="1">
        <f t="array" aca="1" ref="J37" ca="1">J36+_xll.VoseWeibull(Shape_Pak,Scale_Pak)</f>
        <v>8087.0427045607548</v>
      </c>
      <c r="K37" s="43" cm="1">
        <f t="array" aca="1" ref="K37" ca="1">_xll.VoseLognormal(RepM_Pak,RepS_Pak)</f>
        <v>3.0570695622536102</v>
      </c>
      <c r="L37" s="28"/>
      <c r="M37" s="28"/>
    </row>
    <row r="38" spans="2:13" x14ac:dyDescent="0.45">
      <c r="B38" s="37">
        <v>12</v>
      </c>
      <c r="C38" s="47" cm="1">
        <f t="array" aca="1" ref="C38" ca="1">C37+_xll.VoseWeibull(Shape_Fil,Scale_Fil)</f>
        <v>5957.8236343560184</v>
      </c>
      <c r="D38" s="43" cm="1">
        <f t="array" aca="1" ref="D38" ca="1">_xll.VoseLognormal(RepM_Fil,RepS_Fil)</f>
        <v>1.5259739680828035</v>
      </c>
      <c r="E38" s="47" cm="1">
        <f t="array" aca="1" ref="E38" ca="1">E37+_xll.VoseWeibull(Shape_Cap,Scale_Cap)</f>
        <v>3673.4147958876492</v>
      </c>
      <c r="F38" s="43" cm="1">
        <f t="array" aca="1" ref="F38" ca="1">_xll.VoseLognormal(RepM_Cap,RepS_Cap)</f>
        <v>0.17516623962342218</v>
      </c>
      <c r="G38" s="48">
        <f t="shared" ca="1" si="0"/>
        <v>0.17516623962342218</v>
      </c>
      <c r="H38" s="47" cm="1">
        <f t="array" aca="1" ref="H38" ca="1">H37+_xll.VoseWeibull(Shape_Lab,Scale_Lab)</f>
        <v>2168.3196277940019</v>
      </c>
      <c r="I38" s="43" cm="1">
        <f t="array" aca="1" ref="I38" ca="1">_xll.VoseLognormal(RepM_Lab,RepS_Lab)</f>
        <v>0.34977690952977586</v>
      </c>
      <c r="J38" s="47" cm="1">
        <f t="array" aca="1" ref="J38" ca="1">J37+_xll.VoseWeibull(Shape_Pak,Scale_Pak)</f>
        <v>9148.6145704932751</v>
      </c>
      <c r="K38" s="43" cm="1">
        <f t="array" aca="1" ref="K38" ca="1">_xll.VoseLognormal(RepM_Pak,RepS_Pak)</f>
        <v>2.9892501846161132</v>
      </c>
      <c r="L38" s="28"/>
      <c r="M38" s="28"/>
    </row>
    <row r="39" spans="2:13" x14ac:dyDescent="0.45">
      <c r="B39" s="37">
        <v>13</v>
      </c>
      <c r="C39" s="47" cm="1">
        <f t="array" aca="1" ref="C39" ca="1">C38+_xll.VoseWeibull(Shape_Fil,Scale_Fil)</f>
        <v>6743.0180527734174</v>
      </c>
      <c r="D39" s="43" cm="1">
        <f t="array" aca="1" ref="D39" ca="1">_xll.VoseLognormal(RepM_Fil,RepS_Fil)</f>
        <v>0.88909355300752912</v>
      </c>
      <c r="E39" s="47" cm="1">
        <f t="array" aca="1" ref="E39" ca="1">E38+_xll.VoseWeibull(Shape_Cap,Scale_Cap)</f>
        <v>3742.2210233322312</v>
      </c>
      <c r="F39" s="43" cm="1">
        <f t="array" aca="1" ref="F39" ca="1">_xll.VoseLognormal(RepM_Cap,RepS_Cap)</f>
        <v>0.47207142577420602</v>
      </c>
      <c r="G39" s="48">
        <f t="shared" ca="1" si="0"/>
        <v>0.25</v>
      </c>
      <c r="H39" s="47" cm="1">
        <f t="array" aca="1" ref="H39" ca="1">H38+_xll.VoseWeibull(Shape_Lab,Scale_Lab)</f>
        <v>2792.7032024515165</v>
      </c>
      <c r="I39" s="43" cm="1">
        <f t="array" aca="1" ref="I39" ca="1">_xll.VoseLognormal(RepM_Lab,RepS_Lab)</f>
        <v>1.1145941547072595</v>
      </c>
      <c r="J39" s="47" cm="1">
        <f t="array" aca="1" ref="J39" ca="1">J38+_xll.VoseWeibull(Shape_Pak,Scale_Pak)</f>
        <v>9525.6308732780508</v>
      </c>
      <c r="K39" s="43" cm="1">
        <f t="array" aca="1" ref="K39" ca="1">_xll.VoseLognormal(RepM_Pak,RepS_Pak)</f>
        <v>5.2905927090968881</v>
      </c>
      <c r="L39" s="28"/>
      <c r="M39" s="28"/>
    </row>
    <row r="40" spans="2:13" x14ac:dyDescent="0.45">
      <c r="B40" s="37">
        <v>14</v>
      </c>
      <c r="C40" s="47" cm="1">
        <f t="array" aca="1" ref="C40" ca="1">C39+_xll.VoseWeibull(Shape_Fil,Scale_Fil)</f>
        <v>7087.2944428387873</v>
      </c>
      <c r="D40" s="43" cm="1">
        <f t="array" aca="1" ref="D40" ca="1">_xll.VoseLognormal(RepM_Fil,RepS_Fil)</f>
        <v>0.45761586062593251</v>
      </c>
      <c r="E40" s="47" cm="1">
        <f t="array" aca="1" ref="E40" ca="1">E39+_xll.VoseWeibull(Shape_Cap,Scale_Cap)</f>
        <v>4202.2998853387471</v>
      </c>
      <c r="F40" s="43" cm="1">
        <f t="array" aca="1" ref="F40" ca="1">_xll.VoseLognormal(RepM_Cap,RepS_Cap)</f>
        <v>6.7597566989837476</v>
      </c>
      <c r="G40" s="48">
        <f t="shared" ca="1" si="0"/>
        <v>0.25</v>
      </c>
      <c r="H40" s="47" cm="1">
        <f t="array" aca="1" ref="H40" ca="1">H39+_xll.VoseWeibull(Shape_Lab,Scale_Lab)</f>
        <v>3470.5144971768259</v>
      </c>
      <c r="I40" s="43" cm="1">
        <f t="array" aca="1" ref="I40" ca="1">_xll.VoseLognormal(RepM_Lab,RepS_Lab)</f>
        <v>1.5871376120325178</v>
      </c>
      <c r="J40" s="47" cm="1">
        <f t="array" aca="1" ref="J40" ca="1">J39+_xll.VoseWeibull(Shape_Pak,Scale_Pak)</f>
        <v>10803.442638425327</v>
      </c>
      <c r="K40" s="43" cm="1">
        <f t="array" aca="1" ref="K40" ca="1">_xll.VoseLognormal(RepM_Pak,RepS_Pak)</f>
        <v>2.6136337189744903</v>
      </c>
      <c r="L40" s="28"/>
      <c r="M40" s="28"/>
    </row>
    <row r="41" spans="2:13" x14ac:dyDescent="0.45">
      <c r="B41" s="37">
        <v>15</v>
      </c>
      <c r="C41" s="47" cm="1">
        <f t="array" aca="1" ref="C41" ca="1">C40+_xll.VoseWeibull(Shape_Fil,Scale_Fil)</f>
        <v>7431.6138598454645</v>
      </c>
      <c r="D41" s="43" cm="1">
        <f t="array" aca="1" ref="D41" ca="1">_xll.VoseLognormal(RepM_Fil,RepS_Fil)</f>
        <v>1.0835871998353925</v>
      </c>
      <c r="E41" s="47" cm="1">
        <f t="array" aca="1" ref="E41" ca="1">E40+_xll.VoseWeibull(Shape_Cap,Scale_Cap)</f>
        <v>4334.6934015379948</v>
      </c>
      <c r="F41" s="43" cm="1">
        <f t="array" aca="1" ref="F41" ca="1">_xll.VoseLognormal(RepM_Cap,RepS_Cap)</f>
        <v>2.7191463287660209</v>
      </c>
      <c r="G41" s="48">
        <f t="shared" ca="1" si="0"/>
        <v>0.25</v>
      </c>
      <c r="H41" s="47" cm="1">
        <f t="array" aca="1" ref="H41" ca="1">H40+_xll.VoseWeibull(Shape_Lab,Scale_Lab)</f>
        <v>3716.6061385644289</v>
      </c>
      <c r="I41" s="43" cm="1">
        <f t="array" aca="1" ref="I41" ca="1">_xll.VoseLognormal(RepM_Lab,RepS_Lab)</f>
        <v>0.64196299371424692</v>
      </c>
      <c r="J41" s="47" cm="1">
        <f t="array" aca="1" ref="J41" ca="1">J40+_xll.VoseWeibull(Shape_Pak,Scale_Pak)</f>
        <v>11275.782598636491</v>
      </c>
      <c r="K41" s="43" cm="1">
        <f t="array" aca="1" ref="K41" ca="1">_xll.VoseLognormal(RepM_Pak,RepS_Pak)</f>
        <v>1.7768153712365877</v>
      </c>
      <c r="L41" s="28"/>
      <c r="M41" s="28"/>
    </row>
    <row r="42" spans="2:13" x14ac:dyDescent="0.45">
      <c r="B42" s="37">
        <v>16</v>
      </c>
      <c r="C42" s="47" cm="1">
        <f t="array" aca="1" ref="C42" ca="1">C41+_xll.VoseWeibull(Shape_Fil,Scale_Fil)</f>
        <v>7765.8132814617347</v>
      </c>
      <c r="D42" s="43" cm="1">
        <f t="array" aca="1" ref="D42" ca="1">_xll.VoseLognormal(RepM_Fil,RepS_Fil)</f>
        <v>1.4020974054629911</v>
      </c>
      <c r="E42" s="47" cm="1">
        <f t="array" aca="1" ref="E42" ca="1">E41+_xll.VoseWeibull(Shape_Cap,Scale_Cap)</f>
        <v>4717.9676223879542</v>
      </c>
      <c r="F42" s="43" cm="1">
        <f t="array" aca="1" ref="F42" ca="1">_xll.VoseLognormal(RepM_Cap,RepS_Cap)</f>
        <v>2.0124259372916615</v>
      </c>
      <c r="G42" s="48">
        <f t="shared" ca="1" si="0"/>
        <v>0.25</v>
      </c>
      <c r="H42" s="47" cm="1">
        <f t="array" aca="1" ref="H42" ca="1">H41+_xll.VoseWeibull(Shape_Lab,Scale_Lab)</f>
        <v>3903.3834565478228</v>
      </c>
      <c r="I42" s="43" cm="1">
        <f t="array" aca="1" ref="I42" ca="1">_xll.VoseLognormal(RepM_Lab,RepS_Lab)</f>
        <v>3.7053382039297098</v>
      </c>
      <c r="J42" s="47" cm="1">
        <f t="array" aca="1" ref="J42" ca="1">J41+_xll.VoseWeibull(Shape_Pak,Scale_Pak)</f>
        <v>12142.387514457791</v>
      </c>
      <c r="K42" s="43" cm="1">
        <f t="array" aca="1" ref="K42" ca="1">_xll.VoseLognormal(RepM_Pak,RepS_Pak)</f>
        <v>1.3449225062295702</v>
      </c>
      <c r="L42" s="28"/>
      <c r="M42" s="28"/>
    </row>
    <row r="43" spans="2:13" x14ac:dyDescent="0.45">
      <c r="B43" s="37">
        <v>17</v>
      </c>
      <c r="C43" s="47" cm="1">
        <f t="array" aca="1" ref="C43" ca="1">C42+_xll.VoseWeibull(Shape_Fil,Scale_Fil)</f>
        <v>8356.0709123231136</v>
      </c>
      <c r="D43" s="43" cm="1">
        <f t="array" aca="1" ref="D43" ca="1">_xll.VoseLognormal(RepM_Fil,RepS_Fil)</f>
        <v>0.79326013108146221</v>
      </c>
      <c r="E43" s="47" cm="1">
        <f t="array" aca="1" ref="E43" ca="1">E42+_xll.VoseWeibull(Shape_Cap,Scale_Cap)</f>
        <v>4888.6933971137387</v>
      </c>
      <c r="F43" s="43" cm="1">
        <f t="array" aca="1" ref="F43" ca="1">_xll.VoseLognormal(RepM_Cap,RepS_Cap)</f>
        <v>7.5757448364147155</v>
      </c>
      <c r="G43" s="48">
        <f t="shared" ca="1" si="0"/>
        <v>0.25</v>
      </c>
      <c r="H43" s="47" cm="1">
        <f t="array" aca="1" ref="H43" ca="1">H42+_xll.VoseWeibull(Shape_Lab,Scale_Lab)</f>
        <v>3916.5281428179887</v>
      </c>
      <c r="I43" s="43" cm="1">
        <f t="array" aca="1" ref="I43" ca="1">_xll.VoseLognormal(RepM_Lab,RepS_Lab)</f>
        <v>0.57726642039963072</v>
      </c>
      <c r="J43" s="47" cm="1">
        <f t="array" aca="1" ref="J43" ca="1">J42+_xll.VoseWeibull(Shape_Pak,Scale_Pak)</f>
        <v>12713.513407180182</v>
      </c>
      <c r="K43" s="43" cm="1">
        <f t="array" aca="1" ref="K43" ca="1">_xll.VoseLognormal(RepM_Pak,RepS_Pak)</f>
        <v>9.7139338290605739</v>
      </c>
      <c r="L43" s="28"/>
      <c r="M43" s="28"/>
    </row>
    <row r="44" spans="2:13" x14ac:dyDescent="0.45">
      <c r="B44" s="37">
        <v>18</v>
      </c>
      <c r="C44" s="47" cm="1">
        <f t="array" aca="1" ref="C44" ca="1">C43+_xll.VoseWeibull(Shape_Fil,Scale_Fil)</f>
        <v>8826.7430657551504</v>
      </c>
      <c r="D44" s="43" cm="1">
        <f t="array" aca="1" ref="D44" ca="1">_xll.VoseLognormal(RepM_Fil,RepS_Fil)</f>
        <v>1.1370497226235869</v>
      </c>
      <c r="E44" s="47" cm="1">
        <f t="array" aca="1" ref="E44" ca="1">E43+_xll.VoseWeibull(Shape_Cap,Scale_Cap)</f>
        <v>5023.8133133582587</v>
      </c>
      <c r="F44" s="43" cm="1">
        <f t="array" aca="1" ref="F44" ca="1">_xll.VoseLognormal(RepM_Cap,RepS_Cap)</f>
        <v>0.58436110465997215</v>
      </c>
      <c r="G44" s="48">
        <f t="shared" ca="1" si="0"/>
        <v>0.25</v>
      </c>
      <c r="H44" s="47" cm="1">
        <f t="array" aca="1" ref="H44" ca="1">H43+_xll.VoseWeibull(Shape_Lab,Scale_Lab)</f>
        <v>4747.1873009842257</v>
      </c>
      <c r="I44" s="43" cm="1">
        <f t="array" aca="1" ref="I44" ca="1">_xll.VoseLognormal(RepM_Lab,RepS_Lab)</f>
        <v>1.1335641327304131</v>
      </c>
      <c r="J44" s="47" cm="1">
        <f t="array" aca="1" ref="J44" ca="1">J43+_xll.VoseWeibull(Shape_Pak,Scale_Pak)</f>
        <v>12821.567486533888</v>
      </c>
      <c r="K44" s="43" cm="1">
        <f t="array" aca="1" ref="K44" ca="1">_xll.VoseLognormal(RepM_Pak,RepS_Pak)</f>
        <v>2.0322725757928697</v>
      </c>
      <c r="L44" s="28"/>
      <c r="M44" s="28"/>
    </row>
    <row r="45" spans="2:13" x14ac:dyDescent="0.45">
      <c r="B45" s="37">
        <v>19</v>
      </c>
      <c r="C45" s="47" cm="1">
        <f t="array" aca="1" ref="C45" ca="1">C44+_xll.VoseWeibull(Shape_Fil,Scale_Fil)</f>
        <v>9672.624626599365</v>
      </c>
      <c r="D45" s="43" cm="1">
        <f t="array" aca="1" ref="D45" ca="1">_xll.VoseLognormal(RepM_Fil,RepS_Fil)</f>
        <v>1.6082760351292278</v>
      </c>
      <c r="E45" s="47" cm="1">
        <f t="array" aca="1" ref="E45" ca="1">E44+_xll.VoseWeibull(Shape_Cap,Scale_Cap)</f>
        <v>5598.6587585298639</v>
      </c>
      <c r="F45" s="43" cm="1">
        <f t="array" aca="1" ref="F45" ca="1">_xll.VoseLognormal(RepM_Cap,RepS_Cap)</f>
        <v>0.79177907776921719</v>
      </c>
      <c r="G45" s="48">
        <f t="shared" ca="1" si="0"/>
        <v>0.25</v>
      </c>
      <c r="H45" s="47" cm="1">
        <f t="array" aca="1" ref="H45" ca="1">H44+_xll.VoseWeibull(Shape_Lab,Scale_Lab)</f>
        <v>5268.8886372152756</v>
      </c>
      <c r="I45" s="43" cm="1">
        <f t="array" aca="1" ref="I45" ca="1">_xll.VoseLognormal(RepM_Lab,RepS_Lab)</f>
        <v>0.44744693405330899</v>
      </c>
      <c r="J45" s="47" cm="1">
        <f t="array" aca="1" ref="J45" ca="1">J44+_xll.VoseWeibull(Shape_Pak,Scale_Pak)</f>
        <v>13662.356350439168</v>
      </c>
      <c r="K45" s="43" cm="1">
        <f t="array" aca="1" ref="K45" ca="1">_xll.VoseLognormal(RepM_Pak,RepS_Pak)</f>
        <v>2.6870644953676543</v>
      </c>
      <c r="L45" s="28"/>
      <c r="M45" s="28"/>
    </row>
    <row r="46" spans="2:13" x14ac:dyDescent="0.45">
      <c r="B46" s="37">
        <v>20</v>
      </c>
      <c r="C46" s="47" cm="1">
        <f t="array" aca="1" ref="C46" ca="1">C45+_xll.VoseWeibull(Shape_Fil,Scale_Fil)</f>
        <v>9918.3729461721468</v>
      </c>
      <c r="D46" s="43" cm="1">
        <f t="array" aca="1" ref="D46" ca="1">_xll.VoseLognormal(RepM_Fil,RepS_Fil)</f>
        <v>0.77667319843955385</v>
      </c>
      <c r="E46" s="47" cm="1">
        <f t="array" aca="1" ref="E46" ca="1">E45+_xll.VoseWeibull(Shape_Cap,Scale_Cap)</f>
        <v>5849.6283325595859</v>
      </c>
      <c r="F46" s="43" cm="1">
        <f t="array" aca="1" ref="F46" ca="1">_xll.VoseLognormal(RepM_Cap,RepS_Cap)</f>
        <v>3.3426047327700652</v>
      </c>
      <c r="G46" s="48">
        <f t="shared" ca="1" si="0"/>
        <v>0.25</v>
      </c>
      <c r="H46" s="47" cm="1">
        <f t="array" aca="1" ref="H46" ca="1">H45+_xll.VoseWeibull(Shape_Lab,Scale_Lab)</f>
        <v>5717.777155782177</v>
      </c>
      <c r="I46" s="43" cm="1">
        <f t="array" aca="1" ref="I46" ca="1">_xll.VoseLognormal(RepM_Lab,RepS_Lab)</f>
        <v>0.73220575458158499</v>
      </c>
      <c r="J46" s="47" cm="1">
        <f t="array" aca="1" ref="J46" ca="1">J45+_xll.VoseWeibull(Shape_Pak,Scale_Pak)</f>
        <v>14475.456206247527</v>
      </c>
      <c r="K46" s="43" cm="1">
        <f t="array" aca="1" ref="K46" ca="1">_xll.VoseLognormal(RepM_Pak,RepS_Pak)</f>
        <v>3.9317410196714051</v>
      </c>
      <c r="L46" s="28"/>
      <c r="M46" s="28"/>
    </row>
    <row r="47" spans="2:13" x14ac:dyDescent="0.45">
      <c r="B47" s="37">
        <v>21</v>
      </c>
      <c r="C47" s="47" cm="1">
        <f t="array" aca="1" ref="C47" ca="1">C46+_xll.VoseWeibull(Shape_Fil,Scale_Fil)</f>
        <v>10119.624485712173</v>
      </c>
      <c r="D47" s="43" cm="1">
        <f t="array" aca="1" ref="D47" ca="1">_xll.VoseLognormal(RepM_Fil,RepS_Fil)</f>
        <v>0.31903268991222983</v>
      </c>
      <c r="E47" s="47" cm="1">
        <f t="array" aca="1" ref="E47" ca="1">E46+_xll.VoseWeibull(Shape_Cap,Scale_Cap)</f>
        <v>6353.509402886968</v>
      </c>
      <c r="F47" s="43" cm="1">
        <f t="array" aca="1" ref="F47" ca="1">_xll.VoseLognormal(RepM_Cap,RepS_Cap)</f>
        <v>3.9515330167582805</v>
      </c>
      <c r="G47" s="48">
        <f t="shared" ca="1" si="0"/>
        <v>0.25</v>
      </c>
      <c r="H47" s="47" cm="1">
        <f t="array" aca="1" ref="H47" ca="1">H46+_xll.VoseWeibull(Shape_Lab,Scale_Lab)</f>
        <v>6120.8274655809355</v>
      </c>
      <c r="I47" s="43" cm="1">
        <f t="array" aca="1" ref="I47" ca="1">_xll.VoseLognormal(RepM_Lab,RepS_Lab)</f>
        <v>1.3110807399291129</v>
      </c>
      <c r="J47" s="47" cm="1">
        <f t="array" aca="1" ref="J47" ca="1">J46+_xll.VoseWeibull(Shape_Pak,Scale_Pak)</f>
        <v>15538.082527606088</v>
      </c>
      <c r="K47" s="43" cm="1">
        <f t="array" aca="1" ref="K47" ca="1">_xll.VoseLognormal(RepM_Pak,RepS_Pak)</f>
        <v>1.7074230885385719</v>
      </c>
      <c r="L47" s="28"/>
      <c r="M47" s="28"/>
    </row>
    <row r="48" spans="2:13" x14ac:dyDescent="0.45">
      <c r="B48" s="37">
        <v>22</v>
      </c>
      <c r="C48" s="47" cm="1">
        <f t="array" aca="1" ref="C48" ca="1">C47+_xll.VoseWeibull(Shape_Fil,Scale_Fil)</f>
        <v>10345.24238532761</v>
      </c>
      <c r="D48" s="43" cm="1">
        <f t="array" aca="1" ref="D48" ca="1">_xll.VoseLognormal(RepM_Fil,RepS_Fil)</f>
        <v>0.82073805803592126</v>
      </c>
      <c r="E48" s="47" cm="1">
        <f t="array" aca="1" ref="E48" ca="1">E47+_xll.VoseWeibull(Shape_Cap,Scale_Cap)</f>
        <v>7007.5665139957327</v>
      </c>
      <c r="F48" s="43" cm="1">
        <f t="array" aca="1" ref="F48" ca="1">_xll.VoseLognormal(RepM_Cap,RepS_Cap)</f>
        <v>3.0502264506381178</v>
      </c>
      <c r="G48" s="48">
        <f t="shared" ca="1" si="0"/>
        <v>0.25</v>
      </c>
      <c r="H48" s="47" cm="1">
        <f t="array" aca="1" ref="H48" ca="1">H47+_xll.VoseWeibull(Shape_Lab,Scale_Lab)</f>
        <v>6197.4926815047593</v>
      </c>
      <c r="I48" s="43" cm="1">
        <f t="array" aca="1" ref="I48" ca="1">_xll.VoseLognormal(RepM_Lab,RepS_Lab)</f>
        <v>1.1963132932683869</v>
      </c>
      <c r="J48" s="47" cm="1">
        <f t="array" aca="1" ref="J48" ca="1">J47+_xll.VoseWeibull(Shape_Pak,Scale_Pak)</f>
        <v>16132.504634292311</v>
      </c>
      <c r="K48" s="43" cm="1">
        <f t="array" aca="1" ref="K48" ca="1">_xll.VoseLognormal(RepM_Pak,RepS_Pak)</f>
        <v>0.80728771707873515</v>
      </c>
      <c r="L48" s="28"/>
      <c r="M48" s="28"/>
    </row>
    <row r="49" spans="2:13" x14ac:dyDescent="0.45">
      <c r="B49" s="37">
        <v>23</v>
      </c>
      <c r="C49" s="47" cm="1">
        <f t="array" aca="1" ref="C49" ca="1">C48+_xll.VoseWeibull(Shape_Fil,Scale_Fil)</f>
        <v>11075.04611329113</v>
      </c>
      <c r="D49" s="43" cm="1">
        <f t="array" aca="1" ref="D49" ca="1">_xll.VoseLognormal(RepM_Fil,RepS_Fil)</f>
        <v>0.59075759445636655</v>
      </c>
      <c r="E49" s="47" cm="1">
        <f t="array" aca="1" ref="E49" ca="1">E48+_xll.VoseWeibull(Shape_Cap,Scale_Cap)</f>
        <v>7389.8260045055367</v>
      </c>
      <c r="F49" s="43" cm="1">
        <f t="array" aca="1" ref="F49" ca="1">_xll.VoseLognormal(RepM_Cap,RepS_Cap)</f>
        <v>2.8684010104160014</v>
      </c>
      <c r="G49" s="48">
        <f t="shared" ca="1" si="0"/>
        <v>0.25</v>
      </c>
      <c r="H49" s="47" cm="1">
        <f t="array" aca="1" ref="H49" ca="1">H48+_xll.VoseWeibull(Shape_Lab,Scale_Lab)</f>
        <v>7598.4500792422778</v>
      </c>
      <c r="I49" s="43" cm="1">
        <f t="array" aca="1" ref="I49" ca="1">_xll.VoseLognormal(RepM_Lab,RepS_Lab)</f>
        <v>0.44396469999356813</v>
      </c>
      <c r="J49" s="47" cm="1">
        <f t="array" aca="1" ref="J49" ca="1">J48+_xll.VoseWeibull(Shape_Pak,Scale_Pak)</f>
        <v>16694.064257452381</v>
      </c>
      <c r="K49" s="43" cm="1">
        <f t="array" aca="1" ref="K49" ca="1">_xll.VoseLognormal(RepM_Pak,RepS_Pak)</f>
        <v>0.77608881358570658</v>
      </c>
      <c r="L49" s="28"/>
      <c r="M49" s="28"/>
    </row>
    <row r="50" spans="2:13" x14ac:dyDescent="0.45">
      <c r="B50" s="37">
        <v>24</v>
      </c>
      <c r="C50" s="47" cm="1">
        <f t="array" aca="1" ref="C50" ca="1">C49+_xll.VoseWeibull(Shape_Fil,Scale_Fil)</f>
        <v>11469.143513163586</v>
      </c>
      <c r="D50" s="43" cm="1">
        <f t="array" aca="1" ref="D50" ca="1">_xll.VoseLognormal(RepM_Fil,RepS_Fil)</f>
        <v>1.5254224822333116</v>
      </c>
      <c r="E50" s="47" cm="1">
        <f t="array" aca="1" ref="E50" ca="1">E49+_xll.VoseWeibull(Shape_Cap,Scale_Cap)</f>
        <v>7436.3521712795327</v>
      </c>
      <c r="F50" s="43" cm="1">
        <f t="array" aca="1" ref="F50" ca="1">_xll.VoseLognormal(RepM_Cap,RepS_Cap)</f>
        <v>0.19859568698428459</v>
      </c>
      <c r="G50" s="48">
        <f t="shared" ca="1" si="0"/>
        <v>0.19859568698428459</v>
      </c>
      <c r="H50" s="47" cm="1">
        <f t="array" aca="1" ref="H50" ca="1">H49+_xll.VoseWeibull(Shape_Lab,Scale_Lab)</f>
        <v>8725.4217741506618</v>
      </c>
      <c r="I50" s="43" cm="1">
        <f t="array" aca="1" ref="I50" ca="1">_xll.VoseLognormal(RepM_Lab,RepS_Lab)</f>
        <v>0.7926705785996766</v>
      </c>
      <c r="J50" s="47" cm="1">
        <f t="array" aca="1" ref="J50" ca="1">J49+_xll.VoseWeibull(Shape_Pak,Scale_Pak)</f>
        <v>17417.635151505994</v>
      </c>
      <c r="K50" s="43" cm="1">
        <f t="array" aca="1" ref="K50" ca="1">_xll.VoseLognormal(RepM_Pak,RepS_Pak)</f>
        <v>3.5966221565454441</v>
      </c>
      <c r="L50" s="28"/>
      <c r="M50" s="28"/>
    </row>
    <row r="51" spans="2:13" x14ac:dyDescent="0.45">
      <c r="B51" s="37">
        <v>25</v>
      </c>
      <c r="C51" s="47" cm="1">
        <f t="array" aca="1" ref="C51" ca="1">C50+_xll.VoseWeibull(Shape_Fil,Scale_Fil)</f>
        <v>11960.952110165128</v>
      </c>
      <c r="D51" s="43" cm="1">
        <f t="array" aca="1" ref="D51" ca="1">_xll.VoseLognormal(RepM_Fil,RepS_Fil)</f>
        <v>1.9433196769279817</v>
      </c>
      <c r="E51" s="47" cm="1">
        <f t="array" aca="1" ref="E51" ca="1">E50+_xll.VoseWeibull(Shape_Cap,Scale_Cap)</f>
        <v>7556.2375807927228</v>
      </c>
      <c r="F51" s="43" cm="1">
        <f t="array" aca="1" ref="F51" ca="1">_xll.VoseLognormal(RepM_Cap,RepS_Cap)</f>
        <v>1.5213014577411803</v>
      </c>
      <c r="G51" s="48">
        <f t="shared" ca="1" si="0"/>
        <v>0.25</v>
      </c>
      <c r="H51" s="47" cm="1">
        <f t="array" aca="1" ref="H51" ca="1">H50+_xll.VoseWeibull(Shape_Lab,Scale_Lab)</f>
        <v>8952.3636254855846</v>
      </c>
      <c r="I51" s="43" cm="1">
        <f t="array" aca="1" ref="I51" ca="1">_xll.VoseLognormal(RepM_Lab,RepS_Lab)</f>
        <v>1.7908143361969149</v>
      </c>
      <c r="J51" s="47" cm="1">
        <f t="array" aca="1" ref="J51" ca="1">J50+_xll.VoseWeibull(Shape_Pak,Scale_Pak)</f>
        <v>19119.671139473525</v>
      </c>
      <c r="K51" s="43" cm="1">
        <f t="array" aca="1" ref="K51" ca="1">_xll.VoseLognormal(RepM_Pak,RepS_Pak)</f>
        <v>6.752867937852379</v>
      </c>
      <c r="L51" s="28"/>
      <c r="M51" s="28"/>
    </row>
    <row r="52" spans="2:13" x14ac:dyDescent="0.45">
      <c r="B52" s="37">
        <v>26</v>
      </c>
      <c r="C52" s="47" cm="1">
        <f t="array" aca="1" ref="C52" ca="1">C51+_xll.VoseWeibull(Shape_Fil,Scale_Fil)</f>
        <v>12342.028112430229</v>
      </c>
      <c r="D52" s="43" cm="1">
        <f t="array" aca="1" ref="D52" ca="1">_xll.VoseLognormal(RepM_Fil,RepS_Fil)</f>
        <v>1.5340871914248808</v>
      </c>
      <c r="E52" s="47" cm="1">
        <f t="array" aca="1" ref="E52" ca="1">E51+_xll.VoseWeibull(Shape_Cap,Scale_Cap)</f>
        <v>7676.0932785560026</v>
      </c>
      <c r="F52" s="43" cm="1">
        <f t="array" aca="1" ref="F52" ca="1">_xll.VoseLognormal(RepM_Cap,RepS_Cap)</f>
        <v>1.0424381906185138</v>
      </c>
      <c r="G52" s="48">
        <f t="shared" ca="1" si="0"/>
        <v>0.25</v>
      </c>
      <c r="H52" s="47" cm="1">
        <f t="array" aca="1" ref="H52" ca="1">H51+_xll.VoseWeibull(Shape_Lab,Scale_Lab)</f>
        <v>9444.3425944411701</v>
      </c>
      <c r="I52" s="43" cm="1">
        <f t="array" aca="1" ref="I52" ca="1">_xll.VoseLognormal(RepM_Lab,RepS_Lab)</f>
        <v>1.4443041076197685</v>
      </c>
      <c r="J52" s="47" cm="1">
        <f t="array" aca="1" ref="J52" ca="1">J51+_xll.VoseWeibull(Shape_Pak,Scale_Pak)</f>
        <v>19431.08054229385</v>
      </c>
      <c r="K52" s="43" cm="1">
        <f t="array" aca="1" ref="K52" ca="1">_xll.VoseLognormal(RepM_Pak,RepS_Pak)</f>
        <v>3.7963212717495836</v>
      </c>
      <c r="L52" s="28"/>
      <c r="M52" s="28"/>
    </row>
    <row r="53" spans="2:13" x14ac:dyDescent="0.45">
      <c r="B53" s="37">
        <v>27</v>
      </c>
      <c r="C53" s="47" cm="1">
        <f t="array" aca="1" ref="C53" ca="1">C52+_xll.VoseWeibull(Shape_Fil,Scale_Fil)</f>
        <v>12591.270766122092</v>
      </c>
      <c r="D53" s="43" cm="1">
        <f t="array" aca="1" ref="D53" ca="1">_xll.VoseLognormal(RepM_Fil,RepS_Fil)</f>
        <v>0.51774730866171514</v>
      </c>
      <c r="E53" s="47" cm="1">
        <f t="array" aca="1" ref="E53" ca="1">E52+_xll.VoseWeibull(Shape_Cap,Scale_Cap)</f>
        <v>8163.0593097149722</v>
      </c>
      <c r="F53" s="43" cm="1">
        <f t="array" aca="1" ref="F53" ca="1">_xll.VoseLognormal(RepM_Cap,RepS_Cap)</f>
        <v>0.52467480103237807</v>
      </c>
      <c r="G53" s="48">
        <f t="shared" ca="1" si="0"/>
        <v>0.25</v>
      </c>
      <c r="H53" s="47" cm="1">
        <f t="array" aca="1" ref="H53" ca="1">H52+_xll.VoseWeibull(Shape_Lab,Scale_Lab)</f>
        <v>9728.7099480552642</v>
      </c>
      <c r="I53" s="43" cm="1">
        <f t="array" aca="1" ref="I53" ca="1">_xll.VoseLognormal(RepM_Lab,RepS_Lab)</f>
        <v>1.2272650784085419</v>
      </c>
      <c r="J53" s="47" cm="1">
        <f t="array" aca="1" ref="J53" ca="1">J52+_xll.VoseWeibull(Shape_Pak,Scale_Pak)</f>
        <v>21023.115105817687</v>
      </c>
      <c r="K53" s="43" cm="1">
        <f t="array" aca="1" ref="K53" ca="1">_xll.VoseLognormal(RepM_Pak,RepS_Pak)</f>
        <v>2.5436333425993358</v>
      </c>
      <c r="L53" s="28"/>
      <c r="M53" s="28"/>
    </row>
    <row r="54" spans="2:13" x14ac:dyDescent="0.45">
      <c r="B54" s="37">
        <v>28</v>
      </c>
      <c r="C54" s="47" cm="1">
        <f t="array" aca="1" ref="C54" ca="1">C53+_xll.VoseWeibull(Shape_Fil,Scale_Fil)</f>
        <v>12909.398647466336</v>
      </c>
      <c r="D54" s="43" cm="1">
        <f t="array" aca="1" ref="D54" ca="1">_xll.VoseLognormal(RepM_Fil,RepS_Fil)</f>
        <v>1.4570347370805008</v>
      </c>
      <c r="E54" s="47" cm="1">
        <f t="array" aca="1" ref="E54" ca="1">E53+_xll.VoseWeibull(Shape_Cap,Scale_Cap)</f>
        <v>9192.6950363305314</v>
      </c>
      <c r="F54" s="43" cm="1">
        <f t="array" aca="1" ref="F54" ca="1">_xll.VoseLognormal(RepM_Cap,RepS_Cap)</f>
        <v>1.0649482277088345</v>
      </c>
      <c r="G54" s="48">
        <f t="shared" ca="1" si="0"/>
        <v>0.25</v>
      </c>
      <c r="H54" s="47" cm="1">
        <f t="array" aca="1" ref="H54" ca="1">H53+_xll.VoseWeibull(Shape_Lab,Scale_Lab)</f>
        <v>10229.887009935497</v>
      </c>
      <c r="I54" s="43" cm="1">
        <f t="array" aca="1" ref="I54" ca="1">_xll.VoseLognormal(RepM_Lab,RepS_Lab)</f>
        <v>0.29569299377316355</v>
      </c>
      <c r="J54" s="47" cm="1">
        <f t="array" aca="1" ref="J54" ca="1">J53+_xll.VoseWeibull(Shape_Pak,Scale_Pak)</f>
        <v>21650.58250936064</v>
      </c>
      <c r="K54" s="43" cm="1">
        <f t="array" aca="1" ref="K54" ca="1">_xll.VoseLognormal(RepM_Pak,RepS_Pak)</f>
        <v>10.600397629232138</v>
      </c>
      <c r="L54" s="28"/>
      <c r="M54" s="28"/>
    </row>
    <row r="55" spans="2:13" x14ac:dyDescent="0.45">
      <c r="B55" s="37">
        <v>29</v>
      </c>
      <c r="C55" s="47" cm="1">
        <f t="array" aca="1" ref="C55" ca="1">C54+_xll.VoseWeibull(Shape_Fil,Scale_Fil)</f>
        <v>13175.165633517434</v>
      </c>
      <c r="D55" s="43" cm="1">
        <f t="array" aca="1" ref="D55" ca="1">_xll.VoseLognormal(RepM_Fil,RepS_Fil)</f>
        <v>2.2703323881822941</v>
      </c>
      <c r="E55" s="47" cm="1">
        <f t="array" aca="1" ref="E55" ca="1">E54+_xll.VoseWeibull(Shape_Cap,Scale_Cap)</f>
        <v>9692.8566970029824</v>
      </c>
      <c r="F55" s="43" cm="1">
        <f t="array" aca="1" ref="F55" ca="1">_xll.VoseLognormal(RepM_Cap,RepS_Cap)</f>
        <v>0.31084937255489298</v>
      </c>
      <c r="G55" s="48">
        <f t="shared" ca="1" si="0"/>
        <v>0.25</v>
      </c>
      <c r="H55" s="47" cm="1">
        <f t="array" aca="1" ref="H55" ca="1">H54+_xll.VoseWeibull(Shape_Lab,Scale_Lab)</f>
        <v>10589.488202757275</v>
      </c>
      <c r="I55" s="43" cm="1">
        <f t="array" aca="1" ref="I55" ca="1">_xll.VoseLognormal(RepM_Lab,RepS_Lab)</f>
        <v>0.39743099735153037</v>
      </c>
      <c r="J55" s="47" cm="1">
        <f t="array" aca="1" ref="J55" ca="1">J54+_xll.VoseWeibull(Shape_Pak,Scale_Pak)</f>
        <v>22788.154062836918</v>
      </c>
      <c r="K55" s="43" cm="1">
        <f t="array" aca="1" ref="K55" ca="1">_xll.VoseLognormal(RepM_Pak,RepS_Pak)</f>
        <v>5.4771996449997964</v>
      </c>
      <c r="L55" s="28"/>
      <c r="M55" s="28"/>
    </row>
    <row r="56" spans="2:13" x14ac:dyDescent="0.45">
      <c r="B56" s="37">
        <v>30</v>
      </c>
      <c r="C56" s="47" cm="1">
        <f t="array" aca="1" ref="C56" ca="1">C55+_xll.VoseWeibull(Shape_Fil,Scale_Fil)</f>
        <v>13665.60981318318</v>
      </c>
      <c r="D56" s="43" cm="1">
        <f t="array" aca="1" ref="D56" ca="1">_xll.VoseLognormal(RepM_Fil,RepS_Fil)</f>
        <v>0.19570337059525356</v>
      </c>
      <c r="E56" s="47" cm="1">
        <f t="array" aca="1" ref="E56" ca="1">E55+_xll.VoseWeibull(Shape_Cap,Scale_Cap)</f>
        <v>10022.842918499313</v>
      </c>
      <c r="F56" s="43" cm="1">
        <f t="array" aca="1" ref="F56" ca="1">_xll.VoseLognormal(RepM_Cap,RepS_Cap)</f>
        <v>0.1274546494165254</v>
      </c>
      <c r="G56" s="48">
        <f t="shared" ca="1" si="0"/>
        <v>0.1274546494165254</v>
      </c>
      <c r="H56" s="47" cm="1">
        <f t="array" aca="1" ref="H56" ca="1">H55+_xll.VoseWeibull(Shape_Lab,Scale_Lab)</f>
        <v>11322.098009069719</v>
      </c>
      <c r="I56" s="43" cm="1">
        <f t="array" aca="1" ref="I56" ca="1">_xll.VoseLognormal(RepM_Lab,RepS_Lab)</f>
        <v>0.31372927475596074</v>
      </c>
      <c r="J56" s="47" cm="1">
        <f t="array" aca="1" ref="J56" ca="1">J55+_xll.VoseWeibull(Shape_Pak,Scale_Pak)</f>
        <v>23428.932796481931</v>
      </c>
      <c r="K56" s="43" cm="1">
        <f t="array" aca="1" ref="K56" ca="1">_xll.VoseLognormal(RepM_Pak,RepS_Pak)</f>
        <v>3.9596687165175464</v>
      </c>
      <c r="L56" s="28"/>
      <c r="M56" s="28"/>
    </row>
    <row r="57" spans="2:13" x14ac:dyDescent="0.45">
      <c r="B57" s="37">
        <v>31</v>
      </c>
      <c r="C57" s="47" cm="1">
        <f t="array" aca="1" ref="C57" ca="1">C56+_xll.VoseWeibull(Shape_Fil,Scale_Fil)</f>
        <v>14081.046022837898</v>
      </c>
      <c r="D57" s="43" cm="1">
        <f t="array" aca="1" ref="D57" ca="1">_xll.VoseLognormal(RepM_Fil,RepS_Fil)</f>
        <v>1.163452934440985</v>
      </c>
      <c r="E57" s="47" cm="1">
        <f t="array" aca="1" ref="E57" ca="1">E56+_xll.VoseWeibull(Shape_Cap,Scale_Cap)</f>
        <v>10147.361475067975</v>
      </c>
      <c r="F57" s="43" cm="1">
        <f t="array" aca="1" ref="F57" ca="1">_xll.VoseLognormal(RepM_Cap,RepS_Cap)</f>
        <v>6.6859467673007424</v>
      </c>
      <c r="G57" s="48">
        <f t="shared" ca="1" si="0"/>
        <v>0.25</v>
      </c>
      <c r="H57" s="47" cm="1">
        <f t="array" aca="1" ref="H57" ca="1">H56+_xll.VoseWeibull(Shape_Lab,Scale_Lab)</f>
        <v>12422.507267594185</v>
      </c>
      <c r="I57" s="43" cm="1">
        <f t="array" aca="1" ref="I57" ca="1">_xll.VoseLognormal(RepM_Lab,RepS_Lab)</f>
        <v>0.71039693312674457</v>
      </c>
      <c r="J57" s="47" cm="1">
        <f t="array" aca="1" ref="J57" ca="1">J56+_xll.VoseWeibull(Shape_Pak,Scale_Pak)</f>
        <v>23594.967458064537</v>
      </c>
      <c r="K57" s="43" cm="1">
        <f t="array" aca="1" ref="K57" ca="1">_xll.VoseLognormal(RepM_Pak,RepS_Pak)</f>
        <v>9.2616619411909227</v>
      </c>
      <c r="L57" s="28"/>
      <c r="M57" s="28"/>
    </row>
    <row r="58" spans="2:13" x14ac:dyDescent="0.45">
      <c r="B58" s="37">
        <v>32</v>
      </c>
      <c r="C58" s="47" cm="1">
        <f t="array" aca="1" ref="C58" ca="1">C57+_xll.VoseWeibull(Shape_Fil,Scale_Fil)</f>
        <v>14574.5651731207</v>
      </c>
      <c r="D58" s="43" cm="1">
        <f t="array" aca="1" ref="D58" ca="1">_xll.VoseLognormal(RepM_Fil,RepS_Fil)</f>
        <v>0.6632617060082433</v>
      </c>
      <c r="E58" s="47" cm="1">
        <f t="array" aca="1" ref="E58" ca="1">E57+_xll.VoseWeibull(Shape_Cap,Scale_Cap)</f>
        <v>10345.823625385441</v>
      </c>
      <c r="F58" s="43" cm="1">
        <f t="array" aca="1" ref="F58" ca="1">_xll.VoseLognormal(RepM_Cap,RepS_Cap)</f>
        <v>1.8963512452398978</v>
      </c>
      <c r="G58" s="48">
        <f t="shared" ca="1" si="0"/>
        <v>0.25</v>
      </c>
      <c r="H58" s="47" cm="1">
        <f t="array" aca="1" ref="H58" ca="1">H57+_xll.VoseWeibull(Shape_Lab,Scale_Lab)</f>
        <v>12629.259363863523</v>
      </c>
      <c r="I58" s="43" cm="1">
        <f t="array" aca="1" ref="I58" ca="1">_xll.VoseLognormal(RepM_Lab,RepS_Lab)</f>
        <v>0.45004002848490449</v>
      </c>
      <c r="J58" s="47" cm="1">
        <f t="array" aca="1" ref="J58" ca="1">J57+_xll.VoseWeibull(Shape_Pak,Scale_Pak)</f>
        <v>24201.918929050593</v>
      </c>
      <c r="K58" s="43" cm="1">
        <f t="array" aca="1" ref="K58" ca="1">_xll.VoseLognormal(RepM_Pak,RepS_Pak)</f>
        <v>6.5728652975663922</v>
      </c>
      <c r="L58" s="28"/>
      <c r="M58" s="28"/>
    </row>
    <row r="59" spans="2:13" x14ac:dyDescent="0.45">
      <c r="B59" s="37">
        <v>33</v>
      </c>
      <c r="C59" s="47" cm="1">
        <f t="array" aca="1" ref="C59" ca="1">C58+_xll.VoseWeibull(Shape_Fil,Scale_Fil)</f>
        <v>15390.406111395157</v>
      </c>
      <c r="D59" s="43" cm="1">
        <f t="array" aca="1" ref="D59" ca="1">_xll.VoseLognormal(RepM_Fil,RepS_Fil)</f>
        <v>0.2049991162676171</v>
      </c>
      <c r="E59" s="47" cm="1">
        <f t="array" aca="1" ref="E59" ca="1">E58+_xll.VoseWeibull(Shape_Cap,Scale_Cap)</f>
        <v>10526.103813841968</v>
      </c>
      <c r="F59" s="43" cm="1">
        <f t="array" aca="1" ref="F59" ca="1">_xll.VoseLognormal(RepM_Cap,RepS_Cap)</f>
        <v>1.5947608213317601</v>
      </c>
      <c r="G59" s="48">
        <f t="shared" ca="1" si="0"/>
        <v>0.25</v>
      </c>
      <c r="H59" s="47" cm="1">
        <f t="array" aca="1" ref="H59" ca="1">H58+_xll.VoseWeibull(Shape_Lab,Scale_Lab)</f>
        <v>13061.893038820037</v>
      </c>
      <c r="I59" s="43" cm="1">
        <f t="array" aca="1" ref="I59" ca="1">_xll.VoseLognormal(RepM_Lab,RepS_Lab)</f>
        <v>0.89139828806145371</v>
      </c>
      <c r="J59" s="47" cm="1">
        <f t="array" aca="1" ref="J59" ca="1">J58+_xll.VoseWeibull(Shape_Pak,Scale_Pak)</f>
        <v>24486.935365678626</v>
      </c>
      <c r="K59" s="43" cm="1">
        <f t="array" aca="1" ref="K59" ca="1">_xll.VoseLognormal(RepM_Pak,RepS_Pak)</f>
        <v>2.4993779266375609</v>
      </c>
      <c r="L59" s="28"/>
      <c r="M59" s="28"/>
    </row>
    <row r="60" spans="2:13" x14ac:dyDescent="0.45">
      <c r="B60" s="37">
        <v>34</v>
      </c>
      <c r="C60" s="47" cm="1">
        <f t="array" aca="1" ref="C60" ca="1">C59+_xll.VoseWeibull(Shape_Fil,Scale_Fil)</f>
        <v>15574.275511588292</v>
      </c>
      <c r="D60" s="43" cm="1">
        <f t="array" aca="1" ref="D60" ca="1">_xll.VoseLognormal(RepM_Fil,RepS_Fil)</f>
        <v>1.6155442971512575</v>
      </c>
      <c r="E60" s="47" cm="1">
        <f t="array" aca="1" ref="E60" ca="1">E59+_xll.VoseWeibull(Shape_Cap,Scale_Cap)</f>
        <v>11063.733415141834</v>
      </c>
      <c r="F60" s="43" cm="1">
        <f t="array" aca="1" ref="F60" ca="1">_xll.VoseLognormal(RepM_Cap,RepS_Cap)</f>
        <v>1.2924432843472149</v>
      </c>
      <c r="G60" s="48">
        <f t="shared" ca="1" si="0"/>
        <v>0.25</v>
      </c>
      <c r="H60" s="47" cm="1">
        <f t="array" aca="1" ref="H60" ca="1">H59+_xll.VoseWeibull(Shape_Lab,Scale_Lab)</f>
        <v>13848.322376935186</v>
      </c>
      <c r="I60" s="43" cm="1">
        <f t="array" aca="1" ref="I60" ca="1">_xll.VoseLognormal(RepM_Lab,RepS_Lab)</f>
        <v>0.78239657841511756</v>
      </c>
      <c r="J60" s="47" cm="1">
        <f t="array" aca="1" ref="J60" ca="1">J59+_xll.VoseWeibull(Shape_Pak,Scale_Pak)</f>
        <v>25191.580955672795</v>
      </c>
      <c r="K60" s="43" cm="1">
        <f t="array" aca="1" ref="K60" ca="1">_xll.VoseLognormal(RepM_Pak,RepS_Pak)</f>
        <v>1.8538673300349864</v>
      </c>
      <c r="L60" s="28"/>
      <c r="M60" s="28"/>
    </row>
    <row r="61" spans="2:13" x14ac:dyDescent="0.45">
      <c r="B61" s="37">
        <v>35</v>
      </c>
      <c r="C61" s="47" cm="1">
        <f t="array" aca="1" ref="C61" ca="1">C60+_xll.VoseWeibull(Shape_Fil,Scale_Fil)</f>
        <v>16253.260151330105</v>
      </c>
      <c r="D61" s="43" cm="1">
        <f t="array" aca="1" ref="D61" ca="1">_xll.VoseLognormal(RepM_Fil,RepS_Fil)</f>
        <v>0.90770280428460226</v>
      </c>
      <c r="E61" s="47" cm="1">
        <f t="array" aca="1" ref="E61" ca="1">E60+_xll.VoseWeibull(Shape_Cap,Scale_Cap)</f>
        <v>11155.563252132672</v>
      </c>
      <c r="F61" s="43" cm="1">
        <f t="array" aca="1" ref="F61" ca="1">_xll.VoseLognormal(RepM_Cap,RepS_Cap)</f>
        <v>3.397965158795424</v>
      </c>
      <c r="G61" s="48">
        <f t="shared" ca="1" si="0"/>
        <v>0.25</v>
      </c>
      <c r="H61" s="47" cm="1">
        <f t="array" aca="1" ref="H61" ca="1">H60+_xll.VoseWeibull(Shape_Lab,Scale_Lab)</f>
        <v>14010.099543662142</v>
      </c>
      <c r="I61" s="43" cm="1">
        <f t="array" aca="1" ref="I61" ca="1">_xll.VoseLognormal(RepM_Lab,RepS_Lab)</f>
        <v>2.1285290986965397</v>
      </c>
      <c r="J61" s="47" cm="1">
        <f t="array" aca="1" ref="J61" ca="1">J60+_xll.VoseWeibull(Shape_Pak,Scale_Pak)</f>
        <v>25390.545511717137</v>
      </c>
      <c r="K61" s="43" cm="1">
        <f t="array" aca="1" ref="K61" ca="1">_xll.VoseLognormal(RepM_Pak,RepS_Pak)</f>
        <v>3.8099884794895362</v>
      </c>
      <c r="L61" s="28"/>
      <c r="M61" s="28"/>
    </row>
    <row r="62" spans="2:13" x14ac:dyDescent="0.45">
      <c r="B62" s="37">
        <v>36</v>
      </c>
      <c r="C62" s="47" cm="1">
        <f t="array" aca="1" ref="C62" ca="1">C61+_xll.VoseWeibull(Shape_Fil,Scale_Fil)</f>
        <v>16604.224470647125</v>
      </c>
      <c r="D62" s="43" cm="1">
        <f t="array" aca="1" ref="D62" ca="1">_xll.VoseLognormal(RepM_Fil,RepS_Fil)</f>
        <v>0.56737756538241635</v>
      </c>
      <c r="E62" s="47" cm="1">
        <f t="array" aca="1" ref="E62" ca="1">E61+_xll.VoseWeibull(Shape_Cap,Scale_Cap)</f>
        <v>11454.927110788389</v>
      </c>
      <c r="F62" s="43" cm="1">
        <f t="array" aca="1" ref="F62" ca="1">_xll.VoseLognormal(RepM_Cap,RepS_Cap)</f>
        <v>0.90102455257045111</v>
      </c>
      <c r="G62" s="48">
        <f t="shared" ca="1" si="0"/>
        <v>0.25</v>
      </c>
      <c r="H62" s="47" cm="1">
        <f t="array" aca="1" ref="H62" ca="1">H61+_xll.VoseWeibull(Shape_Lab,Scale_Lab)</f>
        <v>14702.967257865457</v>
      </c>
      <c r="I62" s="43" cm="1">
        <f t="array" aca="1" ref="I62" ca="1">_xll.VoseLognormal(RepM_Lab,RepS_Lab)</f>
        <v>1.5201700443385382</v>
      </c>
      <c r="J62" s="47" cm="1">
        <f t="array" aca="1" ref="J62" ca="1">J61+_xll.VoseWeibull(Shape_Pak,Scale_Pak)</f>
        <v>26081.399434265095</v>
      </c>
      <c r="K62" s="43" cm="1">
        <f t="array" aca="1" ref="K62" ca="1">_xll.VoseLognormal(RepM_Pak,RepS_Pak)</f>
        <v>2.8759510948426747</v>
      </c>
      <c r="L62" s="28"/>
      <c r="M62" s="28"/>
    </row>
    <row r="63" spans="2:13" x14ac:dyDescent="0.45">
      <c r="B63" s="37">
        <v>37</v>
      </c>
      <c r="C63" s="47" cm="1">
        <f t="array" aca="1" ref="C63" ca="1">C62+_xll.VoseWeibull(Shape_Fil,Scale_Fil)</f>
        <v>16857.861274975297</v>
      </c>
      <c r="D63" s="43" cm="1">
        <f t="array" aca="1" ref="D63" ca="1">_xll.VoseLognormal(RepM_Fil,RepS_Fil)</f>
        <v>1.7340088396152864</v>
      </c>
      <c r="E63" s="47" cm="1">
        <f t="array" aca="1" ref="E63" ca="1">E62+_xll.VoseWeibull(Shape_Cap,Scale_Cap)</f>
        <v>11805.107143943251</v>
      </c>
      <c r="F63" s="43" cm="1">
        <f t="array" aca="1" ref="F63" ca="1">_xll.VoseLognormal(RepM_Cap,RepS_Cap)</f>
        <v>4.7323921412076855</v>
      </c>
      <c r="G63" s="48">
        <f t="shared" ca="1" si="0"/>
        <v>0.25</v>
      </c>
      <c r="H63" s="47" cm="1">
        <f t="array" aca="1" ref="H63" ca="1">H62+_xll.VoseWeibull(Shape_Lab,Scale_Lab)</f>
        <v>14818.249891723914</v>
      </c>
      <c r="I63" s="43" cm="1">
        <f t="array" aca="1" ref="I63" ca="1">_xll.VoseLognormal(RepM_Lab,RepS_Lab)</f>
        <v>0.66626046691922913</v>
      </c>
      <c r="J63" s="47" cm="1">
        <f t="array" aca="1" ref="J63" ca="1">J62+_xll.VoseWeibull(Shape_Pak,Scale_Pak)</f>
        <v>26247.121814942613</v>
      </c>
      <c r="K63" s="43" cm="1">
        <f t="array" aca="1" ref="K63" ca="1">_xll.VoseLognormal(RepM_Pak,RepS_Pak)</f>
        <v>1.6298735726673268</v>
      </c>
      <c r="L63" s="28"/>
      <c r="M63" s="28"/>
    </row>
    <row r="64" spans="2:13" x14ac:dyDescent="0.45">
      <c r="B64" s="37">
        <v>38</v>
      </c>
      <c r="C64" s="47" cm="1">
        <f t="array" aca="1" ref="C64" ca="1">C63+_xll.VoseWeibull(Shape_Fil,Scale_Fil)</f>
        <v>17470.450970039619</v>
      </c>
      <c r="D64" s="43" cm="1">
        <f t="array" aca="1" ref="D64" ca="1">_xll.VoseLognormal(RepM_Fil,RepS_Fil)</f>
        <v>1.0498309159893848</v>
      </c>
      <c r="E64" s="47" cm="1">
        <f t="array" aca="1" ref="E64" ca="1">E63+_xll.VoseWeibull(Shape_Cap,Scale_Cap)</f>
        <v>11908.630463905085</v>
      </c>
      <c r="F64" s="43" cm="1">
        <f t="array" aca="1" ref="F64" ca="1">_xll.VoseLognormal(RepM_Cap,RepS_Cap)</f>
        <v>3.7598658826309936</v>
      </c>
      <c r="G64" s="48">
        <f t="shared" ca="1" si="0"/>
        <v>0.25</v>
      </c>
      <c r="H64" s="47" cm="1">
        <f t="array" aca="1" ref="H64" ca="1">H63+_xll.VoseWeibull(Shape_Lab,Scale_Lab)</f>
        <v>15102.794467245771</v>
      </c>
      <c r="I64" s="43" cm="1">
        <f t="array" aca="1" ref="I64" ca="1">_xll.VoseLognormal(RepM_Lab,RepS_Lab)</f>
        <v>0.29488264132003589</v>
      </c>
      <c r="J64" s="47" cm="1">
        <f t="array" aca="1" ref="J64" ca="1">J63+_xll.VoseWeibull(Shape_Pak,Scale_Pak)</f>
        <v>27615.75883635768</v>
      </c>
      <c r="K64" s="43" cm="1">
        <f t="array" aca="1" ref="K64" ca="1">_xll.VoseLognormal(RepM_Pak,RepS_Pak)</f>
        <v>4.4443479641097339</v>
      </c>
      <c r="L64" s="28"/>
      <c r="M64" s="28"/>
    </row>
    <row r="65" spans="2:13" x14ac:dyDescent="0.45">
      <c r="B65" s="37">
        <v>39</v>
      </c>
      <c r="C65" s="47" cm="1">
        <f t="array" aca="1" ref="C65" ca="1">C64+_xll.VoseWeibull(Shape_Fil,Scale_Fil)</f>
        <v>17867.725210172877</v>
      </c>
      <c r="D65" s="43" cm="1">
        <f t="array" aca="1" ref="D65" ca="1">_xll.VoseLognormal(RepM_Fil,RepS_Fil)</f>
        <v>1.0353345015121558</v>
      </c>
      <c r="E65" s="47" cm="1">
        <f t="array" aca="1" ref="E65" ca="1">E64+_xll.VoseWeibull(Shape_Cap,Scale_Cap)</f>
        <v>12199.019587782095</v>
      </c>
      <c r="F65" s="43" cm="1">
        <f t="array" aca="1" ref="F65" ca="1">_xll.VoseLognormal(RepM_Cap,RepS_Cap)</f>
        <v>0.36040957916929983</v>
      </c>
      <c r="G65" s="48">
        <f t="shared" ca="1" si="0"/>
        <v>0.25</v>
      </c>
      <c r="H65" s="47" cm="1">
        <f t="array" aca="1" ref="H65" ca="1">H64+_xll.VoseWeibull(Shape_Lab,Scale_Lab)</f>
        <v>15457.794181486492</v>
      </c>
      <c r="I65" s="43" cm="1">
        <f t="array" aca="1" ref="I65" ca="1">_xll.VoseLognormal(RepM_Lab,RepS_Lab)</f>
        <v>0.33838535659377428</v>
      </c>
      <c r="J65" s="47" cm="1">
        <f t="array" aca="1" ref="J65" ca="1">J64+_xll.VoseWeibull(Shape_Pak,Scale_Pak)</f>
        <v>28271.647511153529</v>
      </c>
      <c r="K65" s="43" cm="1">
        <f t="array" aca="1" ref="K65" ca="1">_xll.VoseLognormal(RepM_Pak,RepS_Pak)</f>
        <v>1.0341097100232444</v>
      </c>
      <c r="L65" s="28"/>
      <c r="M65" s="28"/>
    </row>
    <row r="66" spans="2:13" x14ac:dyDescent="0.45">
      <c r="B66" s="37">
        <v>40</v>
      </c>
      <c r="C66" s="47" cm="1">
        <f t="array" aca="1" ref="C66" ca="1">C65+_xll.VoseWeibull(Shape_Fil,Scale_Fil)</f>
        <v>18317.641538113916</v>
      </c>
      <c r="D66" s="43" cm="1">
        <f t="array" aca="1" ref="D66" ca="1">_xll.VoseLognormal(RepM_Fil,RepS_Fil)</f>
        <v>2.2602041666234141</v>
      </c>
      <c r="E66" s="47" cm="1">
        <f t="array" aca="1" ref="E66" ca="1">E65+_xll.VoseWeibull(Shape_Cap,Scale_Cap)</f>
        <v>12261.550680876406</v>
      </c>
      <c r="F66" s="43" cm="1">
        <f t="array" aca="1" ref="F66" ca="1">_xll.VoseLognormal(RepM_Cap,RepS_Cap)</f>
        <v>0.64069385536626144</v>
      </c>
      <c r="G66" s="48">
        <f t="shared" ca="1" si="0"/>
        <v>0.25</v>
      </c>
      <c r="H66" s="47" cm="1">
        <f t="array" aca="1" ref="H66" ca="1">H65+_xll.VoseWeibull(Shape_Lab,Scale_Lab)</f>
        <v>15631.606331395142</v>
      </c>
      <c r="I66" s="43" cm="1">
        <f t="array" aca="1" ref="I66" ca="1">_xll.VoseLognormal(RepM_Lab,RepS_Lab)</f>
        <v>0.89115262582620469</v>
      </c>
      <c r="J66" s="47" cm="1">
        <f t="array" aca="1" ref="J66" ca="1">J65+_xll.VoseWeibull(Shape_Pak,Scale_Pak)</f>
        <v>28366.628984067276</v>
      </c>
      <c r="K66" s="43" cm="1">
        <f t="array" aca="1" ref="K66" ca="1">_xll.VoseLognormal(RepM_Pak,RepS_Pak)</f>
        <v>12.94007094240979</v>
      </c>
      <c r="L66" s="28"/>
      <c r="M66" s="28"/>
    </row>
    <row r="67" spans="2:13" x14ac:dyDescent="0.45">
      <c r="B67" s="49" t="s">
        <v>189</v>
      </c>
      <c r="C67" s="50">
        <f ca="1">COUNTIF(C27:C66,"&lt;="&amp;SchedHours)</f>
        <v>12</v>
      </c>
      <c r="D67" s="51"/>
      <c r="E67" s="50">
        <f ca="1">COUNTIF(E27:E66,"&lt;="&amp;SchedHours)</f>
        <v>20</v>
      </c>
      <c r="F67" s="51"/>
      <c r="G67" s="51"/>
      <c r="H67" s="50">
        <f ca="1">COUNTIF(H27:H66,"&lt;="&amp;SchedHours)</f>
        <v>20</v>
      </c>
      <c r="I67" s="51"/>
      <c r="J67" s="50">
        <f ca="1">COUNTIF(J27:J66,"&lt;="&amp;SchedHours)</f>
        <v>7</v>
      </c>
      <c r="K67" s="51"/>
      <c r="M67" s="52" t="s">
        <v>190</v>
      </c>
    </row>
    <row r="68" spans="2:13" x14ac:dyDescent="0.45">
      <c r="B68" s="53" t="s">
        <v>191</v>
      </c>
      <c r="D68" s="54">
        <f ca="1">SUMIF(C27:C66,"&lt;="&amp;SchedHours,D27:D66)</f>
        <v>21.49469526647167</v>
      </c>
      <c r="F68" s="54">
        <f ca="1">SUMIF(E27:E66,"&lt;="&amp;SchedHours,F27:F66)</f>
        <v>62.26435138154406</v>
      </c>
      <c r="G68" s="54">
        <f ca="1">SUMIF(E27:E66,"&lt;="&amp;SchedHours,G27:G66)</f>
        <v>4.9251662396234224</v>
      </c>
      <c r="I68" s="54">
        <f ca="1">SUMIF(H27:H66,"&lt;="&amp;SchedHours,I27:I66)</f>
        <v>17.540224889058734</v>
      </c>
      <c r="K68" s="54">
        <f ca="1">SUMIF(J27:J66,"&lt;="&amp;SchedHours,K27:K66)</f>
        <v>29.564250302404126</v>
      </c>
    </row>
    <row r="69" spans="2:13" ht="8" customHeight="1" x14ac:dyDescent="0.45"/>
    <row r="70" spans="2:13" ht="22.05" customHeight="1" x14ac:dyDescent="0.5">
      <c r="B70" s="7" t="s">
        <v>192</v>
      </c>
      <c r="C70" s="8"/>
      <c r="D70" s="8"/>
      <c r="E70" s="8"/>
      <c r="F70" s="8"/>
      <c r="G70" s="8"/>
      <c r="H70" s="8"/>
      <c r="I70" s="8"/>
      <c r="J70" s="8"/>
      <c r="K70" s="8"/>
      <c r="L70" s="8"/>
      <c r="M70" s="8"/>
    </row>
    <row r="71" spans="2:13" ht="18" customHeight="1" x14ac:dyDescent="0.45">
      <c r="B71" s="13" t="s">
        <v>193</v>
      </c>
    </row>
    <row r="72" spans="2:13" ht="18" customHeight="1" x14ac:dyDescent="0.45">
      <c r="B72" s="35" t="s">
        <v>194</v>
      </c>
      <c r="C72" s="5"/>
      <c r="D72" s="35" t="s">
        <v>98</v>
      </c>
      <c r="E72" s="36" t="s">
        <v>157</v>
      </c>
      <c r="F72" s="5"/>
      <c r="G72" s="5"/>
      <c r="H72" s="5"/>
      <c r="I72" s="5"/>
      <c r="J72" s="5"/>
      <c r="K72" s="5"/>
      <c r="L72" s="5"/>
      <c r="M72" s="35" t="s">
        <v>195</v>
      </c>
    </row>
    <row r="73" spans="2:13" x14ac:dyDescent="0.45">
      <c r="B73" s="25" t="s">
        <v>196</v>
      </c>
      <c r="C73" s="28"/>
      <c r="D73" s="26" t="s">
        <v>115</v>
      </c>
      <c r="E73" s="55" cm="1">
        <f t="array" aca="1" ref="E73" ca="1">_xll.VoseOutput("Line downtime","hours")+Down_Fil+Down_Cap+Down_Lab+Down_Pak</f>
        <v>130.86352183947858</v>
      </c>
      <c r="F73" s="28"/>
      <c r="G73" s="28"/>
      <c r="H73" s="28"/>
      <c r="I73" s="28"/>
      <c r="J73" s="28"/>
      <c r="K73" s="28"/>
      <c r="L73" s="28"/>
      <c r="M73" s="26" t="s">
        <v>197</v>
      </c>
    </row>
    <row r="74" spans="2:13" x14ac:dyDescent="0.45">
      <c r="B74" s="25" t="s">
        <v>198</v>
      </c>
      <c r="C74" s="28"/>
      <c r="D74" s="26" t="s">
        <v>115</v>
      </c>
      <c r="E74" s="55" cm="1">
        <f t="array" aca="1" ref="E74" ca="1">_xll.VoseOutput("Line downtime, standby capper","hours")+Down_Fil+Down_CapS+Down_Lab+Down_Pak</f>
        <v>73.524336697557942</v>
      </c>
      <c r="F74" s="28"/>
      <c r="G74" s="28"/>
      <c r="H74" s="28"/>
      <c r="I74" s="28"/>
      <c r="J74" s="28"/>
      <c r="K74" s="28"/>
      <c r="L74" s="28"/>
      <c r="M74" s="26"/>
    </row>
    <row r="75" spans="2:13" x14ac:dyDescent="0.45">
      <c r="B75" s="25" t="s">
        <v>67</v>
      </c>
      <c r="C75" s="28"/>
      <c r="D75" s="26"/>
      <c r="E75" s="56" cm="1">
        <f t="array" aca="1" ref="E75" ca="1">_xll.VoseOutput("Availability","%")+1-Out_Down/SchedHours</f>
        <v>0.97818941302675355</v>
      </c>
      <c r="F75" s="28"/>
      <c r="G75" s="28"/>
      <c r="H75" s="28"/>
      <c r="I75" s="28"/>
      <c r="J75" s="28"/>
      <c r="K75" s="28"/>
      <c r="L75" s="28"/>
      <c r="M75" s="26" t="s">
        <v>199</v>
      </c>
    </row>
    <row r="76" spans="2:13" x14ac:dyDescent="0.45">
      <c r="B76" s="25" t="s">
        <v>200</v>
      </c>
      <c r="C76" s="28"/>
      <c r="D76" s="26" t="s">
        <v>107</v>
      </c>
      <c r="E76" s="55" cm="1">
        <f t="array" aca="1" ref="E76" ca="1">_xll.VoseOutput("Contribution lost","US$ thousand")+Out_Down*CostHour</f>
        <v>157.03622620737428</v>
      </c>
      <c r="F76" s="28"/>
      <c r="G76" s="28"/>
      <c r="H76" s="28"/>
      <c r="I76" s="28"/>
      <c r="J76" s="28"/>
      <c r="K76" s="28"/>
      <c r="L76" s="28"/>
      <c r="M76" s="26" t="s">
        <v>201</v>
      </c>
    </row>
    <row r="77" spans="2:13" x14ac:dyDescent="0.45">
      <c r="B77" s="25" t="s">
        <v>202</v>
      </c>
      <c r="C77" s="28"/>
      <c r="D77" s="26" t="s">
        <v>107</v>
      </c>
      <c r="E77" s="55" cm="1">
        <f t="array" aca="1" ref="E77" ca="1">_xll.VoseOutput("Standby capper, net saving","US$ thousand")+(Out_Down-Out_DownS)*CostHour-StandbyCost</f>
        <v>38.807022170304762</v>
      </c>
      <c r="F77" s="28"/>
      <c r="G77" s="28"/>
      <c r="H77" s="28"/>
      <c r="I77" s="28"/>
      <c r="J77" s="28"/>
      <c r="K77" s="28"/>
      <c r="L77" s="28"/>
      <c r="M77" s="26" t="s">
        <v>203</v>
      </c>
    </row>
    <row r="78" spans="2:13" x14ac:dyDescent="0.45">
      <c r="B78" s="25" t="s">
        <v>204</v>
      </c>
      <c r="C78" s="28"/>
      <c r="D78" s="26" t="s">
        <v>115</v>
      </c>
      <c r="E78" s="55" cm="1">
        <f t="array" aca="1" ref="E78" ca="1">_xll.VoseOutput("Downtime, Filler","hours")+Down_Fil</f>
        <v>21.49469526647167</v>
      </c>
      <c r="F78" s="28"/>
      <c r="G78" s="28"/>
      <c r="H78" s="28"/>
      <c r="I78" s="28"/>
      <c r="J78" s="28"/>
      <c r="K78" s="28"/>
      <c r="L78" s="28"/>
      <c r="M78" s="26"/>
    </row>
    <row r="79" spans="2:13" x14ac:dyDescent="0.45">
      <c r="B79" s="25" t="s">
        <v>205</v>
      </c>
      <c r="C79" s="28"/>
      <c r="D79" s="26" t="s">
        <v>115</v>
      </c>
      <c r="E79" s="55" cm="1">
        <f t="array" aca="1" ref="E79" ca="1">_xll.VoseOutput("Downtime, Capper","hours")+Down_Cap</f>
        <v>62.26435138154406</v>
      </c>
      <c r="F79" s="28"/>
      <c r="G79" s="28"/>
      <c r="H79" s="28"/>
      <c r="I79" s="28"/>
      <c r="J79" s="28"/>
      <c r="K79" s="28"/>
      <c r="L79" s="28"/>
      <c r="M79" s="26"/>
    </row>
    <row r="80" spans="2:13" x14ac:dyDescent="0.45">
      <c r="B80" s="25" t="s">
        <v>206</v>
      </c>
      <c r="C80" s="28"/>
      <c r="D80" s="26" t="s">
        <v>115</v>
      </c>
      <c r="E80" s="55" cm="1">
        <f t="array" aca="1" ref="E80" ca="1">_xll.VoseOutput("Downtime, Labeller","hours")+Down_Lab</f>
        <v>17.540224889058734</v>
      </c>
      <c r="F80" s="28"/>
      <c r="G80" s="28"/>
      <c r="H80" s="28"/>
      <c r="I80" s="28"/>
      <c r="J80" s="28"/>
      <c r="K80" s="28"/>
      <c r="L80" s="28"/>
      <c r="M80" s="26"/>
    </row>
    <row r="81" spans="2:13" x14ac:dyDescent="0.45">
      <c r="B81" s="25" t="s">
        <v>207</v>
      </c>
      <c r="C81" s="28"/>
      <c r="D81" s="26" t="s">
        <v>115</v>
      </c>
      <c r="E81" s="55" cm="1">
        <f t="array" aca="1" ref="E81" ca="1">_xll.VoseOutput("Downtime, Case packer","hours")+Down_Pak</f>
        <v>29.564250302404126</v>
      </c>
      <c r="F81" s="28"/>
      <c r="G81" s="28"/>
      <c r="H81" s="28"/>
      <c r="I81" s="28"/>
      <c r="J81" s="28"/>
      <c r="K81" s="28"/>
      <c r="L81" s="28"/>
      <c r="M81" s="26"/>
    </row>
    <row r="82" spans="2:13" x14ac:dyDescent="0.45">
      <c r="B82" s="25" t="s">
        <v>208</v>
      </c>
      <c r="C82" s="28"/>
      <c r="D82" s="26" t="s">
        <v>209</v>
      </c>
      <c r="E82" s="57" cm="1">
        <f t="array" aca="1" ref="E82" ca="1">_xll.VoseOutput("Failures, Filler","failures")+Fails_Fil</f>
        <v>12</v>
      </c>
      <c r="F82" s="28"/>
      <c r="G82" s="28"/>
      <c r="H82" s="28"/>
      <c r="I82" s="28"/>
      <c r="J82" s="28"/>
      <c r="K82" s="28"/>
      <c r="L82" s="28"/>
      <c r="M82" s="26"/>
    </row>
    <row r="83" spans="2:13" x14ac:dyDescent="0.45">
      <c r="B83" s="25" t="s">
        <v>210</v>
      </c>
      <c r="C83" s="28"/>
      <c r="D83" s="26" t="s">
        <v>209</v>
      </c>
      <c r="E83" s="57" cm="1">
        <f t="array" aca="1" ref="E83" ca="1">_xll.VoseOutput("Failures, Capper","failures")+Fails_Cap</f>
        <v>20</v>
      </c>
      <c r="F83" s="28"/>
      <c r="G83" s="28"/>
      <c r="H83" s="28"/>
      <c r="I83" s="28"/>
      <c r="J83" s="28"/>
      <c r="K83" s="28"/>
      <c r="L83" s="28"/>
      <c r="M83" s="26"/>
    </row>
    <row r="84" spans="2:13" x14ac:dyDescent="0.45">
      <c r="B84" s="25" t="s">
        <v>211</v>
      </c>
      <c r="C84" s="28"/>
      <c r="D84" s="26" t="s">
        <v>209</v>
      </c>
      <c r="E84" s="57" cm="1">
        <f t="array" aca="1" ref="E84" ca="1">_xll.VoseOutput("Failures, Labeller","failures")+Fails_Lab</f>
        <v>20</v>
      </c>
      <c r="F84" s="28"/>
      <c r="G84" s="28"/>
      <c r="H84" s="28"/>
      <c r="I84" s="28"/>
      <c r="J84" s="28"/>
      <c r="K84" s="28"/>
      <c r="L84" s="28"/>
      <c r="M84" s="26"/>
    </row>
    <row r="85" spans="2:13" x14ac:dyDescent="0.45">
      <c r="B85" s="25" t="s">
        <v>212</v>
      </c>
      <c r="C85" s="28"/>
      <c r="D85" s="26" t="s">
        <v>209</v>
      </c>
      <c r="E85" s="57" cm="1">
        <f t="array" aca="1" ref="E85" ca="1">_xll.VoseOutput("Failures, Case packer","failures")+Fails_Pak</f>
        <v>7</v>
      </c>
      <c r="F85" s="28"/>
      <c r="G85" s="28"/>
      <c r="H85" s="28"/>
      <c r="I85" s="28"/>
      <c r="J85" s="28"/>
      <c r="K85" s="28"/>
      <c r="L85" s="28"/>
      <c r="M85" s="26"/>
    </row>
    <row r="86" spans="2:13" ht="8" customHeight="1" x14ac:dyDescent="0.45"/>
    <row r="87" spans="2:13" ht="22.05" customHeight="1" x14ac:dyDescent="0.5">
      <c r="B87" s="7" t="s">
        <v>213</v>
      </c>
      <c r="C87" s="8"/>
      <c r="D87" s="8"/>
      <c r="E87" s="8"/>
      <c r="F87" s="8"/>
      <c r="G87" s="8"/>
      <c r="H87" s="8"/>
      <c r="I87" s="8"/>
      <c r="J87" s="8"/>
      <c r="K87" s="8"/>
      <c r="L87" s="8"/>
      <c r="M87" s="8"/>
    </row>
    <row r="88" spans="2:13" ht="18" customHeight="1" x14ac:dyDescent="0.45">
      <c r="B88" s="13" t="s">
        <v>214</v>
      </c>
    </row>
    <row r="89" spans="2:13" x14ac:dyDescent="0.45">
      <c r="B89" s="25" t="s">
        <v>215</v>
      </c>
      <c r="C89" s="28"/>
      <c r="D89" s="28"/>
      <c r="E89" s="28"/>
      <c r="F89" s="58" t="str">
        <f ca="1">IF(MIN(Last_Fil,Last_Cap,Last_Lab,Last_Pak)&gt;SchedHours,"OK","CHECK")</f>
        <v>OK</v>
      </c>
      <c r="G89" s="28"/>
      <c r="H89" s="28"/>
      <c r="I89" s="28"/>
      <c r="J89" s="28"/>
      <c r="K89" s="28"/>
      <c r="L89" s="28"/>
      <c r="M89" s="28"/>
    </row>
    <row r="90" spans="2:13" x14ac:dyDescent="0.45">
      <c r="B90" s="25" t="s">
        <v>216</v>
      </c>
      <c r="C90" s="28"/>
      <c r="D90" s="28"/>
      <c r="E90" s="28"/>
      <c r="F90" s="58" t="str">
        <f>IF(FitShape&gt;1,"OK","CHECK")</f>
        <v>OK</v>
      </c>
      <c r="G90" s="28"/>
      <c r="H90" s="28"/>
      <c r="I90" s="28"/>
      <c r="J90" s="28"/>
      <c r="K90" s="28"/>
      <c r="L90" s="28"/>
      <c r="M90" s="28"/>
    </row>
    <row r="91" spans="2:13" ht="14" customHeight="1" x14ac:dyDescent="0.45"/>
  </sheetData>
  <conditionalFormatting sqref="C27:D66">
    <cfRule type="expression" dxfId="8" priority="1">
      <formula>$C27&gt;SchedHours</formula>
    </cfRule>
  </conditionalFormatting>
  <conditionalFormatting sqref="E27:G66">
    <cfRule type="expression" dxfId="7" priority="2">
      <formula>$E27&gt;SchedHours</formula>
    </cfRule>
  </conditionalFormatting>
  <conditionalFormatting sqref="F89:F90">
    <cfRule type="expression" dxfId="6" priority="6">
      <formula>F89="CHECK"</formula>
    </cfRule>
  </conditionalFormatting>
  <conditionalFormatting sqref="H27:I66">
    <cfRule type="expression" dxfId="5" priority="3">
      <formula>$H27&gt;SchedHours</formula>
    </cfRule>
  </conditionalFormatting>
  <conditionalFormatting sqref="J27:K66">
    <cfRule type="expression" dxfId="4" priority="4">
      <formula>$J27&gt;SchedHours</formula>
    </cfRule>
  </conditionalFormatting>
  <hyperlinks>
    <hyperlink ref="B4" location="'Data'!A1" display="◂  Data" xr:uid="{00000000-0004-0000-0300-000000000000}"/>
    <hyperlink ref="M4" location="'Results'!A1" display="Next:  Results  ▸" xr:uid="{00000000-0004-0000-0300-000001000000}"/>
  </hyperlinks>
  <printOptions horizontalCentered="1"/>
  <pageMargins left="0.4" right="0.4" top="0.5" bottom="0.6" header="0.25" footer="0.25"/>
  <pageSetup paperSize="9" scale="71" fitToHeight="0" orientation="landscape" r:id="rId1"/>
  <headerFooter>
    <oddFooter>&amp;L&amp;K3F5876&amp;8&amp;F · &amp;A&amp;R&amp;K3F5876&amp;8Page &amp;P of &amp;N</oddFooter>
  </headerFooter>
  <rowBreaks count="2" manualBreakCount="2">
    <brk id="22" max="16383" man="1"/>
    <brk id="69"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15803D"/>
    <outlinePr summaryBelow="0"/>
    <pageSetUpPr fitToPage="1"/>
  </sheetPr>
  <dimension ref="A1:R232"/>
  <sheetViews>
    <sheetView showGridLines="0" workbookViewId="0">
      <pane ySplit="5" topLeftCell="A6" activePane="bottomLeft" state="frozen"/>
      <selection pane="bottomLeft"/>
    </sheetView>
  </sheetViews>
  <sheetFormatPr defaultRowHeight="14.25" outlineLevelRow="1" x14ac:dyDescent="0.45"/>
  <cols>
    <col min="1" max="1" width="2" customWidth="1"/>
    <col min="2" max="2" width="44" customWidth="1"/>
    <col min="3" max="3" width="10" customWidth="1"/>
    <col min="4" max="7" width="11" customWidth="1"/>
    <col min="8" max="8" width="3" customWidth="1"/>
    <col min="9" max="18" width="8.59765625" customWidth="1"/>
    <col min="20" max="20" width="9.06640625" customWidth="1"/>
  </cols>
  <sheetData>
    <row r="1" spans="1:18" ht="6" customHeight="1" x14ac:dyDescent="0.45"/>
    <row r="2" spans="1:18" ht="30" customHeight="1" x14ac:dyDescent="0.45">
      <c r="A2" s="1"/>
      <c r="B2" s="21" t="s">
        <v>0</v>
      </c>
      <c r="C2" s="1"/>
      <c r="D2" s="1"/>
      <c r="E2" s="1"/>
      <c r="F2" s="1"/>
      <c r="G2" s="1"/>
      <c r="H2" s="1"/>
      <c r="I2" s="1"/>
      <c r="J2" s="1"/>
      <c r="K2" s="1"/>
      <c r="L2" s="1"/>
      <c r="M2" s="1"/>
      <c r="N2" s="1"/>
      <c r="O2" s="1"/>
      <c r="P2" s="1"/>
      <c r="Q2" s="1"/>
      <c r="R2" s="3" t="s">
        <v>1</v>
      </c>
    </row>
    <row r="3" spans="1:18" ht="20" customHeight="1" x14ac:dyDescent="0.45">
      <c r="A3" s="1"/>
      <c r="B3" s="4" t="s">
        <v>217</v>
      </c>
      <c r="C3" s="1"/>
      <c r="D3" s="1"/>
      <c r="E3" s="1"/>
      <c r="F3" s="1"/>
      <c r="G3" s="1"/>
      <c r="H3" s="1"/>
      <c r="I3" s="1"/>
      <c r="J3" s="1"/>
      <c r="K3" s="1"/>
      <c r="L3" s="1"/>
      <c r="M3" s="1"/>
      <c r="N3" s="1"/>
      <c r="O3" s="1"/>
      <c r="P3" s="1"/>
      <c r="Q3" s="1"/>
      <c r="R3" s="1"/>
    </row>
    <row r="4" spans="1:18" ht="20" customHeight="1" x14ac:dyDescent="0.45">
      <c r="A4" s="5"/>
      <c r="B4" s="22" t="s">
        <v>218</v>
      </c>
      <c r="C4" s="5"/>
      <c r="D4" s="5"/>
      <c r="E4" s="5"/>
      <c r="F4" s="5"/>
      <c r="G4" s="5"/>
      <c r="H4" s="5"/>
      <c r="I4" s="5"/>
      <c r="J4" s="5"/>
      <c r="K4" s="5"/>
      <c r="L4" s="5"/>
      <c r="M4" s="5"/>
      <c r="N4" s="5"/>
      <c r="O4" s="5"/>
      <c r="P4" s="5"/>
      <c r="Q4" s="5"/>
      <c r="R4" s="5"/>
    </row>
    <row r="5" spans="1:18" ht="8" customHeight="1" x14ac:dyDescent="0.45"/>
    <row r="6" spans="1:18" ht="26" customHeight="1" x14ac:dyDescent="0.45">
      <c r="B6" s="59" t="str" cm="1">
        <f t="array" aca="1" ref="B6" ca="1">IF(ISNUMBER(_xll.VoseSimMean(Out_Down)),"✔  Showing results of the last simulation run in this Excel session. Re-run the simulation after changing any input.","▶  No simulation results yet. On the ModelRisk ribbon, start a simulation — this sheet then fills in automatically.")</f>
        <v>✔  Showing results of the last simulation run in this Excel session. Re-run the simulation after changing any input.</v>
      </c>
      <c r="C6" s="60"/>
      <c r="D6" s="60"/>
      <c r="E6" s="60"/>
      <c r="F6" s="60"/>
      <c r="G6" s="60"/>
    </row>
    <row r="7" spans="1:18" x14ac:dyDescent="0.45">
      <c r="B7" s="52" t="str">
        <f ca="1">IF(COUNTIF(Checks,"CHECK")=0,"✔  All model checks read OK.","✗  "&amp;COUNTIF(Checks,"CHECK")&amp;" model check(s) read CHECK: see Model checks at the end of the calculation sheet.")</f>
        <v>✔  All model checks read OK.</v>
      </c>
    </row>
    <row r="8" spans="1:18" ht="8" customHeight="1" x14ac:dyDescent="0.45"/>
    <row r="9" spans="1:18" ht="22.05" customHeight="1" x14ac:dyDescent="0.5">
      <c r="B9" s="7" t="s">
        <v>219</v>
      </c>
      <c r="C9" s="8"/>
      <c r="D9" s="8"/>
      <c r="E9" s="8"/>
      <c r="F9" s="8"/>
      <c r="G9" s="8"/>
      <c r="I9" s="61" t="s">
        <v>220</v>
      </c>
      <c r="J9" s="8"/>
      <c r="K9" s="8"/>
      <c r="L9" s="8"/>
      <c r="M9" s="8"/>
      <c r="N9" s="8"/>
      <c r="O9" s="8"/>
      <c r="P9" s="8"/>
      <c r="Q9" s="8"/>
      <c r="R9" s="8"/>
    </row>
    <row r="10" spans="1:18" ht="18" customHeight="1" x14ac:dyDescent="0.45">
      <c r="B10" s="13" t="s">
        <v>221</v>
      </c>
    </row>
    <row r="11" spans="1:18" ht="18" customHeight="1" x14ac:dyDescent="0.45">
      <c r="B11" s="23" t="s">
        <v>222</v>
      </c>
      <c r="C11" s="23" t="s">
        <v>98</v>
      </c>
      <c r="D11" s="24" t="s">
        <v>223</v>
      </c>
      <c r="E11" s="24" t="s">
        <v>224</v>
      </c>
      <c r="F11" s="24" t="s">
        <v>225</v>
      </c>
      <c r="G11" s="24" t="s">
        <v>226</v>
      </c>
    </row>
    <row r="12" spans="1:18" x14ac:dyDescent="0.45">
      <c r="B12" s="25" t="s">
        <v>196</v>
      </c>
      <c r="C12" s="26" t="s">
        <v>115</v>
      </c>
      <c r="D12" s="62" cm="1">
        <f t="array" aca="1" ref="D12" ca="1">_xll.VoseSimPercentile(Out_Down,0.05)</f>
        <v>75.831539086545291</v>
      </c>
      <c r="E12" s="62" cm="1">
        <f t="array" aca="1" ref="E12" ca="1">_xll.VoseSimPercentile(Out_Down,0.5)</f>
        <v>102.30295227887414</v>
      </c>
      <c r="F12" s="62" cm="1">
        <f t="array" aca="1" ref="F12" ca="1">_xll.VoseSimPercentile(Out_Down,0.95)</f>
        <v>136.44236418480762</v>
      </c>
      <c r="G12" s="62" cm="1">
        <f t="array" aca="1" ref="G12" ca="1">_xll.VoseSimMean(Out_Down)</f>
        <v>103.70880882101507</v>
      </c>
    </row>
    <row r="13" spans="1:18" x14ac:dyDescent="0.45">
      <c r="B13" s="25" t="s">
        <v>200</v>
      </c>
      <c r="C13" s="26" t="s">
        <v>227</v>
      </c>
      <c r="D13" s="62" cm="1">
        <f t="array" aca="1" ref="D13" ca="1">_xll.VoseSimPercentile(Out_Lost,0.05)</f>
        <v>90.997846903854352</v>
      </c>
      <c r="E13" s="62" cm="1">
        <f t="array" aca="1" ref="E13" ca="1">_xll.VoseSimPercentile(Out_Lost,0.5)</f>
        <v>122.76354273464896</v>
      </c>
      <c r="F13" s="62" cm="1">
        <f t="array" aca="1" ref="F13" ca="1">_xll.VoseSimPercentile(Out_Lost,0.95)</f>
        <v>163.73083702176913</v>
      </c>
      <c r="G13" s="62" cm="1">
        <f t="array" aca="1" ref="G13" ca="1">_xll.VoseSimMean(Out_Lost)</f>
        <v>124.45057058521783</v>
      </c>
    </row>
    <row r="14" spans="1:18" ht="18" customHeight="1" x14ac:dyDescent="0.45">
      <c r="B14" s="23" t="s">
        <v>222</v>
      </c>
      <c r="C14" s="23" t="s">
        <v>98</v>
      </c>
      <c r="D14" s="24" t="s">
        <v>157</v>
      </c>
      <c r="E14" s="5"/>
      <c r="F14" s="5"/>
      <c r="G14" s="5"/>
    </row>
    <row r="15" spans="1:18" x14ac:dyDescent="0.45">
      <c r="B15" s="63" t="s">
        <v>228</v>
      </c>
      <c r="C15" s="26"/>
      <c r="D15" s="64" cm="1">
        <f t="array" aca="1" ref="D15" ca="1">_xll.VoseSimMean(Out_Avail)</f>
        <v>0.98271519852983069</v>
      </c>
      <c r="E15" s="28"/>
      <c r="F15" s="28"/>
      <c r="G15" s="28"/>
    </row>
    <row r="16" spans="1:18" x14ac:dyDescent="0.45">
      <c r="B16" s="25" t="s">
        <v>229</v>
      </c>
      <c r="C16" s="26"/>
      <c r="D16" s="64" cm="1">
        <f t="array" aca="1" ref="D16" ca="1">_xll.VoseSimPercentile(Out_Avail,0.05)</f>
        <v>0.97725439181943374</v>
      </c>
      <c r="E16" s="28"/>
      <c r="F16" s="28"/>
      <c r="G16" s="28"/>
    </row>
    <row r="17" spans="2:18" ht="8" customHeight="1" x14ac:dyDescent="0.45"/>
    <row r="18" spans="2:18" ht="22.05" customHeight="1" x14ac:dyDescent="0.5">
      <c r="B18" s="7" t="s">
        <v>230</v>
      </c>
      <c r="C18" s="8"/>
      <c r="D18" s="8"/>
      <c r="E18" s="8"/>
      <c r="F18" s="8"/>
      <c r="G18" s="8"/>
    </row>
    <row r="19" spans="2:18" ht="18" customHeight="1" x14ac:dyDescent="0.45">
      <c r="B19" s="13" t="s">
        <v>231</v>
      </c>
    </row>
    <row r="20" spans="2:18" ht="18" customHeight="1" x14ac:dyDescent="0.45">
      <c r="B20" s="65" t="s">
        <v>167</v>
      </c>
      <c r="C20" s="66" t="s">
        <v>170</v>
      </c>
      <c r="D20" s="66" t="s">
        <v>45</v>
      </c>
      <c r="E20" s="66" t="s">
        <v>172</v>
      </c>
      <c r="F20" s="66" t="s">
        <v>232</v>
      </c>
      <c r="G20" s="66" t="s">
        <v>171</v>
      </c>
    </row>
    <row r="21" spans="2:18" x14ac:dyDescent="0.45">
      <c r="B21" s="46"/>
      <c r="C21" s="46" t="s">
        <v>115</v>
      </c>
      <c r="D21" s="46" t="s">
        <v>173</v>
      </c>
      <c r="E21" s="46" t="s">
        <v>103</v>
      </c>
      <c r="F21" s="46" t="s">
        <v>233</v>
      </c>
      <c r="G21" s="46" t="s">
        <v>234</v>
      </c>
    </row>
    <row r="22" spans="2:18" x14ac:dyDescent="0.45">
      <c r="B22" s="25" t="s">
        <v>174</v>
      </c>
      <c r="C22" s="32">
        <f>MTBF_Fil</f>
        <v>401.25106856500798</v>
      </c>
      <c r="D22" s="62" cm="1">
        <f t="array" aca="1" ref="D22" ca="1">_xll.VoseSimMean(Out_Fails_Fil)</f>
        <v>14.8018</v>
      </c>
      <c r="E22" s="62" cm="1">
        <f t="array" aca="1" ref="E22" ca="1">_xll.VoseSimMean(Out_Down_Fil)</f>
        <v>22.136548865884407</v>
      </c>
      <c r="F22" s="67">
        <f ca="1">IFERROR(E22/SUM($E$22:$E$25),"–")</f>
        <v>0.21344907069647825</v>
      </c>
      <c r="G22" s="41">
        <f>RepM_Fil</f>
        <v>1.5</v>
      </c>
    </row>
    <row r="23" spans="2:18" x14ac:dyDescent="0.45">
      <c r="B23" s="63" t="s">
        <v>176</v>
      </c>
      <c r="C23" s="32">
        <f>MTBF_Cap</f>
        <v>277.07301646679343</v>
      </c>
      <c r="D23" s="62" cm="1">
        <f t="array" aca="1" ref="D23" ca="1">_xll.VoseSimMean(Out_Fails_Cap)</f>
        <v>21.467500000000001</v>
      </c>
      <c r="E23" s="62" cm="1">
        <f t="array" aca="1" ref="E23" ca="1">_xll.VoseSimMean(Out_Down_Cap)</f>
        <v>42.895830998629364</v>
      </c>
      <c r="F23" s="67">
        <f ca="1">IFERROR(E23/SUM($E$22:$E$25),"–")</f>
        <v>0.41361800879094779</v>
      </c>
      <c r="G23" s="41">
        <f>RepM_Cap</f>
        <v>2</v>
      </c>
    </row>
    <row r="24" spans="2:18" x14ac:dyDescent="0.45">
      <c r="B24" s="25" t="s">
        <v>178</v>
      </c>
      <c r="C24" s="32">
        <f>MTBF_Lab</f>
        <v>482.45624450552577</v>
      </c>
      <c r="D24" s="62" cm="1">
        <f t="array" aca="1" ref="D24" ca="1">_xll.VoseSimMean(Out_Fails_Lab)</f>
        <v>12.4153</v>
      </c>
      <c r="E24" s="62" cm="1">
        <f t="array" aca="1" ref="E24" ca="1">_xll.VoseSimMean(Out_Down_Lab)</f>
        <v>9.9675405121848382</v>
      </c>
      <c r="F24" s="67">
        <f ca="1">IFERROR(E24/SUM($E$22:$E$25),"–")</f>
        <v>9.6110837888295705E-2</v>
      </c>
      <c r="G24" s="41">
        <f>RepM_Lab</f>
        <v>0.8</v>
      </c>
    </row>
    <row r="25" spans="2:18" x14ac:dyDescent="0.45">
      <c r="B25" s="25" t="s">
        <v>179</v>
      </c>
      <c r="C25" s="32">
        <f>MTBF_Pak</f>
        <v>800.35805920699158</v>
      </c>
      <c r="D25" s="62" cm="1">
        <f t="array" aca="1" ref="D25" ca="1">_xll.VoseSimMean(Out_Fails_Pak)</f>
        <v>7.1460999999999997</v>
      </c>
      <c r="E25" s="62" cm="1">
        <f t="array" aca="1" ref="E25" ca="1">_xll.VoseSimMean(Out_Down_Pak)</f>
        <v>28.708888444316532</v>
      </c>
      <c r="F25" s="67">
        <f ca="1">IFERROR(E25/SUM($E$22:$E$25),"–")</f>
        <v>0.27682208262427827</v>
      </c>
      <c r="G25" s="41">
        <f>RepM_Pak</f>
        <v>4</v>
      </c>
    </row>
    <row r="26" spans="2:18" ht="8" customHeight="1" x14ac:dyDescent="0.45"/>
    <row r="27" spans="2:18" ht="22.05" customHeight="1" x14ac:dyDescent="0.5">
      <c r="B27" s="7" t="s">
        <v>235</v>
      </c>
      <c r="C27" s="8"/>
      <c r="D27" s="8"/>
      <c r="E27" s="8"/>
      <c r="F27" s="8"/>
      <c r="G27" s="8"/>
      <c r="I27" s="61" t="s">
        <v>236</v>
      </c>
      <c r="J27" s="8"/>
      <c r="K27" s="8"/>
      <c r="L27" s="8"/>
      <c r="M27" s="8"/>
      <c r="N27" s="8"/>
      <c r="O27" s="8"/>
      <c r="P27" s="8"/>
      <c r="Q27" s="8"/>
      <c r="R27" s="8"/>
    </row>
    <row r="28" spans="2:18" ht="18" customHeight="1" x14ac:dyDescent="0.45">
      <c r="B28" s="13" t="s">
        <v>237</v>
      </c>
    </row>
    <row r="29" spans="2:18" ht="18" customHeight="1" x14ac:dyDescent="0.45">
      <c r="B29" s="23" t="s">
        <v>222</v>
      </c>
      <c r="C29" s="23" t="s">
        <v>98</v>
      </c>
      <c r="D29" s="24" t="s">
        <v>157</v>
      </c>
      <c r="E29" s="5"/>
      <c r="F29" s="5"/>
      <c r="G29" s="5"/>
    </row>
    <row r="30" spans="2:18" x14ac:dyDescent="0.45">
      <c r="B30" s="25" t="s">
        <v>238</v>
      </c>
      <c r="C30" s="26" t="s">
        <v>115</v>
      </c>
      <c r="D30" s="62" cm="1">
        <f t="array" aca="1" ref="D30" ca="1">_xll.VoseSimMean(Out_Down)</f>
        <v>103.70880882101507</v>
      </c>
      <c r="E30" s="28"/>
      <c r="F30" s="28"/>
      <c r="G30" s="28"/>
    </row>
    <row r="31" spans="2:18" x14ac:dyDescent="0.45">
      <c r="B31" s="25" t="s">
        <v>239</v>
      </c>
      <c r="C31" s="26" t="s">
        <v>115</v>
      </c>
      <c r="D31" s="62" cm="1">
        <f t="array" aca="1" ref="D31" ca="1">_xll.VoseSimMean(Out_DownS)</f>
        <v>66.101971472572345</v>
      </c>
      <c r="E31" s="28"/>
      <c r="F31" s="28"/>
      <c r="G31" s="28"/>
    </row>
    <row r="32" spans="2:18" x14ac:dyDescent="0.45">
      <c r="B32" s="25" t="s">
        <v>240</v>
      </c>
      <c r="C32" s="26" t="s">
        <v>115</v>
      </c>
      <c r="D32" s="62">
        <f ca="1">IFERROR(D30-D31,"–")</f>
        <v>37.606837348442724</v>
      </c>
      <c r="E32" s="28"/>
      <c r="F32" s="28"/>
      <c r="G32" s="28"/>
    </row>
    <row r="33" spans="2:7" x14ac:dyDescent="0.45">
      <c r="B33" s="63" t="s">
        <v>241</v>
      </c>
      <c r="C33" s="26" t="s">
        <v>227</v>
      </c>
      <c r="D33" s="62" cm="1">
        <f t="array" aca="1" ref="D33" ca="1">_xll.VoseSimMean(Out_Net)</f>
        <v>15.128204818131286</v>
      </c>
      <c r="E33" s="28"/>
      <c r="F33" s="28"/>
      <c r="G33" s="28"/>
    </row>
    <row r="34" spans="2:7" x14ac:dyDescent="0.45">
      <c r="B34" s="25" t="s">
        <v>242</v>
      </c>
      <c r="C34" s="26" t="s">
        <v>227</v>
      </c>
      <c r="D34" s="62" cm="1">
        <f t="array" aca="1" ref="D34" ca="1">_xll.VoseSimPercentile(Out_Net,0.05)</f>
        <v>-6.2559818319791134</v>
      </c>
      <c r="E34" s="28"/>
      <c r="F34" s="28"/>
      <c r="G34" s="28"/>
    </row>
    <row r="35" spans="2:7" x14ac:dyDescent="0.45">
      <c r="B35" s="25" t="s">
        <v>243</v>
      </c>
      <c r="C35" s="26"/>
      <c r="D35" s="68" cm="1">
        <f t="array" aca="1" ref="D35" ca="1">IFERROR(1-_xll.VoseSimProbability(Out_Net,0),"–")</f>
        <v>0.83781621837816223</v>
      </c>
      <c r="E35" s="28"/>
      <c r="F35" s="28"/>
      <c r="G35" s="28"/>
    </row>
    <row r="36" spans="2:7" ht="8" customHeight="1" x14ac:dyDescent="0.45"/>
    <row r="43" spans="2:7" ht="22.05" customHeight="1" x14ac:dyDescent="0.5">
      <c r="B43" s="7" t="s">
        <v>244</v>
      </c>
      <c r="C43" s="8"/>
      <c r="D43" s="8"/>
      <c r="E43" s="8"/>
      <c r="F43" s="8"/>
      <c r="G43" s="8"/>
    </row>
    <row r="44" spans="2:7" ht="32" customHeight="1" x14ac:dyDescent="0.45">
      <c r="B44" s="76" t="s">
        <v>245</v>
      </c>
      <c r="C44" s="75"/>
      <c r="D44" s="75"/>
      <c r="E44" s="75"/>
      <c r="F44" s="75"/>
      <c r="G44" s="75"/>
    </row>
    <row r="45" spans="2:7" ht="32" customHeight="1" x14ac:dyDescent="0.45">
      <c r="B45" s="76" t="s">
        <v>246</v>
      </c>
      <c r="C45" s="75"/>
      <c r="D45" s="75"/>
      <c r="E45" s="75"/>
      <c r="F45" s="75"/>
      <c r="G45" s="75"/>
    </row>
    <row r="46" spans="2:7" ht="32" customHeight="1" x14ac:dyDescent="0.45">
      <c r="B46" s="76" t="s">
        <v>247</v>
      </c>
      <c r="C46" s="75"/>
      <c r="D46" s="75"/>
      <c r="E46" s="75"/>
      <c r="F46" s="75"/>
      <c r="G46" s="75"/>
    </row>
    <row r="47" spans="2:7" ht="45" customHeight="1" x14ac:dyDescent="0.45">
      <c r="B47" s="76" t="s">
        <v>248</v>
      </c>
      <c r="C47" s="75"/>
      <c r="D47" s="75"/>
      <c r="E47" s="75"/>
      <c r="F47" s="75"/>
      <c r="G47" s="75"/>
    </row>
    <row r="48" spans="2:7" ht="14" customHeight="1" x14ac:dyDescent="0.45"/>
    <row r="49" spans="2:7" ht="14" customHeight="1" x14ac:dyDescent="0.45"/>
    <row r="50" spans="2:7" ht="22.05" customHeight="1" x14ac:dyDescent="0.5">
      <c r="B50" s="7" t="s">
        <v>249</v>
      </c>
      <c r="C50" s="8"/>
      <c r="D50" s="8"/>
      <c r="E50" s="8"/>
      <c r="F50" s="8"/>
      <c r="G50" s="8"/>
    </row>
    <row r="51" spans="2:7" ht="18" customHeight="1" x14ac:dyDescent="0.45">
      <c r="B51" s="13" t="s">
        <v>250</v>
      </c>
    </row>
    <row r="52" spans="2:7" ht="28.05" hidden="1" customHeight="1" outlineLevel="1" x14ac:dyDescent="0.45">
      <c r="B52" s="24" t="s">
        <v>251</v>
      </c>
      <c r="C52" s="24" t="s">
        <v>252</v>
      </c>
      <c r="D52" s="24" t="s">
        <v>253</v>
      </c>
      <c r="E52" s="24" t="s">
        <v>254</v>
      </c>
      <c r="F52" s="5"/>
      <c r="G52" s="5"/>
    </row>
    <row r="53" spans="2:7" hidden="1" outlineLevel="1" x14ac:dyDescent="0.45">
      <c r="B53" s="69">
        <v>0.01</v>
      </c>
      <c r="C53" s="69">
        <f t="shared" ref="C53:C84" si="0">1-B53</f>
        <v>0.99</v>
      </c>
      <c r="D53" s="70" cm="1">
        <f t="array" aca="1" ref="D53" ca="1">IF(ISNUMBER(_xll.VoseSimPercentile(Out_Down,$B53)),_xll.VoseSimPercentile(Out_Down,$B53),NA())</f>
        <v>66.801031842330815</v>
      </c>
      <c r="E53" s="70" cm="1">
        <f t="array" aca="1" ref="E53" ca="1">IF(ISNUMBER(_xll.VoseSimPercentile(Out_DownS,$B53)),_xll.VoseSimPercentile(Out_DownS,$B53),NA())</f>
        <v>41.188328053760145</v>
      </c>
    </row>
    <row r="54" spans="2:7" hidden="1" outlineLevel="1" x14ac:dyDescent="0.45">
      <c r="B54" s="69">
        <v>0.03</v>
      </c>
      <c r="C54" s="69">
        <f t="shared" si="0"/>
        <v>0.97</v>
      </c>
      <c r="D54" s="70" cm="1">
        <f t="array" aca="1" ref="D54" ca="1">IF(ISNUMBER(_xll.VoseSimPercentile(Out_Down,$B54)),_xll.VoseSimPercentile(Out_Down,$B54),NA())</f>
        <v>72.26034072636817</v>
      </c>
      <c r="E54" s="70" cm="1">
        <f t="array" aca="1" ref="E54" ca="1">IF(ISNUMBER(_xll.VoseSimPercentile(Out_DownS,$B54)),_xll.VoseSimPercentile(Out_DownS,$B54),NA())</f>
        <v>45.592605312164238</v>
      </c>
    </row>
    <row r="55" spans="2:7" hidden="1" outlineLevel="1" x14ac:dyDescent="0.45">
      <c r="B55" s="69">
        <v>0.05</v>
      </c>
      <c r="C55" s="69">
        <f t="shared" si="0"/>
        <v>0.95</v>
      </c>
      <c r="D55" s="70" cm="1">
        <f t="array" aca="1" ref="D55" ca="1">IF(ISNUMBER(_xll.VoseSimPercentile(Out_Down,$B55)),_xll.VoseSimPercentile(Out_Down,$B55),NA())</f>
        <v>75.831539086545291</v>
      </c>
      <c r="E55" s="70" cm="1">
        <f t="array" aca="1" ref="E55" ca="1">IF(ISNUMBER(_xll.VoseSimPercentile(Out_DownS,$B55)),_xll.VoseSimPercentile(Out_DownS,$B55),NA())</f>
        <v>47.588918887379336</v>
      </c>
    </row>
    <row r="56" spans="2:7" hidden="1" outlineLevel="1" x14ac:dyDescent="0.45">
      <c r="B56" s="69">
        <v>7.0000000000000007E-2</v>
      </c>
      <c r="C56" s="69">
        <f t="shared" si="0"/>
        <v>0.92999999999999994</v>
      </c>
      <c r="D56" s="70" cm="1">
        <f t="array" aca="1" ref="D56" ca="1">IF(ISNUMBER(_xll.VoseSimPercentile(Out_Down,$B56)),_xll.VoseSimPercentile(Out_Down,$B56),NA())</f>
        <v>78.281691630350565</v>
      </c>
      <c r="E56" s="70" cm="1">
        <f t="array" aca="1" ref="E56" ca="1">IF(ISNUMBER(_xll.VoseSimPercentile(Out_DownS,$B56)),_xll.VoseSimPercentile(Out_DownS,$B56),NA())</f>
        <v>49.095204288703449</v>
      </c>
    </row>
    <row r="57" spans="2:7" hidden="1" outlineLevel="1" x14ac:dyDescent="0.45">
      <c r="B57" s="69">
        <v>0.09</v>
      </c>
      <c r="C57" s="69">
        <f t="shared" si="0"/>
        <v>0.91</v>
      </c>
      <c r="D57" s="70" cm="1">
        <f t="array" aca="1" ref="D57" ca="1">IF(ISNUMBER(_xll.VoseSimPercentile(Out_Down,$B57)),_xll.VoseSimPercentile(Out_Down,$B57),NA())</f>
        <v>80.351072553345531</v>
      </c>
      <c r="E57" s="70" cm="1">
        <f t="array" aca="1" ref="E57" ca="1">IF(ISNUMBER(_xll.VoseSimPercentile(Out_DownS,$B57)),_xll.VoseSimPercentile(Out_DownS,$B57),NA())</f>
        <v>50.445881918404567</v>
      </c>
    </row>
    <row r="58" spans="2:7" hidden="1" outlineLevel="1" x14ac:dyDescent="0.45">
      <c r="B58" s="69">
        <v>0.11</v>
      </c>
      <c r="C58" s="69">
        <f t="shared" si="0"/>
        <v>0.89</v>
      </c>
      <c r="D58" s="70" cm="1">
        <f t="array" aca="1" ref="D58" ca="1">IF(ISNUMBER(_xll.VoseSimPercentile(Out_Down,$B58)),_xll.VoseSimPercentile(Out_Down,$B58),NA())</f>
        <v>82.059463411235754</v>
      </c>
      <c r="E58" s="70" cm="1">
        <f t="array" aca="1" ref="E58" ca="1">IF(ISNUMBER(_xll.VoseSimPercentile(Out_DownS,$B58)),_xll.VoseSimPercentile(Out_DownS,$B58),NA())</f>
        <v>51.544136760738148</v>
      </c>
    </row>
    <row r="59" spans="2:7" hidden="1" outlineLevel="1" x14ac:dyDescent="0.45">
      <c r="B59" s="69">
        <v>0.13</v>
      </c>
      <c r="C59" s="69">
        <f t="shared" si="0"/>
        <v>0.87</v>
      </c>
      <c r="D59" s="70" cm="1">
        <f t="array" aca="1" ref="D59" ca="1">IF(ISNUMBER(_xll.VoseSimPercentile(Out_Down,$B59)),_xll.VoseSimPercentile(Out_Down,$B59),NA())</f>
        <v>83.389823971541588</v>
      </c>
      <c r="E59" s="70" cm="1">
        <f t="array" aca="1" ref="E59" ca="1">IF(ISNUMBER(_xll.VoseSimPercentile(Out_DownS,$B59)),_xll.VoseSimPercentile(Out_DownS,$B59),NA())</f>
        <v>52.483468257967097</v>
      </c>
    </row>
    <row r="60" spans="2:7" hidden="1" outlineLevel="1" x14ac:dyDescent="0.45">
      <c r="B60" s="69">
        <v>0.15</v>
      </c>
      <c r="C60" s="69">
        <f t="shared" si="0"/>
        <v>0.85</v>
      </c>
      <c r="D60" s="70" cm="1">
        <f t="array" aca="1" ref="D60" ca="1">IF(ISNUMBER(_xll.VoseSimPercentile(Out_Down,$B60)),_xll.VoseSimPercentile(Out_Down,$B60),NA())</f>
        <v>84.689071229578389</v>
      </c>
      <c r="E60" s="70" cm="1">
        <f t="array" aca="1" ref="E60" ca="1">IF(ISNUMBER(_xll.VoseSimPercentile(Out_DownS,$B60)),_xll.VoseSimPercentile(Out_DownS,$B60),NA())</f>
        <v>53.255986401452361</v>
      </c>
    </row>
    <row r="61" spans="2:7" hidden="1" outlineLevel="1" x14ac:dyDescent="0.45">
      <c r="B61" s="69">
        <v>0.17</v>
      </c>
      <c r="C61" s="69">
        <f t="shared" si="0"/>
        <v>0.83</v>
      </c>
      <c r="D61" s="70" cm="1">
        <f t="array" aca="1" ref="D61" ca="1">IF(ISNUMBER(_xll.VoseSimPercentile(Out_Down,$B61)),_xll.VoseSimPercentile(Out_Down,$B61),NA())</f>
        <v>85.825709372993018</v>
      </c>
      <c r="E61" s="70" cm="1">
        <f t="array" aca="1" ref="E61" ca="1">IF(ISNUMBER(_xll.VoseSimPercentile(Out_DownS,$B61)),_xll.VoseSimPercentile(Out_DownS,$B61),NA())</f>
        <v>54.102928408620699</v>
      </c>
    </row>
    <row r="62" spans="2:7" hidden="1" outlineLevel="1" x14ac:dyDescent="0.45">
      <c r="B62" s="69">
        <v>0.19</v>
      </c>
      <c r="C62" s="69">
        <f t="shared" si="0"/>
        <v>0.81</v>
      </c>
      <c r="D62" s="70" cm="1">
        <f t="array" aca="1" ref="D62" ca="1">IF(ISNUMBER(_xll.VoseSimPercentile(Out_Down,$B62)),_xll.VoseSimPercentile(Out_Down,$B62),NA())</f>
        <v>87.17234489057725</v>
      </c>
      <c r="E62" s="70" cm="1">
        <f t="array" aca="1" ref="E62" ca="1">IF(ISNUMBER(_xll.VoseSimPercentile(Out_DownS,$B62)),_xll.VoseSimPercentile(Out_DownS,$B62),NA())</f>
        <v>54.913225982165713</v>
      </c>
    </row>
    <row r="63" spans="2:7" hidden="1" outlineLevel="1" x14ac:dyDescent="0.45">
      <c r="B63" s="69">
        <v>0.21</v>
      </c>
      <c r="C63" s="69">
        <f t="shared" si="0"/>
        <v>0.79</v>
      </c>
      <c r="D63" s="70" cm="1">
        <f t="array" aca="1" ref="D63" ca="1">IF(ISNUMBER(_xll.VoseSimPercentile(Out_Down,$B63)),_xll.VoseSimPercentile(Out_Down,$B63),NA())</f>
        <v>88.299201553995971</v>
      </c>
      <c r="E63" s="70" cm="1">
        <f t="array" aca="1" ref="E63" ca="1">IF(ISNUMBER(_xll.VoseSimPercentile(Out_DownS,$B63)),_xll.VoseSimPercentile(Out_DownS,$B63),NA())</f>
        <v>55.712091526616604</v>
      </c>
    </row>
    <row r="64" spans="2:7" hidden="1" outlineLevel="1" x14ac:dyDescent="0.45">
      <c r="B64" s="69">
        <v>0.23</v>
      </c>
      <c r="C64" s="69">
        <f t="shared" si="0"/>
        <v>0.77</v>
      </c>
      <c r="D64" s="70" cm="1">
        <f t="array" aca="1" ref="D64" ca="1">IF(ISNUMBER(_xll.VoseSimPercentile(Out_Down,$B64)),_xll.VoseSimPercentile(Out_Down,$B64),NA())</f>
        <v>89.453828553886012</v>
      </c>
      <c r="E64" s="70" cm="1">
        <f t="array" aca="1" ref="E64" ca="1">IF(ISNUMBER(_xll.VoseSimPercentile(Out_DownS,$B64)),_xll.VoseSimPercentile(Out_DownS,$B64),NA())</f>
        <v>56.381330534221483</v>
      </c>
    </row>
    <row r="65" spans="2:5" hidden="1" outlineLevel="1" x14ac:dyDescent="0.45">
      <c r="B65" s="69">
        <v>0.25</v>
      </c>
      <c r="C65" s="69">
        <f t="shared" si="0"/>
        <v>0.75</v>
      </c>
      <c r="D65" s="70" cm="1">
        <f t="array" aca="1" ref="D65" ca="1">IF(ISNUMBER(_xll.VoseSimPercentile(Out_Down,$B65)),_xll.VoseSimPercentile(Out_Down,$B65),NA())</f>
        <v>90.491474798154499</v>
      </c>
      <c r="E65" s="70" cm="1">
        <f t="array" aca="1" ref="E65" ca="1">IF(ISNUMBER(_xll.VoseSimPercentile(Out_DownS,$B65)),_xll.VoseSimPercentile(Out_DownS,$B65),NA())</f>
        <v>57.097870563677475</v>
      </c>
    </row>
    <row r="66" spans="2:5" hidden="1" outlineLevel="1" x14ac:dyDescent="0.45">
      <c r="B66" s="69">
        <v>0.27</v>
      </c>
      <c r="C66" s="69">
        <f t="shared" si="0"/>
        <v>0.73</v>
      </c>
      <c r="D66" s="70" cm="1">
        <f t="array" aca="1" ref="D66" ca="1">IF(ISNUMBER(_xll.VoseSimPercentile(Out_Down,$B66)),_xll.VoseSimPercentile(Out_Down,$B66),NA())</f>
        <v>91.534119146082759</v>
      </c>
      <c r="E66" s="70" cm="1">
        <f t="array" aca="1" ref="E66" ca="1">IF(ISNUMBER(_xll.VoseSimPercentile(Out_DownS,$B66)),_xll.VoseSimPercentile(Out_DownS,$B66),NA())</f>
        <v>57.808317293288418</v>
      </c>
    </row>
    <row r="67" spans="2:5" hidden="1" outlineLevel="1" x14ac:dyDescent="0.45">
      <c r="B67" s="69">
        <v>0.28999999999999998</v>
      </c>
      <c r="C67" s="69">
        <f t="shared" si="0"/>
        <v>0.71</v>
      </c>
      <c r="D67" s="70" cm="1">
        <f t="array" aca="1" ref="D67" ca="1">IF(ISNUMBER(_xll.VoseSimPercentile(Out_Down,$B67)),_xll.VoseSimPercentile(Out_Down,$B67),NA())</f>
        <v>92.474698697636597</v>
      </c>
      <c r="E67" s="70" cm="1">
        <f t="array" aca="1" ref="E67" ca="1">IF(ISNUMBER(_xll.VoseSimPercentile(Out_DownS,$B67)),_xll.VoseSimPercentile(Out_DownS,$B67),NA())</f>
        <v>58.421302094118602</v>
      </c>
    </row>
    <row r="68" spans="2:5" hidden="1" outlineLevel="1" x14ac:dyDescent="0.45">
      <c r="B68" s="69">
        <v>0.31</v>
      </c>
      <c r="C68" s="69">
        <f t="shared" si="0"/>
        <v>0.69</v>
      </c>
      <c r="D68" s="70" cm="1">
        <f t="array" aca="1" ref="D68" ca="1">IF(ISNUMBER(_xll.VoseSimPercentile(Out_Down,$B68)),_xll.VoseSimPercentile(Out_Down,$B68),NA())</f>
        <v>93.501799390887484</v>
      </c>
      <c r="E68" s="70" cm="1">
        <f t="array" aca="1" ref="E68" ca="1">IF(ISNUMBER(_xll.VoseSimPercentile(Out_DownS,$B68)),_xll.VoseSimPercentile(Out_DownS,$B68),NA())</f>
        <v>59.142498697975007</v>
      </c>
    </row>
    <row r="69" spans="2:5" hidden="1" outlineLevel="1" x14ac:dyDescent="0.45">
      <c r="B69" s="69">
        <v>0.33</v>
      </c>
      <c r="C69" s="69">
        <f t="shared" si="0"/>
        <v>0.66999999999999993</v>
      </c>
      <c r="D69" s="70" cm="1">
        <f t="array" aca="1" ref="D69" ca="1">IF(ISNUMBER(_xll.VoseSimPercentile(Out_Down,$B69)),_xll.VoseSimPercentile(Out_Down,$B69),NA())</f>
        <v>94.375048999007333</v>
      </c>
      <c r="E69" s="70" cm="1">
        <f t="array" aca="1" ref="E69" ca="1">IF(ISNUMBER(_xll.VoseSimPercentile(Out_DownS,$B69)),_xll.VoseSimPercentile(Out_DownS,$B69),NA())</f>
        <v>59.775432170441114</v>
      </c>
    </row>
    <row r="70" spans="2:5" hidden="1" outlineLevel="1" x14ac:dyDescent="0.45">
      <c r="B70" s="69">
        <v>0.35</v>
      </c>
      <c r="C70" s="69">
        <f t="shared" si="0"/>
        <v>0.65</v>
      </c>
      <c r="D70" s="70" cm="1">
        <f t="array" aca="1" ref="D70" ca="1">IF(ISNUMBER(_xll.VoseSimPercentile(Out_Down,$B70)),_xll.VoseSimPercentile(Out_Down,$B70),NA())</f>
        <v>95.309780685839002</v>
      </c>
      <c r="E70" s="70" cm="1">
        <f t="array" aca="1" ref="E70" ca="1">IF(ISNUMBER(_xll.VoseSimPercentile(Out_DownS,$B70)),_xll.VoseSimPercentile(Out_DownS,$B70),NA())</f>
        <v>60.41823778733486</v>
      </c>
    </row>
    <row r="71" spans="2:5" hidden="1" outlineLevel="1" x14ac:dyDescent="0.45">
      <c r="B71" s="69">
        <v>0.37</v>
      </c>
      <c r="C71" s="69">
        <f t="shared" si="0"/>
        <v>0.63</v>
      </c>
      <c r="D71" s="70" cm="1">
        <f t="array" aca="1" ref="D71" ca="1">IF(ISNUMBER(_xll.VoseSimPercentile(Out_Down,$B71)),_xll.VoseSimPercentile(Out_Down,$B71),NA())</f>
        <v>96.284700959662189</v>
      </c>
      <c r="E71" s="70" cm="1">
        <f t="array" aca="1" ref="E71" ca="1">IF(ISNUMBER(_xll.VoseSimPercentile(Out_DownS,$B71)),_xll.VoseSimPercentile(Out_DownS,$B71),NA())</f>
        <v>61.024622051856248</v>
      </c>
    </row>
    <row r="72" spans="2:5" hidden="1" outlineLevel="1" x14ac:dyDescent="0.45">
      <c r="B72" s="69">
        <v>0.39</v>
      </c>
      <c r="C72" s="69">
        <f t="shared" si="0"/>
        <v>0.61</v>
      </c>
      <c r="D72" s="70" cm="1">
        <f t="array" aca="1" ref="D72" ca="1">IF(ISNUMBER(_xll.VoseSimPercentile(Out_Down,$B72)),_xll.VoseSimPercentile(Out_Down,$B72),NA())</f>
        <v>97.243490495824261</v>
      </c>
      <c r="E72" s="70" cm="1">
        <f t="array" aca="1" ref="E72" ca="1">IF(ISNUMBER(_xll.VoseSimPercentile(Out_DownS,$B72)),_xll.VoseSimPercentile(Out_DownS,$B72),NA())</f>
        <v>61.702321034597617</v>
      </c>
    </row>
    <row r="73" spans="2:5" hidden="1" outlineLevel="1" x14ac:dyDescent="0.45">
      <c r="B73" s="69">
        <v>0.41</v>
      </c>
      <c r="C73" s="69">
        <f t="shared" si="0"/>
        <v>0.59000000000000008</v>
      </c>
      <c r="D73" s="70" cm="1">
        <f t="array" aca="1" ref="D73" ca="1">IF(ISNUMBER(_xll.VoseSimPercentile(Out_Down,$B73)),_xll.VoseSimPercentile(Out_Down,$B73),NA())</f>
        <v>98.176917319129728</v>
      </c>
      <c r="E73" s="70" cm="1">
        <f t="array" aca="1" ref="E73" ca="1">IF(ISNUMBER(_xll.VoseSimPercentile(Out_DownS,$B73)),_xll.VoseSimPercentile(Out_DownS,$B73),NA())</f>
        <v>62.275460039431707</v>
      </c>
    </row>
    <row r="74" spans="2:5" hidden="1" outlineLevel="1" x14ac:dyDescent="0.45">
      <c r="B74" s="69">
        <v>0.43</v>
      </c>
      <c r="C74" s="69">
        <f t="shared" si="0"/>
        <v>0.57000000000000006</v>
      </c>
      <c r="D74" s="70" cm="1">
        <f t="array" aca="1" ref="D74" ca="1">IF(ISNUMBER(_xll.VoseSimPercentile(Out_Down,$B74)),_xll.VoseSimPercentile(Out_Down,$B74),NA())</f>
        <v>99.061128209659842</v>
      </c>
      <c r="E74" s="70" cm="1">
        <f t="array" aca="1" ref="E74" ca="1">IF(ISNUMBER(_xll.VoseSimPercentile(Out_DownS,$B74)),_xll.VoseSimPercentile(Out_DownS,$B74),NA())</f>
        <v>62.937546583223082</v>
      </c>
    </row>
    <row r="75" spans="2:5" hidden="1" outlineLevel="1" x14ac:dyDescent="0.45">
      <c r="B75" s="69">
        <v>0.45</v>
      </c>
      <c r="C75" s="69">
        <f t="shared" si="0"/>
        <v>0.55000000000000004</v>
      </c>
      <c r="D75" s="70" cm="1">
        <f t="array" aca="1" ref="D75" ca="1">IF(ISNUMBER(_xll.VoseSimPercentile(Out_Down,$B75)),_xll.VoseSimPercentile(Out_Down,$B75),NA())</f>
        <v>99.914112375621372</v>
      </c>
      <c r="E75" s="70" cm="1">
        <f t="array" aca="1" ref="E75" ca="1">IF(ISNUMBER(_xll.VoseSimPercentile(Out_DownS,$B75)),_xll.VoseSimPercentile(Out_DownS,$B75),NA())</f>
        <v>63.59759792450992</v>
      </c>
    </row>
    <row r="76" spans="2:5" hidden="1" outlineLevel="1" x14ac:dyDescent="0.45">
      <c r="B76" s="69">
        <v>0.47</v>
      </c>
      <c r="C76" s="69">
        <f t="shared" si="0"/>
        <v>0.53</v>
      </c>
      <c r="D76" s="70" cm="1">
        <f t="array" aca="1" ref="D76" ca="1">IF(ISNUMBER(_xll.VoseSimPercentile(Out_Down,$B76)),_xll.VoseSimPercentile(Out_Down,$B76),NA())</f>
        <v>100.85995617750955</v>
      </c>
      <c r="E76" s="70" cm="1">
        <f t="array" aca="1" ref="E76" ca="1">IF(ISNUMBER(_xll.VoseSimPercentile(Out_DownS,$B76)),_xll.VoseSimPercentile(Out_DownS,$B76),NA())</f>
        <v>64.242747749416438</v>
      </c>
    </row>
    <row r="77" spans="2:5" hidden="1" outlineLevel="1" x14ac:dyDescent="0.45">
      <c r="B77" s="69">
        <v>0.49</v>
      </c>
      <c r="C77" s="69">
        <f t="shared" si="0"/>
        <v>0.51</v>
      </c>
      <c r="D77" s="70" cm="1">
        <f t="array" aca="1" ref="D77" ca="1">IF(ISNUMBER(_xll.VoseSimPercentile(Out_Down,$B77)),_xll.VoseSimPercentile(Out_Down,$B77),NA())</f>
        <v>101.93480947285633</v>
      </c>
      <c r="E77" s="70" cm="1">
        <f t="array" aca="1" ref="E77" ca="1">IF(ISNUMBER(_xll.VoseSimPercentile(Out_DownS,$B77)),_xll.VoseSimPercentile(Out_DownS,$B77),NA())</f>
        <v>64.775518398304314</v>
      </c>
    </row>
    <row r="78" spans="2:5" hidden="1" outlineLevel="1" x14ac:dyDescent="0.45">
      <c r="B78" s="69">
        <v>0.51</v>
      </c>
      <c r="C78" s="69">
        <f t="shared" si="0"/>
        <v>0.49</v>
      </c>
      <c r="D78" s="70" cm="1">
        <f t="array" aca="1" ref="D78" ca="1">IF(ISNUMBER(_xll.VoseSimPercentile(Out_Down,$B78)),_xll.VoseSimPercentile(Out_Down,$B78),NA())</f>
        <v>102.76448179407926</v>
      </c>
      <c r="E78" s="70" cm="1">
        <f t="array" aca="1" ref="E78" ca="1">IF(ISNUMBER(_xll.VoseSimPercentile(Out_DownS,$B78)),_xll.VoseSimPercentile(Out_DownS,$B78),NA())</f>
        <v>65.397881205204342</v>
      </c>
    </row>
    <row r="79" spans="2:5" hidden="1" outlineLevel="1" x14ac:dyDescent="0.45">
      <c r="B79" s="69">
        <v>0.53</v>
      </c>
      <c r="C79" s="69">
        <f t="shared" si="0"/>
        <v>0.47</v>
      </c>
      <c r="D79" s="70" cm="1">
        <f t="array" aca="1" ref="D79" ca="1">IF(ISNUMBER(_xll.VoseSimPercentile(Out_Down,$B79)),_xll.VoseSimPercentile(Out_Down,$B79),NA())</f>
        <v>103.56312563329146</v>
      </c>
      <c r="E79" s="70" cm="1">
        <f t="array" aca="1" ref="E79" ca="1">IF(ISNUMBER(_xll.VoseSimPercentile(Out_DownS,$B79)),_xll.VoseSimPercentile(Out_DownS,$B79),NA())</f>
        <v>66.013896180478284</v>
      </c>
    </row>
    <row r="80" spans="2:5" hidden="1" outlineLevel="1" x14ac:dyDescent="0.45">
      <c r="B80" s="69">
        <v>0.55000000000000004</v>
      </c>
      <c r="C80" s="69">
        <f t="shared" si="0"/>
        <v>0.44999999999999996</v>
      </c>
      <c r="D80" s="70" cm="1">
        <f t="array" aca="1" ref="D80" ca="1">IF(ISNUMBER(_xll.VoseSimPercentile(Out_Down,$B80)),_xll.VoseSimPercentile(Out_Down,$B80),NA())</f>
        <v>104.39261601584056</v>
      </c>
      <c r="E80" s="70" cm="1">
        <f t="array" aca="1" ref="E80" ca="1">IF(ISNUMBER(_xll.VoseSimPercentile(Out_DownS,$B80)),_xll.VoseSimPercentile(Out_DownS,$B80),NA())</f>
        <v>66.624253443422887</v>
      </c>
    </row>
    <row r="81" spans="2:5" hidden="1" outlineLevel="1" x14ac:dyDescent="0.45">
      <c r="B81" s="69">
        <v>0.56999999999999995</v>
      </c>
      <c r="C81" s="69">
        <f t="shared" si="0"/>
        <v>0.43000000000000005</v>
      </c>
      <c r="D81" s="70" cm="1">
        <f t="array" aca="1" ref="D81" ca="1">IF(ISNUMBER(_xll.VoseSimPercentile(Out_Down,$B81)),_xll.VoseSimPercentile(Out_Down,$B81),NA())</f>
        <v>105.37640396486414</v>
      </c>
      <c r="E81" s="70" cm="1">
        <f t="array" aca="1" ref="E81" ca="1">IF(ISNUMBER(_xll.VoseSimPercentile(Out_DownS,$B81)),_xll.VoseSimPercentile(Out_DownS,$B81),NA())</f>
        <v>67.211458630375844</v>
      </c>
    </row>
    <row r="82" spans="2:5" hidden="1" outlineLevel="1" x14ac:dyDescent="0.45">
      <c r="B82" s="69">
        <v>0.59</v>
      </c>
      <c r="C82" s="69">
        <f t="shared" si="0"/>
        <v>0.41000000000000003</v>
      </c>
      <c r="D82" s="70" cm="1">
        <f t="array" aca="1" ref="D82" ca="1">IF(ISNUMBER(_xll.VoseSimPercentile(Out_Down,$B82)),_xll.VoseSimPercentile(Out_Down,$B82),NA())</f>
        <v>106.3756292671016</v>
      </c>
      <c r="E82" s="70" cm="1">
        <f t="array" aca="1" ref="E82" ca="1">IF(ISNUMBER(_xll.VoseSimPercentile(Out_DownS,$B82)),_xll.VoseSimPercentile(Out_DownS,$B82),NA())</f>
        <v>67.823798796962251</v>
      </c>
    </row>
    <row r="83" spans="2:5" hidden="1" outlineLevel="1" x14ac:dyDescent="0.45">
      <c r="B83" s="69">
        <v>0.61</v>
      </c>
      <c r="C83" s="69">
        <f t="shared" si="0"/>
        <v>0.39</v>
      </c>
      <c r="D83" s="70" cm="1">
        <f t="array" aca="1" ref="D83" ca="1">IF(ISNUMBER(_xll.VoseSimPercentile(Out_Down,$B83)),_xll.VoseSimPercentile(Out_Down,$B83),NA())</f>
        <v>107.29033482483949</v>
      </c>
      <c r="E83" s="70" cm="1">
        <f t="array" aca="1" ref="E83" ca="1">IF(ISNUMBER(_xll.VoseSimPercentile(Out_DownS,$B83)),_xll.VoseSimPercentile(Out_DownS,$B83),NA())</f>
        <v>68.500009602799963</v>
      </c>
    </row>
    <row r="84" spans="2:5" hidden="1" outlineLevel="1" x14ac:dyDescent="0.45">
      <c r="B84" s="69">
        <v>0.63</v>
      </c>
      <c r="C84" s="69">
        <f t="shared" si="0"/>
        <v>0.37</v>
      </c>
      <c r="D84" s="70" cm="1">
        <f t="array" aca="1" ref="D84" ca="1">IF(ISNUMBER(_xll.VoseSimPercentile(Out_Down,$B84)),_xll.VoseSimPercentile(Out_Down,$B84),NA())</f>
        <v>108.446360401335</v>
      </c>
      <c r="E84" s="70" cm="1">
        <f t="array" aca="1" ref="E84" ca="1">IF(ISNUMBER(_xll.VoseSimPercentile(Out_DownS,$B84)),_xll.VoseSimPercentile(Out_DownS,$B84),NA())</f>
        <v>69.247254793200824</v>
      </c>
    </row>
    <row r="85" spans="2:5" hidden="1" outlineLevel="1" x14ac:dyDescent="0.45">
      <c r="B85" s="69">
        <v>0.65</v>
      </c>
      <c r="C85" s="69">
        <f t="shared" ref="C85:C116" si="1">1-B85</f>
        <v>0.35</v>
      </c>
      <c r="D85" s="70" cm="1">
        <f t="array" aca="1" ref="D85" ca="1">IF(ISNUMBER(_xll.VoseSimPercentile(Out_Down,$B85)),_xll.VoseSimPercentile(Out_Down,$B85),NA())</f>
        <v>109.46088860004151</v>
      </c>
      <c r="E85" s="70" cm="1">
        <f t="array" aca="1" ref="E85" ca="1">IF(ISNUMBER(_xll.VoseSimPercentile(Out_DownS,$B85)),_xll.VoseSimPercentile(Out_DownS,$B85),NA())</f>
        <v>69.87776451446787</v>
      </c>
    </row>
    <row r="86" spans="2:5" hidden="1" outlineLevel="1" x14ac:dyDescent="0.45">
      <c r="B86" s="69">
        <v>0.67</v>
      </c>
      <c r="C86" s="69">
        <f t="shared" si="1"/>
        <v>0.32999999999999996</v>
      </c>
      <c r="D86" s="70" cm="1">
        <f t="array" aca="1" ref="D86" ca="1">IF(ISNUMBER(_xll.VoseSimPercentile(Out_Down,$B86)),_xll.VoseSimPercentile(Out_Down,$B86),NA())</f>
        <v>110.55088649450398</v>
      </c>
      <c r="E86" s="70" cm="1">
        <f t="array" aca="1" ref="E86" ca="1">IF(ISNUMBER(_xll.VoseSimPercentile(Out_DownS,$B86)),_xll.VoseSimPercentile(Out_DownS,$B86),NA())</f>
        <v>70.531013740920088</v>
      </c>
    </row>
    <row r="87" spans="2:5" hidden="1" outlineLevel="1" x14ac:dyDescent="0.45">
      <c r="B87" s="69">
        <v>0.69</v>
      </c>
      <c r="C87" s="69">
        <f t="shared" si="1"/>
        <v>0.31000000000000005</v>
      </c>
      <c r="D87" s="70" cm="1">
        <f t="array" aca="1" ref="D87" ca="1">IF(ISNUMBER(_xll.VoseSimPercentile(Out_Down,$B87)),_xll.VoseSimPercentile(Out_Down,$B87),NA())</f>
        <v>111.67134733356542</v>
      </c>
      <c r="E87" s="70" cm="1">
        <f t="array" aca="1" ref="E87" ca="1">IF(ISNUMBER(_xll.VoseSimPercentile(Out_DownS,$B87)),_xll.VoseSimPercentile(Out_DownS,$B87),NA())</f>
        <v>71.34772074640945</v>
      </c>
    </row>
    <row r="88" spans="2:5" hidden="1" outlineLevel="1" x14ac:dyDescent="0.45">
      <c r="B88" s="69">
        <v>0.71</v>
      </c>
      <c r="C88" s="69">
        <f t="shared" si="1"/>
        <v>0.29000000000000004</v>
      </c>
      <c r="D88" s="70" cm="1">
        <f t="array" aca="1" ref="D88" ca="1">IF(ISNUMBER(_xll.VoseSimPercentile(Out_Down,$B88)),_xll.VoseSimPercentile(Out_Down,$B88),NA())</f>
        <v>112.73547966828917</v>
      </c>
      <c r="E88" s="70" cm="1">
        <f t="array" aca="1" ref="E88" ca="1">IF(ISNUMBER(_xll.VoseSimPercentile(Out_DownS,$B88)),_xll.VoseSimPercentile(Out_DownS,$B88),NA())</f>
        <v>72.130574045288512</v>
      </c>
    </row>
    <row r="89" spans="2:5" hidden="1" outlineLevel="1" x14ac:dyDescent="0.45">
      <c r="B89" s="69">
        <v>0.73</v>
      </c>
      <c r="C89" s="69">
        <f t="shared" si="1"/>
        <v>0.27</v>
      </c>
      <c r="D89" s="70" cm="1">
        <f t="array" aca="1" ref="D89" ca="1">IF(ISNUMBER(_xll.VoseSimPercentile(Out_Down,$B89)),_xll.VoseSimPercentile(Out_Down,$B89),NA())</f>
        <v>113.95920358110541</v>
      </c>
      <c r="E89" s="70" cm="1">
        <f t="array" aca="1" ref="E89" ca="1">IF(ISNUMBER(_xll.VoseSimPercentile(Out_DownS,$B89)),_xll.VoseSimPercentile(Out_DownS,$B89),NA())</f>
        <v>72.955660351640063</v>
      </c>
    </row>
    <row r="90" spans="2:5" hidden="1" outlineLevel="1" x14ac:dyDescent="0.45">
      <c r="B90" s="69">
        <v>0.75</v>
      </c>
      <c r="C90" s="69">
        <f t="shared" si="1"/>
        <v>0.25</v>
      </c>
      <c r="D90" s="70" cm="1">
        <f t="array" aca="1" ref="D90" ca="1">IF(ISNUMBER(_xll.VoseSimPercentile(Out_Down,$B90)),_xll.VoseSimPercentile(Out_Down,$B90),NA())</f>
        <v>115.162502331273</v>
      </c>
      <c r="E90" s="70" cm="1">
        <f t="array" aca="1" ref="E90" ca="1">IF(ISNUMBER(_xll.VoseSimPercentile(Out_DownS,$B90)),_xll.VoseSimPercentile(Out_DownS,$B90),NA())</f>
        <v>73.7653786765201</v>
      </c>
    </row>
    <row r="91" spans="2:5" hidden="1" outlineLevel="1" x14ac:dyDescent="0.45">
      <c r="B91" s="69">
        <v>0.77</v>
      </c>
      <c r="C91" s="69">
        <f t="shared" si="1"/>
        <v>0.22999999999999998</v>
      </c>
      <c r="D91" s="70" cm="1">
        <f t="array" aca="1" ref="D91" ca="1">IF(ISNUMBER(_xll.VoseSimPercentile(Out_Down,$B91)),_xll.VoseSimPercentile(Out_Down,$B91),NA())</f>
        <v>116.54017557914963</v>
      </c>
      <c r="E91" s="70" cm="1">
        <f t="array" aca="1" ref="E91" ca="1">IF(ISNUMBER(_xll.VoseSimPercentile(Out_DownS,$B91)),_xll.VoseSimPercentile(Out_DownS,$B91),NA())</f>
        <v>74.598273666226333</v>
      </c>
    </row>
    <row r="92" spans="2:5" hidden="1" outlineLevel="1" x14ac:dyDescent="0.45">
      <c r="B92" s="69">
        <v>0.79</v>
      </c>
      <c r="C92" s="69">
        <f t="shared" si="1"/>
        <v>0.20999999999999996</v>
      </c>
      <c r="D92" s="70" cm="1">
        <f t="array" aca="1" ref="D92" ca="1">IF(ISNUMBER(_xll.VoseSimPercentile(Out_Down,$B92)),_xll.VoseSimPercentile(Out_Down,$B92),NA())</f>
        <v>117.6321204987853</v>
      </c>
      <c r="E92" s="70" cm="1">
        <f t="array" aca="1" ref="E92" ca="1">IF(ISNUMBER(_xll.VoseSimPercentile(Out_DownS,$B92)),_xll.VoseSimPercentile(Out_DownS,$B92),NA())</f>
        <v>75.612605188987203</v>
      </c>
    </row>
    <row r="93" spans="2:5" hidden="1" outlineLevel="1" x14ac:dyDescent="0.45">
      <c r="B93" s="69">
        <v>0.81</v>
      </c>
      <c r="C93" s="69">
        <f t="shared" si="1"/>
        <v>0.18999999999999995</v>
      </c>
      <c r="D93" s="70" cm="1">
        <f t="array" aca="1" ref="D93" ca="1">IF(ISNUMBER(_xll.VoseSimPercentile(Out_Down,$B93)),_xll.VoseSimPercentile(Out_Down,$B93),NA())</f>
        <v>119.28779472396826</v>
      </c>
      <c r="E93" s="70" cm="1">
        <f t="array" aca="1" ref="E93" ca="1">IF(ISNUMBER(_xll.VoseSimPercentile(Out_DownS,$B93)),_xll.VoseSimPercentile(Out_DownS,$B93),NA())</f>
        <v>76.679605709862415</v>
      </c>
    </row>
    <row r="94" spans="2:5" hidden="1" outlineLevel="1" x14ac:dyDescent="0.45">
      <c r="B94" s="69">
        <v>0.83</v>
      </c>
      <c r="C94" s="69">
        <f t="shared" si="1"/>
        <v>0.17000000000000004</v>
      </c>
      <c r="D94" s="70" cm="1">
        <f t="array" aca="1" ref="D94" ca="1">IF(ISNUMBER(_xll.VoseSimPercentile(Out_Down,$B94)),_xll.VoseSimPercentile(Out_Down,$B94),NA())</f>
        <v>120.86970509523736</v>
      </c>
      <c r="E94" s="70" cm="1">
        <f t="array" aca="1" ref="E94" ca="1">IF(ISNUMBER(_xll.VoseSimPercentile(Out_DownS,$B94)),_xll.VoseSimPercentile(Out_DownS,$B94),NA())</f>
        <v>77.641554201716687</v>
      </c>
    </row>
    <row r="95" spans="2:5" hidden="1" outlineLevel="1" x14ac:dyDescent="0.45">
      <c r="B95" s="69">
        <v>0.85</v>
      </c>
      <c r="C95" s="69">
        <f t="shared" si="1"/>
        <v>0.15000000000000002</v>
      </c>
      <c r="D95" s="70" cm="1">
        <f t="array" aca="1" ref="D95" ca="1">IF(ISNUMBER(_xll.VoseSimPercentile(Out_Down,$B95)),_xll.VoseSimPercentile(Out_Down,$B95),NA())</f>
        <v>122.68437598360458</v>
      </c>
      <c r="E95" s="70" cm="1">
        <f t="array" aca="1" ref="E95" ca="1">IF(ISNUMBER(_xll.VoseSimPercentile(Out_DownS,$B95)),_xll.VoseSimPercentile(Out_DownS,$B95),NA())</f>
        <v>78.945306820232389</v>
      </c>
    </row>
    <row r="96" spans="2:5" hidden="1" outlineLevel="1" x14ac:dyDescent="0.45">
      <c r="B96" s="69">
        <v>0.87</v>
      </c>
      <c r="C96" s="69">
        <f t="shared" si="1"/>
        <v>0.13</v>
      </c>
      <c r="D96" s="70" cm="1">
        <f t="array" aca="1" ref="D96" ca="1">IF(ISNUMBER(_xll.VoseSimPercentile(Out_Down,$B96)),_xll.VoseSimPercentile(Out_Down,$B96),NA())</f>
        <v>124.65853183195972</v>
      </c>
      <c r="E96" s="70" cm="1">
        <f t="array" aca="1" ref="E96" ca="1">IF(ISNUMBER(_xll.VoseSimPercentile(Out_DownS,$B96)),_xll.VoseSimPercentile(Out_DownS,$B96),NA())</f>
        <v>80.32257818384474</v>
      </c>
    </row>
    <row r="97" spans="2:7" hidden="1" outlineLevel="1" x14ac:dyDescent="0.45">
      <c r="B97" s="69">
        <v>0.89</v>
      </c>
      <c r="C97" s="69">
        <f t="shared" si="1"/>
        <v>0.10999999999999999</v>
      </c>
      <c r="D97" s="70" cm="1">
        <f t="array" aca="1" ref="D97" ca="1">IF(ISNUMBER(_xll.VoseSimPercentile(Out_Down,$B97)),_xll.VoseSimPercentile(Out_Down,$B97),NA())</f>
        <v>127.03413564665445</v>
      </c>
      <c r="E97" s="70" cm="1">
        <f t="array" aca="1" ref="E97" ca="1">IF(ISNUMBER(_xll.VoseSimPercentile(Out_DownS,$B97)),_xll.VoseSimPercentile(Out_DownS,$B97),NA())</f>
        <v>81.79282916713619</v>
      </c>
    </row>
    <row r="98" spans="2:7" hidden="1" outlineLevel="1" x14ac:dyDescent="0.45">
      <c r="B98" s="69">
        <v>0.91</v>
      </c>
      <c r="C98" s="69">
        <f t="shared" si="1"/>
        <v>8.9999999999999969E-2</v>
      </c>
      <c r="D98" s="70" cm="1">
        <f t="array" aca="1" ref="D98" ca="1">IF(ISNUMBER(_xll.VoseSimPercentile(Out_Down,$B98)),_xll.VoseSimPercentile(Out_Down,$B98),NA())</f>
        <v>129.31415172929579</v>
      </c>
      <c r="E98" s="70" cm="1">
        <f t="array" aca="1" ref="E98" ca="1">IF(ISNUMBER(_xll.VoseSimPercentile(Out_DownS,$B98)),_xll.VoseSimPercentile(Out_DownS,$B98),NA())</f>
        <v>83.498203355588601</v>
      </c>
    </row>
    <row r="99" spans="2:7" hidden="1" outlineLevel="1" x14ac:dyDescent="0.45">
      <c r="B99" s="69">
        <v>0.93</v>
      </c>
      <c r="C99" s="69">
        <f t="shared" si="1"/>
        <v>6.9999999999999951E-2</v>
      </c>
      <c r="D99" s="70" cm="1">
        <f t="array" aca="1" ref="D99" ca="1">IF(ISNUMBER(_xll.VoseSimPercentile(Out_Down,$B99)),_xll.VoseSimPercentile(Out_Down,$B99),NA())</f>
        <v>132.35320083834762</v>
      </c>
      <c r="E99" s="70" cm="1">
        <f t="array" aca="1" ref="E99" ca="1">IF(ISNUMBER(_xll.VoseSimPercentile(Out_DownS,$B99)),_xll.VoseSimPercentile(Out_DownS,$B99),NA())</f>
        <v>85.706235608830724</v>
      </c>
    </row>
    <row r="100" spans="2:7" hidden="1" outlineLevel="1" x14ac:dyDescent="0.45">
      <c r="B100" s="69">
        <v>0.95</v>
      </c>
      <c r="C100" s="69">
        <f t="shared" si="1"/>
        <v>5.0000000000000044E-2</v>
      </c>
      <c r="D100" s="70" cm="1">
        <f t="array" aca="1" ref="D100" ca="1">IF(ISNUMBER(_xll.VoseSimPercentile(Out_Down,$B100)),_xll.VoseSimPercentile(Out_Down,$B100),NA())</f>
        <v>136.44236418480762</v>
      </c>
      <c r="E100" s="70" cm="1">
        <f t="array" aca="1" ref="E100" ca="1">IF(ISNUMBER(_xll.VoseSimPercentile(Out_DownS,$B100)),_xll.VoseSimPercentile(Out_DownS,$B100),NA())</f>
        <v>88.349778053519714</v>
      </c>
    </row>
    <row r="101" spans="2:7" hidden="1" outlineLevel="1" x14ac:dyDescent="0.45">
      <c r="B101" s="69">
        <v>0.97</v>
      </c>
      <c r="C101" s="69">
        <f t="shared" si="1"/>
        <v>3.0000000000000027E-2</v>
      </c>
      <c r="D101" s="70" cm="1">
        <f t="array" aca="1" ref="D101" ca="1">IF(ISNUMBER(_xll.VoseSimPercentile(Out_Down,$B101)),_xll.VoseSimPercentile(Out_Down,$B101),NA())</f>
        <v>142.94545179330947</v>
      </c>
      <c r="E101" s="70" cm="1">
        <f t="array" aca="1" ref="E101" ca="1">IF(ISNUMBER(_xll.VoseSimPercentile(Out_DownS,$B101)),_xll.VoseSimPercentile(Out_DownS,$B101),NA())</f>
        <v>92.375412743233028</v>
      </c>
    </row>
    <row r="102" spans="2:7" hidden="1" outlineLevel="1" x14ac:dyDescent="0.45">
      <c r="B102" s="69">
        <v>0.99</v>
      </c>
      <c r="C102" s="69">
        <f t="shared" si="1"/>
        <v>1.0000000000000009E-2</v>
      </c>
      <c r="D102" s="70" cm="1">
        <f t="array" aca="1" ref="D102" ca="1">IF(ISNUMBER(_xll.VoseSimPercentile(Out_Down,$B102)),_xll.VoseSimPercentile(Out_Down,$B102),NA())</f>
        <v>155.52731100268139</v>
      </c>
      <c r="E102" s="70" cm="1">
        <f t="array" aca="1" ref="E102" ca="1">IF(ISNUMBER(_xll.VoseSimPercentile(Out_DownS,$B102)),_xll.VoseSimPercentile(Out_DownS,$B102),NA())</f>
        <v>101.491049903622</v>
      </c>
    </row>
    <row r="103" spans="2:7" hidden="1" outlineLevel="1" x14ac:dyDescent="0.45"/>
    <row r="104" spans="2:7" ht="18" hidden="1" customHeight="1" outlineLevel="1" x14ac:dyDescent="0.45">
      <c r="B104" s="23" t="s">
        <v>255</v>
      </c>
      <c r="C104" s="24" t="s">
        <v>157</v>
      </c>
      <c r="D104" s="5"/>
      <c r="E104" s="5"/>
      <c r="F104" s="5"/>
      <c r="G104" s="5"/>
    </row>
    <row r="105" spans="2:7" hidden="1" outlineLevel="1" x14ac:dyDescent="0.45">
      <c r="B105" s="71">
        <v>5.0000000000000001E-3</v>
      </c>
      <c r="C105" s="70" cm="1">
        <f t="array" aca="1" ref="C105" ca="1">IF(ISNUMBER(_xll.VoseSimPercentile(Out_Down,0.005)),_xll.VoseSimPercentile(Out_Down,0.005),NA())</f>
        <v>63.538568397181393</v>
      </c>
    </row>
    <row r="106" spans="2:7" hidden="1" outlineLevel="1" x14ac:dyDescent="0.45">
      <c r="B106" s="71">
        <v>0.01</v>
      </c>
      <c r="C106" s="70" cm="1">
        <f t="array" aca="1" ref="C106" ca="1">IF(ISNUMBER(_xll.VoseSimPercentile(Out_Down,0.01)),_xll.VoseSimPercentile(Out_Down,0.01),NA())</f>
        <v>66.801031842330815</v>
      </c>
    </row>
    <row r="107" spans="2:7" hidden="1" outlineLevel="1" x14ac:dyDescent="0.45">
      <c r="B107" s="71">
        <v>0.02</v>
      </c>
      <c r="C107" s="70" cm="1">
        <f t="array" aca="1" ref="C107" ca="1">IF(ISNUMBER(_xll.VoseSimPercentile(Out_Down,0.02)),_xll.VoseSimPercentile(Out_Down,0.02),NA())</f>
        <v>70.215478545250562</v>
      </c>
    </row>
    <row r="108" spans="2:7" hidden="1" outlineLevel="1" x14ac:dyDescent="0.45">
      <c r="B108" s="71">
        <v>0.03</v>
      </c>
      <c r="C108" s="70" cm="1">
        <f t="array" aca="1" ref="C108" ca="1">IF(ISNUMBER(_xll.VoseSimPercentile(Out_Down,0.03)),_xll.VoseSimPercentile(Out_Down,0.03),NA())</f>
        <v>72.26034072636817</v>
      </c>
    </row>
    <row r="109" spans="2:7" hidden="1" outlineLevel="1" x14ac:dyDescent="0.45">
      <c r="B109" s="71">
        <v>0.04</v>
      </c>
      <c r="C109" s="70" cm="1">
        <f t="array" aca="1" ref="C109" ca="1">IF(ISNUMBER(_xll.VoseSimPercentile(Out_Down,0.04)),_xll.VoseSimPercentile(Out_Down,0.04),NA())</f>
        <v>74.459336575024793</v>
      </c>
    </row>
    <row r="110" spans="2:7" hidden="1" outlineLevel="1" x14ac:dyDescent="0.45">
      <c r="B110" s="71">
        <v>0.05</v>
      </c>
      <c r="C110" s="70" cm="1">
        <f t="array" aca="1" ref="C110" ca="1">IF(ISNUMBER(_xll.VoseSimPercentile(Out_Down,0.05)),_xll.VoseSimPercentile(Out_Down,0.05),NA())</f>
        <v>75.831539086545291</v>
      </c>
    </row>
    <row r="111" spans="2:7" hidden="1" outlineLevel="1" x14ac:dyDescent="0.45">
      <c r="B111" s="71">
        <v>0.06</v>
      </c>
      <c r="C111" s="70" cm="1">
        <f t="array" aca="1" ref="C111" ca="1">IF(ISNUMBER(_xll.VoseSimPercentile(Out_Down,0.06)),_xll.VoseSimPercentile(Out_Down,0.06),NA())</f>
        <v>77.062593919615736</v>
      </c>
    </row>
    <row r="112" spans="2:7" hidden="1" outlineLevel="1" x14ac:dyDescent="0.45">
      <c r="B112" s="71">
        <v>7.0000000000000007E-2</v>
      </c>
      <c r="C112" s="70" cm="1">
        <f t="array" aca="1" ref="C112" ca="1">IF(ISNUMBER(_xll.VoseSimPercentile(Out_Down,0.07)),_xll.VoseSimPercentile(Out_Down,0.07),NA())</f>
        <v>78.281691630350565</v>
      </c>
    </row>
    <row r="113" spans="2:3" hidden="1" outlineLevel="1" x14ac:dyDescent="0.45">
      <c r="B113" s="71">
        <v>0.08</v>
      </c>
      <c r="C113" s="70" cm="1">
        <f t="array" aca="1" ref="C113" ca="1">IF(ISNUMBER(_xll.VoseSimPercentile(Out_Down,0.08)),_xll.VoseSimPercentile(Out_Down,0.08),NA())</f>
        <v>79.415214450901757</v>
      </c>
    </row>
    <row r="114" spans="2:3" hidden="1" outlineLevel="1" x14ac:dyDescent="0.45">
      <c r="B114" s="71">
        <v>0.09</v>
      </c>
      <c r="C114" s="70" cm="1">
        <f t="array" aca="1" ref="C114" ca="1">IF(ISNUMBER(_xll.VoseSimPercentile(Out_Down,0.09)),_xll.VoseSimPercentile(Out_Down,0.09),NA())</f>
        <v>80.351072553345531</v>
      </c>
    </row>
    <row r="115" spans="2:3" hidden="1" outlineLevel="1" x14ac:dyDescent="0.45">
      <c r="B115" s="71">
        <v>0.1</v>
      </c>
      <c r="C115" s="70" cm="1">
        <f t="array" aca="1" ref="C115" ca="1">IF(ISNUMBER(_xll.VoseSimPercentile(Out_Down,0.1)),_xll.VoseSimPercentile(Out_Down,0.1),NA())</f>
        <v>81.290181325964113</v>
      </c>
    </row>
    <row r="116" spans="2:3" hidden="1" outlineLevel="1" x14ac:dyDescent="0.45">
      <c r="B116" s="71">
        <v>0.11</v>
      </c>
      <c r="C116" s="70" cm="1">
        <f t="array" aca="1" ref="C116" ca="1">IF(ISNUMBER(_xll.VoseSimPercentile(Out_Down,0.11)),_xll.VoseSimPercentile(Out_Down,0.11),NA())</f>
        <v>82.059463411235754</v>
      </c>
    </row>
    <row r="117" spans="2:3" hidden="1" outlineLevel="1" x14ac:dyDescent="0.45">
      <c r="B117" s="71">
        <v>0.12</v>
      </c>
      <c r="C117" s="70" cm="1">
        <f t="array" aca="1" ref="C117" ca="1">IF(ISNUMBER(_xll.VoseSimPercentile(Out_Down,0.12)),_xll.VoseSimPercentile(Out_Down,0.12),NA())</f>
        <v>82.71116169693174</v>
      </c>
    </row>
    <row r="118" spans="2:3" hidden="1" outlineLevel="1" x14ac:dyDescent="0.45">
      <c r="B118" s="71">
        <v>0.13</v>
      </c>
      <c r="C118" s="70" cm="1">
        <f t="array" aca="1" ref="C118" ca="1">IF(ISNUMBER(_xll.VoseSimPercentile(Out_Down,0.13)),_xll.VoseSimPercentile(Out_Down,0.13),NA())</f>
        <v>83.389823971541588</v>
      </c>
    </row>
    <row r="119" spans="2:3" hidden="1" outlineLevel="1" x14ac:dyDescent="0.45">
      <c r="B119" s="71">
        <v>0.14000000000000001</v>
      </c>
      <c r="C119" s="70" cm="1">
        <f t="array" aca="1" ref="C119" ca="1">IF(ISNUMBER(_xll.VoseSimPercentile(Out_Down,0.14)),_xll.VoseSimPercentile(Out_Down,0.14),NA())</f>
        <v>83.977727224231245</v>
      </c>
    </row>
    <row r="120" spans="2:3" hidden="1" outlineLevel="1" x14ac:dyDescent="0.45">
      <c r="B120" s="71">
        <v>0.15</v>
      </c>
      <c r="C120" s="70" cm="1">
        <f t="array" aca="1" ref="C120" ca="1">IF(ISNUMBER(_xll.VoseSimPercentile(Out_Down,0.15)),_xll.VoseSimPercentile(Out_Down,0.15),NA())</f>
        <v>84.689071229578389</v>
      </c>
    </row>
    <row r="121" spans="2:3" hidden="1" outlineLevel="1" x14ac:dyDescent="0.45">
      <c r="B121" s="71">
        <v>0.16</v>
      </c>
      <c r="C121" s="70" cm="1">
        <f t="array" aca="1" ref="C121" ca="1">IF(ISNUMBER(_xll.VoseSimPercentile(Out_Down,0.16)),_xll.VoseSimPercentile(Out_Down,0.16),NA())</f>
        <v>85.278109387505921</v>
      </c>
    </row>
    <row r="122" spans="2:3" hidden="1" outlineLevel="1" x14ac:dyDescent="0.45">
      <c r="B122" s="71">
        <v>0.17</v>
      </c>
      <c r="C122" s="70" cm="1">
        <f t="array" aca="1" ref="C122" ca="1">IF(ISNUMBER(_xll.VoseSimPercentile(Out_Down,0.17)),_xll.VoseSimPercentile(Out_Down,0.17),NA())</f>
        <v>85.825709372993018</v>
      </c>
    </row>
    <row r="123" spans="2:3" hidden="1" outlineLevel="1" x14ac:dyDescent="0.45">
      <c r="B123" s="71">
        <v>0.18</v>
      </c>
      <c r="C123" s="70" cm="1">
        <f t="array" aca="1" ref="C123" ca="1">IF(ISNUMBER(_xll.VoseSimPercentile(Out_Down,0.18)),_xll.VoseSimPercentile(Out_Down,0.18),NA())</f>
        <v>86.575463405089181</v>
      </c>
    </row>
    <row r="124" spans="2:3" hidden="1" outlineLevel="1" x14ac:dyDescent="0.45">
      <c r="B124" s="71">
        <v>0.19</v>
      </c>
      <c r="C124" s="70" cm="1">
        <f t="array" aca="1" ref="C124" ca="1">IF(ISNUMBER(_xll.VoseSimPercentile(Out_Down,0.19)),_xll.VoseSimPercentile(Out_Down,0.19),NA())</f>
        <v>87.17234489057725</v>
      </c>
    </row>
    <row r="125" spans="2:3" hidden="1" outlineLevel="1" x14ac:dyDescent="0.45">
      <c r="B125" s="71">
        <v>0.2</v>
      </c>
      <c r="C125" s="70" cm="1">
        <f t="array" aca="1" ref="C125" ca="1">IF(ISNUMBER(_xll.VoseSimPercentile(Out_Down,0.2)),_xll.VoseSimPercentile(Out_Down,0.2),NA())</f>
        <v>87.839320513063058</v>
      </c>
    </row>
    <row r="126" spans="2:3" hidden="1" outlineLevel="1" x14ac:dyDescent="0.45">
      <c r="B126" s="71">
        <v>0.21</v>
      </c>
      <c r="C126" s="70" cm="1">
        <f t="array" aca="1" ref="C126" ca="1">IF(ISNUMBER(_xll.VoseSimPercentile(Out_Down,0.21)),_xll.VoseSimPercentile(Out_Down,0.21),NA())</f>
        <v>88.299201553995971</v>
      </c>
    </row>
    <row r="127" spans="2:3" hidden="1" outlineLevel="1" x14ac:dyDescent="0.45">
      <c r="B127" s="71">
        <v>0.22</v>
      </c>
      <c r="C127" s="70" cm="1">
        <f t="array" aca="1" ref="C127" ca="1">IF(ISNUMBER(_xll.VoseSimPercentile(Out_Down,0.22)),_xll.VoseSimPercentile(Out_Down,0.22),NA())</f>
        <v>88.858367211091377</v>
      </c>
    </row>
    <row r="128" spans="2:3" hidden="1" outlineLevel="1" x14ac:dyDescent="0.45">
      <c r="B128" s="71">
        <v>0.23</v>
      </c>
      <c r="C128" s="70" cm="1">
        <f t="array" aca="1" ref="C128" ca="1">IF(ISNUMBER(_xll.VoseSimPercentile(Out_Down,0.23)),_xll.VoseSimPercentile(Out_Down,0.23),NA())</f>
        <v>89.453828553886012</v>
      </c>
    </row>
    <row r="129" spans="2:3" hidden="1" outlineLevel="1" x14ac:dyDescent="0.45">
      <c r="B129" s="71">
        <v>0.24</v>
      </c>
      <c r="C129" s="70" cm="1">
        <f t="array" aca="1" ref="C129" ca="1">IF(ISNUMBER(_xll.VoseSimPercentile(Out_Down,0.24)),_xll.VoseSimPercentile(Out_Down,0.24),NA())</f>
        <v>89.964330200394457</v>
      </c>
    </row>
    <row r="130" spans="2:3" hidden="1" outlineLevel="1" x14ac:dyDescent="0.45">
      <c r="B130" s="71">
        <v>0.25</v>
      </c>
      <c r="C130" s="70" cm="1">
        <f t="array" aca="1" ref="C130" ca="1">IF(ISNUMBER(_xll.VoseSimPercentile(Out_Down,0.25)),_xll.VoseSimPercentile(Out_Down,0.25),NA())</f>
        <v>90.491474798154499</v>
      </c>
    </row>
    <row r="131" spans="2:3" hidden="1" outlineLevel="1" x14ac:dyDescent="0.45">
      <c r="B131" s="71">
        <v>0.26</v>
      </c>
      <c r="C131" s="70" cm="1">
        <f t="array" aca="1" ref="C131" ca="1">IF(ISNUMBER(_xll.VoseSimPercentile(Out_Down,0.26)),_xll.VoseSimPercentile(Out_Down,0.26),NA())</f>
        <v>90.986915505671874</v>
      </c>
    </row>
    <row r="132" spans="2:3" hidden="1" outlineLevel="1" x14ac:dyDescent="0.45">
      <c r="B132" s="71">
        <v>0.27</v>
      </c>
      <c r="C132" s="70" cm="1">
        <f t="array" aca="1" ref="C132" ca="1">IF(ISNUMBER(_xll.VoseSimPercentile(Out_Down,0.27)),_xll.VoseSimPercentile(Out_Down,0.27),NA())</f>
        <v>91.534119146082759</v>
      </c>
    </row>
    <row r="133" spans="2:3" hidden="1" outlineLevel="1" x14ac:dyDescent="0.45">
      <c r="B133" s="71">
        <v>0.28000000000000003</v>
      </c>
      <c r="C133" s="70" cm="1">
        <f t="array" aca="1" ref="C133" ca="1">IF(ISNUMBER(_xll.VoseSimPercentile(Out_Down,0.28)),_xll.VoseSimPercentile(Out_Down,0.28),NA())</f>
        <v>92.04921550080374</v>
      </c>
    </row>
    <row r="134" spans="2:3" hidden="1" outlineLevel="1" x14ac:dyDescent="0.45">
      <c r="B134" s="71">
        <v>0.28999999999999998</v>
      </c>
      <c r="C134" s="70" cm="1">
        <f t="array" aca="1" ref="C134" ca="1">IF(ISNUMBER(_xll.VoseSimPercentile(Out_Down,0.29)),_xll.VoseSimPercentile(Out_Down,0.29),NA())</f>
        <v>92.474698697636597</v>
      </c>
    </row>
    <row r="135" spans="2:3" hidden="1" outlineLevel="1" x14ac:dyDescent="0.45">
      <c r="B135" s="71">
        <v>0.3</v>
      </c>
      <c r="C135" s="70" cm="1">
        <f t="array" aca="1" ref="C135" ca="1">IF(ISNUMBER(_xll.VoseSimPercentile(Out_Down,0.3)),_xll.VoseSimPercentile(Out_Down,0.3),NA())</f>
        <v>93.031284948838334</v>
      </c>
    </row>
    <row r="136" spans="2:3" hidden="1" outlineLevel="1" x14ac:dyDescent="0.45">
      <c r="B136" s="71">
        <v>0.31</v>
      </c>
      <c r="C136" s="70" cm="1">
        <f t="array" aca="1" ref="C136" ca="1">IF(ISNUMBER(_xll.VoseSimPercentile(Out_Down,0.31)),_xll.VoseSimPercentile(Out_Down,0.31),NA())</f>
        <v>93.501799390887484</v>
      </c>
    </row>
    <row r="137" spans="2:3" hidden="1" outlineLevel="1" x14ac:dyDescent="0.45">
      <c r="B137" s="71">
        <v>0.32</v>
      </c>
      <c r="C137" s="70" cm="1">
        <f t="array" aca="1" ref="C137" ca="1">IF(ISNUMBER(_xll.VoseSimPercentile(Out_Down,0.32)),_xll.VoseSimPercentile(Out_Down,0.32),NA())</f>
        <v>93.97283287574264</v>
      </c>
    </row>
    <row r="138" spans="2:3" hidden="1" outlineLevel="1" x14ac:dyDescent="0.45">
      <c r="B138" s="71">
        <v>0.33</v>
      </c>
      <c r="C138" s="70" cm="1">
        <f t="array" aca="1" ref="C138" ca="1">IF(ISNUMBER(_xll.VoseSimPercentile(Out_Down,0.33)),_xll.VoseSimPercentile(Out_Down,0.33),NA())</f>
        <v>94.375048999007333</v>
      </c>
    </row>
    <row r="139" spans="2:3" hidden="1" outlineLevel="1" x14ac:dyDescent="0.45">
      <c r="B139" s="71">
        <v>0.34</v>
      </c>
      <c r="C139" s="70" cm="1">
        <f t="array" aca="1" ref="C139" ca="1">IF(ISNUMBER(_xll.VoseSimPercentile(Out_Down,0.34)),_xll.VoseSimPercentile(Out_Down,0.34),NA())</f>
        <v>94.861593764602276</v>
      </c>
    </row>
    <row r="140" spans="2:3" hidden="1" outlineLevel="1" x14ac:dyDescent="0.45">
      <c r="B140" s="71">
        <v>0.35</v>
      </c>
      <c r="C140" s="70" cm="1">
        <f t="array" aca="1" ref="C140" ca="1">IF(ISNUMBER(_xll.VoseSimPercentile(Out_Down,0.35)),_xll.VoseSimPercentile(Out_Down,0.35),NA())</f>
        <v>95.309780685839002</v>
      </c>
    </row>
    <row r="141" spans="2:3" hidden="1" outlineLevel="1" x14ac:dyDescent="0.45">
      <c r="B141" s="71">
        <v>0.36</v>
      </c>
      <c r="C141" s="70" cm="1">
        <f t="array" aca="1" ref="C141" ca="1">IF(ISNUMBER(_xll.VoseSimPercentile(Out_Down,0.36)),_xll.VoseSimPercentile(Out_Down,0.36),NA())</f>
        <v>95.801954763548153</v>
      </c>
    </row>
    <row r="142" spans="2:3" hidden="1" outlineLevel="1" x14ac:dyDescent="0.45">
      <c r="B142" s="71">
        <v>0.37</v>
      </c>
      <c r="C142" s="70" cm="1">
        <f t="array" aca="1" ref="C142" ca="1">IF(ISNUMBER(_xll.VoseSimPercentile(Out_Down,0.37)),_xll.VoseSimPercentile(Out_Down,0.37),NA())</f>
        <v>96.284700959662189</v>
      </c>
    </row>
    <row r="143" spans="2:3" hidden="1" outlineLevel="1" x14ac:dyDescent="0.45">
      <c r="B143" s="71">
        <v>0.38</v>
      </c>
      <c r="C143" s="70" cm="1">
        <f t="array" aca="1" ref="C143" ca="1">IF(ISNUMBER(_xll.VoseSimPercentile(Out_Down,0.38)),_xll.VoseSimPercentile(Out_Down,0.38),NA())</f>
        <v>96.843410471693275</v>
      </c>
    </row>
    <row r="144" spans="2:3" hidden="1" outlineLevel="1" x14ac:dyDescent="0.45">
      <c r="B144" s="71">
        <v>0.39</v>
      </c>
      <c r="C144" s="70" cm="1">
        <f t="array" aca="1" ref="C144" ca="1">IF(ISNUMBER(_xll.VoseSimPercentile(Out_Down,0.39)),_xll.VoseSimPercentile(Out_Down,0.39),NA())</f>
        <v>97.243490495824261</v>
      </c>
    </row>
    <row r="145" spans="2:3" hidden="1" outlineLevel="1" x14ac:dyDescent="0.45">
      <c r="B145" s="71">
        <v>0.4</v>
      </c>
      <c r="C145" s="70" cm="1">
        <f t="array" aca="1" ref="C145" ca="1">IF(ISNUMBER(_xll.VoseSimPercentile(Out_Down,0.4)),_xll.VoseSimPercentile(Out_Down,0.4),NA())</f>
        <v>97.720453368325551</v>
      </c>
    </row>
    <row r="146" spans="2:3" hidden="1" outlineLevel="1" x14ac:dyDescent="0.45">
      <c r="B146" s="71">
        <v>0.41</v>
      </c>
      <c r="C146" s="70" cm="1">
        <f t="array" aca="1" ref="C146" ca="1">IF(ISNUMBER(_xll.VoseSimPercentile(Out_Down,0.41)),_xll.VoseSimPercentile(Out_Down,0.41),NA())</f>
        <v>98.176917319129728</v>
      </c>
    </row>
    <row r="147" spans="2:3" hidden="1" outlineLevel="1" x14ac:dyDescent="0.45">
      <c r="B147" s="71">
        <v>0.42</v>
      </c>
      <c r="C147" s="70" cm="1">
        <f t="array" aca="1" ref="C147" ca="1">IF(ISNUMBER(_xll.VoseSimPercentile(Out_Down,0.42)),_xll.VoseSimPercentile(Out_Down,0.42),NA())</f>
        <v>98.608804359006456</v>
      </c>
    </row>
    <row r="148" spans="2:3" hidden="1" outlineLevel="1" x14ac:dyDescent="0.45">
      <c r="B148" s="71">
        <v>0.43</v>
      </c>
      <c r="C148" s="70" cm="1">
        <f t="array" aca="1" ref="C148" ca="1">IF(ISNUMBER(_xll.VoseSimPercentile(Out_Down,0.43)),_xll.VoseSimPercentile(Out_Down,0.43),NA())</f>
        <v>99.061128209659842</v>
      </c>
    </row>
    <row r="149" spans="2:3" hidden="1" outlineLevel="1" x14ac:dyDescent="0.45">
      <c r="B149" s="71">
        <v>0.44</v>
      </c>
      <c r="C149" s="70" cm="1">
        <f t="array" aca="1" ref="C149" ca="1">IF(ISNUMBER(_xll.VoseSimPercentile(Out_Down,0.44)),_xll.VoseSimPercentile(Out_Down,0.44),NA())</f>
        <v>99.465607832185</v>
      </c>
    </row>
    <row r="150" spans="2:3" hidden="1" outlineLevel="1" x14ac:dyDescent="0.45">
      <c r="B150" s="71">
        <v>0.45</v>
      </c>
      <c r="C150" s="70" cm="1">
        <f t="array" aca="1" ref="C150" ca="1">IF(ISNUMBER(_xll.VoseSimPercentile(Out_Down,0.45)),_xll.VoseSimPercentile(Out_Down,0.45),NA())</f>
        <v>99.914112375621372</v>
      </c>
    </row>
    <row r="151" spans="2:3" hidden="1" outlineLevel="1" x14ac:dyDescent="0.45">
      <c r="B151" s="71">
        <v>0.46</v>
      </c>
      <c r="C151" s="70" cm="1">
        <f t="array" aca="1" ref="C151" ca="1">IF(ISNUMBER(_xll.VoseSimPercentile(Out_Down,0.46)),_xll.VoseSimPercentile(Out_Down,0.46),NA())</f>
        <v>100.31803862834073</v>
      </c>
    </row>
    <row r="152" spans="2:3" hidden="1" outlineLevel="1" x14ac:dyDescent="0.45">
      <c r="B152" s="71">
        <v>0.47</v>
      </c>
      <c r="C152" s="70" cm="1">
        <f t="array" aca="1" ref="C152" ca="1">IF(ISNUMBER(_xll.VoseSimPercentile(Out_Down,0.47)),_xll.VoseSimPercentile(Out_Down,0.47),NA())</f>
        <v>100.85995617750955</v>
      </c>
    </row>
    <row r="153" spans="2:3" hidden="1" outlineLevel="1" x14ac:dyDescent="0.45">
      <c r="B153" s="71">
        <v>0.48</v>
      </c>
      <c r="C153" s="70" cm="1">
        <f t="array" aca="1" ref="C153" ca="1">IF(ISNUMBER(_xll.VoseSimPercentile(Out_Down,0.48)),_xll.VoseSimPercentile(Out_Down,0.48),NA())</f>
        <v>101.43313181219089</v>
      </c>
    </row>
    <row r="154" spans="2:3" hidden="1" outlineLevel="1" x14ac:dyDescent="0.45">
      <c r="B154" s="71">
        <v>0.49</v>
      </c>
      <c r="C154" s="70" cm="1">
        <f t="array" aca="1" ref="C154" ca="1">IF(ISNUMBER(_xll.VoseSimPercentile(Out_Down,0.49)),_xll.VoseSimPercentile(Out_Down,0.49),NA())</f>
        <v>101.93480947285633</v>
      </c>
    </row>
    <row r="155" spans="2:3" hidden="1" outlineLevel="1" x14ac:dyDescent="0.45">
      <c r="B155" s="71">
        <v>0.5</v>
      </c>
      <c r="C155" s="70" cm="1">
        <f t="array" aca="1" ref="C155" ca="1">IF(ISNUMBER(_xll.VoseSimPercentile(Out_Down,0.5)),_xll.VoseSimPercentile(Out_Down,0.5),NA())</f>
        <v>102.30295227887414</v>
      </c>
    </row>
    <row r="156" spans="2:3" hidden="1" outlineLevel="1" x14ac:dyDescent="0.45">
      <c r="B156" s="71">
        <v>0.51</v>
      </c>
      <c r="C156" s="70" cm="1">
        <f t="array" aca="1" ref="C156" ca="1">IF(ISNUMBER(_xll.VoseSimPercentile(Out_Down,0.51)),_xll.VoseSimPercentile(Out_Down,0.51),NA())</f>
        <v>102.76448179407926</v>
      </c>
    </row>
    <row r="157" spans="2:3" hidden="1" outlineLevel="1" x14ac:dyDescent="0.45">
      <c r="B157" s="71">
        <v>0.52</v>
      </c>
      <c r="C157" s="70" cm="1">
        <f t="array" aca="1" ref="C157" ca="1">IF(ISNUMBER(_xll.VoseSimPercentile(Out_Down,0.52)),_xll.VoseSimPercentile(Out_Down,0.52),NA())</f>
        <v>103.22271177666366</v>
      </c>
    </row>
    <row r="158" spans="2:3" hidden="1" outlineLevel="1" x14ac:dyDescent="0.45">
      <c r="B158" s="71">
        <v>0.53</v>
      </c>
      <c r="C158" s="70" cm="1">
        <f t="array" aca="1" ref="C158" ca="1">IF(ISNUMBER(_xll.VoseSimPercentile(Out_Down,0.53)),_xll.VoseSimPercentile(Out_Down,0.53),NA())</f>
        <v>103.56312563329146</v>
      </c>
    </row>
    <row r="159" spans="2:3" hidden="1" outlineLevel="1" x14ac:dyDescent="0.45">
      <c r="B159" s="71">
        <v>0.54</v>
      </c>
      <c r="C159" s="70" cm="1">
        <f t="array" aca="1" ref="C159" ca="1">IF(ISNUMBER(_xll.VoseSimPercentile(Out_Down,0.54)),_xll.VoseSimPercentile(Out_Down,0.54),NA())</f>
        <v>103.99001311568573</v>
      </c>
    </row>
    <row r="160" spans="2:3" hidden="1" outlineLevel="1" x14ac:dyDescent="0.45">
      <c r="B160" s="71">
        <v>0.55000000000000004</v>
      </c>
      <c r="C160" s="70" cm="1">
        <f t="array" aca="1" ref="C160" ca="1">IF(ISNUMBER(_xll.VoseSimPercentile(Out_Down,0.55)),_xll.VoseSimPercentile(Out_Down,0.55),NA())</f>
        <v>104.39261601584056</v>
      </c>
    </row>
    <row r="161" spans="2:3" hidden="1" outlineLevel="1" x14ac:dyDescent="0.45">
      <c r="B161" s="71">
        <v>0.56000000000000005</v>
      </c>
      <c r="C161" s="70" cm="1">
        <f t="array" aca="1" ref="C161" ca="1">IF(ISNUMBER(_xll.VoseSimPercentile(Out_Down,0.56)),_xll.VoseSimPercentile(Out_Down,0.56),NA())</f>
        <v>104.89615616823448</v>
      </c>
    </row>
    <row r="162" spans="2:3" hidden="1" outlineLevel="1" x14ac:dyDescent="0.45">
      <c r="B162" s="71">
        <v>0.56999999999999995</v>
      </c>
      <c r="C162" s="70" cm="1">
        <f t="array" aca="1" ref="C162" ca="1">IF(ISNUMBER(_xll.VoseSimPercentile(Out_Down,0.57)),_xll.VoseSimPercentile(Out_Down,0.57),NA())</f>
        <v>105.37640396486414</v>
      </c>
    </row>
    <row r="163" spans="2:3" hidden="1" outlineLevel="1" x14ac:dyDescent="0.45">
      <c r="B163" s="71">
        <v>0.57999999999999996</v>
      </c>
      <c r="C163" s="70" cm="1">
        <f t="array" aca="1" ref="C163" ca="1">IF(ISNUMBER(_xll.VoseSimPercentile(Out_Down,0.58)),_xll.VoseSimPercentile(Out_Down,0.58),NA())</f>
        <v>105.92720559897968</v>
      </c>
    </row>
    <row r="164" spans="2:3" hidden="1" outlineLevel="1" x14ac:dyDescent="0.45">
      <c r="B164" s="71">
        <v>0.59</v>
      </c>
      <c r="C164" s="70" cm="1">
        <f t="array" aca="1" ref="C164" ca="1">IF(ISNUMBER(_xll.VoseSimPercentile(Out_Down,0.59)),_xll.VoseSimPercentile(Out_Down,0.59),NA())</f>
        <v>106.3756292671016</v>
      </c>
    </row>
    <row r="165" spans="2:3" hidden="1" outlineLevel="1" x14ac:dyDescent="0.45">
      <c r="B165" s="71">
        <v>0.6</v>
      </c>
      <c r="C165" s="70" cm="1">
        <f t="array" aca="1" ref="C165" ca="1">IF(ISNUMBER(_xll.VoseSimPercentile(Out_Down,0.6)),_xll.VoseSimPercentile(Out_Down,0.6),NA())</f>
        <v>106.79339063092094</v>
      </c>
    </row>
    <row r="166" spans="2:3" hidden="1" outlineLevel="1" x14ac:dyDescent="0.45">
      <c r="B166" s="71">
        <v>0.61</v>
      </c>
      <c r="C166" s="70" cm="1">
        <f t="array" aca="1" ref="C166" ca="1">IF(ISNUMBER(_xll.VoseSimPercentile(Out_Down,0.61)),_xll.VoseSimPercentile(Out_Down,0.61),NA())</f>
        <v>107.29033482483949</v>
      </c>
    </row>
    <row r="167" spans="2:3" hidden="1" outlineLevel="1" x14ac:dyDescent="0.45">
      <c r="B167" s="71">
        <v>0.62</v>
      </c>
      <c r="C167" s="70" cm="1">
        <f t="array" aca="1" ref="C167" ca="1">IF(ISNUMBER(_xll.VoseSimPercentile(Out_Down,0.62)),_xll.VoseSimPercentile(Out_Down,0.62),NA())</f>
        <v>107.78541584032945</v>
      </c>
    </row>
    <row r="168" spans="2:3" hidden="1" outlineLevel="1" x14ac:dyDescent="0.45">
      <c r="B168" s="71">
        <v>0.63</v>
      </c>
      <c r="C168" s="70" cm="1">
        <f t="array" aca="1" ref="C168" ca="1">IF(ISNUMBER(_xll.VoseSimPercentile(Out_Down,0.63)),_xll.VoseSimPercentile(Out_Down,0.63),NA())</f>
        <v>108.446360401335</v>
      </c>
    </row>
    <row r="169" spans="2:3" hidden="1" outlineLevel="1" x14ac:dyDescent="0.45">
      <c r="B169" s="71">
        <v>0.64</v>
      </c>
      <c r="C169" s="70" cm="1">
        <f t="array" aca="1" ref="C169" ca="1">IF(ISNUMBER(_xll.VoseSimPercentile(Out_Down,0.64)),_xll.VoseSimPercentile(Out_Down,0.64),NA())</f>
        <v>108.86735678516435</v>
      </c>
    </row>
    <row r="170" spans="2:3" hidden="1" outlineLevel="1" x14ac:dyDescent="0.45">
      <c r="B170" s="71">
        <v>0.65</v>
      </c>
      <c r="C170" s="70" cm="1">
        <f t="array" aca="1" ref="C170" ca="1">IF(ISNUMBER(_xll.VoseSimPercentile(Out_Down,0.65)),_xll.VoseSimPercentile(Out_Down,0.65),NA())</f>
        <v>109.46088860004151</v>
      </c>
    </row>
    <row r="171" spans="2:3" hidden="1" outlineLevel="1" x14ac:dyDescent="0.45">
      <c r="B171" s="71">
        <v>0.66</v>
      </c>
      <c r="C171" s="70" cm="1">
        <f t="array" aca="1" ref="C171" ca="1">IF(ISNUMBER(_xll.VoseSimPercentile(Out_Down,0.66)),_xll.VoseSimPercentile(Out_Down,0.66),NA())</f>
        <v>109.97415306795418</v>
      </c>
    </row>
    <row r="172" spans="2:3" hidden="1" outlineLevel="1" x14ac:dyDescent="0.45">
      <c r="B172" s="71">
        <v>0.67</v>
      </c>
      <c r="C172" s="70" cm="1">
        <f t="array" aca="1" ref="C172" ca="1">IF(ISNUMBER(_xll.VoseSimPercentile(Out_Down,0.67)),_xll.VoseSimPercentile(Out_Down,0.67),NA())</f>
        <v>110.55088649450398</v>
      </c>
    </row>
    <row r="173" spans="2:3" hidden="1" outlineLevel="1" x14ac:dyDescent="0.45">
      <c r="B173" s="71">
        <v>0.68</v>
      </c>
      <c r="C173" s="70" cm="1">
        <f t="array" aca="1" ref="C173" ca="1">IF(ISNUMBER(_xll.VoseSimPercentile(Out_Down,0.68)),_xll.VoseSimPercentile(Out_Down,0.68),NA())</f>
        <v>111.12284501029004</v>
      </c>
    </row>
    <row r="174" spans="2:3" hidden="1" outlineLevel="1" x14ac:dyDescent="0.45">
      <c r="B174" s="71">
        <v>0.69</v>
      </c>
      <c r="C174" s="70" cm="1">
        <f t="array" aca="1" ref="C174" ca="1">IF(ISNUMBER(_xll.VoseSimPercentile(Out_Down,0.69)),_xll.VoseSimPercentile(Out_Down,0.69),NA())</f>
        <v>111.67134733356542</v>
      </c>
    </row>
    <row r="175" spans="2:3" hidden="1" outlineLevel="1" x14ac:dyDescent="0.45">
      <c r="B175" s="71">
        <v>0.7</v>
      </c>
      <c r="C175" s="70" cm="1">
        <f t="array" aca="1" ref="C175" ca="1">IF(ISNUMBER(_xll.VoseSimPercentile(Out_Down,0.7)),_xll.VoseSimPercentile(Out_Down,0.7),NA())</f>
        <v>112.23187048272571</v>
      </c>
    </row>
    <row r="176" spans="2:3" hidden="1" outlineLevel="1" x14ac:dyDescent="0.45">
      <c r="B176" s="71">
        <v>0.71</v>
      </c>
      <c r="C176" s="70" cm="1">
        <f t="array" aca="1" ref="C176" ca="1">IF(ISNUMBER(_xll.VoseSimPercentile(Out_Down,0.71)),_xll.VoseSimPercentile(Out_Down,0.71),NA())</f>
        <v>112.73547966828917</v>
      </c>
    </row>
    <row r="177" spans="2:3" hidden="1" outlineLevel="1" x14ac:dyDescent="0.45">
      <c r="B177" s="71">
        <v>0.72</v>
      </c>
      <c r="C177" s="70" cm="1">
        <f t="array" aca="1" ref="C177" ca="1">IF(ISNUMBER(_xll.VoseSimPercentile(Out_Down,0.72)),_xll.VoseSimPercentile(Out_Down,0.72),NA())</f>
        <v>113.31610469905804</v>
      </c>
    </row>
    <row r="178" spans="2:3" hidden="1" outlineLevel="1" x14ac:dyDescent="0.45">
      <c r="B178" s="71">
        <v>0.73</v>
      </c>
      <c r="C178" s="70" cm="1">
        <f t="array" aca="1" ref="C178" ca="1">IF(ISNUMBER(_xll.VoseSimPercentile(Out_Down,0.73)),_xll.VoseSimPercentile(Out_Down,0.73),NA())</f>
        <v>113.95920358110541</v>
      </c>
    </row>
    <row r="179" spans="2:3" hidden="1" outlineLevel="1" x14ac:dyDescent="0.45">
      <c r="B179" s="71">
        <v>0.74</v>
      </c>
      <c r="C179" s="70" cm="1">
        <f t="array" aca="1" ref="C179" ca="1">IF(ISNUMBER(_xll.VoseSimPercentile(Out_Down,0.74)),_xll.VoseSimPercentile(Out_Down,0.74),NA())</f>
        <v>114.51265913402702</v>
      </c>
    </row>
    <row r="180" spans="2:3" hidden="1" outlineLevel="1" x14ac:dyDescent="0.45">
      <c r="B180" s="71">
        <v>0.75</v>
      </c>
      <c r="C180" s="70" cm="1">
        <f t="array" aca="1" ref="C180" ca="1">IF(ISNUMBER(_xll.VoseSimPercentile(Out_Down,0.75)),_xll.VoseSimPercentile(Out_Down,0.75),NA())</f>
        <v>115.162502331273</v>
      </c>
    </row>
    <row r="181" spans="2:3" hidden="1" outlineLevel="1" x14ac:dyDescent="0.45">
      <c r="B181" s="71">
        <v>0.76</v>
      </c>
      <c r="C181" s="70" cm="1">
        <f t="array" aca="1" ref="C181" ca="1">IF(ISNUMBER(_xll.VoseSimPercentile(Out_Down,0.76)),_xll.VoseSimPercentile(Out_Down,0.76),NA())</f>
        <v>115.85445406336109</v>
      </c>
    </row>
    <row r="182" spans="2:3" hidden="1" outlineLevel="1" x14ac:dyDescent="0.45">
      <c r="B182" s="71">
        <v>0.77</v>
      </c>
      <c r="C182" s="70" cm="1">
        <f t="array" aca="1" ref="C182" ca="1">IF(ISNUMBER(_xll.VoseSimPercentile(Out_Down,0.77)),_xll.VoseSimPercentile(Out_Down,0.77),NA())</f>
        <v>116.54017557914963</v>
      </c>
    </row>
    <row r="183" spans="2:3" hidden="1" outlineLevel="1" x14ac:dyDescent="0.45">
      <c r="B183" s="71">
        <v>0.78</v>
      </c>
      <c r="C183" s="70" cm="1">
        <f t="array" aca="1" ref="C183" ca="1">IF(ISNUMBER(_xll.VoseSimPercentile(Out_Down,0.78)),_xll.VoseSimPercentile(Out_Down,0.78),NA())</f>
        <v>117.08358386876006</v>
      </c>
    </row>
    <row r="184" spans="2:3" hidden="1" outlineLevel="1" x14ac:dyDescent="0.45">
      <c r="B184" s="71">
        <v>0.79</v>
      </c>
      <c r="C184" s="70" cm="1">
        <f t="array" aca="1" ref="C184" ca="1">IF(ISNUMBER(_xll.VoseSimPercentile(Out_Down,0.79)),_xll.VoseSimPercentile(Out_Down,0.79),NA())</f>
        <v>117.6321204987853</v>
      </c>
    </row>
    <row r="185" spans="2:3" hidden="1" outlineLevel="1" x14ac:dyDescent="0.45">
      <c r="B185" s="71">
        <v>0.8</v>
      </c>
      <c r="C185" s="70" cm="1">
        <f t="array" aca="1" ref="C185" ca="1">IF(ISNUMBER(_xll.VoseSimPercentile(Out_Down,0.8)),_xll.VoseSimPercentile(Out_Down,0.8),NA())</f>
        <v>118.53349622949901</v>
      </c>
    </row>
    <row r="186" spans="2:3" hidden="1" outlineLevel="1" x14ac:dyDescent="0.45">
      <c r="B186" s="71">
        <v>0.81</v>
      </c>
      <c r="C186" s="70" cm="1">
        <f t="array" aca="1" ref="C186" ca="1">IF(ISNUMBER(_xll.VoseSimPercentile(Out_Down,0.81)),_xll.VoseSimPercentile(Out_Down,0.81),NA())</f>
        <v>119.28779472396826</v>
      </c>
    </row>
    <row r="187" spans="2:3" hidden="1" outlineLevel="1" x14ac:dyDescent="0.45">
      <c r="B187" s="71">
        <v>0.82</v>
      </c>
      <c r="C187" s="70" cm="1">
        <f t="array" aca="1" ref="C187" ca="1">IF(ISNUMBER(_xll.VoseSimPercentile(Out_Down,0.82)),_xll.VoseSimPercentile(Out_Down,0.82),NA())</f>
        <v>120.10073076892263</v>
      </c>
    </row>
    <row r="188" spans="2:3" hidden="1" outlineLevel="1" x14ac:dyDescent="0.45">
      <c r="B188" s="71">
        <v>0.83</v>
      </c>
      <c r="C188" s="70" cm="1">
        <f t="array" aca="1" ref="C188" ca="1">IF(ISNUMBER(_xll.VoseSimPercentile(Out_Down,0.83)),_xll.VoseSimPercentile(Out_Down,0.83),NA())</f>
        <v>120.86970509523736</v>
      </c>
    </row>
    <row r="189" spans="2:3" hidden="1" outlineLevel="1" x14ac:dyDescent="0.45">
      <c r="B189" s="71">
        <v>0.84</v>
      </c>
      <c r="C189" s="70" cm="1">
        <f t="array" aca="1" ref="C189" ca="1">IF(ISNUMBER(_xll.VoseSimPercentile(Out_Down,0.84)),_xll.VoseSimPercentile(Out_Down,0.84),NA())</f>
        <v>121.66616597206534</v>
      </c>
    </row>
    <row r="190" spans="2:3" hidden="1" outlineLevel="1" x14ac:dyDescent="0.45">
      <c r="B190" s="71">
        <v>0.85</v>
      </c>
      <c r="C190" s="70" cm="1">
        <f t="array" aca="1" ref="C190" ca="1">IF(ISNUMBER(_xll.VoseSimPercentile(Out_Down,0.85)),_xll.VoseSimPercentile(Out_Down,0.85),NA())</f>
        <v>122.68437598360458</v>
      </c>
    </row>
    <row r="191" spans="2:3" hidden="1" outlineLevel="1" x14ac:dyDescent="0.45">
      <c r="B191" s="71">
        <v>0.86</v>
      </c>
      <c r="C191" s="70" cm="1">
        <f t="array" aca="1" ref="C191" ca="1">IF(ISNUMBER(_xll.VoseSimPercentile(Out_Down,0.86)),_xll.VoseSimPercentile(Out_Down,0.86),NA())</f>
        <v>123.81833371451179</v>
      </c>
    </row>
    <row r="192" spans="2:3" hidden="1" outlineLevel="1" x14ac:dyDescent="0.45">
      <c r="B192" s="71">
        <v>0.87</v>
      </c>
      <c r="C192" s="70" cm="1">
        <f t="array" aca="1" ref="C192" ca="1">IF(ISNUMBER(_xll.VoseSimPercentile(Out_Down,0.87)),_xll.VoseSimPercentile(Out_Down,0.87),NA())</f>
        <v>124.65853183195972</v>
      </c>
    </row>
    <row r="193" spans="2:7" hidden="1" outlineLevel="1" x14ac:dyDescent="0.45">
      <c r="B193" s="71">
        <v>0.88</v>
      </c>
      <c r="C193" s="70" cm="1">
        <f t="array" aca="1" ref="C193" ca="1">IF(ISNUMBER(_xll.VoseSimPercentile(Out_Down,0.88)),_xll.VoseSimPercentile(Out_Down,0.88),NA())</f>
        <v>125.77096670211209</v>
      </c>
    </row>
    <row r="194" spans="2:7" hidden="1" outlineLevel="1" x14ac:dyDescent="0.45">
      <c r="B194" s="71">
        <v>0.89</v>
      </c>
      <c r="C194" s="70" cm="1">
        <f t="array" aca="1" ref="C194" ca="1">IF(ISNUMBER(_xll.VoseSimPercentile(Out_Down,0.89)),_xll.VoseSimPercentile(Out_Down,0.89),NA())</f>
        <v>127.03413564665445</v>
      </c>
    </row>
    <row r="195" spans="2:7" hidden="1" outlineLevel="1" x14ac:dyDescent="0.45">
      <c r="B195" s="71">
        <v>0.9</v>
      </c>
      <c r="C195" s="70" cm="1">
        <f t="array" aca="1" ref="C195" ca="1">IF(ISNUMBER(_xll.VoseSimPercentile(Out_Down,0.9)),_xll.VoseSimPercentile(Out_Down,0.9),NA())</f>
        <v>128.22183841110373</v>
      </c>
    </row>
    <row r="196" spans="2:7" hidden="1" outlineLevel="1" x14ac:dyDescent="0.45">
      <c r="B196" s="71">
        <v>0.91</v>
      </c>
      <c r="C196" s="70" cm="1">
        <f t="array" aca="1" ref="C196" ca="1">IF(ISNUMBER(_xll.VoseSimPercentile(Out_Down,0.91)),_xll.VoseSimPercentile(Out_Down,0.91),NA())</f>
        <v>129.31415172929579</v>
      </c>
    </row>
    <row r="197" spans="2:7" hidden="1" outlineLevel="1" x14ac:dyDescent="0.45">
      <c r="B197" s="71">
        <v>0.92</v>
      </c>
      <c r="C197" s="70" cm="1">
        <f t="array" aca="1" ref="C197" ca="1">IF(ISNUMBER(_xll.VoseSimPercentile(Out_Down,0.92)),_xll.VoseSimPercentile(Out_Down,0.92),NA())</f>
        <v>130.82829478264424</v>
      </c>
    </row>
    <row r="198" spans="2:7" hidden="1" outlineLevel="1" x14ac:dyDescent="0.45">
      <c r="B198" s="71">
        <v>0.93</v>
      </c>
      <c r="C198" s="70" cm="1">
        <f t="array" aca="1" ref="C198" ca="1">IF(ISNUMBER(_xll.VoseSimPercentile(Out_Down,0.93)),_xll.VoseSimPercentile(Out_Down,0.93),NA())</f>
        <v>132.35320083834762</v>
      </c>
    </row>
    <row r="199" spans="2:7" hidden="1" outlineLevel="1" x14ac:dyDescent="0.45">
      <c r="B199" s="71">
        <v>0.94</v>
      </c>
      <c r="C199" s="70" cm="1">
        <f t="array" aca="1" ref="C199" ca="1">IF(ISNUMBER(_xll.VoseSimPercentile(Out_Down,0.94)),_xll.VoseSimPercentile(Out_Down,0.94),NA())</f>
        <v>134.23611564250069</v>
      </c>
    </row>
    <row r="200" spans="2:7" hidden="1" outlineLevel="1" x14ac:dyDescent="0.45">
      <c r="B200" s="71">
        <v>0.95</v>
      </c>
      <c r="C200" s="70" cm="1">
        <f t="array" aca="1" ref="C200" ca="1">IF(ISNUMBER(_xll.VoseSimPercentile(Out_Down,0.95)),_xll.VoseSimPercentile(Out_Down,0.95),NA())</f>
        <v>136.44236418480762</v>
      </c>
    </row>
    <row r="201" spans="2:7" hidden="1" outlineLevel="1" x14ac:dyDescent="0.45">
      <c r="B201" s="71">
        <v>0.96</v>
      </c>
      <c r="C201" s="70" cm="1">
        <f t="array" aca="1" ref="C201" ca="1">IF(ISNUMBER(_xll.VoseSimPercentile(Out_Down,0.96)),_xll.VoseSimPercentile(Out_Down,0.96),NA())</f>
        <v>139.36911392192326</v>
      </c>
    </row>
    <row r="202" spans="2:7" hidden="1" outlineLevel="1" x14ac:dyDescent="0.45">
      <c r="B202" s="71">
        <v>0.97</v>
      </c>
      <c r="C202" s="70" cm="1">
        <f t="array" aca="1" ref="C202" ca="1">IF(ISNUMBER(_xll.VoseSimPercentile(Out_Down,0.97)),_xll.VoseSimPercentile(Out_Down,0.97),NA())</f>
        <v>142.94545179330947</v>
      </c>
    </row>
    <row r="203" spans="2:7" hidden="1" outlineLevel="1" x14ac:dyDescent="0.45">
      <c r="B203" s="71">
        <v>0.98</v>
      </c>
      <c r="C203" s="70" cm="1">
        <f t="array" aca="1" ref="C203" ca="1">IF(ISNUMBER(_xll.VoseSimPercentile(Out_Down,0.98)),_xll.VoseSimPercentile(Out_Down,0.98),NA())</f>
        <v>147.521982115003</v>
      </c>
    </row>
    <row r="204" spans="2:7" hidden="1" outlineLevel="1" x14ac:dyDescent="0.45">
      <c r="B204" s="71">
        <v>0.99</v>
      </c>
      <c r="C204" s="70" cm="1">
        <f t="array" aca="1" ref="C204" ca="1">IF(ISNUMBER(_xll.VoseSimPercentile(Out_Down,0.99)),_xll.VoseSimPercentile(Out_Down,0.99),NA())</f>
        <v>155.52731100268139</v>
      </c>
    </row>
    <row r="205" spans="2:7" hidden="1" outlineLevel="1" x14ac:dyDescent="0.45">
      <c r="B205" s="71">
        <v>0.995</v>
      </c>
      <c r="C205" s="70" cm="1">
        <f t="array" aca="1" ref="C205" ca="1">IF(ISNUMBER(_xll.VoseSimPercentile(Out_Down,0.995)),_xll.VoseSimPercentile(Out_Down,0.995),NA())</f>
        <v>161.70580250767608</v>
      </c>
    </row>
    <row r="206" spans="2:7" hidden="1" outlineLevel="1" x14ac:dyDescent="0.45"/>
    <row r="207" spans="2:7" ht="18" hidden="1" customHeight="1" outlineLevel="1" x14ac:dyDescent="0.45">
      <c r="B207" s="23" t="s">
        <v>256</v>
      </c>
      <c r="C207" s="24" t="s">
        <v>257</v>
      </c>
      <c r="D207" s="24" t="s">
        <v>258</v>
      </c>
      <c r="E207" s="24" t="s">
        <v>259</v>
      </c>
      <c r="F207" s="24" t="s">
        <v>260</v>
      </c>
      <c r="G207" s="24" t="s">
        <v>261</v>
      </c>
    </row>
    <row r="208" spans="2:7" hidden="1" outlineLevel="1" x14ac:dyDescent="0.45">
      <c r="B208" s="72">
        <v>0</v>
      </c>
      <c r="C208" s="70">
        <f ca="1">IF(ISNUMBER($C$105),$C$105+($C$205-$C$105)*0/24,NA())</f>
        <v>63.538568397181393</v>
      </c>
      <c r="D208" s="73">
        <f t="shared" ref="D208:D232" ca="1" si="2">IF(ISNUMBER(C208),MATCH(C208,$C$105:$C$205,1),NA())</f>
        <v>1</v>
      </c>
      <c r="E208" s="70">
        <f t="shared" ref="E208:E231" ca="1" si="3">IF(ISNUMBER(C208),(C208+C209)/2,NA())</f>
        <v>65.583719107816705</v>
      </c>
      <c r="F208" s="71">
        <f t="shared" ref="F208:F231" ca="1" si="4">IF(ISNUMBER(G209),G209-G208,NA())</f>
        <v>7.4245157360731126E-3</v>
      </c>
      <c r="G208" s="71" cm="1">
        <f t="array" aca="1" ref="G208" ca="1">IF(ISNUMBER(D208),IF(D208&gt;=101,INDEX($B$105:$B$205,101),INDEX($B$105:$B$205,D208)+(C208-INDEX($C$105:$C$205,D208))/MAX(0.000000000001,INDEX($C$105:$C$205,D208+1)-INDEX($C$105:$C$205,D208))*(INDEX($B$105:$B$205,D208+1)-INDEX($B$105:$B$205,D208))),NA())</f>
        <v>5.0000000000000001E-3</v>
      </c>
    </row>
    <row r="209" spans="2:7" hidden="1" outlineLevel="1" x14ac:dyDescent="0.45">
      <c r="B209" s="72">
        <v>1</v>
      </c>
      <c r="C209" s="70">
        <f ca="1">IF(ISNUMBER($C$105),$C$105+($C$205-$C$105)*1/24,NA())</f>
        <v>67.628869818452003</v>
      </c>
      <c r="D209" s="73">
        <f t="shared" ca="1" si="2"/>
        <v>2</v>
      </c>
      <c r="E209" s="70">
        <f t="shared" ca="1" si="3"/>
        <v>69.674020529087301</v>
      </c>
      <c r="F209" s="71">
        <f t="shared" ca="1" si="4"/>
        <v>1.492900035101211E-2</v>
      </c>
      <c r="G209" s="71" cm="1">
        <f t="array" aca="1" ref="G209" ca="1">IF(ISNUMBER(D209),IF(D209&gt;=101,INDEX($B$105:$B$205,101),INDEX($B$105:$B$205,D209)+(C209-INDEX($C$105:$C$205,D209))/MAX(0.000000000001,INDEX($C$105:$C$205,D209+1)-INDEX($C$105:$C$205,D209))*(INDEX($B$105:$B$205,D209+1)-INDEX($B$105:$B$205,D209))),NA())</f>
        <v>1.2424515736073113E-2</v>
      </c>
    </row>
    <row r="210" spans="2:7" hidden="1" outlineLevel="1" x14ac:dyDescent="0.45">
      <c r="B210" s="72">
        <v>2</v>
      </c>
      <c r="C210" s="70">
        <f ca="1">IF(ISNUMBER($C$105),$C$105+($C$205-$C$105)*2/24,NA())</f>
        <v>71.719171239722613</v>
      </c>
      <c r="D210" s="73">
        <f t="shared" ca="1" si="2"/>
        <v>3</v>
      </c>
      <c r="E210" s="70">
        <f t="shared" ca="1" si="3"/>
        <v>73.764321950357925</v>
      </c>
      <c r="F210" s="71">
        <f t="shared" ca="1" si="4"/>
        <v>2.2485673643535493E-2</v>
      </c>
      <c r="G210" s="71" cm="1">
        <f t="array" aca="1" ref="G210" ca="1">IF(ISNUMBER(D210),IF(D210&gt;=101,INDEX($B$105:$B$205,101),INDEX($B$105:$B$205,D210)+(C210-INDEX($C$105:$C$205,D210))/MAX(0.000000000001,INDEX($C$105:$C$205,D210+1)-INDEX($C$105:$C$205,D210))*(INDEX($B$105:$B$205,D210+1)-INDEX($B$105:$B$205,D210))),NA())</f>
        <v>2.7353516087085222E-2</v>
      </c>
    </row>
    <row r="211" spans="2:7" hidden="1" outlineLevel="1" x14ac:dyDescent="0.45">
      <c r="B211" s="72">
        <v>3</v>
      </c>
      <c r="C211" s="70">
        <f ca="1">IF(ISNUMBER($C$105),$C$105+($C$205-$C$105)*3/24,NA())</f>
        <v>75.809472660993237</v>
      </c>
      <c r="D211" s="73">
        <f t="shared" ca="1" si="2"/>
        <v>5</v>
      </c>
      <c r="E211" s="70">
        <f t="shared" ca="1" si="3"/>
        <v>77.854623371628549</v>
      </c>
      <c r="F211" s="71">
        <f t="shared" ca="1" si="4"/>
        <v>3.533851434755924E-2</v>
      </c>
      <c r="G211" s="71" cm="1">
        <f t="array" aca="1" ref="G211" ca="1">IF(ISNUMBER(D211),IF(D211&gt;=101,INDEX($B$105:$B$205,101),INDEX($B$105:$B$205,D211)+(C211-INDEX($C$105:$C$205,D211))/MAX(0.000000000001,INDEX($C$105:$C$205,D211+1)-INDEX($C$105:$C$205,D211))*(INDEX($B$105:$B$205,D211+1)-INDEX($B$105:$B$205,D211))),NA())</f>
        <v>4.9839189730620716E-2</v>
      </c>
    </row>
    <row r="212" spans="2:7" hidden="1" outlineLevel="1" x14ac:dyDescent="0.45">
      <c r="B212" s="72">
        <v>4</v>
      </c>
      <c r="C212" s="70">
        <f ca="1">IF(ISNUMBER($C$105),$C$105+($C$205-$C$105)*4/24,NA())</f>
        <v>79.899774082263846</v>
      </c>
      <c r="D212" s="73">
        <f t="shared" ca="1" si="2"/>
        <v>9</v>
      </c>
      <c r="E212" s="70">
        <f t="shared" ca="1" si="3"/>
        <v>81.944924792899144</v>
      </c>
      <c r="F212" s="71">
        <f t="shared" ca="1" si="4"/>
        <v>5.4995886747220835E-2</v>
      </c>
      <c r="G212" s="71" cm="1">
        <f t="array" aca="1" ref="G212" ca="1">IF(ISNUMBER(D212),IF(D212&gt;=101,INDEX($B$105:$B$205,101),INDEX($B$105:$B$205,D212)+(C212-INDEX($C$105:$C$205,D212))/MAX(0.000000000001,INDEX($C$105:$C$205,D212+1)-INDEX($C$105:$C$205,D212))*(INDEX($B$105:$B$205,D212+1)-INDEX($B$105:$B$205,D212))),NA())</f>
        <v>8.5177704078179955E-2</v>
      </c>
    </row>
    <row r="213" spans="2:7" hidden="1" outlineLevel="1" x14ac:dyDescent="0.45">
      <c r="B213" s="72">
        <v>5</v>
      </c>
      <c r="C213" s="70">
        <f ca="1">IF(ISNUMBER($C$105),$C$105+($C$205-$C$105)*5/24,NA())</f>
        <v>83.990075503534456</v>
      </c>
      <c r="D213" s="73">
        <f t="shared" ca="1" si="2"/>
        <v>15</v>
      </c>
      <c r="E213" s="70">
        <f t="shared" ca="1" si="3"/>
        <v>86.035226214169768</v>
      </c>
      <c r="F213" s="71">
        <f t="shared" ca="1" si="4"/>
        <v>6.5068121493354558E-2</v>
      </c>
      <c r="G213" s="71" cm="1">
        <f t="array" aca="1" ref="G213" ca="1">IF(ISNUMBER(D213),IF(D213&gt;=101,INDEX($B$105:$B$205,101),INDEX($B$105:$B$205,D213)+(C213-INDEX($C$105:$C$205,D213))/MAX(0.000000000001,INDEX($C$105:$C$205,D213+1)-INDEX($C$105:$C$205,D213))*(INDEX($B$105:$B$205,D213+1)-INDEX($B$105:$B$205,D213))),NA())</f>
        <v>0.14017359082540079</v>
      </c>
    </row>
    <row r="214" spans="2:7" hidden="1" outlineLevel="1" x14ac:dyDescent="0.45">
      <c r="B214" s="72">
        <v>6</v>
      </c>
      <c r="C214" s="70">
        <f ca="1">IF(ISNUMBER($C$105),$C$105+($C$205-$C$105)*6/24,NA())</f>
        <v>88.080376924805066</v>
      </c>
      <c r="D214" s="73">
        <f t="shared" ca="1" si="2"/>
        <v>21</v>
      </c>
      <c r="E214" s="70">
        <f t="shared" ca="1" si="3"/>
        <v>90.125527635440363</v>
      </c>
      <c r="F214" s="71">
        <f t="shared" ca="1" si="4"/>
        <v>7.7612991372860679E-2</v>
      </c>
      <c r="G214" s="71" cm="1">
        <f t="array" aca="1" ref="G214" ca="1">IF(ISNUMBER(D214),IF(D214&gt;=101,INDEX($B$105:$B$205,101),INDEX($B$105:$B$205,D214)+(C214-INDEX($C$105:$C$205,D214))/MAX(0.000000000001,INDEX($C$105:$C$205,D214+1)-INDEX($C$105:$C$205,D214))*(INDEX($B$105:$B$205,D214+1)-INDEX($B$105:$B$205,D214))),NA())</f>
        <v>0.20524171231875535</v>
      </c>
    </row>
    <row r="215" spans="2:7" hidden="1" outlineLevel="1" x14ac:dyDescent="0.45">
      <c r="B215" s="72">
        <v>7</v>
      </c>
      <c r="C215" s="70">
        <f ca="1">IF(ISNUMBER($C$105),$C$105+($C$205-$C$105)*7/24,NA())</f>
        <v>92.170678346075675</v>
      </c>
      <c r="D215" s="73">
        <f t="shared" ca="1" si="2"/>
        <v>29</v>
      </c>
      <c r="E215" s="70">
        <f t="shared" ca="1" si="3"/>
        <v>94.215829056710987</v>
      </c>
      <c r="F215" s="71">
        <f t="shared" ca="1" si="4"/>
        <v>8.6653916106803119E-2</v>
      </c>
      <c r="G215" s="71" cm="1">
        <f t="array" aca="1" ref="G215" ca="1">IF(ISNUMBER(D215),IF(D215&gt;=101,INDEX($B$105:$B$205,101),INDEX($B$105:$B$205,D215)+(C215-INDEX($C$105:$C$205,D215))/MAX(0.000000000001,INDEX($C$105:$C$205,D215+1)-INDEX($C$105:$C$205,D215))*(INDEX($B$105:$B$205,D215+1)-INDEX($B$105:$B$205,D215))),NA())</f>
        <v>0.28285470369161603</v>
      </c>
    </row>
    <row r="216" spans="2:7" hidden="1" outlineLevel="1" x14ac:dyDescent="0.45">
      <c r="B216" s="72">
        <v>8</v>
      </c>
      <c r="C216" s="70">
        <f ca="1">IF(ISNUMBER($C$105),$C$105+($C$205-$C$105)*8/24,NA())</f>
        <v>96.260979767346299</v>
      </c>
      <c r="D216" s="73">
        <f t="shared" ca="1" si="2"/>
        <v>37</v>
      </c>
      <c r="E216" s="70">
        <f t="shared" ca="1" si="3"/>
        <v>98.306130477981597</v>
      </c>
      <c r="F216" s="71">
        <f t="shared" ca="1" si="4"/>
        <v>9.1104804888180346E-2</v>
      </c>
      <c r="G216" s="71" cm="1">
        <f t="array" aca="1" ref="G216" ca="1">IF(ISNUMBER(D216),IF(D216&gt;=101,INDEX($B$105:$B$205,101),INDEX($B$105:$B$205,D216)+(C216-INDEX($C$105:$C$205,D216))/MAX(0.000000000001,INDEX($C$105:$C$205,D216+1)-INDEX($C$105:$C$205,D216))*(INDEX($B$105:$B$205,D216+1)-INDEX($B$105:$B$205,D216))),NA())</f>
        <v>0.36950861979841915</v>
      </c>
    </row>
    <row r="217" spans="2:7" hidden="1" outlineLevel="1" x14ac:dyDescent="0.45">
      <c r="B217" s="72">
        <v>9</v>
      </c>
      <c r="C217" s="70">
        <f ca="1">IF(ISNUMBER($C$105),$C$105+($C$205-$C$105)*9/24,NA())</f>
        <v>100.35128118861689</v>
      </c>
      <c r="D217" s="73">
        <f t="shared" ca="1" si="2"/>
        <v>47</v>
      </c>
      <c r="E217" s="70">
        <f t="shared" ca="1" si="3"/>
        <v>102.39643189925221</v>
      </c>
      <c r="F217" s="71">
        <f t="shared" ca="1" si="4"/>
        <v>9.0359021975581544E-2</v>
      </c>
      <c r="G217" s="71" cm="1">
        <f t="array" aca="1" ref="G217" ca="1">IF(ISNUMBER(D217),IF(D217&gt;=101,INDEX($B$105:$B$205,101),INDEX($B$105:$B$205,D217)+(C217-INDEX($C$105:$C$205,D217))/MAX(0.000000000001,INDEX($C$105:$C$205,D217+1)-INDEX($C$105:$C$205,D217))*(INDEX($B$105:$B$205,D217+1)-INDEX($B$105:$B$205,D217))),NA())</f>
        <v>0.46061342468659949</v>
      </c>
    </row>
    <row r="218" spans="2:7" hidden="1" outlineLevel="1" x14ac:dyDescent="0.45">
      <c r="B218" s="72">
        <v>10</v>
      </c>
      <c r="C218" s="70">
        <f ca="1">IF(ISNUMBER($C$105),$C$105+($C$205-$C$105)*10/24,NA())</f>
        <v>104.44158260988752</v>
      </c>
      <c r="D218" s="73">
        <f t="shared" ca="1" si="2"/>
        <v>56</v>
      </c>
      <c r="E218" s="70">
        <f t="shared" ca="1" si="3"/>
        <v>106.48673332052282</v>
      </c>
      <c r="F218" s="71">
        <f t="shared" ca="1" si="4"/>
        <v>8.1059010925297437E-2</v>
      </c>
      <c r="G218" s="71" cm="1">
        <f t="array" aca="1" ref="G218" ca="1">IF(ISNUMBER(D218),IF(D218&gt;=101,INDEX($B$105:$B$205,101),INDEX($B$105:$B$205,D218)+(C218-INDEX($C$105:$C$205,D218))/MAX(0.000000000001,INDEX($C$105:$C$205,D218+1)-INDEX($C$105:$C$205,D218))*(INDEX($B$105:$B$205,D218+1)-INDEX($B$105:$B$205,D218))),NA())</f>
        <v>0.55097244666218104</v>
      </c>
    </row>
    <row r="219" spans="2:7" hidden="1" outlineLevel="1" x14ac:dyDescent="0.45">
      <c r="B219" s="72">
        <v>11</v>
      </c>
      <c r="C219" s="70">
        <f ca="1">IF(ISNUMBER($C$105),$C$105+($C$205-$C$105)*11/24,NA())</f>
        <v>108.53188403115811</v>
      </c>
      <c r="D219" s="73">
        <f t="shared" ca="1" si="2"/>
        <v>64</v>
      </c>
      <c r="E219" s="70">
        <f t="shared" ca="1" si="3"/>
        <v>110.57703474179343</v>
      </c>
      <c r="F219" s="71">
        <f t="shared" ca="1" si="4"/>
        <v>7.5718896871730279E-2</v>
      </c>
      <c r="G219" s="71" cm="1">
        <f t="array" aca="1" ref="G219" ca="1">IF(ISNUMBER(D219),IF(D219&gt;=101,INDEX($B$105:$B$205,101),INDEX($B$105:$B$205,D219)+(C219-INDEX($C$105:$C$205,D219))/MAX(0.000000000001,INDEX($C$105:$C$205,D219+1)-INDEX($C$105:$C$205,D219))*(INDEX($B$105:$B$205,D219+1)-INDEX($B$105:$B$205,D219))),NA())</f>
        <v>0.63203145758747847</v>
      </c>
    </row>
    <row r="220" spans="2:7" hidden="1" outlineLevel="1" x14ac:dyDescent="0.45">
      <c r="B220" s="72">
        <v>12</v>
      </c>
      <c r="C220" s="70">
        <f ca="1">IF(ISNUMBER($C$105),$C$105+($C$205-$C$105)*12/24,NA())</f>
        <v>112.62218545242874</v>
      </c>
      <c r="D220" s="73">
        <f t="shared" ca="1" si="2"/>
        <v>71</v>
      </c>
      <c r="E220" s="70">
        <f t="shared" ca="1" si="3"/>
        <v>114.66733616306405</v>
      </c>
      <c r="F220" s="71">
        <f t="shared" ca="1" si="4"/>
        <v>6.5420581609382689E-2</v>
      </c>
      <c r="G220" s="71" cm="1">
        <f t="array" aca="1" ref="G220" ca="1">IF(ISNUMBER(D220),IF(D220&gt;=101,INDEX($B$105:$B$205,101),INDEX($B$105:$B$205,D220)+(C220-INDEX($C$105:$C$205,D220))/MAX(0.000000000001,INDEX($C$105:$C$205,D220+1)-INDEX($C$105:$C$205,D220))*(INDEX($B$105:$B$205,D220+1)-INDEX($B$105:$B$205,D220))),NA())</f>
        <v>0.70775035445920875</v>
      </c>
    </row>
    <row r="221" spans="2:7" hidden="1" outlineLevel="1" x14ac:dyDescent="0.45">
      <c r="B221" s="72">
        <v>13</v>
      </c>
      <c r="C221" s="70">
        <f ca="1">IF(ISNUMBER($C$105),$C$105+($C$205-$C$105)*13/24,NA())</f>
        <v>116.71248687369936</v>
      </c>
      <c r="D221" s="73">
        <f t="shared" ca="1" si="2"/>
        <v>78</v>
      </c>
      <c r="E221" s="70">
        <f t="shared" ca="1" si="3"/>
        <v>118.75763758433466</v>
      </c>
      <c r="F221" s="71">
        <f t="shared" ca="1" si="4"/>
        <v>5.5958855421482046E-2</v>
      </c>
      <c r="G221" s="71" cm="1">
        <f t="array" aca="1" ref="G221" ca="1">IF(ISNUMBER(D221),IF(D221&gt;=101,INDEX($B$105:$B$205,101),INDEX($B$105:$B$205,D221)+(C221-INDEX($C$105:$C$205,D221))/MAX(0.000000000001,INDEX($C$105:$C$205,D221+1)-INDEX($C$105:$C$205,D221))*(INDEX($B$105:$B$205,D221+1)-INDEX($B$105:$B$205,D221))),NA())</f>
        <v>0.77317093606859144</v>
      </c>
    </row>
    <row r="222" spans="2:7" hidden="1" outlineLevel="1" x14ac:dyDescent="0.45">
      <c r="B222" s="72">
        <v>14</v>
      </c>
      <c r="C222" s="70">
        <f ca="1">IF(ISNUMBER($C$105),$C$105+($C$205-$C$105)*14/24,NA())</f>
        <v>120.80278829496996</v>
      </c>
      <c r="D222" s="73">
        <f t="shared" ca="1" si="2"/>
        <v>83</v>
      </c>
      <c r="E222" s="70">
        <f t="shared" ca="1" si="3"/>
        <v>122.84793900560527</v>
      </c>
      <c r="F222" s="71">
        <f t="shared" ca="1" si="4"/>
        <v>4.2978717426486623E-2</v>
      </c>
      <c r="G222" s="71" cm="1">
        <f t="array" aca="1" ref="G222" ca="1">IF(ISNUMBER(D222),IF(D222&gt;=101,INDEX($B$105:$B$205,101),INDEX($B$105:$B$205,D222)+(C222-INDEX($C$105:$C$205,D222))/MAX(0.000000000001,INDEX($C$105:$C$205,D222+1)-INDEX($C$105:$C$205,D222))*(INDEX($B$105:$B$205,D222+1)-INDEX($B$105:$B$205,D222))),NA())</f>
        <v>0.82912979149007349</v>
      </c>
    </row>
    <row r="223" spans="2:7" hidden="1" outlineLevel="1" x14ac:dyDescent="0.45">
      <c r="B223" s="72">
        <v>15</v>
      </c>
      <c r="C223" s="70">
        <f ca="1">IF(ISNUMBER($C$105),$C$105+($C$205-$C$105)*15/24,NA())</f>
        <v>124.89308971624058</v>
      </c>
      <c r="D223" s="73">
        <f t="shared" ca="1" si="2"/>
        <v>88</v>
      </c>
      <c r="E223" s="70">
        <f t="shared" ca="1" si="3"/>
        <v>126.93824042687589</v>
      </c>
      <c r="F223" s="71">
        <f t="shared" ca="1" si="4"/>
        <v>3.486341675461968E-2</v>
      </c>
      <c r="G223" s="71" cm="1">
        <f t="array" aca="1" ref="G223" ca="1">IF(ISNUMBER(D223),IF(D223&gt;=101,INDEX($B$105:$B$205,101),INDEX($B$105:$B$205,D223)+(C223-INDEX($C$105:$C$205,D223))/MAX(0.000000000001,INDEX($C$105:$C$205,D223+1)-INDEX($C$105:$C$205,D223))*(INDEX($B$105:$B$205,D223+1)-INDEX($B$105:$B$205,D223))),NA())</f>
        <v>0.87210850891656011</v>
      </c>
    </row>
    <row r="224" spans="2:7" hidden="1" outlineLevel="1" x14ac:dyDescent="0.45">
      <c r="B224" s="72">
        <v>16</v>
      </c>
      <c r="C224" s="70">
        <f ca="1">IF(ISNUMBER($C$105),$C$105+($C$205-$C$105)*16/24,NA())</f>
        <v>128.98339113751121</v>
      </c>
      <c r="D224" s="73">
        <f t="shared" ca="1" si="2"/>
        <v>91</v>
      </c>
      <c r="E224" s="70">
        <f t="shared" ca="1" si="3"/>
        <v>131.02854184814652</v>
      </c>
      <c r="F224" s="71">
        <f t="shared" ca="1" si="4"/>
        <v>2.6854544431689553E-2</v>
      </c>
      <c r="G224" s="71" cm="1">
        <f t="array" aca="1" ref="G224" ca="1">IF(ISNUMBER(D224),IF(D224&gt;=101,INDEX($B$105:$B$205,101),INDEX($B$105:$B$205,D224)+(C224-INDEX($C$105:$C$205,D224))/MAX(0.000000000001,INDEX($C$105:$C$205,D224+1)-INDEX($C$105:$C$205,D224))*(INDEX($B$105:$B$205,D224+1)-INDEX($B$105:$B$205,D224))),NA())</f>
        <v>0.90697192567117979</v>
      </c>
    </row>
    <row r="225" spans="2:7" hidden="1" outlineLevel="1" x14ac:dyDescent="0.45">
      <c r="B225" s="72">
        <v>17</v>
      </c>
      <c r="C225" s="70">
        <f ca="1">IF(ISNUMBER($C$105),$C$105+($C$205-$C$105)*17/24,NA())</f>
        <v>133.0736925587818</v>
      </c>
      <c r="D225" s="73">
        <f t="shared" ca="1" si="2"/>
        <v>94</v>
      </c>
      <c r="E225" s="70">
        <f t="shared" ca="1" si="3"/>
        <v>135.11884326941708</v>
      </c>
      <c r="F225" s="71">
        <f t="shared" ca="1" si="4"/>
        <v>1.8639165363304677E-2</v>
      </c>
      <c r="G225" s="71" cm="1">
        <f t="array" aca="1" ref="G225" ca="1">IF(ISNUMBER(D225),IF(D225&gt;=101,INDEX($B$105:$B$205,101),INDEX($B$105:$B$205,D225)+(C225-INDEX($C$105:$C$205,D225))/MAX(0.000000000001,INDEX($C$105:$C$205,D225+1)-INDEX($C$105:$C$205,D225))*(INDEX($B$105:$B$205,D225+1)-INDEX($B$105:$B$205,D225))),NA())</f>
        <v>0.93382647010286934</v>
      </c>
    </row>
    <row r="226" spans="2:7" hidden="1" outlineLevel="1" x14ac:dyDescent="0.45">
      <c r="B226" s="72">
        <v>18</v>
      </c>
      <c r="C226" s="70">
        <f ca="1">IF(ISNUMBER($C$105),$C$105+($C$205-$C$105)*18/24,NA())</f>
        <v>137.1639939800524</v>
      </c>
      <c r="D226" s="73">
        <f t="shared" ca="1" si="2"/>
        <v>96</v>
      </c>
      <c r="E226" s="70">
        <f t="shared" ca="1" si="3"/>
        <v>139.20914469068771</v>
      </c>
      <c r="F226" s="71">
        <f t="shared" ca="1" si="4"/>
        <v>1.2805626778041868E-2</v>
      </c>
      <c r="G226" s="71" cm="1">
        <f t="array" aca="1" ref="G226" ca="1">IF(ISNUMBER(D226),IF(D226&gt;=101,INDEX($B$105:$B$205,101),INDEX($B$105:$B$205,D226)+(C226-INDEX($C$105:$C$205,D226))/MAX(0.000000000001,INDEX($C$105:$C$205,D226+1)-INDEX($C$105:$C$205,D226))*(INDEX($B$105:$B$205,D226+1)-INDEX($B$105:$B$205,D226))),NA())</f>
        <v>0.95246563546617402</v>
      </c>
    </row>
    <row r="227" spans="2:7" hidden="1" outlineLevel="1" x14ac:dyDescent="0.45">
      <c r="B227" s="72">
        <v>19</v>
      </c>
      <c r="C227" s="70">
        <f ca="1">IF(ISNUMBER($C$105),$C$105+($C$205-$C$105)*19/24,NA())</f>
        <v>141.25429540132302</v>
      </c>
      <c r="D227" s="73">
        <f t="shared" ca="1" si="2"/>
        <v>97</v>
      </c>
      <c r="E227" s="70">
        <f t="shared" ca="1" si="3"/>
        <v>143.29944611195833</v>
      </c>
      <c r="F227" s="71">
        <f t="shared" ca="1" si="4"/>
        <v>9.9710170823555933E-3</v>
      </c>
      <c r="G227" s="71" cm="1">
        <f t="array" aca="1" ref="G227" ca="1">IF(ISNUMBER(D227),IF(D227&gt;=101,INDEX($B$105:$B$205,101),INDEX($B$105:$B$205,D227)+(C227-INDEX($C$105:$C$205,D227))/MAX(0.000000000001,INDEX($C$105:$C$205,D227+1)-INDEX($C$105:$C$205,D227))*(INDEX($B$105:$B$205,D227+1)-INDEX($B$105:$B$205,D227))),NA())</f>
        <v>0.96527126224421589</v>
      </c>
    </row>
    <row r="228" spans="2:7" hidden="1" outlineLevel="1" x14ac:dyDescent="0.45">
      <c r="B228" s="72">
        <v>20</v>
      </c>
      <c r="C228" s="70">
        <f ca="1">IF(ISNUMBER($C$105),$C$105+($C$205-$C$105)*20/24,NA())</f>
        <v>145.34459682259364</v>
      </c>
      <c r="D228" s="73">
        <f t="shared" ca="1" si="2"/>
        <v>98</v>
      </c>
      <c r="E228" s="70">
        <f t="shared" ca="1" si="3"/>
        <v>147.38974753322896</v>
      </c>
      <c r="F228" s="71">
        <f t="shared" ca="1" si="4"/>
        <v>7.1472741267607498E-3</v>
      </c>
      <c r="G228" s="71" cm="1">
        <f t="array" aca="1" ref="G228" ca="1">IF(ISNUMBER(D228),IF(D228&gt;=101,INDEX($B$105:$B$205,101),INDEX($B$105:$B$205,D228)+(C228-INDEX($C$105:$C$205,D228))/MAX(0.000000000001,INDEX($C$105:$C$205,D228+1)-INDEX($C$105:$C$205,D228))*(INDEX($B$105:$B$205,D228+1)-INDEX($B$105:$B$205,D228))),NA())</f>
        <v>0.97524227932657148</v>
      </c>
    </row>
    <row r="229" spans="2:7" hidden="1" outlineLevel="1" x14ac:dyDescent="0.45">
      <c r="B229" s="72">
        <v>21</v>
      </c>
      <c r="C229" s="70">
        <f ca="1">IF(ISNUMBER($C$105),$C$105+($C$205-$C$105)*21/24,NA())</f>
        <v>149.43489824386427</v>
      </c>
      <c r="D229" s="73">
        <f t="shared" ca="1" si="2"/>
        <v>99</v>
      </c>
      <c r="E229" s="70">
        <f t="shared" ca="1" si="3"/>
        <v>151.48004895449955</v>
      </c>
      <c r="F229" s="71">
        <f t="shared" ca="1" si="4"/>
        <v>5.1094733004241055E-3</v>
      </c>
      <c r="G229" s="71" cm="1">
        <f t="array" aca="1" ref="G229" ca="1">IF(ISNUMBER(D229),IF(D229&gt;=101,INDEX($B$105:$B$205,101),INDEX($B$105:$B$205,D229)+(C229-INDEX($C$105:$C$205,D229))/MAX(0.000000000001,INDEX($C$105:$C$205,D229+1)-INDEX($C$105:$C$205,D229))*(INDEX($B$105:$B$205,D229+1)-INDEX($B$105:$B$205,D229))),NA())</f>
        <v>0.98238955345333223</v>
      </c>
    </row>
    <row r="230" spans="2:7" hidden="1" outlineLevel="1" x14ac:dyDescent="0.45">
      <c r="B230" s="72">
        <v>22</v>
      </c>
      <c r="C230" s="70">
        <f ca="1">IF(ISNUMBER($C$105),$C$105+($C$205-$C$105)*22/24,NA())</f>
        <v>153.52519966513483</v>
      </c>
      <c r="D230" s="73">
        <f t="shared" ca="1" si="2"/>
        <v>99</v>
      </c>
      <c r="E230" s="70">
        <f t="shared" ca="1" si="3"/>
        <v>155.57035037577015</v>
      </c>
      <c r="F230" s="71">
        <f t="shared" ca="1" si="4"/>
        <v>4.1908599135928037E-3</v>
      </c>
      <c r="G230" s="71" cm="1">
        <f t="array" aca="1" ref="G230" ca="1">IF(ISNUMBER(D230),IF(D230&gt;=101,INDEX($B$105:$B$205,101),INDEX($B$105:$B$205,D230)+(C230-INDEX($C$105:$C$205,D230))/MAX(0.000000000001,INDEX($C$105:$C$205,D230+1)-INDEX($C$105:$C$205,D230))*(INDEX($B$105:$B$205,D230+1)-INDEX($B$105:$B$205,D230))),NA())</f>
        <v>0.98749902675375634</v>
      </c>
    </row>
    <row r="231" spans="2:7" hidden="1" outlineLevel="1" x14ac:dyDescent="0.45">
      <c r="B231" s="72">
        <v>23</v>
      </c>
      <c r="C231" s="70">
        <f ca="1">IF(ISNUMBER($C$105),$C$105+($C$205-$C$105)*23/24,NA())</f>
        <v>157.61550108640546</v>
      </c>
      <c r="D231" s="73">
        <f t="shared" ca="1" si="2"/>
        <v>100</v>
      </c>
      <c r="E231" s="70">
        <f t="shared" ca="1" si="3"/>
        <v>159.66065179704077</v>
      </c>
      <c r="F231" s="71">
        <f t="shared" ca="1" si="4"/>
        <v>3.3101133326508547E-3</v>
      </c>
      <c r="G231" s="71" cm="1">
        <f t="array" aca="1" ref="G231" ca="1">IF(ISNUMBER(D231),IF(D231&gt;=101,INDEX($B$105:$B$205,101),INDEX($B$105:$B$205,D231)+(C231-INDEX($C$105:$C$205,D231))/MAX(0.000000000001,INDEX($C$105:$C$205,D231+1)-INDEX($C$105:$C$205,D231))*(INDEX($B$105:$B$205,D231+1)-INDEX($B$105:$B$205,D231))),NA())</f>
        <v>0.99168988666734914</v>
      </c>
    </row>
    <row r="232" spans="2:7" hidden="1" outlineLevel="1" x14ac:dyDescent="0.45">
      <c r="B232" s="72">
        <v>24</v>
      </c>
      <c r="C232" s="70">
        <f ca="1">IF(ISNUMBER($C$105),$C$105+($C$205-$C$105)*24/24,NA())</f>
        <v>161.70580250767608</v>
      </c>
      <c r="D232" s="73">
        <f t="shared" ca="1" si="2"/>
        <v>101</v>
      </c>
      <c r="G232" s="71" cm="1">
        <f t="array" aca="1" ref="G232" ca="1">IF(ISNUMBER(D232),IF(D232&gt;=101,INDEX($B$105:$B$205,101),INDEX($B$105:$B$205,D232)+(C232-INDEX($C$105:$C$205,D232))/MAX(0.000000000001,INDEX($C$105:$C$205,D232+1)-INDEX($C$105:$C$205,D232))*(INDEX($B$105:$B$205,D232+1)-INDEX($B$105:$B$205,D232))),NA())</f>
        <v>0.995</v>
      </c>
    </row>
  </sheetData>
  <mergeCells count="4">
    <mergeCell ref="B47:G47"/>
    <mergeCell ref="B44:G44"/>
    <mergeCell ref="B45:G45"/>
    <mergeCell ref="B46:G46"/>
  </mergeCells>
  <conditionalFormatting sqref="B7">
    <cfRule type="expression" dxfId="3" priority="2">
      <formula>LEFT($B$7,1)="✗"</formula>
    </cfRule>
  </conditionalFormatting>
  <conditionalFormatting sqref="B6:G6">
    <cfRule type="expression" dxfId="2" priority="1">
      <formula>LEFT($B$6,1)&lt;&gt;"✔"</formula>
    </cfRule>
  </conditionalFormatting>
  <conditionalFormatting sqref="C105:G232">
    <cfRule type="expression" dxfId="1" priority="4">
      <formula>ISNA($C$105)</formula>
    </cfRule>
  </conditionalFormatting>
  <conditionalFormatting sqref="D53:E102">
    <cfRule type="expression" dxfId="0" priority="3">
      <formula>ISNA(D53)</formula>
    </cfRule>
  </conditionalFormatting>
  <hyperlinks>
    <hyperlink ref="B4" location="'Failures'!A1" display="◂  Failures" xr:uid="{00000000-0004-0000-0400-000000000000}"/>
  </hyperlinks>
  <printOptions horizontalCentered="1"/>
  <pageMargins left="0.4" right="0.4" top="0.5" bottom="0.6" header="0.25" footer="0.25"/>
  <pageSetup paperSize="9" scale="73" fitToHeight="0" orientation="landscape" r:id="rId1"/>
  <headerFooter>
    <oddFooter>&amp;L&amp;K3F5876&amp;8&amp;F · &amp;A&amp;R&amp;K3F5876&amp;8Page &amp;P of &amp;N</oddFooter>
  </headerFooter>
  <rowBreaks count="1" manualBreakCount="1">
    <brk id="42" max="16383"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117367-CBA6-4CB3-B910-8ACE984869D4}">
  <dimension ref="A1:B1"/>
  <sheetViews>
    <sheetView workbookViewId="0"/>
  </sheetViews>
  <sheetFormatPr defaultRowHeight="14.25" x14ac:dyDescent="0.45"/>
  <sheetData>
    <row r="1" spans="1:2" x14ac:dyDescent="0.45">
      <c r="A1" s="78" t="s">
        <v>262</v>
      </c>
      <c r="B1">
        <v>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45114F-9E12-467F-BC90-AB355B093F0E}">
  <dimension ref="A1"/>
  <sheetViews>
    <sheetView workbookViewId="0"/>
  </sheetViews>
  <sheetFormatPr defaultRowHeight="14.25" x14ac:dyDescent="0.45"/>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A91D79-C0BB-4C79-B5B7-144036A49541}">
  <dimension ref="B3:B132"/>
  <sheetViews>
    <sheetView workbookViewId="0"/>
  </sheetViews>
  <sheetFormatPr defaultRowHeight="14.25" x14ac:dyDescent="0.45"/>
  <sheetData>
    <row r="3" spans="2:2" x14ac:dyDescent="0.45">
      <c r="B3">
        <v>14</v>
      </c>
    </row>
    <row r="4" spans="2:2" x14ac:dyDescent="0.45">
      <c r="B4">
        <v>124</v>
      </c>
    </row>
    <row r="5" spans="2:2" x14ac:dyDescent="0.45">
      <c r="B5">
        <v>430</v>
      </c>
    </row>
    <row r="6" spans="2:2" x14ac:dyDescent="0.45">
      <c r="B6">
        <v>571</v>
      </c>
    </row>
    <row r="7" spans="2:2" x14ac:dyDescent="0.45">
      <c r="B7">
        <v>460</v>
      </c>
    </row>
    <row r="8" spans="2:2" x14ac:dyDescent="0.45">
      <c r="B8">
        <v>243</v>
      </c>
    </row>
    <row r="9" spans="2:2" x14ac:dyDescent="0.45">
      <c r="B9">
        <v>100</v>
      </c>
    </row>
    <row r="10" spans="2:2" x14ac:dyDescent="0.45">
      <c r="B10">
        <v>40</v>
      </c>
    </row>
    <row r="11" spans="2:2" x14ac:dyDescent="0.45">
      <c r="B11">
        <v>13</v>
      </c>
    </row>
    <row r="12" spans="2:2" x14ac:dyDescent="0.45">
      <c r="B12">
        <v>5</v>
      </c>
    </row>
    <row r="13" spans="2:2" x14ac:dyDescent="0.45">
      <c r="B13">
        <v>26</v>
      </c>
    </row>
    <row r="14" spans="2:2" x14ac:dyDescent="0.45">
      <c r="B14">
        <v>113</v>
      </c>
    </row>
    <row r="15" spans="2:2" x14ac:dyDescent="0.45">
      <c r="B15">
        <v>352</v>
      </c>
    </row>
    <row r="16" spans="2:2" x14ac:dyDescent="0.45">
      <c r="B16">
        <v>459</v>
      </c>
    </row>
    <row r="17" spans="2:2" x14ac:dyDescent="0.45">
      <c r="B17">
        <v>486</v>
      </c>
    </row>
    <row r="18" spans="2:2" x14ac:dyDescent="0.45">
      <c r="B18">
        <v>304</v>
      </c>
    </row>
    <row r="19" spans="2:2" x14ac:dyDescent="0.45">
      <c r="B19">
        <v>161</v>
      </c>
    </row>
    <row r="20" spans="2:2" x14ac:dyDescent="0.45">
      <c r="B20">
        <v>68</v>
      </c>
    </row>
    <row r="21" spans="2:2" x14ac:dyDescent="0.45">
      <c r="B21">
        <v>19</v>
      </c>
    </row>
    <row r="22" spans="2:2" x14ac:dyDescent="0.45">
      <c r="B22">
        <v>12</v>
      </c>
    </row>
    <row r="23" spans="2:2" x14ac:dyDescent="0.45">
      <c r="B23">
        <v>5</v>
      </c>
    </row>
    <row r="24" spans="2:2" x14ac:dyDescent="0.45">
      <c r="B24">
        <v>13</v>
      </c>
    </row>
    <row r="25" spans="2:2" x14ac:dyDescent="0.45">
      <c r="B25">
        <v>40</v>
      </c>
    </row>
    <row r="26" spans="2:2" x14ac:dyDescent="0.45">
      <c r="B26">
        <v>100</v>
      </c>
    </row>
    <row r="27" spans="2:2" x14ac:dyDescent="0.45">
      <c r="B27">
        <v>250</v>
      </c>
    </row>
    <row r="28" spans="2:2" x14ac:dyDescent="0.45">
      <c r="B28">
        <v>458</v>
      </c>
    </row>
    <row r="29" spans="2:2" x14ac:dyDescent="0.45">
      <c r="B29">
        <v>571</v>
      </c>
    </row>
    <row r="30" spans="2:2" x14ac:dyDescent="0.45">
      <c r="B30">
        <v>427</v>
      </c>
    </row>
    <row r="31" spans="2:2" x14ac:dyDescent="0.45">
      <c r="B31">
        <v>122</v>
      </c>
    </row>
    <row r="32" spans="2:2" x14ac:dyDescent="0.45">
      <c r="B32">
        <v>14</v>
      </c>
    </row>
    <row r="33" spans="2:2" x14ac:dyDescent="0.45">
      <c r="B33">
        <v>14</v>
      </c>
    </row>
    <row r="34" spans="2:2" x14ac:dyDescent="0.45">
      <c r="B34">
        <v>124</v>
      </c>
    </row>
    <row r="35" spans="2:2" x14ac:dyDescent="0.45">
      <c r="B35">
        <v>430</v>
      </c>
    </row>
    <row r="36" spans="2:2" x14ac:dyDescent="0.45">
      <c r="B36">
        <v>571</v>
      </c>
    </row>
    <row r="37" spans="2:2" x14ac:dyDescent="0.45">
      <c r="B37">
        <v>460</v>
      </c>
    </row>
    <row r="38" spans="2:2" x14ac:dyDescent="0.45">
      <c r="B38">
        <v>243</v>
      </c>
    </row>
    <row r="39" spans="2:2" x14ac:dyDescent="0.45">
      <c r="B39">
        <v>100</v>
      </c>
    </row>
    <row r="40" spans="2:2" x14ac:dyDescent="0.45">
      <c r="B40">
        <v>40</v>
      </c>
    </row>
    <row r="41" spans="2:2" x14ac:dyDescent="0.45">
      <c r="B41">
        <v>13</v>
      </c>
    </row>
    <row r="42" spans="2:2" x14ac:dyDescent="0.45">
      <c r="B42">
        <v>5</v>
      </c>
    </row>
    <row r="43" spans="2:2" x14ac:dyDescent="0.45">
      <c r="B43">
        <v>43</v>
      </c>
    </row>
    <row r="44" spans="2:2" x14ac:dyDescent="0.45">
      <c r="B44">
        <v>338</v>
      </c>
    </row>
    <row r="45" spans="2:2" x14ac:dyDescent="0.45">
      <c r="B45">
        <v>635</v>
      </c>
    </row>
    <row r="46" spans="2:2" x14ac:dyDescent="0.45">
      <c r="B46">
        <v>527</v>
      </c>
    </row>
    <row r="47" spans="2:2" x14ac:dyDescent="0.45">
      <c r="B47">
        <v>277</v>
      </c>
    </row>
    <row r="48" spans="2:2" x14ac:dyDescent="0.45">
      <c r="B48">
        <v>115</v>
      </c>
    </row>
    <row r="49" spans="2:2" x14ac:dyDescent="0.45">
      <c r="B49">
        <v>37</v>
      </c>
    </row>
    <row r="50" spans="2:2" x14ac:dyDescent="0.45">
      <c r="B50">
        <v>16</v>
      </c>
    </row>
    <row r="51" spans="2:2" x14ac:dyDescent="0.45">
      <c r="B51">
        <v>8</v>
      </c>
    </row>
    <row r="52" spans="2:2" x14ac:dyDescent="0.45">
      <c r="B52">
        <v>4</v>
      </c>
    </row>
    <row r="53" spans="2:2" x14ac:dyDescent="0.45">
      <c r="B53">
        <v>45</v>
      </c>
    </row>
    <row r="54" spans="2:2" x14ac:dyDescent="0.45">
      <c r="B54">
        <v>323</v>
      </c>
    </row>
    <row r="55" spans="2:2" x14ac:dyDescent="0.45">
      <c r="B55">
        <v>632</v>
      </c>
    </row>
    <row r="56" spans="2:2" x14ac:dyDescent="0.45">
      <c r="B56">
        <v>554</v>
      </c>
    </row>
    <row r="57" spans="2:2" x14ac:dyDescent="0.45">
      <c r="B57">
        <v>287</v>
      </c>
    </row>
    <row r="58" spans="2:2" x14ac:dyDescent="0.45">
      <c r="B58">
        <v>116</v>
      </c>
    </row>
    <row r="59" spans="2:2" x14ac:dyDescent="0.45">
      <c r="B59">
        <v>34</v>
      </c>
    </row>
    <row r="60" spans="2:2" x14ac:dyDescent="0.45">
      <c r="B60">
        <v>6</v>
      </c>
    </row>
    <row r="61" spans="2:2" x14ac:dyDescent="0.45">
      <c r="B61">
        <v>2</v>
      </c>
    </row>
    <row r="62" spans="2:2" x14ac:dyDescent="0.45">
      <c r="B62">
        <v>1</v>
      </c>
    </row>
    <row r="63" spans="2:2" x14ac:dyDescent="0.45">
      <c r="B63">
        <v>35</v>
      </c>
    </row>
    <row r="64" spans="2:2" x14ac:dyDescent="0.45">
      <c r="B64">
        <v>283</v>
      </c>
    </row>
    <row r="65" spans="2:2" x14ac:dyDescent="0.45">
      <c r="B65">
        <v>608</v>
      </c>
    </row>
    <row r="66" spans="2:2" x14ac:dyDescent="0.45">
      <c r="B66">
        <v>562</v>
      </c>
    </row>
    <row r="67" spans="2:2" x14ac:dyDescent="0.45">
      <c r="B67">
        <v>300</v>
      </c>
    </row>
    <row r="68" spans="2:2" x14ac:dyDescent="0.45">
      <c r="B68">
        <v>133</v>
      </c>
    </row>
    <row r="69" spans="2:2" x14ac:dyDescent="0.45">
      <c r="B69">
        <v>47</v>
      </c>
    </row>
    <row r="70" spans="2:2" x14ac:dyDescent="0.45">
      <c r="B70">
        <v>18</v>
      </c>
    </row>
    <row r="71" spans="2:2" x14ac:dyDescent="0.45">
      <c r="B71">
        <v>9</v>
      </c>
    </row>
    <row r="72" spans="2:2" x14ac:dyDescent="0.45">
      <c r="B72">
        <v>5</v>
      </c>
    </row>
    <row r="73" spans="2:2" x14ac:dyDescent="0.45">
      <c r="B73">
        <v>34</v>
      </c>
    </row>
    <row r="74" spans="2:2" x14ac:dyDescent="0.45">
      <c r="B74">
        <v>229</v>
      </c>
    </row>
    <row r="75" spans="2:2" x14ac:dyDescent="0.45">
      <c r="B75">
        <v>599</v>
      </c>
    </row>
    <row r="76" spans="2:2" x14ac:dyDescent="0.45">
      <c r="B76">
        <v>561</v>
      </c>
    </row>
    <row r="77" spans="2:2" x14ac:dyDescent="0.45">
      <c r="B77">
        <v>367</v>
      </c>
    </row>
    <row r="78" spans="2:2" x14ac:dyDescent="0.45">
      <c r="B78">
        <v>138</v>
      </c>
    </row>
    <row r="79" spans="2:2" x14ac:dyDescent="0.45">
      <c r="B79">
        <v>53</v>
      </c>
    </row>
    <row r="80" spans="2:2" x14ac:dyDescent="0.45">
      <c r="B80">
        <v>17</v>
      </c>
    </row>
    <row r="81" spans="2:2" x14ac:dyDescent="0.45">
      <c r="B81">
        <v>0</v>
      </c>
    </row>
    <row r="82" spans="2:2" x14ac:dyDescent="0.45">
      <c r="B82">
        <v>2</v>
      </c>
    </row>
    <row r="83" spans="2:2" x14ac:dyDescent="0.45">
      <c r="B83">
        <v>67</v>
      </c>
    </row>
    <row r="84" spans="2:2" x14ac:dyDescent="0.45">
      <c r="B84">
        <v>298</v>
      </c>
    </row>
    <row r="85" spans="2:2" x14ac:dyDescent="0.45">
      <c r="B85">
        <v>486</v>
      </c>
    </row>
    <row r="86" spans="2:2" x14ac:dyDescent="0.45">
      <c r="B86">
        <v>466</v>
      </c>
    </row>
    <row r="87" spans="2:2" x14ac:dyDescent="0.45">
      <c r="B87">
        <v>339</v>
      </c>
    </row>
    <row r="88" spans="2:2" x14ac:dyDescent="0.45">
      <c r="B88">
        <v>188</v>
      </c>
    </row>
    <row r="89" spans="2:2" x14ac:dyDescent="0.45">
      <c r="B89">
        <v>88</v>
      </c>
    </row>
    <row r="90" spans="2:2" x14ac:dyDescent="0.45">
      <c r="B90">
        <v>36</v>
      </c>
    </row>
    <row r="91" spans="2:2" x14ac:dyDescent="0.45">
      <c r="B91">
        <v>26</v>
      </c>
    </row>
    <row r="92" spans="2:2" x14ac:dyDescent="0.45">
      <c r="B92">
        <v>6</v>
      </c>
    </row>
    <row r="93" spans="2:2" x14ac:dyDescent="0.45">
      <c r="B93">
        <v>1</v>
      </c>
    </row>
    <row r="94" spans="2:2" x14ac:dyDescent="0.45">
      <c r="B94">
        <v>33</v>
      </c>
    </row>
    <row r="95" spans="2:2" x14ac:dyDescent="0.45">
      <c r="B95">
        <v>169</v>
      </c>
    </row>
    <row r="96" spans="2:2" x14ac:dyDescent="0.45">
      <c r="B96">
        <v>477</v>
      </c>
    </row>
    <row r="97" spans="2:2" x14ac:dyDescent="0.45">
      <c r="B97">
        <v>601</v>
      </c>
    </row>
    <row r="98" spans="2:2" x14ac:dyDescent="0.45">
      <c r="B98">
        <v>408</v>
      </c>
    </row>
    <row r="99" spans="2:2" x14ac:dyDescent="0.45">
      <c r="B99">
        <v>186</v>
      </c>
    </row>
    <row r="100" spans="2:2" x14ac:dyDescent="0.45">
      <c r="B100">
        <v>88</v>
      </c>
    </row>
    <row r="101" spans="2:2" x14ac:dyDescent="0.45">
      <c r="B101">
        <v>29</v>
      </c>
    </row>
    <row r="102" spans="2:2" x14ac:dyDescent="0.45">
      <c r="B102">
        <v>8</v>
      </c>
    </row>
    <row r="103" spans="2:2" x14ac:dyDescent="0.45">
      <c r="B103">
        <v>8</v>
      </c>
    </row>
    <row r="104" spans="2:2" x14ac:dyDescent="0.45">
      <c r="B104">
        <v>41</v>
      </c>
    </row>
    <row r="105" spans="2:2" x14ac:dyDescent="0.45">
      <c r="B105">
        <v>228</v>
      </c>
    </row>
    <row r="106" spans="2:2" x14ac:dyDescent="0.45">
      <c r="B106">
        <v>313</v>
      </c>
    </row>
    <row r="107" spans="2:2" x14ac:dyDescent="0.45">
      <c r="B107">
        <v>643</v>
      </c>
    </row>
    <row r="108" spans="2:2" x14ac:dyDescent="0.45">
      <c r="B108">
        <v>351</v>
      </c>
    </row>
    <row r="109" spans="2:2" x14ac:dyDescent="0.45">
      <c r="B109">
        <v>215</v>
      </c>
    </row>
    <row r="110" spans="2:2" x14ac:dyDescent="0.45">
      <c r="B110">
        <v>160</v>
      </c>
    </row>
    <row r="111" spans="2:2" x14ac:dyDescent="0.45">
      <c r="B111">
        <v>35</v>
      </c>
    </row>
    <row r="112" spans="2:2" x14ac:dyDescent="0.45">
      <c r="B112">
        <v>6</v>
      </c>
    </row>
    <row r="113" spans="2:2" x14ac:dyDescent="0.45">
      <c r="B113">
        <v>25</v>
      </c>
    </row>
    <row r="114" spans="2:2" x14ac:dyDescent="0.45">
      <c r="B114">
        <v>88</v>
      </c>
    </row>
    <row r="115" spans="2:2" x14ac:dyDescent="0.45">
      <c r="B115">
        <v>259</v>
      </c>
    </row>
    <row r="116" spans="2:2" x14ac:dyDescent="0.45">
      <c r="B116">
        <v>700</v>
      </c>
    </row>
    <row r="117" spans="2:2" x14ac:dyDescent="0.45">
      <c r="B117">
        <v>418</v>
      </c>
    </row>
    <row r="118" spans="2:2" x14ac:dyDescent="0.45">
      <c r="B118">
        <v>285</v>
      </c>
    </row>
    <row r="119" spans="2:2" x14ac:dyDescent="0.45">
      <c r="B119">
        <v>183</v>
      </c>
    </row>
    <row r="120" spans="2:2" x14ac:dyDescent="0.45">
      <c r="B120">
        <v>29</v>
      </c>
    </row>
    <row r="121" spans="2:2" x14ac:dyDescent="0.45">
      <c r="B121">
        <v>9</v>
      </c>
    </row>
    <row r="122" spans="2:2" x14ac:dyDescent="0.45">
      <c r="B122">
        <v>4</v>
      </c>
    </row>
    <row r="123" spans="2:2" x14ac:dyDescent="0.45">
      <c r="B123">
        <v>75</v>
      </c>
    </row>
    <row r="124" spans="2:2" x14ac:dyDescent="0.45">
      <c r="B124">
        <v>210</v>
      </c>
    </row>
    <row r="125" spans="2:2" x14ac:dyDescent="0.45">
      <c r="B125">
        <v>447</v>
      </c>
    </row>
    <row r="126" spans="2:2" x14ac:dyDescent="0.45">
      <c r="B126">
        <v>469</v>
      </c>
    </row>
    <row r="127" spans="2:2" x14ac:dyDescent="0.45">
      <c r="B127">
        <v>408</v>
      </c>
    </row>
    <row r="128" spans="2:2" x14ac:dyDescent="0.45">
      <c r="B128">
        <v>235</v>
      </c>
    </row>
    <row r="129" spans="2:2" x14ac:dyDescent="0.45">
      <c r="B129">
        <v>113</v>
      </c>
    </row>
    <row r="130" spans="2:2" x14ac:dyDescent="0.45">
      <c r="B130">
        <v>33</v>
      </c>
    </row>
    <row r="131" spans="2:2" x14ac:dyDescent="0.45">
      <c r="B131">
        <v>7</v>
      </c>
    </row>
    <row r="132" spans="2:2" x14ac:dyDescent="0.45">
      <c r="B132">
        <v>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r:ModelRisk xmlns:mr="ModelRisk">
  <mr:Charts xmlns:mr="ModelRisk" enc="base64" len="1300">PABGAEkATABUAEUAUgBTAD4ADQAKADwALwBDAE4AVAA6ADAADQAKAEYASQBMAFQARQBSAFMAPgANAAoAPABQAEEARwBFAFMAPgANAAoAQwBOAFQAOgAyAA0ACgBDAFUAUgBQAEEARwBFADoAMAANAAoATgA6ADEADQAKAFQAWQBQAEUAOgAyAA0ACgBOAE0AOgBIAGkAcwB0AG8AZwByAGEAbQANAAoAUwBJAE0ASQBEADoAMAANAAoAUwBFAEwAUwA6ADAADQAKAEMAVQBSAFMARQBMADoAMAANAAoAPABPAFAAVABJAE8ATgBTAD4ADQAKAEMATgBUADoAOAANAAoATgBNADoAQwBoAGEAcgB0AF8AVABpAHQAbABlAA0ACgBUAFAAOgAyAA0ACgBWAEEATAA6AA0ACgBOAE0AOgBzAGwAaQBkAGUAcgBzAA0ACgBUAFAAOgAwAA0ACgBWAEEATAA6ADEADQAKAE4ATQA6AHMAbABpAGQAZQByAHMAXwBjAHUAbQB1AGwADQAKAFQAUAA6ADAADQAKAFYAQQBMADoAMAANAAoATgBNADoAbABlAGcAZQBuAGQADQAKAFQAUAA6ADAADQAKAFYAQQBMADoAMAANAAoATgBNADoATgBCAGEAcgBzAA0ACgBUAFAAOgAwAA0ACgBWAEEATAA6AC0AMQANAAoATgBNADoATABpAG4AZQBzAA0ACgBUAFAAOgAwAA0ACgBWAEEATAA6ADAADQAKAE4ATQA6AFkATABhAGIAZQBsAA0ACgBUAFAAOgAyAA0ACgBWAEEATAA6AA0ACgBOAE0AOgBPAHYAZQByAGwAYQB5AFYAYQByAHMADQAKAFQAUAA6ADAADQAKAFYAQQBMADoAMwANAAoAPAAvAE8AUABUAEkATwBOAFMAPgANAAoATgA6ADIADQAKAFQAWQBQAEUAOgAyAA0ACgBOAE0AOgBIAGkAcwB0AG8AZwByAGEAbQAyAA0ACgBTAEkATQBJAEQAOgAwAA0ACgBTAEUATABTADoAMAANAAoAQwBVAFIAUwBFAEwAOgAwAA0ACgA8AE8AUABUAEkATwBOAFMAPgANAAoAQwBOAFQAOgA4AA0ACgBOAE0AOgBDAGgAYQByAHQAXwBUAGkAdABsAGUADQAKAFQAUAA6ADIADQAKAFYAQQBMADoADQAKAE4ATQA6AHMAbABpAGQAZQByAHMADQAKAFQAUAA6ADAADQAKAFYAQQBMADoAMQANAAoATgBNADoAcwBsAGkAZABlAHIAcwBfAGMAdQBtAHUAbAANAAoAVABQADoAMAANAAoAVgBBAEwAOgAwAA0ACgBOAE0AOgBsAGUAZwBlAG4AZAANAAoAVABQADoAMAANAAoAVgBBAEwAOgAwAA0ACgBOAE0AOgBOAEIAYQByAHMADQAKAFQAUAA6ADAADQAKAFYAQQBMADoALQAxAA0ACgBOAE0AOgBMAGkAbgBlAHMADQAKAFQAUAA6ADAADQAKAFYAQQBMADoAMAANAAoATgBNADoAWQBMAGEAYgBlAGwADQAKAFQAUAA6ADIADQAKAFYAQQBMADoADQAKAE4ATQA6AE8AdgBlAHIAbABhAHkAVgBhAHIAcwANAAoAVABQADoAMAANAAoAVgBBAEwAOgAzAA0ACgA8AC8ATwBQAFQASQBPAE4AUwA+AA0ACgA8AC8AUABBAEcARQBTAD4ADQAKAA==</mr:Charts>
</mr:ModelRisk>
</file>

<file path=customXml/itemProps1.xml><?xml version="1.0" encoding="utf-8"?>
<ds:datastoreItem xmlns:ds="http://schemas.openxmlformats.org/officeDocument/2006/customXml" ds:itemID="{3129C313-D33D-4385-8501-066101A45250}">
  <ds:schemaRefs>
    <ds:schemaRef ds:uri="ModelRisk"/>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62</vt:i4>
      </vt:variant>
    </vt:vector>
  </HeadingPairs>
  <TitlesOfParts>
    <vt:vector size="70" baseType="lpstr">
      <vt:lpstr>About</vt:lpstr>
      <vt:lpstr>Inputs</vt:lpstr>
      <vt:lpstr>Data</vt:lpstr>
      <vt:lpstr>Failures</vt:lpstr>
      <vt:lpstr>Results</vt:lpstr>
      <vt:lpstr>ModelRiskDSN</vt:lpstr>
      <vt:lpstr>ModelRiskSYS1</vt:lpstr>
      <vt:lpstr>ModelRiskCharts</vt:lpstr>
      <vt:lpstr>Checks</vt:lpstr>
      <vt:lpstr>CostHour</vt:lpstr>
      <vt:lpstr>Down_Cap</vt:lpstr>
      <vt:lpstr>Down_CapS</vt:lpstr>
      <vt:lpstr>Down_Fil</vt:lpstr>
      <vt:lpstr>Down_Lab</vt:lpstr>
      <vt:lpstr>Down_Pak</vt:lpstr>
      <vt:lpstr>ExpDown_Cap</vt:lpstr>
      <vt:lpstr>ExpDown_Fil</vt:lpstr>
      <vt:lpstr>ExpDown_Lab</vt:lpstr>
      <vt:lpstr>ExpDown_Pak</vt:lpstr>
      <vt:lpstr>Fails_Cap</vt:lpstr>
      <vt:lpstr>Fails_Fil</vt:lpstr>
      <vt:lpstr>Fails_Lab</vt:lpstr>
      <vt:lpstr>Fails_Pak</vt:lpstr>
      <vt:lpstr>FitScale</vt:lpstr>
      <vt:lpstr>FitShape</vt:lpstr>
      <vt:lpstr>Last_Cap</vt:lpstr>
      <vt:lpstr>Last_Fil</vt:lpstr>
      <vt:lpstr>Last_Lab</vt:lpstr>
      <vt:lpstr>Last_Pak</vt:lpstr>
      <vt:lpstr>MTBF_Cap</vt:lpstr>
      <vt:lpstr>MTBF_Fil</vt:lpstr>
      <vt:lpstr>MTBF_Lab</vt:lpstr>
      <vt:lpstr>MTBF_Pak</vt:lpstr>
      <vt:lpstr>Out_Avail</vt:lpstr>
      <vt:lpstr>Out_Down</vt:lpstr>
      <vt:lpstr>Out_Down_Cap</vt:lpstr>
      <vt:lpstr>Out_Down_Fil</vt:lpstr>
      <vt:lpstr>Out_Down_Lab</vt:lpstr>
      <vt:lpstr>Out_Down_Pak</vt:lpstr>
      <vt:lpstr>Out_DownS</vt:lpstr>
      <vt:lpstr>Out_Fails_Cap</vt:lpstr>
      <vt:lpstr>Out_Fails_Fil</vt:lpstr>
      <vt:lpstr>Out_Fails_Lab</vt:lpstr>
      <vt:lpstr>Out_Fails_Pak</vt:lpstr>
      <vt:lpstr>Out_Lost</vt:lpstr>
      <vt:lpstr>Out_Net</vt:lpstr>
      <vt:lpstr>Results!Print_Area</vt:lpstr>
      <vt:lpstr>Inputs!Print_Titles</vt:lpstr>
      <vt:lpstr>Results!Print_Titles</vt:lpstr>
      <vt:lpstr>RepM_Cap</vt:lpstr>
      <vt:lpstr>RepM_Fil</vt:lpstr>
      <vt:lpstr>RepM_Lab</vt:lpstr>
      <vt:lpstr>RepM_Pak</vt:lpstr>
      <vt:lpstr>RepS_Cap</vt:lpstr>
      <vt:lpstr>RepS_Fil</vt:lpstr>
      <vt:lpstr>RepS_Lab</vt:lpstr>
      <vt:lpstr>RepS_Pak</vt:lpstr>
      <vt:lpstr>Scale_Cap</vt:lpstr>
      <vt:lpstr>Scale_Fil</vt:lpstr>
      <vt:lpstr>Scale_Lab</vt:lpstr>
      <vt:lpstr>Scale_Pak</vt:lpstr>
      <vt:lpstr>SchedHours</vt:lpstr>
      <vt:lpstr>Shape_Cap</vt:lpstr>
      <vt:lpstr>Shape_Fil</vt:lpstr>
      <vt:lpstr>Shape_Lab</vt:lpstr>
      <vt:lpstr>Shape_Pak</vt:lpstr>
      <vt:lpstr>Show_Scale_Fil</vt:lpstr>
      <vt:lpstr>Show_Shape_Fil</vt:lpstr>
      <vt:lpstr>StandbyCost</vt:lpstr>
      <vt:lpstr>SwitchTime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MF-03 Reliability and Availability of a Production Line</dc:title>
  <dc:subject>ModelRisk industry example library — Manufacturing</dc:subject>
  <dc:creator>Vose Software</dc:creator>
  <cp:keywords>ModelRisk; Monte Carlo; Manufacturing</cp:keywords>
  <dc:description>A four-machine line's failures and repairs through a year: availability, lost contribution, the weak machine, and a standby capper.</dc:description>
  <cp:lastModifiedBy>Timour Koupeev</cp:lastModifiedBy>
  <cp:lastPrinted>2026-10-05T16:16:44Z</cp:lastPrinted>
  <dcterms:created xsi:type="dcterms:W3CDTF">2026-10-05T16:12:12Z</dcterms:created>
  <dcterms:modified xsi:type="dcterms:W3CDTF">2026-10-05T16:16:45Z</dcterms:modified>
</cp:coreProperties>
</file>