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imourKoupeev\source\repos\ModelRisk-Examples\models\Manufacturing\"/>
    </mc:Choice>
  </mc:AlternateContent>
  <xr:revisionPtr revIDLastSave="0" documentId="8_{2DEE491C-9306-4718-A571-3E93C27C000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About" sheetId="1" r:id="rId1"/>
    <sheet name="Inputs" sheetId="2" r:id="rId2"/>
    <sheet name="Stack-up" sheetId="3" r:id="rId3"/>
    <sheet name="Results" sheetId="4" r:id="rId4"/>
    <sheet name="ModelRiskDSN" sheetId="5" state="hidden" r:id="rId5"/>
    <sheet name="ModelRiskSYS1" sheetId="6" state="hidden" r:id="rId6"/>
    <sheet name="ModelRiskCharts" sheetId="7" state="hidden" r:id="rId7"/>
  </sheets>
  <definedNames>
    <definedName name="Checks">'Stack-up'!$G$53:$G$54</definedName>
    <definedName name="Gap_1">'Stack-up'!$H$15</definedName>
    <definedName name="Gap_2">'Stack-up'!$I$15</definedName>
    <definedName name="Gap_3">'Stack-up'!$J$15</definedName>
    <definedName name="GapNom">'Stack-up'!$D$23</definedName>
    <definedName name="LSL">Inputs!$D$26</definedName>
    <definedName name="Nom_A">Inputs!$D$13</definedName>
    <definedName name="Nom_B">Inputs!$D$15</definedName>
    <definedName name="Nom_G">Inputs!$D$17</definedName>
    <definedName name="Nom_H">Inputs!$D$11</definedName>
    <definedName name="Nom_S">Inputs!$D$19</definedName>
    <definedName name="Out_Gap_1">'Stack-up'!$G$47</definedName>
    <definedName name="Out_Gap_2">'Stack-up'!$G$48</definedName>
    <definedName name="Out_Gap_3">'Stack-up'!$G$49</definedName>
    <definedName name="_xlnm.Print_Area" localSheetId="3">Results!$A$1:$R$44</definedName>
    <definedName name="_xlnm.Print_Titles" localSheetId="1">Inputs!$1:$4</definedName>
    <definedName name="_xlnm.Print_Titles" localSheetId="3">Results!$1:$4</definedName>
    <definedName name="RSS_Cpk">'Stack-up'!$D$30</definedName>
    <definedName name="RSS_Hi">'Stack-up'!$D$29</definedName>
    <definedName name="RSS_Lo">'Stack-up'!$D$28</definedName>
    <definedName name="RSS_PPM">'Stack-up'!$D$31</definedName>
    <definedName name="RSS_SD">'Stack-up'!$D$27</definedName>
    <definedName name="SD_A">'Stack-up'!$G$38</definedName>
    <definedName name="SD_B">'Stack-up'!$G$39</definedName>
    <definedName name="SD_G">'Stack-up'!$G$40</definedName>
    <definedName name="SD_Gap1">'Stack-up'!$G$42</definedName>
    <definedName name="SD_H">'Stack-up'!$G$37</definedName>
    <definedName name="SD_S">'Stack-up'!$G$41</definedName>
    <definedName name="Share_A">'Stack-up'!$I$38</definedName>
    <definedName name="Share_B">'Stack-up'!$I$39</definedName>
    <definedName name="Share_G">'Stack-up'!$I$40</definedName>
    <definedName name="Share_H">'Stack-up'!$I$37</definedName>
    <definedName name="Share_S">'Stack-up'!$I$41</definedName>
    <definedName name="ShiftS">Inputs!$D$24</definedName>
    <definedName name="Sign_A">'Stack-up'!$C$11</definedName>
    <definedName name="Sign_B">'Stack-up'!$C$12</definedName>
    <definedName name="Sign_G">'Stack-up'!$C$13</definedName>
    <definedName name="Sign_H">'Stack-up'!$C$10</definedName>
    <definedName name="Sign_S">'Stack-up'!$C$14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Tol_A">Inputs!$D$14</definedName>
    <definedName name="Tol_B">Inputs!$D$16</definedName>
    <definedName name="Tol_G">Inputs!$D$18</definedName>
    <definedName name="Tol_H">Inputs!$D$12</definedName>
    <definedName name="Tol_S">Inputs!$D$20</definedName>
    <definedName name="TolSigmas">Inputs!$D$25</definedName>
    <definedName name="TolSum">'Stack-up'!$D$24</definedName>
    <definedName name="USL">Inputs!$D$27</definedName>
    <definedName name="WC_Hi">'Stack-up'!$D$26</definedName>
    <definedName name="WC_Lo">'Stack-up'!$D$25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" i="4" l="1"/>
  <c r="G99" i="4"/>
  <c r="C99" i="4"/>
  <c r="H98" i="4"/>
  <c r="G98" i="4"/>
  <c r="C98" i="4"/>
  <c r="H97" i="4"/>
  <c r="G97" i="4"/>
  <c r="C97" i="4"/>
  <c r="H96" i="4"/>
  <c r="G96" i="4"/>
  <c r="C96" i="4"/>
  <c r="H95" i="4"/>
  <c r="G95" i="4"/>
  <c r="C95" i="4"/>
  <c r="H94" i="4"/>
  <c r="G94" i="4"/>
  <c r="C94" i="4"/>
  <c r="H93" i="4"/>
  <c r="G93" i="4"/>
  <c r="C93" i="4"/>
  <c r="H92" i="4"/>
  <c r="G92" i="4"/>
  <c r="C92" i="4"/>
  <c r="H91" i="4"/>
  <c r="G91" i="4"/>
  <c r="C91" i="4"/>
  <c r="H90" i="4"/>
  <c r="G90" i="4"/>
  <c r="C90" i="4"/>
  <c r="H89" i="4"/>
  <c r="G89" i="4"/>
  <c r="C89" i="4"/>
  <c r="H88" i="4"/>
  <c r="G88" i="4"/>
  <c r="C88" i="4"/>
  <c r="H87" i="4"/>
  <c r="G87" i="4"/>
  <c r="C87" i="4"/>
  <c r="H86" i="4"/>
  <c r="G86" i="4"/>
  <c r="C86" i="4"/>
  <c r="H85" i="4"/>
  <c r="G85" i="4"/>
  <c r="C85" i="4"/>
  <c r="H84" i="4"/>
  <c r="G84" i="4"/>
  <c r="C84" i="4"/>
  <c r="H83" i="4"/>
  <c r="G83" i="4"/>
  <c r="C83" i="4"/>
  <c r="H82" i="4"/>
  <c r="G82" i="4"/>
  <c r="C82" i="4"/>
  <c r="H81" i="4"/>
  <c r="G81" i="4"/>
  <c r="C81" i="4"/>
  <c r="H80" i="4"/>
  <c r="G80" i="4"/>
  <c r="C80" i="4"/>
  <c r="H79" i="4"/>
  <c r="G79" i="4"/>
  <c r="C79" i="4"/>
  <c r="H78" i="4"/>
  <c r="G78" i="4"/>
  <c r="C78" i="4"/>
  <c r="H77" i="4"/>
  <c r="G77" i="4"/>
  <c r="C77" i="4"/>
  <c r="H76" i="4"/>
  <c r="G76" i="4"/>
  <c r="C76" i="4"/>
  <c r="H75" i="4"/>
  <c r="G75" i="4"/>
  <c r="C75" i="4"/>
  <c r="H74" i="4"/>
  <c r="G74" i="4"/>
  <c r="C74" i="4"/>
  <c r="H73" i="4"/>
  <c r="G73" i="4"/>
  <c r="C73" i="4"/>
  <c r="H72" i="4"/>
  <c r="G72" i="4"/>
  <c r="C72" i="4"/>
  <c r="H71" i="4"/>
  <c r="G71" i="4"/>
  <c r="C71" i="4"/>
  <c r="H70" i="4"/>
  <c r="G70" i="4"/>
  <c r="C70" i="4"/>
  <c r="H69" i="4"/>
  <c r="G69" i="4"/>
  <c r="C69" i="4"/>
  <c r="H68" i="4"/>
  <c r="G68" i="4"/>
  <c r="C68" i="4"/>
  <c r="H67" i="4"/>
  <c r="G67" i="4"/>
  <c r="C67" i="4"/>
  <c r="H66" i="4"/>
  <c r="G66" i="4"/>
  <c r="C66" i="4"/>
  <c r="H65" i="4"/>
  <c r="G65" i="4"/>
  <c r="C65" i="4"/>
  <c r="H64" i="4"/>
  <c r="G64" i="4"/>
  <c r="C64" i="4"/>
  <c r="H63" i="4"/>
  <c r="G63" i="4"/>
  <c r="C63" i="4"/>
  <c r="H62" i="4"/>
  <c r="G62" i="4"/>
  <c r="C62" i="4"/>
  <c r="H61" i="4"/>
  <c r="G61" i="4"/>
  <c r="C61" i="4"/>
  <c r="H60" i="4"/>
  <c r="G60" i="4"/>
  <c r="C60" i="4"/>
  <c r="H59" i="4"/>
  <c r="G59" i="4"/>
  <c r="C59" i="4"/>
  <c r="H58" i="4"/>
  <c r="G58" i="4"/>
  <c r="C58" i="4"/>
  <c r="H57" i="4"/>
  <c r="G57" i="4"/>
  <c r="C57" i="4"/>
  <c r="H56" i="4"/>
  <c r="G56" i="4"/>
  <c r="C56" i="4"/>
  <c r="H55" i="4"/>
  <c r="G55" i="4"/>
  <c r="C55" i="4"/>
  <c r="H54" i="4"/>
  <c r="G54" i="4"/>
  <c r="C54" i="4"/>
  <c r="H53" i="4"/>
  <c r="G53" i="4"/>
  <c r="C53" i="4"/>
  <c r="H52" i="4"/>
  <c r="G52" i="4"/>
  <c r="C52" i="4"/>
  <c r="H51" i="4"/>
  <c r="G51" i="4"/>
  <c r="C51" i="4"/>
  <c r="H50" i="4"/>
  <c r="G50" i="4"/>
  <c r="C50" i="4"/>
  <c r="B18" i="4"/>
  <c r="G53" i="3"/>
  <c r="E14" i="3"/>
  <c r="D14" i="3"/>
  <c r="E13" i="3"/>
  <c r="G13" i="3" s="1"/>
  <c r="G40" i="3" s="1"/>
  <c r="H40" i="3" s="1"/>
  <c r="D13" i="3"/>
  <c r="E12" i="3"/>
  <c r="G12" i="3"/>
  <c r="G39" i="3" s="1"/>
  <c r="H39" i="3" s="1"/>
  <c r="D12" i="3"/>
  <c r="E11" i="3"/>
  <c r="G11" i="3" s="1"/>
  <c r="G38" i="3" s="1"/>
  <c r="H38" i="3" s="1"/>
  <c r="D11" i="3"/>
  <c r="E10" i="3"/>
  <c r="D10" i="3"/>
  <c r="C27" i="4"/>
  <c r="C26" i="4"/>
  <c r="G14" i="3"/>
  <c r="G41" i="3" s="1"/>
  <c r="H14" i="3" a="1"/>
  <c r="H13" i="3" a="1"/>
  <c r="J13" i="3" a="1"/>
  <c r="J14" i="3" a="1"/>
  <c r="I11" i="3" a="1"/>
  <c r="I13" i="3" a="1"/>
  <c r="H11" i="3" a="1"/>
  <c r="J11" i="3" a="1"/>
  <c r="I14" i="3" a="1"/>
  <c r="H12" i="3" a="1"/>
  <c r="J10" i="3" a="1"/>
  <c r="I12" i="3" a="1"/>
  <c r="H41" i="3" l="1"/>
  <c r="C28" i="4"/>
  <c r="C25" i="4"/>
  <c r="D15" i="3"/>
  <c r="D23" i="3" s="1"/>
  <c r="G54" i="3" s="1"/>
  <c r="B7" i="4" s="1"/>
  <c r="I12" i="3"/>
  <c r="J10" i="3"/>
  <c r="H12" i="3"/>
  <c r="I14" i="3"/>
  <c r="J11" i="3"/>
  <c r="H11" i="3"/>
  <c r="I13" i="3"/>
  <c r="I11" i="3"/>
  <c r="J14" i="3"/>
  <c r="J13" i="3"/>
  <c r="H13" i="3"/>
  <c r="H14" i="3"/>
  <c r="G10" i="3"/>
  <c r="G37" i="3" s="1"/>
  <c r="D27" i="3"/>
  <c r="D24" i="3"/>
  <c r="D26" i="3" s="1"/>
  <c r="D13" i="4" s="1"/>
  <c r="I10" i="3" a="1"/>
  <c r="J12" i="3" a="1"/>
  <c r="H10" i="3" a="1"/>
  <c r="D28" i="3" l="1"/>
  <c r="C14" i="4" s="1"/>
  <c r="E14" i="4"/>
  <c r="H37" i="3"/>
  <c r="H42" i="3" s="1"/>
  <c r="G42" i="3" s="1"/>
  <c r="C24" i="4"/>
  <c r="D25" i="3"/>
  <c r="C13" i="4" s="1"/>
  <c r="H10" i="3"/>
  <c r="H15" i="3" s="1"/>
  <c r="G47" i="3" s="1" a="1"/>
  <c r="G47" i="3" s="1"/>
  <c r="J12" i="3"/>
  <c r="J15" i="3" s="1"/>
  <c r="G49" i="3" s="1" a="1"/>
  <c r="G49" i="3" s="1"/>
  <c r="I10" i="3"/>
  <c r="I15" i="3" s="1"/>
  <c r="G48" i="3" s="1" a="1"/>
  <c r="G48" i="3" s="1"/>
  <c r="D31" i="3"/>
  <c r="G14" i="4" s="1"/>
  <c r="I39" i="3"/>
  <c r="D26" i="4" s="1"/>
  <c r="D29" i="3"/>
  <c r="D14" i="4" s="1"/>
  <c r="D30" i="3"/>
  <c r="F14" i="4" s="1"/>
  <c r="I38" i="3"/>
  <c r="D25" i="4" s="1"/>
  <c r="C187" i="4" a="1"/>
  <c r="D88" i="4" a="1"/>
  <c r="D78" i="4" a="1"/>
  <c r="C163" i="4" a="1"/>
  <c r="C158" i="4" a="1"/>
  <c r="D65" i="4" a="1"/>
  <c r="C156" i="4" a="1"/>
  <c r="C159" i="4" a="1"/>
  <c r="D67" i="4" a="1"/>
  <c r="C154" i="4" a="1"/>
  <c r="D60" i="4" a="1"/>
  <c r="C145" i="4" a="1"/>
  <c r="C192" i="4" a="1"/>
  <c r="C148" i="4" a="1"/>
  <c r="C123" i="4" a="1"/>
  <c r="D61" i="4" a="1"/>
  <c r="C186" i="4" a="1"/>
  <c r="C109" i="4" a="1"/>
  <c r="D62" i="4" a="1"/>
  <c r="D95" i="4" a="1"/>
  <c r="G15" i="4" a="1"/>
  <c r="D91" i="4" a="1"/>
  <c r="C200" i="4" a="1"/>
  <c r="C155" i="4" a="1"/>
  <c r="D63" i="4" a="1"/>
  <c r="C130" i="4" a="1"/>
  <c r="D56" i="4" a="1"/>
  <c r="C137" i="4" a="1"/>
  <c r="C144" i="4" a="1"/>
  <c r="D94" i="4" a="1"/>
  <c r="C195" i="4" a="1"/>
  <c r="D96" i="4" a="1"/>
  <c r="D82" i="4" a="1"/>
  <c r="D99" i="4" a="1"/>
  <c r="C117" i="4" a="1"/>
  <c r="D73" i="4" a="1"/>
  <c r="D64" i="4" a="1"/>
  <c r="C131" i="4" a="1"/>
  <c r="D59" i="4" a="1"/>
  <c r="C126" i="4" a="1"/>
  <c r="D85" i="4" a="1"/>
  <c r="C129" i="4" a="1"/>
  <c r="C136" i="4" a="1"/>
  <c r="C132" i="4" a="1"/>
  <c r="C190" i="4" a="1"/>
  <c r="C141" i="4" a="1"/>
  <c r="C116" i="4" a="1"/>
  <c r="C191" i="4" a="1"/>
  <c r="D92" i="4" a="1"/>
  <c r="D66" i="4" a="1"/>
  <c r="C162" i="4" a="1"/>
  <c r="D50" i="4" a="1"/>
  <c r="D57" i="4" a="1"/>
  <c r="C127" i="4" a="1"/>
  <c r="C194" i="4" a="1"/>
  <c r="C122" i="4" a="1"/>
  <c r="D69" i="4" a="1"/>
  <c r="C157" i="4" a="1"/>
  <c r="C128" i="4" a="1"/>
  <c r="F15" i="4" a="1"/>
  <c r="C183" i="4" a="1"/>
  <c r="C150" i="4" a="1"/>
  <c r="C120" i="4" a="1"/>
  <c r="C164" i="4" a="1"/>
  <c r="C179" i="4" a="1"/>
  <c r="C147" i="4" a="1"/>
  <c r="C115" i="4" a="1"/>
  <c r="D83" i="4" a="1"/>
  <c r="D51" i="4" a="1"/>
  <c r="C178" i="4" a="1"/>
  <c r="C146" i="4" a="1"/>
  <c r="C114" i="4" a="1"/>
  <c r="D80" i="4" a="1"/>
  <c r="D15" i="4" a="1"/>
  <c r="C197" i="4" a="1"/>
  <c r="C185" i="4" a="1"/>
  <c r="C105" i="4" a="1"/>
  <c r="D81" i="4" a="1"/>
  <c r="C176" i="4" a="1"/>
  <c r="C112" i="4" a="1"/>
  <c r="C181" i="4" a="1"/>
  <c r="C140" i="4" a="1"/>
  <c r="C188" i="4" a="1"/>
  <c r="C151" i="4" a="1"/>
  <c r="D55" i="4" a="1"/>
  <c r="D84" i="4" a="1"/>
  <c r="C121" i="4" a="1"/>
  <c r="C184" i="4" a="1"/>
  <c r="C108" i="4" a="1"/>
  <c r="D54" i="4" a="1"/>
  <c r="C175" i="4" a="1"/>
  <c r="C143" i="4" a="1"/>
  <c r="C111" i="4" a="1"/>
  <c r="D79" i="4" a="1"/>
  <c r="E15" i="4" a="1"/>
  <c r="C174" i="4" a="1"/>
  <c r="C142" i="4" a="1"/>
  <c r="C110" i="4" a="1"/>
  <c r="D76" i="4" a="1"/>
  <c r="C201" i="4" a="1"/>
  <c r="C165" i="4" a="1"/>
  <c r="C177" i="4" a="1"/>
  <c r="D93" i="4" a="1"/>
  <c r="D74" i="4" a="1"/>
  <c r="C168" i="4" a="1"/>
  <c r="C104" i="4" a="1"/>
  <c r="C173" i="4" a="1"/>
  <c r="D70" i="4" a="1"/>
  <c r="C124" i="4" a="1"/>
  <c r="C119" i="4" a="1"/>
  <c r="C182" i="4" a="1"/>
  <c r="D53" i="4" a="1"/>
  <c r="B6" i="4" a="1"/>
  <c r="C171" i="4" a="1"/>
  <c r="C139" i="4" a="1"/>
  <c r="C107" i="4" a="1"/>
  <c r="D75" i="4" a="1"/>
  <c r="C202" i="4" a="1"/>
  <c r="C170" i="4" a="1"/>
  <c r="C138" i="4" a="1"/>
  <c r="C106" i="4" a="1"/>
  <c r="D72" i="4" a="1"/>
  <c r="C153" i="4" a="1"/>
  <c r="C149" i="4" a="1"/>
  <c r="C169" i="4" a="1"/>
  <c r="D77" i="4" a="1"/>
  <c r="D58" i="4" a="1"/>
  <c r="C160" i="4" a="1"/>
  <c r="D98" i="4" a="1"/>
  <c r="C125" i="4" a="1"/>
  <c r="C172" i="4" a="1"/>
  <c r="D86" i="4" a="1"/>
  <c r="D87" i="4" a="1"/>
  <c r="C118" i="4" a="1"/>
  <c r="D52" i="4" a="1"/>
  <c r="C193" i="4" a="1"/>
  <c r="D89" i="4" a="1"/>
  <c r="C199" i="4" a="1"/>
  <c r="C167" i="4" a="1"/>
  <c r="C135" i="4" a="1"/>
  <c r="C103" i="4" a="1"/>
  <c r="D71" i="4" a="1"/>
  <c r="C198" i="4" a="1"/>
  <c r="C166" i="4" a="1"/>
  <c r="C134" i="4" a="1"/>
  <c r="C102" i="4" a="1"/>
  <c r="D68" i="4" a="1"/>
  <c r="C113" i="4" a="1"/>
  <c r="C133" i="4" a="1"/>
  <c r="C161" i="4" a="1"/>
  <c r="C15" i="4" a="1"/>
  <c r="C189" i="4" a="1"/>
  <c r="C152" i="4" a="1"/>
  <c r="D90" i="4" a="1"/>
  <c r="D97" i="4" a="1"/>
  <c r="C196" i="4" a="1"/>
  <c r="C180" i="4" a="1"/>
  <c r="E77" i="4" a="1"/>
  <c r="E92" i="4" a="1"/>
  <c r="E53" i="4" a="1"/>
  <c r="E63" i="4" a="1"/>
  <c r="E56" i="4" a="1"/>
  <c r="E82" i="4" a="1"/>
  <c r="E81" i="4" a="1"/>
  <c r="E96" i="4" a="1"/>
  <c r="E88" i="4" a="1"/>
  <c r="G16" i="4" a="1"/>
  <c r="E51" i="4" a="1"/>
  <c r="E85" i="4" a="1"/>
  <c r="E87" i="4" a="1"/>
  <c r="E64" i="4" a="1"/>
  <c r="C16" i="4" a="1"/>
  <c r="E99" i="4" a="1"/>
  <c r="E98" i="4" a="1"/>
  <c r="E79" i="4" a="1"/>
  <c r="E60" i="4" a="1"/>
  <c r="E78" i="4" a="1"/>
  <c r="E91" i="4" a="1"/>
  <c r="E90" i="4" a="1"/>
  <c r="E80" i="4" a="1"/>
  <c r="D16" i="4" a="1"/>
  <c r="E69" i="4" a="1"/>
  <c r="E66" i="4" a="1"/>
  <c r="E50" i="4" a="1"/>
  <c r="E54" i="4" a="1"/>
  <c r="E75" i="4" a="1"/>
  <c r="E52" i="4" a="1"/>
  <c r="E74" i="4" a="1"/>
  <c r="E76" i="4" a="1"/>
  <c r="E97" i="4" a="1"/>
  <c r="E65" i="4" a="1"/>
  <c r="E58" i="4" a="1"/>
  <c r="E94" i="4" a="1"/>
  <c r="E95" i="4" a="1"/>
  <c r="E83" i="4" a="1"/>
  <c r="E84" i="4" a="1"/>
  <c r="E16" i="4" a="1"/>
  <c r="E72" i="4" a="1"/>
  <c r="E93" i="4" a="1"/>
  <c r="E61" i="4" a="1"/>
  <c r="F16" i="4" a="1"/>
  <c r="E70" i="4" a="1"/>
  <c r="E71" i="4" a="1"/>
  <c r="E59" i="4" a="1"/>
  <c r="E73" i="4" a="1"/>
  <c r="E67" i="4" a="1"/>
  <c r="E68" i="4" a="1"/>
  <c r="E89" i="4" a="1"/>
  <c r="E57" i="4" a="1"/>
  <c r="E86" i="4" a="1"/>
  <c r="E62" i="4" a="1"/>
  <c r="E55" i="4" a="1"/>
  <c r="F65" i="4" a="1"/>
  <c r="F61" i="4" a="1"/>
  <c r="F94" i="4" a="1"/>
  <c r="F87" i="4" a="1"/>
  <c r="F89" i="4" a="1"/>
  <c r="F90" i="4" a="1"/>
  <c r="F91" i="4" a="1"/>
  <c r="F60" i="4" a="1"/>
  <c r="F54" i="4" a="1"/>
  <c r="D17" i="4" a="1"/>
  <c r="F51" i="4" a="1"/>
  <c r="F97" i="4" a="1"/>
  <c r="F86" i="4" a="1"/>
  <c r="F58" i="4" a="1"/>
  <c r="F69" i="4" a="1"/>
  <c r="F72" i="4" a="1"/>
  <c r="F99" i="4" a="1"/>
  <c r="F83" i="4" a="1"/>
  <c r="F93" i="4" a="1"/>
  <c r="F62" i="4" a="1"/>
  <c r="F75" i="4" a="1"/>
  <c r="F67" i="4" a="1"/>
  <c r="F85" i="4" a="1"/>
  <c r="F53" i="4" a="1"/>
  <c r="F78" i="4" a="1"/>
  <c r="F17" i="4" a="1"/>
  <c r="F55" i="4" a="1"/>
  <c r="F59" i="4" a="1"/>
  <c r="F96" i="4" a="1"/>
  <c r="F57" i="4" a="1"/>
  <c r="F63" i="4" a="1"/>
  <c r="F81" i="4" a="1"/>
  <c r="G17" i="4" a="1"/>
  <c r="F74" i="4" a="1"/>
  <c r="F95" i="4" a="1"/>
  <c r="E17" i="4" a="1"/>
  <c r="F92" i="4" a="1"/>
  <c r="F88" i="4" a="1"/>
  <c r="F82" i="4" a="1"/>
  <c r="F77" i="4" a="1"/>
  <c r="C17" i="4" a="1"/>
  <c r="F70" i="4" a="1"/>
  <c r="F79" i="4" a="1"/>
  <c r="F68" i="4" a="1"/>
  <c r="F84" i="4" a="1"/>
  <c r="F64" i="4" a="1"/>
  <c r="F50" i="4" a="1"/>
  <c r="F56" i="4" a="1"/>
  <c r="F73" i="4" a="1"/>
  <c r="F98" i="4" a="1"/>
  <c r="F66" i="4" a="1"/>
  <c r="F71" i="4" a="1"/>
  <c r="F52" i="4" a="1"/>
  <c r="F76" i="4" a="1"/>
  <c r="F80" i="4" a="1"/>
  <c r="I41" i="3" l="1"/>
  <c r="D28" i="4" s="1"/>
  <c r="I37" i="3"/>
  <c r="D24" i="4" s="1"/>
  <c r="I40" i="3"/>
  <c r="D27" i="4" s="1"/>
  <c r="F80" i="4"/>
  <c r="F76" i="4"/>
  <c r="F52" i="4"/>
  <c r="F71" i="4"/>
  <c r="F66" i="4"/>
  <c r="F98" i="4"/>
  <c r="F73" i="4"/>
  <c r="F56" i="4"/>
  <c r="F50" i="4"/>
  <c r="F64" i="4"/>
  <c r="F84" i="4"/>
  <c r="F68" i="4"/>
  <c r="F79" i="4"/>
  <c r="F70" i="4"/>
  <c r="C17" i="4"/>
  <c r="F77" i="4"/>
  <c r="F82" i="4"/>
  <c r="F88" i="4"/>
  <c r="F92" i="4"/>
  <c r="E17" i="4"/>
  <c r="F95" i="4"/>
  <c r="F74" i="4"/>
  <c r="G17" i="4"/>
  <c r="F81" i="4"/>
  <c r="F63" i="4"/>
  <c r="F57" i="4"/>
  <c r="F96" i="4"/>
  <c r="F59" i="4"/>
  <c r="F55" i="4"/>
  <c r="F17" i="4"/>
  <c r="F78" i="4"/>
  <c r="F53" i="4"/>
  <c r="F85" i="4"/>
  <c r="F67" i="4"/>
  <c r="F75" i="4"/>
  <c r="F62" i="4"/>
  <c r="F93" i="4"/>
  <c r="F83" i="4"/>
  <c r="F99" i="4"/>
  <c r="F72" i="4"/>
  <c r="F69" i="4"/>
  <c r="F58" i="4"/>
  <c r="F86" i="4"/>
  <c r="F97" i="4"/>
  <c r="F51" i="4"/>
  <c r="D17" i="4"/>
  <c r="F54" i="4"/>
  <c r="F60" i="4"/>
  <c r="F91" i="4"/>
  <c r="F90" i="4"/>
  <c r="F89" i="4"/>
  <c r="F87" i="4"/>
  <c r="F94" i="4"/>
  <c r="F61" i="4"/>
  <c r="F65" i="4"/>
  <c r="E55" i="4"/>
  <c r="E62" i="4"/>
  <c r="E86" i="4"/>
  <c r="E57" i="4"/>
  <c r="E89" i="4"/>
  <c r="E68" i="4"/>
  <c r="E67" i="4"/>
  <c r="E73" i="4"/>
  <c r="E59" i="4"/>
  <c r="E71" i="4"/>
  <c r="E70" i="4"/>
  <c r="F16" i="4"/>
  <c r="E61" i="4"/>
  <c r="E93" i="4"/>
  <c r="E72" i="4"/>
  <c r="E16" i="4"/>
  <c r="E84" i="4"/>
  <c r="E83" i="4"/>
  <c r="E95" i="4"/>
  <c r="E94" i="4"/>
  <c r="E58" i="4"/>
  <c r="E65" i="4"/>
  <c r="E97" i="4"/>
  <c r="E76" i="4"/>
  <c r="E74" i="4"/>
  <c r="E52" i="4"/>
  <c r="E75" i="4"/>
  <c r="E54" i="4"/>
  <c r="E50" i="4"/>
  <c r="E66" i="4"/>
  <c r="E69" i="4"/>
  <c r="D16" i="4"/>
  <c r="E80" i="4"/>
  <c r="E90" i="4"/>
  <c r="E91" i="4"/>
  <c r="E78" i="4"/>
  <c r="E60" i="4"/>
  <c r="E79" i="4"/>
  <c r="E98" i="4"/>
  <c r="E99" i="4"/>
  <c r="C16" i="4"/>
  <c r="E64" i="4"/>
  <c r="E87" i="4"/>
  <c r="E85" i="4"/>
  <c r="E51" i="4"/>
  <c r="G16" i="4"/>
  <c r="E88" i="4"/>
  <c r="E96" i="4"/>
  <c r="E81" i="4"/>
  <c r="E82" i="4"/>
  <c r="E56" i="4"/>
  <c r="E63" i="4"/>
  <c r="E53" i="4"/>
  <c r="E92" i="4"/>
  <c r="E77" i="4"/>
  <c r="C180" i="4"/>
  <c r="C196" i="4"/>
  <c r="D97" i="4"/>
  <c r="D90" i="4"/>
  <c r="C152" i="4"/>
  <c r="C189" i="4"/>
  <c r="C15" i="4"/>
  <c r="C161" i="4"/>
  <c r="C133" i="4"/>
  <c r="C113" i="4"/>
  <c r="D68" i="4"/>
  <c r="C102" i="4"/>
  <c r="C134" i="4"/>
  <c r="C166" i="4"/>
  <c r="C198" i="4"/>
  <c r="D71" i="4"/>
  <c r="C103" i="4"/>
  <c r="C135" i="4"/>
  <c r="C167" i="4"/>
  <c r="C199" i="4"/>
  <c r="D89" i="4"/>
  <c r="C193" i="4"/>
  <c r="D52" i="4"/>
  <c r="C118" i="4"/>
  <c r="D87" i="4"/>
  <c r="D86" i="4"/>
  <c r="C172" i="4"/>
  <c r="C125" i="4"/>
  <c r="D98" i="4"/>
  <c r="C160" i="4"/>
  <c r="D58" i="4"/>
  <c r="D77" i="4"/>
  <c r="C169" i="4"/>
  <c r="C149" i="4"/>
  <c r="C153" i="4"/>
  <c r="D72" i="4"/>
  <c r="C106" i="4"/>
  <c r="C138" i="4"/>
  <c r="C170" i="4"/>
  <c r="C202" i="4"/>
  <c r="D75" i="4"/>
  <c r="C107" i="4"/>
  <c r="C139" i="4"/>
  <c r="C171" i="4"/>
  <c r="B6" i="4"/>
  <c r="D53" i="4"/>
  <c r="C182" i="4"/>
  <c r="C119" i="4"/>
  <c r="C124" i="4"/>
  <c r="D70" i="4"/>
  <c r="C173" i="4"/>
  <c r="C104" i="4"/>
  <c r="C168" i="4"/>
  <c r="D74" i="4"/>
  <c r="D93" i="4"/>
  <c r="C177" i="4"/>
  <c r="C165" i="4"/>
  <c r="C201" i="4"/>
  <c r="D76" i="4"/>
  <c r="C110" i="4"/>
  <c r="C142" i="4"/>
  <c r="C174" i="4"/>
  <c r="E15" i="4"/>
  <c r="D79" i="4"/>
  <c r="C111" i="4"/>
  <c r="C143" i="4"/>
  <c r="C175" i="4"/>
  <c r="D54" i="4"/>
  <c r="C108" i="4"/>
  <c r="C184" i="4"/>
  <c r="C121" i="4"/>
  <c r="D84" i="4"/>
  <c r="D55" i="4"/>
  <c r="C151" i="4"/>
  <c r="C188" i="4"/>
  <c r="C140" i="4"/>
  <c r="C181" i="4"/>
  <c r="C112" i="4"/>
  <c r="C176" i="4"/>
  <c r="D81" i="4"/>
  <c r="C105" i="4"/>
  <c r="C185" i="4"/>
  <c r="C197" i="4"/>
  <c r="D15" i="4"/>
  <c r="D80" i="4"/>
  <c r="C114" i="4"/>
  <c r="C146" i="4"/>
  <c r="C178" i="4"/>
  <c r="D51" i="4"/>
  <c r="D83" i="4"/>
  <c r="C115" i="4"/>
  <c r="C147" i="4"/>
  <c r="C179" i="4"/>
  <c r="C164" i="4"/>
  <c r="C120" i="4"/>
  <c r="C150" i="4"/>
  <c r="C183" i="4"/>
  <c r="F15" i="4"/>
  <c r="C128" i="4"/>
  <c r="C157" i="4"/>
  <c r="D69" i="4"/>
  <c r="C122" i="4"/>
  <c r="C194" i="4"/>
  <c r="C127" i="4"/>
  <c r="D57" i="4"/>
  <c r="D50" i="4"/>
  <c r="C162" i="4"/>
  <c r="D66" i="4"/>
  <c r="D92" i="4"/>
  <c r="C191" i="4"/>
  <c r="C116" i="4"/>
  <c r="C141" i="4"/>
  <c r="C190" i="4"/>
  <c r="C132" i="4"/>
  <c r="C136" i="4"/>
  <c r="C129" i="4"/>
  <c r="D85" i="4"/>
  <c r="C126" i="4"/>
  <c r="D59" i="4"/>
  <c r="C131" i="4"/>
  <c r="D64" i="4"/>
  <c r="D73" i="4"/>
  <c r="C117" i="4"/>
  <c r="D99" i="4"/>
  <c r="D82" i="4"/>
  <c r="D96" i="4"/>
  <c r="C195" i="4"/>
  <c r="D94" i="4"/>
  <c r="C144" i="4"/>
  <c r="C137" i="4"/>
  <c r="D56" i="4"/>
  <c r="C130" i="4"/>
  <c r="D63" i="4"/>
  <c r="C155" i="4"/>
  <c r="C200" i="4"/>
  <c r="D91" i="4"/>
  <c r="G15" i="4"/>
  <c r="D95" i="4"/>
  <c r="D62" i="4"/>
  <c r="C109" i="4"/>
  <c r="C186" i="4"/>
  <c r="D61" i="4"/>
  <c r="C123" i="4"/>
  <c r="C148" i="4"/>
  <c r="C192" i="4"/>
  <c r="C145" i="4"/>
  <c r="D60" i="4"/>
  <c r="C154" i="4"/>
  <c r="D67" i="4"/>
  <c r="C159" i="4"/>
  <c r="C156" i="4"/>
  <c r="D65" i="4"/>
  <c r="C158" i="4"/>
  <c r="C163" i="4"/>
  <c r="D78" i="4"/>
  <c r="D88" i="4"/>
  <c r="C187" i="4"/>
  <c r="C210" i="4" l="1"/>
  <c r="C216" i="4"/>
  <c r="C222" i="4"/>
  <c r="C213" i="4"/>
  <c r="C220" i="4"/>
  <c r="C228" i="4"/>
  <c r="C205" i="4"/>
  <c r="C219" i="4"/>
  <c r="C226" i="4"/>
  <c r="C207" i="4"/>
  <c r="C223" i="4"/>
  <c r="C211" i="4"/>
  <c r="C206" i="4"/>
  <c r="C221" i="4"/>
  <c r="C218" i="4"/>
  <c r="C212" i="4"/>
  <c r="C227" i="4"/>
  <c r="C229" i="4"/>
  <c r="D229" i="4" s="1"/>
  <c r="G229" i="4" s="1" a="1"/>
  <c r="G229" i="4" s="1"/>
  <c r="C217" i="4"/>
  <c r="C225" i="4"/>
  <c r="C215" i="4"/>
  <c r="C209" i="4"/>
  <c r="C224" i="4"/>
  <c r="C208" i="4"/>
  <c r="C214" i="4"/>
  <c r="D219" i="4" l="1"/>
  <c r="G219" i="4" s="1" a="1"/>
  <c r="G219" i="4" s="1"/>
  <c r="E219" i="4"/>
  <c r="D213" i="4"/>
  <c r="G213" i="4" s="1" a="1"/>
  <c r="G213" i="4" s="1"/>
  <c r="E213" i="4"/>
  <c r="E212" i="4"/>
  <c r="D212" i="4"/>
  <c r="G212" i="4" s="1" a="1"/>
  <c r="G212" i="4" s="1"/>
  <c r="D205" i="4"/>
  <c r="G205" i="4" s="1" a="1"/>
  <c r="G205" i="4" s="1"/>
  <c r="E205" i="4"/>
  <c r="D221" i="4"/>
  <c r="G221" i="4" s="1" a="1"/>
  <c r="G221" i="4" s="1"/>
  <c r="E221" i="4"/>
  <c r="E215" i="4"/>
  <c r="D215" i="4"/>
  <c r="G215" i="4" s="1" a="1"/>
  <c r="G215" i="4" s="1"/>
  <c r="D220" i="4"/>
  <c r="G220" i="4" s="1" a="1"/>
  <c r="G220" i="4" s="1"/>
  <c r="F219" i="4" s="1"/>
  <c r="E220" i="4"/>
  <c r="E211" i="4"/>
  <c r="D211" i="4"/>
  <c r="G211" i="4" s="1" a="1"/>
  <c r="G211" i="4" s="1"/>
  <c r="E217" i="4"/>
  <c r="D217" i="4"/>
  <c r="G217" i="4" s="1" a="1"/>
  <c r="G217" i="4" s="1"/>
  <c r="D223" i="4"/>
  <c r="G223" i="4" s="1" a="1"/>
  <c r="G223" i="4" s="1"/>
  <c r="E223" i="4"/>
  <c r="D222" i="4"/>
  <c r="G222" i="4" s="1" a="1"/>
  <c r="G222" i="4" s="1"/>
  <c r="F221" i="4" s="1"/>
  <c r="E222" i="4"/>
  <c r="E207" i="4"/>
  <c r="D207" i="4"/>
  <c r="G207" i="4" s="1" a="1"/>
  <c r="G207" i="4" s="1"/>
  <c r="E216" i="4"/>
  <c r="D216" i="4"/>
  <c r="G216" i="4" s="1" a="1"/>
  <c r="G216" i="4" s="1"/>
  <c r="D208" i="4"/>
  <c r="G208" i="4" s="1" a="1"/>
  <c r="G208" i="4" s="1"/>
  <c r="E208" i="4"/>
  <c r="E224" i="4"/>
  <c r="D224" i="4"/>
  <c r="G224" i="4" s="1" a="1"/>
  <c r="G224" i="4" s="1"/>
  <c r="F223" i="4" s="1"/>
  <c r="D218" i="4"/>
  <c r="G218" i="4" s="1" a="1"/>
  <c r="G218" i="4" s="1"/>
  <c r="F217" i="4" s="1"/>
  <c r="E218" i="4"/>
  <c r="D209" i="4"/>
  <c r="G209" i="4" s="1" a="1"/>
  <c r="G209" i="4" s="1"/>
  <c r="E209" i="4"/>
  <c r="E228" i="4"/>
  <c r="D228" i="4"/>
  <c r="G228" i="4" s="1" a="1"/>
  <c r="G228" i="4" s="1"/>
  <c r="E206" i="4"/>
  <c r="D206" i="4"/>
  <c r="G206" i="4" s="1" a="1"/>
  <c r="G206" i="4" s="1"/>
  <c r="E225" i="4"/>
  <c r="D225" i="4"/>
  <c r="G225" i="4" s="1" a="1"/>
  <c r="G225" i="4" s="1"/>
  <c r="D214" i="4"/>
  <c r="G214" i="4" s="1" a="1"/>
  <c r="G214" i="4" s="1"/>
  <c r="E214" i="4"/>
  <c r="D227" i="4"/>
  <c r="G227" i="4" s="1" a="1"/>
  <c r="G227" i="4" s="1"/>
  <c r="E227" i="4"/>
  <c r="E226" i="4"/>
  <c r="D226" i="4"/>
  <c r="G226" i="4" s="1" a="1"/>
  <c r="G226" i="4" s="1"/>
  <c r="E210" i="4"/>
  <c r="D210" i="4"/>
  <c r="G210" i="4" s="1" a="1"/>
  <c r="G210" i="4" s="1"/>
  <c r="F227" i="4" l="1"/>
  <c r="F225" i="4"/>
  <c r="F228" i="4"/>
  <c r="F209" i="4"/>
  <c r="F210" i="4"/>
  <c r="F205" i="4"/>
  <c r="F215" i="4"/>
  <c r="F213" i="4"/>
  <c r="F226" i="4"/>
  <c r="F207" i="4"/>
  <c r="F214" i="4"/>
  <c r="F222" i="4"/>
  <c r="F212" i="4"/>
  <c r="F211" i="4"/>
  <c r="F208" i="4"/>
  <c r="F216" i="4"/>
  <c r="F224" i="4"/>
  <c r="F206" i="4"/>
  <c r="F220" i="4"/>
  <c r="F218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<sst xmlns="http://schemas.openxmlformats.org/spreadsheetml/2006/main" count="326" uniqueCount="240">
  <si>
    <t>Tolerance Stack-Up and Process Capability</t>
  </si>
  <si>
    <t>ModelRisk example  ·  Manufacturing  ·  MF-02</t>
  </si>
  <si>
    <t>Will the assembly's gap stay within specification?  Worst case, root-sum-square and simulation compared.</t>
  </si>
  <si>
    <t>Next:  Inputs  ▸</t>
  </si>
  <si>
    <t>Model card</t>
  </si>
  <si>
    <t>Industry</t>
  </si>
  <si>
    <t>Manufacturing</t>
  </si>
  <si>
    <t>Difficulty</t>
  </si>
  <si>
    <t>★★☆☆☆   Five part dimensions add up to one gap: worst case, root-sum-square and Monte Carlo against the specification.</t>
  </si>
  <si>
    <t>Business question</t>
  </si>
  <si>
    <t>A gearbox's axial gap is the housing length minus the widths of four parts stacked inside it, and must lie between 0.15 and 0.45 mm. Each part is made within its tolerance — but how often will the gap fall outside the specification, how capable is the assembly, and which part's tolerance is worth tightening?</t>
  </si>
  <si>
    <t>Who it is for</t>
  </si>
  <si>
    <t>Design and quality engineers, Six Sigma practitioners, supplier quality teams.</t>
  </si>
  <si>
    <t>Main outputs</t>
  </si>
  <si>
    <t>The gap's range by worst case, root-sum-square and Monte Carlo · its capability (Cp, Cpk) and defects per million for the current design and two improvements · each part's share of the gap's variation.</t>
  </si>
  <si>
    <t>ModelRisk techniques</t>
  </si>
  <si>
    <t>Part dimensions as Normal and Uniform distributions (VoseNormal, VoseUniform) · the stack-up simulated · process capability from the simulation (VoseSixSigmaCp, VoseSixSigmaCpk, VoseSixSigmaDefectPPM) · worst-case and root-sum-square tolerance analysis for comparison · contribution of each part to the variance.</t>
  </si>
  <si>
    <t>File</t>
  </si>
  <si>
    <t>MF-02 Tolerance stack-up and process capability  ·  Version 1.0  ·  October 2026  ·  built with ModelRisk 10</t>
  </si>
  <si>
    <t>The business question</t>
  </si>
  <si>
    <t>A gearbox's shaft assembly leaves an axial gap: the housing length minus the shaft shoulder, the bearing, the gear hub and a spacer. Too small a gap and the bearing is preloaded; too large and the gear rattles — the drawing requires 0.15 to 0.45 mm. Each part is made within its tolerance, but tolerances add up. A worst-case check says the gap could be anything from zero to 0.6 mm; the textbook root-sum-square check says it is fine. Neither knows that the bought-in bearings are sorted to tolerance — any width in the band is as likely as any other — or that the spacer grinder runs a little long. The model simulates the stack-up as it really is made, measures the assembly's capability, and tests two improvements.</t>
  </si>
  <si>
    <t>How the model works</t>
  </si>
  <si>
    <t>Three sheets after this one, read from left to right. Each one feeds the next.</t>
  </si>
  <si>
    <t>1  Inputs</t>
  </si>
  <si>
    <t>The nominal dimension and ± tolerance of the housing, shaft shoulder, bearing, gear hub and spacer; how far the spacer process runs off centre; the lower and upper specification of the gap.</t>
  </si>
  <si>
    <t>2  Stack-up</t>
  </si>
  <si>
    <t>Each part is drawn from its real distribution — Normal with the tolerance at three standard deviations for parts made in-house, Uniform across the tolerance for the sorted bearings — and the gap is the housing minus the four parts, for the design as made today and for two improvements. Worst-case and root-sum-square ranges are calculated alongside.</t>
  </si>
  <si>
    <t>3  Results</t>
  </si>
  <si>
    <t>The gap's range by each method; Cp, Cpk and defects per million from the simulation (VoseSixSigma functions); each part's share of the variation of the gap.</t>
  </si>
  <si>
    <t>How to use it</t>
  </si>
  <si>
    <t>Step 1</t>
  </si>
  <si>
    <t>Enter each part's nominal and tolerance, and the gap's specification.</t>
  </si>
  <si>
    <t>Step 2</t>
  </si>
  <si>
    <t>Set how far any process runs off centre.</t>
  </si>
  <si>
    <t>Step 3</t>
  </si>
  <si>
    <t>Run a simulation from the ModelRisk ribbon (10,000 samples with a fixed seed are set).</t>
  </si>
  <si>
    <t>Step 4</t>
  </si>
  <si>
    <t>Tighten first the parts with the largest share of the variation.</t>
  </si>
  <si>
    <t>Workbook map</t>
  </si>
  <si>
    <t>Inputs</t>
  </si>
  <si>
    <t>Parts, shift, specification.</t>
  </si>
  <si>
    <t>Stack-up</t>
  </si>
  <si>
    <t>Distributions, gaps for three designs, worst case and root-sum-square; outputs and checks.</t>
  </si>
  <si>
    <t>Results</t>
  </si>
  <si>
    <t>Capability by method and design; contributions.</t>
  </si>
  <si>
    <t>Colour key</t>
  </si>
  <si>
    <t>Input</t>
  </si>
  <si>
    <t>An assumption you may change. Only these cells are inputs.</t>
  </si>
  <si>
    <t>Uncertain variable</t>
  </si>
  <si>
    <t>A ModelRisk distribution: a new random value is drawn at every recalculation (F9) and every simulation sample.</t>
  </si>
  <si>
    <t>Calculation</t>
  </si>
  <si>
    <t>A formula. Do not overwrite.</t>
  </si>
  <si>
    <t>Key output</t>
  </si>
  <si>
    <t>Marked with VoseOutput; its full distribution is recorded when you simulate.</t>
  </si>
  <si>
    <t>Simulation result</t>
  </si>
  <si>
    <t>A VoseSim… function: a statistic of the last simulation, filled in automatically.</t>
  </si>
  <si>
    <t>Units and conventions</t>
  </si>
  <si>
    <t>Units</t>
  </si>
  <si>
    <t>Millimetres (mm); defects in parts per million (ppm).</t>
  </si>
  <si>
    <t>Gap</t>
  </si>
  <si>
    <t>Housing − (shaft shoulder + bearing + gear hub + spacer).</t>
  </si>
  <si>
    <t>Cp</t>
  </si>
  <si>
    <t>Specification width ÷ 6 standard deviations: what the process could do if centred.</t>
  </si>
  <si>
    <t>Cpk</t>
  </si>
  <si>
    <t>Distance from the mean to the nearer limit ÷ 3 standard deviations: what it does. 1.33 is a common minimum.</t>
  </si>
  <si>
    <t>Root-sum-square</t>
  </si>
  <si>
    <t>The gap's standard deviation as √(Σ of the parts' variances), each part's tolerance taken as 3 standard deviations.</t>
  </si>
  <si>
    <t>Key assumptions and limitations</t>
  </si>
  <si>
    <t>Parts</t>
  </si>
  <si>
    <t>In-house parts are Normal with the tolerance at ±3 standard deviations; sorted bearings are Uniform across the tolerance.</t>
  </si>
  <si>
    <t>Assembly</t>
  </si>
  <si>
    <t>Dimensions are independent and add exactly; no deformation or temperature effect.</t>
  </si>
  <si>
    <t>Simulation</t>
  </si>
  <si>
    <t>10,000 assemblies resolve about 100 ppm: use more samples for very capable designs.</t>
  </si>
  <si>
    <t>Data</t>
  </si>
  <si>
    <t>The gearbox and all figures are invented for this example.</t>
  </si>
  <si>
    <t>ModelRisk functions used</t>
  </si>
  <si>
    <t>VoseNormal, VoseUniform</t>
  </si>
  <si>
    <t>Each part's dimension.</t>
  </si>
  <si>
    <t>VoseSixSigmaCp, VoseSixSigmaCpk</t>
  </si>
  <si>
    <t>Process capability of the simulated gap.</t>
  </si>
  <si>
    <t>VoseSixSigmaDefectPPM</t>
  </si>
  <si>
    <t>The share of simulated gaps outside the specification, per million.</t>
  </si>
  <si>
    <t>VoseSimPercentile</t>
  </si>
  <si>
    <t>The gap's natural range: its 0.135th and 99.865th percentiles.</t>
  </si>
  <si>
    <t>Further reading</t>
  </si>
  <si>
    <t>Tolerance analysis</t>
  </si>
  <si>
    <t>Fischer, B. R. (2011). Mechanical Tolerance Stackup and Analysis, 2nd edition. CRC Press.</t>
  </si>
  <si>
    <t>Process capability</t>
  </si>
  <si>
    <t>Montgomery, D. C. (2019). Introduction to Statistical Quality Control, 8th edition. Wiley.</t>
  </si>
  <si>
    <t>© 2026 Vose Software   ·   www.vosesoftware.com   ·   An illustrative example: the figures are invented for teaching and do not describe a real company, project or asset.</t>
  </si>
  <si>
    <t>INPUTS   ·   Every assumption the model uses, with its uncertainty and its basis. Change only the yellow cells.</t>
  </si>
  <si>
    <t>◂  About</t>
  </si>
  <si>
    <t>Next:  Stack-up  ▸</t>
  </si>
  <si>
    <t>How to read this sheet:  yellow cells are inputs.</t>
  </si>
  <si>
    <t>1   Parts</t>
  </si>
  <si>
    <t>The housing adds to the gap; the four parts inside take from it.</t>
  </si>
  <si>
    <t>Assumption</t>
  </si>
  <si>
    <t>Unit</t>
  </si>
  <si>
    <t>Value in model</t>
  </si>
  <si>
    <t>Uncertainty</t>
  </si>
  <si>
    <t>Basis / source (illustrative)</t>
  </si>
  <si>
    <t>Housing: nominal</t>
  </si>
  <si>
    <t>mm</t>
  </si>
  <si>
    <t>Fixed</t>
  </si>
  <si>
    <t>Machined in-house.</t>
  </si>
  <si>
    <t>Housing: tolerance</t>
  </si>
  <si>
    <t>± mm</t>
  </si>
  <si>
    <t>Shaft shoulder: nominal</t>
  </si>
  <si>
    <t>Turned in-house.</t>
  </si>
  <si>
    <t>Shaft shoulder: tolerance</t>
  </si>
  <si>
    <t>Bearing width: nominal</t>
  </si>
  <si>
    <t>Bought in: the supplier sorts to tolerance, so every width in it is equally likely.</t>
  </si>
  <si>
    <t>Bearing width: tolerance</t>
  </si>
  <si>
    <t>Gear hub: nominal</t>
  </si>
  <si>
    <t>Gear hub: tolerance</t>
  </si>
  <si>
    <t>Spacer: nominal</t>
  </si>
  <si>
    <t>Ground in-house; the process runs slightly long (see the shift).</t>
  </si>
  <si>
    <t>Spacer: tolerance</t>
  </si>
  <si>
    <t>2   Process and specification</t>
  </si>
  <si>
    <t>Spacer process runs long by</t>
  </si>
  <si>
    <t>The grinder's average is above nominal.</t>
  </si>
  <si>
    <t>A tolerance spans</t>
  </si>
  <si>
    <t>standard deviations</t>
  </si>
  <si>
    <t>For a Normal process made to its tolerance: ± tolerance = ± this many standard deviations (3: Cp = 1).</t>
  </si>
  <si>
    <t>Gap: lower specification</t>
  </si>
  <si>
    <t>Less and the bearing is preloaded.</t>
  </si>
  <si>
    <t>Gap: upper specification</t>
  </si>
  <si>
    <t>More and the gear rattles.</t>
  </si>
  <si>
    <t>STACK-UP   ·   Each part's distribution, and the gap for three designs (mm).</t>
  </si>
  <si>
    <t>◂  Inputs</t>
  </si>
  <si>
    <t>Next:  Results  ▸</t>
  </si>
  <si>
    <t>1   The parts</t>
  </si>
  <si>
    <t>As each one is really made; this iteration's dimension under each design.</t>
  </si>
  <si>
    <t>Part</t>
  </si>
  <si>
    <t>Sign</t>
  </si>
  <si>
    <t>Nominal</t>
  </si>
  <si>
    <t>Tolerance</t>
  </si>
  <si>
    <t>Distribution</t>
  </si>
  <si>
    <t>Std dev</t>
  </si>
  <si>
    <t>Today</t>
  </si>
  <si>
    <t>Design 2</t>
  </si>
  <si>
    <t>Design 3</t>
  </si>
  <si>
    <t>as made today</t>
  </si>
  <si>
    <t>Housing</t>
  </si>
  <si>
    <t>Normal</t>
  </si>
  <si>
    <t>Sign: + adds to the gap, − takes from it</t>
  </si>
  <si>
    <t>Shaft shoulder</t>
  </si>
  <si>
    <t>In-house parts: Normal, tolerance = 3 standard deviations</t>
  </si>
  <si>
    <t>Bearing width</t>
  </si>
  <si>
    <t>Uniform</t>
  </si>
  <si>
    <t>Bearing today: Uniform across ± tolerance (sorted parts)</t>
  </si>
  <si>
    <t>Gear hub</t>
  </si>
  <si>
    <t>Spacer</t>
  </si>
  <si>
    <t>Normal, shifted</t>
  </si>
  <si>
    <t>Spacer today: running long by the shift on the Inputs sheet</t>
  </si>
  <si>
    <t>Gap = Σ sign × dimension: housing − shaft shoulder − bearing − gear hub − spacer</t>
  </si>
  <si>
    <t>Today:  as made today — bearing flat within tolerance; spacer running long.</t>
  </si>
  <si>
    <t>Design 2:  capable bearing supply — bearing normal, tolerance = 3 standard deviations.</t>
  </si>
  <si>
    <t>Design 3:  … and centred spacer — as 2, with the spacer process re-centred.</t>
  </si>
  <si>
    <t>2   Two quick answers</t>
  </si>
  <si>
    <t>Worst case adds the tolerances; root-sum-square adds them as if all were Normal and centred.</t>
  </si>
  <si>
    <t>Quantity</t>
  </si>
  <si>
    <t>Value</t>
  </si>
  <si>
    <t>How it is calculated</t>
  </si>
  <si>
    <t>Nominal gap</t>
  </si>
  <si>
    <t>From the nominal dimensions</t>
  </si>
  <si>
    <t>Sum of the tolerances</t>
  </si>
  <si>
    <t>Worst case: smallest gap</t>
  </si>
  <si>
    <t>Every part at its worst limit</t>
  </si>
  <si>
    <t>Worst case: largest gap</t>
  </si>
  <si>
    <t>Root-sum-square: standard deviation</t>
  </si>
  <si>
    <t>√(Σ tolerance²) ÷ the standard deviations a tolerance spans</t>
  </si>
  <si>
    <t>Root-sum-square: −3 standard deviations</t>
  </si>
  <si>
    <t>Root-sum-square: +3 standard deviations</t>
  </si>
  <si>
    <t>Root-sum-square: Cpk</t>
  </si>
  <si>
    <t>Nearer limit ÷ 3 standard deviations</t>
  </si>
  <si>
    <t>Root-sum-square: out of specification</t>
  </si>
  <si>
    <t>ppm</t>
  </si>
  <si>
    <t>Normal tails beyond the limits</t>
  </si>
  <si>
    <t>3   Where the variation comes from</t>
  </si>
  <si>
    <t>Each part's share of the variance of the gap, as made today.</t>
  </si>
  <si>
    <t>Variance</t>
  </si>
  <si>
    <t>Share</t>
  </si>
  <si>
    <t>mm²</t>
  </si>
  <si>
    <t>of variance</t>
  </si>
  <si>
    <t>Variances add: the largest share is the tolerance worth tightening</t>
  </si>
  <si>
    <t>4   Value in this iteration</t>
  </si>
  <si>
    <t>Key outputs, recorded by ModelRisk at every sample (VoseOutput). Their statistics appear on the Results sheet.</t>
  </si>
  <si>
    <t>Output</t>
  </si>
  <si>
    <t>Meaning</t>
  </si>
  <si>
    <t>Gap: as made today</t>
  </si>
  <si>
    <t>Bearing flat within tolerance; spacer running long</t>
  </si>
  <si>
    <t>Gap: capable bearing supply</t>
  </si>
  <si>
    <t>Bearing Normal, tolerance = 3 standard deviations</t>
  </si>
  <si>
    <t>Gap: capable bearing and centred spacer</t>
  </si>
  <si>
    <t>As 2, with the spacer process re-centred</t>
  </si>
  <si>
    <t>5   Model checks</t>
  </si>
  <si>
    <t>Should all read OK. A CHECK means an input has been set outside the range the model is built for.</t>
  </si>
  <si>
    <t>The lower specification is below the upper</t>
  </si>
  <si>
    <t>The nominal gap lies inside the specification</t>
  </si>
  <si>
    <t>RESULTS   ·   Filled in automatically from the last simulation. Run a simulation after changing any input.</t>
  </si>
  <si>
    <t>◂  Stack-up</t>
  </si>
  <si>
    <t>1   Will the gap stay in specification?</t>
  </si>
  <si>
    <t>Gap as made today — distribution</t>
  </si>
  <si>
    <t>The gap's range (mm), capability and defects per million, by method and design.</t>
  </si>
  <si>
    <t>Method</t>
  </si>
  <si>
    <t>Low</t>
  </si>
  <si>
    <t>High</t>
  </si>
  <si>
    <t>Out of spec</t>
  </si>
  <si>
    <t>Worst case  (tolerances add up)</t>
  </si>
  <si>
    <t>–</t>
  </si>
  <si>
    <t>Root-sum-square  (all Normal, centred)</t>
  </si>
  <si>
    <t>Simulation: as made today</t>
  </si>
  <si>
    <t>Simulation: capable bearing supply</t>
  </si>
  <si>
    <t>Simulation: capable bearing, centred spacer</t>
  </si>
  <si>
    <t>2   Which tolerance to tighten?</t>
  </si>
  <si>
    <t>Gap — cumulative probability</t>
  </si>
  <si>
    <t>3   How to read these results</t>
  </si>
  <si>
    <t>•  The worst case adds all the tolerances: the gap could be anywhere from 0 to 0.6 mm, so the design fails. It assumes every part sits at its worst limit at once — almost never true — and cannot say how often the gap falls outside.</t>
  </si>
  <si>
    <t>•  Root-sum-square treats every part as Normal and centred: it predicts a Cpk of 1.06 and about 1,500 out-of-specification assemblies per million. Simulating the parts as they are really made gives a Cpk of 0.79 and nearly six times as many defects: the sorted bearings, flat across their tolerance, and the spacer running long make the difference.</t>
  </si>
  <si>
    <t>•  The bearing and the housing bring three-quarters of the variation (39% and 36%). A bearing supply with a Normal spread inside the same tolerance cuts the defects to about 3,700 per million; re-centring the spacer as well brings the design to the root-sum-square figure. To reach the usual Cpk of 1.33, tighten the housing and the bearing next.</t>
  </si>
  <si>
    <t>•  Capability from 10,000 simulated assemblies resolves about 100 parts per million. For designs with fewer defects, run more samples.</t>
  </si>
  <si>
    <t>Chart data</t>
  </si>
  <si>
    <t>Statistics of the last simulation behind the charts and the ranking above. Grouped: click + in the left margin to show them.</t>
  </si>
  <si>
    <t>Cumulative probability</t>
  </si>
  <si>
    <t>Exceedance</t>
  </si>
  <si>
    <t>Out_Gap_1</t>
  </si>
  <si>
    <t>Out_Gap_2</t>
  </si>
  <si>
    <t>Out_Gap_3</t>
  </si>
  <si>
    <t>line at LSL</t>
  </si>
  <si>
    <t>line at USL</t>
  </si>
  <si>
    <t>Percentiles: Out_Gap_1</t>
  </si>
  <si>
    <t>Histogram: Out_Gap_1</t>
  </si>
  <si>
    <t>Edge</t>
  </si>
  <si>
    <t>Index</t>
  </si>
  <si>
    <t>Mid-point</t>
  </si>
  <si>
    <t>Probability</t>
  </si>
  <si>
    <t>Below edge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</si>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</sst>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#,##0.0_);\(#,##0.0\);&quot;–&quot;_)"/>
    <numFmt numFmtId="166" formatCode="&quot;+&quot;;&quot;−&quot;"/>
    <numFmt numFmtId="167" formatCode="0.0000"/>
    <numFmt numFmtId="168" formatCode="#,##0_);\(#,##0\);&quot;–&quot;_)"/>
    <numFmt numFmtId="169" formatCode="0.000000"/>
    <numFmt numFmtId="170" formatCode="0.000;\-0.000;0.000;&quot;–&quot;"/>
    <numFmt numFmtId="171" formatCode="0.00;\-0.00;0.00;&quot;–&quot;"/>
    <numFmt numFmtId="172" formatCode="#,##0_);\(#,##0\);&quot;–&quot;_);&quot;–&quot;"/>
    <numFmt numFmtId="173" formatCode="0.0%"/>
  </numFmts>
  <fonts count="25" x14ac:knownFonts="1">
    <font>
      <sz val="11"/>
      <color theme="1"/>
      <name val="Calibri"/>
      <family val="2"/>
      <scheme val="minor"/>
    </font>
    <font>
      <sz val="10"/>
      <color rgb="FF0E4F92"/>
      <name val="Calibri"/>
    </font>
    <font>
      <sz val="10"/>
      <color rgb="FF9A3412"/>
      <name val="Calibri"/>
    </font>
    <font>
      <sz val="10"/>
      <color rgb="FF0F2A47"/>
      <name val="Calibri"/>
    </font>
    <font>
      <b/>
      <sz val="10"/>
      <color rgb="FF14532D"/>
      <name val="Calibri"/>
    </font>
    <font>
      <b/>
      <sz val="16"/>
      <color rgb="FFFFFFFF"/>
      <name val="Calibri"/>
    </font>
    <font>
      <sz val="10"/>
      <color rgb="FFD6E2F0"/>
      <name val="Calibri"/>
    </font>
    <font>
      <sz val="9"/>
      <color rgb="FFD6E2F0"/>
      <name val="Calibri"/>
    </font>
    <font>
      <u/>
      <sz val="9"/>
      <color rgb="FF0E4F92"/>
      <name val="Calibri"/>
    </font>
    <font>
      <b/>
      <sz val="20"/>
      <color rgb="FFFFFFFF"/>
      <name val="Calibri"/>
    </font>
    <font>
      <b/>
      <sz val="12"/>
      <color rgb="FF0E4F92"/>
      <name val="Calibri"/>
    </font>
    <font>
      <b/>
      <sz val="10"/>
      <color rgb="FF3F5876"/>
      <name val="Calibri"/>
    </font>
    <font>
      <b/>
      <sz val="10"/>
      <color rgb="FF0F2A47"/>
      <name val="Calibri"/>
    </font>
    <font>
      <i/>
      <sz val="9"/>
      <color rgb="FF3F5876"/>
      <name val="Calibri"/>
    </font>
    <font>
      <u/>
      <sz val="10"/>
      <color rgb="FF0E4F92"/>
      <name val="Calibri"/>
    </font>
    <font>
      <b/>
      <sz val="10"/>
      <color rgb="FF0E4F92"/>
      <name val="Calibri"/>
    </font>
    <font>
      <i/>
      <sz val="9"/>
      <color rgb="FF8AA0BA"/>
      <name val="Calibri"/>
    </font>
    <font>
      <b/>
      <sz val="9"/>
      <color rgb="FF3F5876"/>
      <name val="Calibri"/>
    </font>
    <font>
      <sz val="9"/>
      <color rgb="FF3F5876"/>
      <name val="Calibri"/>
    </font>
    <font>
      <sz val="8"/>
      <color rgb="FF3F5876"/>
      <name val="Calibri"/>
    </font>
    <font>
      <b/>
      <sz val="11"/>
      <color rgb="FF0F2A47"/>
      <name val="Calibri"/>
    </font>
    <font>
      <b/>
      <sz val="10"/>
      <color rgb="FF15803D"/>
      <name val="Calibri"/>
    </font>
    <font>
      <sz val="10"/>
      <color rgb="FF3F5876"/>
      <name val="Calibri"/>
    </font>
    <font>
      <sz val="9"/>
      <color rgb="FF8AA0BA"/>
      <name val="Calibri"/>
    </font>
    <font>
      <b/>
      <sz val="11"/>
      <color rgb="FF0E4F92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8EEF7"/>
        <bgColor rgb="FFE8EEF7"/>
      </patternFill>
    </fill>
    <fill>
      <patternFill patternType="solid">
        <fgColor rgb="FF0E4F92"/>
        <bgColor rgb="FF0E4F92"/>
      </patternFill>
    </fill>
    <fill>
      <patternFill patternType="solid">
        <fgColor rgb="FFEEF1F5"/>
        <bgColor rgb="FFEEF1F5"/>
      </patternFill>
    </fill>
  </fills>
  <borders count="12">
    <border>
      <left/>
      <right/>
      <top/>
      <bottom/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C6D1DF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C6D1DF"/>
      </bottom>
      <diagonal/>
    </border>
    <border>
      <left/>
      <right/>
      <top/>
      <bottom style="medium">
        <color rgb="FF0E4F92"/>
      </bottom>
      <diagonal/>
    </border>
    <border>
      <left/>
      <right/>
      <top/>
      <bottom style="thin">
        <color rgb="FFE4E9F0"/>
      </bottom>
      <diagonal/>
    </border>
    <border>
      <left style="thin">
        <color rgb="FFC6D1DF"/>
      </left>
      <right style="thin">
        <color rgb="FFC6D1DF"/>
      </right>
      <top style="thin">
        <color rgb="FFC6D1DF"/>
      </top>
      <bottom style="thin">
        <color rgb="FFE4E9F0"/>
      </bottom>
      <diagonal/>
    </border>
    <border>
      <left/>
      <right/>
      <top/>
      <bottom style="thin">
        <color rgb="FFE4E9F0"/>
      </bottom>
      <diagonal/>
    </border>
    <border>
      <left/>
      <right/>
      <top style="thin">
        <color rgb="FF3F5876"/>
      </top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4E9F0"/>
      </bottom>
      <diagonal/>
    </border>
    <border>
      <left/>
      <right/>
      <top style="thin">
        <color rgb="FFC6D1DF"/>
      </top>
      <bottom style="thin">
        <color rgb="FFC6D1DF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79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2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64" fontId="1" fillId="2" borderId="7" xfId="1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left" vertical="center" indent="1"/>
    </xf>
    <xf numFmtId="0" fontId="17" fillId="7" borderId="2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center" vertical="center"/>
    </xf>
    <xf numFmtId="166" fontId="20" fillId="0" borderId="6" xfId="0" applyNumberFormat="1" applyFont="1" applyBorder="1" applyAlignment="1">
      <alignment horizontal="center" vertical="center"/>
    </xf>
    <xf numFmtId="164" fontId="3" fillId="0" borderId="8" xfId="3" applyNumberFormat="1" applyBorder="1">
      <alignment horizontal="right" vertical="center"/>
    </xf>
    <xf numFmtId="167" fontId="3" fillId="0" borderId="8" xfId="3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0" fontId="12" fillId="0" borderId="9" xfId="0" applyFont="1" applyBorder="1" applyAlignment="1">
      <alignment horizontal="left" vertical="center" indent="1"/>
    </xf>
    <xf numFmtId="0" fontId="0" fillId="0" borderId="9" xfId="0" applyBorder="1"/>
    <xf numFmtId="164" fontId="3" fillId="0" borderId="9" xfId="3" applyNumberFormat="1" applyBorder="1">
      <alignment horizontal="right" vertical="center"/>
    </xf>
    <xf numFmtId="164" fontId="12" fillId="0" borderId="9" xfId="3" applyNumberFormat="1" applyFont="1" applyBorder="1">
      <alignment horizontal="right" vertical="center"/>
    </xf>
    <xf numFmtId="0" fontId="18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2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0" fontId="0" fillId="7" borderId="2" xfId="0" applyFill="1" applyBorder="1"/>
    <xf numFmtId="169" fontId="3" fillId="0" borderId="8" xfId="3" applyNumberFormat="1" applyBorder="1">
      <alignment horizontal="right" vertical="center"/>
    </xf>
    <xf numFmtId="9" fontId="3" fillId="0" borderId="8" xfId="3" applyNumberFormat="1" applyBorder="1">
      <alignment horizontal="right" vertical="center"/>
    </xf>
    <xf numFmtId="167" fontId="12" fillId="0" borderId="9" xfId="3" applyNumberFormat="1" applyFont="1" applyBorder="1">
      <alignment horizontal="right" vertical="center"/>
    </xf>
    <xf numFmtId="169" fontId="12" fillId="0" borderId="9" xfId="3" applyNumberFormat="1" applyFont="1" applyBorder="1">
      <alignment horizontal="right" vertical="center"/>
    </xf>
    <xf numFmtId="164" fontId="4" fillId="4" borderId="10" xfId="4" applyNumberFormat="1" applyBorder="1">
      <alignment horizontal="right" vertical="center"/>
    </xf>
    <xf numFmtId="0" fontId="21" fillId="0" borderId="6" xfId="0" applyFont="1" applyBorder="1" applyAlignment="1">
      <alignment horizontal="center" vertical="center"/>
    </xf>
    <xf numFmtId="0" fontId="15" fillId="5" borderId="11" xfId="0" applyFont="1" applyFill="1" applyBorder="1" applyAlignment="1">
      <alignment horizontal="left" vertical="center" indent="1"/>
    </xf>
    <xf numFmtId="0" fontId="0" fillId="5" borderId="11" xfId="0" applyFill="1" applyBorder="1"/>
    <xf numFmtId="0" fontId="24" fillId="0" borderId="5" xfId="0" applyFont="1" applyBorder="1"/>
    <xf numFmtId="0" fontId="17" fillId="7" borderId="2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right" vertical="center" wrapText="1"/>
    </xf>
    <xf numFmtId="0" fontId="22" fillId="0" borderId="6" xfId="0" applyFont="1" applyBorder="1" applyAlignment="1">
      <alignment horizontal="left" vertical="center" indent="1"/>
    </xf>
    <xf numFmtId="0" fontId="3" fillId="0" borderId="8" xfId="3" applyBorder="1">
      <alignment horizontal="right" vertical="center"/>
    </xf>
    <xf numFmtId="0" fontId="12" fillId="0" borderId="6" xfId="0" applyFont="1" applyBorder="1" applyAlignment="1">
      <alignment horizontal="left" vertical="center" indent="1"/>
    </xf>
    <xf numFmtId="170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2" fontId="1" fillId="5" borderId="7" xfId="5" applyNumberFormat="1" applyBorder="1">
      <alignment horizontal="right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173" fontId="3" fillId="0" borderId="2" xfId="3" applyNumberFormat="1">
      <alignment horizontal="right" vertical="center"/>
    </xf>
    <xf numFmtId="0" fontId="23" fillId="0" borderId="0" xfId="0" applyFont="1"/>
    <xf numFmtId="1" fontId="3" fillId="0" borderId="2" xfId="3" applyNumberFormat="1">
      <alignment horizontal="right" vertical="center"/>
    </xf>
    <xf numFmtId="0" fontId="3" fillId="0" borderId="0" xfId="0" applyFont="1" applyAlignment="1">
      <alignment horizontal="left" vertical="top" wrapText="1" indent="1"/>
    </xf>
    <xf numFmtId="0" fontId="0" fillId="0" borderId="0" xfId="0"/>
    <xf numFmtId="0" fontId="16" fillId="0" borderId="0" xfId="0" applyFont="1"/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Vose Calculation" xfId="3" xr:uid="{00000000-0005-0000-0000-000003000000}"/>
    <cellStyle name="Vose Input" xfId="1" xr:uid="{00000000-0005-0000-0000-000001000000}"/>
    <cellStyle name="Vose Output" xfId="4" xr:uid="{00000000-0005-0000-0000-000004000000}"/>
    <cellStyle name="Vose Sim Result" xfId="5" xr:uid="{00000000-0005-0000-0000-000005000000}"/>
    <cellStyle name="Vose Uncertain" xfId="2" xr:uid="{00000000-0005-0000-0000-000002000000}"/>
  </cellStyles>
  <dxfs count="5">
    <dxf>
      <font>
        <color rgb="FF8AA0BA"/>
      </font>
    </dxf>
    <dxf>
      <font>
        <color rgb="FF8AA0BA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Gap as made today</c:v>
          </c:tx>
          <c:spPr>
            <a:solidFill>
              <a:srgbClr val="0E4F92"/>
            </a:solidFill>
            <a:ln>
              <a:noFill/>
              <a:prstDash val="solid"/>
            </a:ln>
          </c:spPr>
          <c:invertIfNegative val="1"/>
          <c:cat>
            <c:numRef>
              <c:f>Results!$E$205:$E$228</c:f>
              <c:numCache>
                <c:formatCode>#,##0.00</c:formatCode>
                <c:ptCount val="24"/>
                <c:pt idx="0">
                  <c:v>0.14771171323616133</c:v>
                </c:pt>
                <c:pt idx="1">
                  <c:v>0.15928806936716744</c:v>
                </c:pt>
                <c:pt idx="2">
                  <c:v>0.17086442549817354</c:v>
                </c:pt>
                <c:pt idx="3">
                  <c:v>0.1824407816291797</c:v>
                </c:pt>
                <c:pt idx="4">
                  <c:v>0.19401713776018581</c:v>
                </c:pt>
                <c:pt idx="5">
                  <c:v>0.20559349389119191</c:v>
                </c:pt>
                <c:pt idx="6">
                  <c:v>0.21716985002219805</c:v>
                </c:pt>
                <c:pt idx="7">
                  <c:v>0.22874620615320418</c:v>
                </c:pt>
                <c:pt idx="8">
                  <c:v>0.24032256228421031</c:v>
                </c:pt>
                <c:pt idx="9">
                  <c:v>0.25189891841521639</c:v>
                </c:pt>
                <c:pt idx="10">
                  <c:v>0.26347527454622255</c:v>
                </c:pt>
                <c:pt idx="11">
                  <c:v>0.27505163067722865</c:v>
                </c:pt>
                <c:pt idx="12">
                  <c:v>0.28662798680823481</c:v>
                </c:pt>
                <c:pt idx="13">
                  <c:v>0.29820434293924092</c:v>
                </c:pt>
                <c:pt idx="14">
                  <c:v>0.30978069907024702</c:v>
                </c:pt>
                <c:pt idx="15">
                  <c:v>0.32135705520125318</c:v>
                </c:pt>
                <c:pt idx="16">
                  <c:v>0.33293341133225929</c:v>
                </c:pt>
                <c:pt idx="17">
                  <c:v>0.34450976746326539</c:v>
                </c:pt>
                <c:pt idx="18">
                  <c:v>0.35608612359427155</c:v>
                </c:pt>
                <c:pt idx="19">
                  <c:v>0.36766247972527766</c:v>
                </c:pt>
                <c:pt idx="20">
                  <c:v>0.37923883585628376</c:v>
                </c:pt>
                <c:pt idx="21">
                  <c:v>0.39081519198728987</c:v>
                </c:pt>
                <c:pt idx="22">
                  <c:v>0.40239154811829603</c:v>
                </c:pt>
                <c:pt idx="23">
                  <c:v>0.41396790424930219</c:v>
                </c:pt>
              </c:numCache>
            </c:numRef>
          </c:cat>
          <c:val>
            <c:numRef>
              <c:f>Results!$F$205:$F$228</c:f>
              <c:numCache>
                <c:formatCode>0.0%</c:formatCode>
                <c:ptCount val="24"/>
                <c:pt idx="0">
                  <c:v>4.201480923898872E-3</c:v>
                </c:pt>
                <c:pt idx="1">
                  <c:v>7.6973618069985129E-3</c:v>
                </c:pt>
                <c:pt idx="2">
                  <c:v>1.1606591926891691E-2</c:v>
                </c:pt>
                <c:pt idx="3">
                  <c:v>1.7362987076540999E-2</c:v>
                </c:pt>
                <c:pt idx="4">
                  <c:v>2.5861106157522615E-2</c:v>
                </c:pt>
                <c:pt idx="5">
                  <c:v>3.5481651934188854E-2</c:v>
                </c:pt>
                <c:pt idx="6">
                  <c:v>4.8334944794454257E-2</c:v>
                </c:pt>
                <c:pt idx="7">
                  <c:v>5.2389808501510149E-2</c:v>
                </c:pt>
                <c:pt idx="8">
                  <c:v>6.6850666606898396E-2</c:v>
                </c:pt>
                <c:pt idx="9">
                  <c:v>7.2470584549302941E-2</c:v>
                </c:pt>
                <c:pt idx="10">
                  <c:v>7.8744338172264505E-2</c:v>
                </c:pt>
                <c:pt idx="11">
                  <c:v>7.832937842107085E-2</c:v>
                </c:pt>
                <c:pt idx="12">
                  <c:v>8.0273292686651065E-2</c:v>
                </c:pt>
                <c:pt idx="13">
                  <c:v>7.4058957600207309E-2</c:v>
                </c:pt>
                <c:pt idx="14">
                  <c:v>7.1406028161414281E-2</c:v>
                </c:pt>
                <c:pt idx="15">
                  <c:v>6.3442318590107072E-2</c:v>
                </c:pt>
                <c:pt idx="16">
                  <c:v>5.5590819119938795E-2</c:v>
                </c:pt>
                <c:pt idx="17">
                  <c:v>4.2743662199018817E-2</c:v>
                </c:pt>
                <c:pt idx="18">
                  <c:v>3.4101358978678276E-2</c:v>
                </c:pt>
                <c:pt idx="19">
                  <c:v>2.768347033882157E-2</c:v>
                </c:pt>
                <c:pt idx="20">
                  <c:v>1.774189139074267E-2</c:v>
                </c:pt>
                <c:pt idx="21">
                  <c:v>1.1568867171892649E-2</c:v>
                </c:pt>
                <c:pt idx="22">
                  <c:v>7.6462359528167712E-3</c:v>
                </c:pt>
                <c:pt idx="23">
                  <c:v>4.4121969381680781E-3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A7C7-49B4-A6C7-798F3E0CB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between"/>
      </c:valAx>
    </c:plotArea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As made today</c:v>
          </c:tx>
          <c:spPr>
            <a:ln w="25400">
              <a:solidFill>
                <a:srgbClr val="0E4F92"/>
              </a:solidFill>
              <a:prstDash val="solid"/>
            </a:ln>
          </c:spPr>
          <c:marker>
            <c:symbol val="none"/>
          </c:marker>
          <c:xVal>
            <c:numRef>
              <c:f>Results!$D$50:$D$99</c:f>
              <c:numCache>
                <c:formatCode>#,##0.00</c:formatCode>
                <c:ptCount val="50"/>
                <c:pt idx="0">
                  <c:v>0.15570005390380004</c:v>
                </c:pt>
                <c:pt idx="1">
                  <c:v>0.17794617274786972</c:v>
                </c:pt>
                <c:pt idx="2">
                  <c:v>0.19054445325190628</c:v>
                </c:pt>
                <c:pt idx="3">
                  <c:v>0.19906723145664529</c:v>
                </c:pt>
                <c:pt idx="4">
                  <c:v>0.20639182101515985</c:v>
                </c:pt>
                <c:pt idx="5">
                  <c:v>0.21214053329244464</c:v>
                </c:pt>
                <c:pt idx="6">
                  <c:v>0.2173352551255654</c:v>
                </c:pt>
                <c:pt idx="7">
                  <c:v>0.22184035848741956</c:v>
                </c:pt>
                <c:pt idx="8">
                  <c:v>0.22651134930874406</c:v>
                </c:pt>
                <c:pt idx="9">
                  <c:v>0.23080576154852039</c:v>
                </c:pt>
                <c:pt idx="10">
                  <c:v>0.23500534970371945</c:v>
                </c:pt>
                <c:pt idx="11">
                  <c:v>0.23843537973856499</c:v>
                </c:pt>
                <c:pt idx="12">
                  <c:v>0.24206476018296996</c:v>
                </c:pt>
                <c:pt idx="13">
                  <c:v>0.24538648441458477</c:v>
                </c:pt>
                <c:pt idx="14">
                  <c:v>0.24868811996509166</c:v>
                </c:pt>
                <c:pt idx="15">
                  <c:v>0.25185202849958088</c:v>
                </c:pt>
                <c:pt idx="16">
                  <c:v>0.25501150283272267</c:v>
                </c:pt>
                <c:pt idx="17">
                  <c:v>0.25815883618289348</c:v>
                </c:pt>
                <c:pt idx="18">
                  <c:v>0.26107098210100688</c:v>
                </c:pt>
                <c:pt idx="19">
                  <c:v>0.26409155596529033</c:v>
                </c:pt>
                <c:pt idx="20">
                  <c:v>0.26681058408556879</c:v>
                </c:pt>
                <c:pt idx="21">
                  <c:v>0.26995031071522035</c:v>
                </c:pt>
                <c:pt idx="22">
                  <c:v>0.27299350333762717</c:v>
                </c:pt>
                <c:pt idx="23">
                  <c:v>0.27594211388382917</c:v>
                </c:pt>
                <c:pt idx="24">
                  <c:v>0.27854907580593391</c:v>
                </c:pt>
                <c:pt idx="25">
                  <c:v>0.28160443544847169</c:v>
                </c:pt>
                <c:pt idx="26">
                  <c:v>0.28448009811029351</c:v>
                </c:pt>
                <c:pt idx="27">
                  <c:v>0.28746739957814782</c:v>
                </c:pt>
                <c:pt idx="28">
                  <c:v>0.29035338291350499</c:v>
                </c:pt>
                <c:pt idx="29">
                  <c:v>0.29320388536300257</c:v>
                </c:pt>
                <c:pt idx="30">
                  <c:v>0.29633175271242607</c:v>
                </c:pt>
                <c:pt idx="31">
                  <c:v>0.29959674691899707</c:v>
                </c:pt>
                <c:pt idx="32">
                  <c:v>0.30259542812192208</c:v>
                </c:pt>
                <c:pt idx="33">
                  <c:v>0.30563164272957977</c:v>
                </c:pt>
                <c:pt idx="34">
                  <c:v>0.30899050911428105</c:v>
                </c:pt>
                <c:pt idx="35">
                  <c:v>0.31203566072768396</c:v>
                </c:pt>
                <c:pt idx="36">
                  <c:v>0.3155568965510227</c:v>
                </c:pt>
                <c:pt idx="37">
                  <c:v>0.318793506254476</c:v>
                </c:pt>
                <c:pt idx="38">
                  <c:v>0.32270569227067014</c:v>
                </c:pt>
                <c:pt idx="39">
                  <c:v>0.32647383796187412</c:v>
                </c:pt>
                <c:pt idx="40">
                  <c:v>0.33041419023144769</c:v>
                </c:pt>
                <c:pt idx="41">
                  <c:v>0.33454454303221226</c:v>
                </c:pt>
                <c:pt idx="42">
                  <c:v>0.33891344361140341</c:v>
                </c:pt>
                <c:pt idx="43">
                  <c:v>0.34368560997475583</c:v>
                </c:pt>
                <c:pt idx="44">
                  <c:v>0.34972058212423462</c:v>
                </c:pt>
                <c:pt idx="45">
                  <c:v>0.35602159724677307</c:v>
                </c:pt>
                <c:pt idx="46">
                  <c:v>0.36349971717012153</c:v>
                </c:pt>
                <c:pt idx="47">
                  <c:v>0.37138883926550648</c:v>
                </c:pt>
                <c:pt idx="48">
                  <c:v>0.3838504371349778</c:v>
                </c:pt>
                <c:pt idx="49">
                  <c:v>0.40663749729555576</c:v>
                </c:pt>
              </c:numCache>
            </c:numRef>
          </c:xVal>
          <c:yVal>
            <c:numRef>
              <c:f>Results!$B$50:$B$99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A57-42D0-813F-6D698D69DF64}"/>
            </c:ext>
          </c:extLst>
        </c:ser>
        <c:ser>
          <c:idx val="1"/>
          <c:order val="1"/>
          <c:tx>
            <c:v>Capable bearing</c:v>
          </c:tx>
          <c:spPr>
            <a:ln w="25400">
              <a:solidFill>
                <a:srgbClr val="B45309"/>
              </a:solidFill>
              <a:prstDash val="dash"/>
            </a:ln>
          </c:spPr>
          <c:marker>
            <c:symbol val="none"/>
          </c:marker>
          <c:xVal>
            <c:numRef>
              <c:f>Results!$E$50:$E$99</c:f>
              <c:numCache>
                <c:formatCode>#,##0.00</c:formatCode>
                <c:ptCount val="50"/>
                <c:pt idx="0">
                  <c:v>0.16934776100030291</c:v>
                </c:pt>
                <c:pt idx="1">
                  <c:v>0.19300777610156672</c:v>
                </c:pt>
                <c:pt idx="2">
                  <c:v>0.20312040723642966</c:v>
                </c:pt>
                <c:pt idx="3">
                  <c:v>0.21064225694211558</c:v>
                </c:pt>
                <c:pt idx="4">
                  <c:v>0.21668888859019475</c:v>
                </c:pt>
                <c:pt idx="5">
                  <c:v>0.2225299154444258</c:v>
                </c:pt>
                <c:pt idx="6">
                  <c:v>0.22713624528611476</c:v>
                </c:pt>
                <c:pt idx="7">
                  <c:v>0.23124175143248138</c:v>
                </c:pt>
                <c:pt idx="8">
                  <c:v>0.23502745249246004</c:v>
                </c:pt>
                <c:pt idx="9">
                  <c:v>0.23839590106685549</c:v>
                </c:pt>
                <c:pt idx="10">
                  <c:v>0.24181948984132262</c:v>
                </c:pt>
                <c:pt idx="11">
                  <c:v>0.24490986555457894</c:v>
                </c:pt>
                <c:pt idx="12">
                  <c:v>0.24819482228127754</c:v>
                </c:pt>
                <c:pt idx="13">
                  <c:v>0.25117959590450667</c:v>
                </c:pt>
                <c:pt idx="14">
                  <c:v>0.25393368613769951</c:v>
                </c:pt>
                <c:pt idx="15">
                  <c:v>0.25668262629677585</c:v>
                </c:pt>
                <c:pt idx="16">
                  <c:v>0.25934842348614495</c:v>
                </c:pt>
                <c:pt idx="17">
                  <c:v>0.26193516118135918</c:v>
                </c:pt>
                <c:pt idx="18">
                  <c:v>0.26423331901803238</c:v>
                </c:pt>
                <c:pt idx="19">
                  <c:v>0.26677977017958199</c:v>
                </c:pt>
                <c:pt idx="20">
                  <c:v>0.26944434771872849</c:v>
                </c:pt>
                <c:pt idx="21">
                  <c:v>0.27169285514916552</c:v>
                </c:pt>
                <c:pt idx="22">
                  <c:v>0.27412680200377437</c:v>
                </c:pt>
                <c:pt idx="23">
                  <c:v>0.27671709575615822</c:v>
                </c:pt>
                <c:pt idx="24">
                  <c:v>0.27937648019564421</c:v>
                </c:pt>
                <c:pt idx="25">
                  <c:v>0.28184193338115904</c:v>
                </c:pt>
                <c:pt idx="26">
                  <c:v>0.28387374685958733</c:v>
                </c:pt>
                <c:pt idx="27">
                  <c:v>0.28642094374465188</c:v>
                </c:pt>
                <c:pt idx="28">
                  <c:v>0.2887868064629906</c:v>
                </c:pt>
                <c:pt idx="29">
                  <c:v>0.29088029932320225</c:v>
                </c:pt>
                <c:pt idx="30">
                  <c:v>0.29324073878919776</c:v>
                </c:pt>
                <c:pt idx="31">
                  <c:v>0.29551733757904941</c:v>
                </c:pt>
                <c:pt idx="32">
                  <c:v>0.29827596527887934</c:v>
                </c:pt>
                <c:pt idx="33">
                  <c:v>0.3011336628444603</c:v>
                </c:pt>
                <c:pt idx="34">
                  <c:v>0.30382459360233582</c:v>
                </c:pt>
                <c:pt idx="35">
                  <c:v>0.30633578286600027</c:v>
                </c:pt>
                <c:pt idx="36">
                  <c:v>0.30879047124597747</c:v>
                </c:pt>
                <c:pt idx="37">
                  <c:v>0.31180605648793502</c:v>
                </c:pt>
                <c:pt idx="38">
                  <c:v>0.31483390679175827</c:v>
                </c:pt>
                <c:pt idx="39">
                  <c:v>0.31778360968802843</c:v>
                </c:pt>
                <c:pt idx="40">
                  <c:v>0.32144976772861611</c:v>
                </c:pt>
                <c:pt idx="41">
                  <c:v>0.32471573295997658</c:v>
                </c:pt>
                <c:pt idx="42">
                  <c:v>0.32872660957589872</c:v>
                </c:pt>
                <c:pt idx="43">
                  <c:v>0.33316520435758079</c:v>
                </c:pt>
                <c:pt idx="44">
                  <c:v>0.33776754063058334</c:v>
                </c:pt>
                <c:pt idx="45">
                  <c:v>0.34349456185793059</c:v>
                </c:pt>
                <c:pt idx="46">
                  <c:v>0.34993069845891966</c:v>
                </c:pt>
                <c:pt idx="47">
                  <c:v>0.35762315967122049</c:v>
                </c:pt>
                <c:pt idx="48">
                  <c:v>0.36939308742776333</c:v>
                </c:pt>
                <c:pt idx="49">
                  <c:v>0.39210334507822964</c:v>
                </c:pt>
              </c:numCache>
            </c:numRef>
          </c:xVal>
          <c:yVal>
            <c:numRef>
              <c:f>Results!$B$50:$B$99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A57-42D0-813F-6D698D69DF64}"/>
            </c:ext>
          </c:extLst>
        </c:ser>
        <c:ser>
          <c:idx val="2"/>
          <c:order val="2"/>
          <c:tx>
            <c:v>… and centred spacer</c:v>
          </c:tx>
          <c:spPr>
            <a:ln w="25400">
              <a:solidFill>
                <a:srgbClr val="15803D"/>
              </a:solidFill>
              <a:prstDash val="solid"/>
            </a:ln>
          </c:spPr>
          <c:marker>
            <c:symbol val="none"/>
          </c:marker>
          <c:xVal>
            <c:numRef>
              <c:f>Results!$F$50:$F$99</c:f>
              <c:numCache>
                <c:formatCode>#,##0.00</c:formatCode>
                <c:ptCount val="50"/>
                <c:pt idx="0">
                  <c:v>0.18914640909343916</c:v>
                </c:pt>
                <c:pt idx="1">
                  <c:v>0.20901657056575829</c:v>
                </c:pt>
                <c:pt idx="2">
                  <c:v>0.22170241708039029</c:v>
                </c:pt>
                <c:pt idx="3">
                  <c:v>0.22978855597198233</c:v>
                </c:pt>
                <c:pt idx="4">
                  <c:v>0.23634684413796947</c:v>
                </c:pt>
                <c:pt idx="5">
                  <c:v>0.24176212916164275</c:v>
                </c:pt>
                <c:pt idx="6">
                  <c:v>0.2466859504464658</c:v>
                </c:pt>
                <c:pt idx="7">
                  <c:v>0.25074996796580251</c:v>
                </c:pt>
                <c:pt idx="8">
                  <c:v>0.25449179193899951</c:v>
                </c:pt>
                <c:pt idx="9">
                  <c:v>0.25826243223625411</c:v>
                </c:pt>
                <c:pt idx="10">
                  <c:v>0.26186056419301806</c:v>
                </c:pt>
                <c:pt idx="11">
                  <c:v>0.2652430752848467</c:v>
                </c:pt>
                <c:pt idx="12">
                  <c:v>0.26813061402337013</c:v>
                </c:pt>
                <c:pt idx="13">
                  <c:v>0.27119777971146064</c:v>
                </c:pt>
                <c:pt idx="14">
                  <c:v>0.27398410293878683</c:v>
                </c:pt>
                <c:pt idx="15">
                  <c:v>0.27663978236748932</c:v>
                </c:pt>
                <c:pt idx="16">
                  <c:v>0.27928144174223135</c:v>
                </c:pt>
                <c:pt idx="17">
                  <c:v>0.28196848890106097</c:v>
                </c:pt>
                <c:pt idx="18">
                  <c:v>0.28434233408621878</c:v>
                </c:pt>
                <c:pt idx="19">
                  <c:v>0.28675486993651944</c:v>
                </c:pt>
                <c:pt idx="20">
                  <c:v>0.28944367653570779</c:v>
                </c:pt>
                <c:pt idx="21">
                  <c:v>0.29201746379602866</c:v>
                </c:pt>
                <c:pt idx="22">
                  <c:v>0.2944747790861868</c:v>
                </c:pt>
                <c:pt idx="23">
                  <c:v>0.29677813752547877</c:v>
                </c:pt>
                <c:pt idx="24">
                  <c:v>0.2991546901620481</c:v>
                </c:pt>
                <c:pt idx="25">
                  <c:v>0.30129640214343212</c:v>
                </c:pt>
                <c:pt idx="26">
                  <c:v>0.30369611485011205</c:v>
                </c:pt>
                <c:pt idx="27">
                  <c:v>0.30602351332368016</c:v>
                </c:pt>
                <c:pt idx="28">
                  <c:v>0.30812705673070795</c:v>
                </c:pt>
                <c:pt idx="29">
                  <c:v>0.31040724291637289</c:v>
                </c:pt>
                <c:pt idx="30">
                  <c:v>0.31323895145554204</c:v>
                </c:pt>
                <c:pt idx="31">
                  <c:v>0.31580509040740878</c:v>
                </c:pt>
                <c:pt idx="32">
                  <c:v>0.31821259043734074</c:v>
                </c:pt>
                <c:pt idx="33">
                  <c:v>0.32083172459465459</c:v>
                </c:pt>
                <c:pt idx="34">
                  <c:v>0.3236021564172944</c:v>
                </c:pt>
                <c:pt idx="35">
                  <c:v>0.32631088913810657</c:v>
                </c:pt>
                <c:pt idx="36">
                  <c:v>0.32930608422851293</c:v>
                </c:pt>
                <c:pt idx="37">
                  <c:v>0.33232808047659645</c:v>
                </c:pt>
                <c:pt idx="38">
                  <c:v>0.33523340923051492</c:v>
                </c:pt>
                <c:pt idx="39">
                  <c:v>0.33852537203095778</c:v>
                </c:pt>
                <c:pt idx="40">
                  <c:v>0.34239405292241543</c:v>
                </c:pt>
                <c:pt idx="41">
                  <c:v>0.34593729984131372</c:v>
                </c:pt>
                <c:pt idx="42">
                  <c:v>0.34963196089111648</c:v>
                </c:pt>
                <c:pt idx="43">
                  <c:v>0.35370516621571824</c:v>
                </c:pt>
                <c:pt idx="44">
                  <c:v>0.35787060432204854</c:v>
                </c:pt>
                <c:pt idx="45">
                  <c:v>0.36315996020673325</c:v>
                </c:pt>
                <c:pt idx="46">
                  <c:v>0.3693305637440929</c:v>
                </c:pt>
                <c:pt idx="47">
                  <c:v>0.37697967578622382</c:v>
                </c:pt>
                <c:pt idx="48">
                  <c:v>0.3869607114328204</c:v>
                </c:pt>
                <c:pt idx="49">
                  <c:v>0.40650064689018706</c:v>
                </c:pt>
              </c:numCache>
            </c:numRef>
          </c:xVal>
          <c:yVal>
            <c:numRef>
              <c:f>Results!$B$50:$B$99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DA57-42D0-813F-6D698D69DF64}"/>
            </c:ext>
          </c:extLst>
        </c:ser>
        <c:ser>
          <c:idx val="3"/>
          <c:order val="3"/>
          <c:tx>
            <c:v>Lower specification</c:v>
          </c:tx>
          <c:spPr>
            <a:ln w="19050">
              <a:solidFill>
                <a:srgbClr val="B91C1C"/>
              </a:solidFill>
              <a:prstDash val="sysDash"/>
            </a:ln>
          </c:spPr>
          <c:marker>
            <c:symbol val="none"/>
          </c:marker>
          <c:xVal>
            <c:numRef>
              <c:f>Results!$G$50:$G$99</c:f>
              <c:numCache>
                <c:formatCode>#,##0.00</c:formatCode>
                <c:ptCount val="50"/>
                <c:pt idx="0">
                  <c:v>0.15</c:v>
                </c:pt>
                <c:pt idx="1">
                  <c:v>0.15</c:v>
                </c:pt>
                <c:pt idx="2">
                  <c:v>0.15</c:v>
                </c:pt>
                <c:pt idx="3">
                  <c:v>0.15</c:v>
                </c:pt>
                <c:pt idx="4">
                  <c:v>0.15</c:v>
                </c:pt>
                <c:pt idx="5">
                  <c:v>0.15</c:v>
                </c:pt>
                <c:pt idx="6">
                  <c:v>0.15</c:v>
                </c:pt>
                <c:pt idx="7">
                  <c:v>0.15</c:v>
                </c:pt>
                <c:pt idx="8">
                  <c:v>0.15</c:v>
                </c:pt>
                <c:pt idx="9">
                  <c:v>0.15</c:v>
                </c:pt>
                <c:pt idx="10">
                  <c:v>0.15</c:v>
                </c:pt>
                <c:pt idx="11">
                  <c:v>0.15</c:v>
                </c:pt>
                <c:pt idx="12">
                  <c:v>0.15</c:v>
                </c:pt>
                <c:pt idx="13">
                  <c:v>0.15</c:v>
                </c:pt>
                <c:pt idx="14">
                  <c:v>0.15</c:v>
                </c:pt>
                <c:pt idx="15">
                  <c:v>0.15</c:v>
                </c:pt>
                <c:pt idx="16">
                  <c:v>0.15</c:v>
                </c:pt>
                <c:pt idx="17">
                  <c:v>0.15</c:v>
                </c:pt>
                <c:pt idx="18">
                  <c:v>0.15</c:v>
                </c:pt>
                <c:pt idx="19">
                  <c:v>0.15</c:v>
                </c:pt>
                <c:pt idx="20">
                  <c:v>0.15</c:v>
                </c:pt>
                <c:pt idx="21">
                  <c:v>0.15</c:v>
                </c:pt>
                <c:pt idx="22">
                  <c:v>0.15</c:v>
                </c:pt>
                <c:pt idx="23">
                  <c:v>0.15</c:v>
                </c:pt>
                <c:pt idx="24">
                  <c:v>0.15</c:v>
                </c:pt>
                <c:pt idx="25">
                  <c:v>0.15</c:v>
                </c:pt>
                <c:pt idx="26">
                  <c:v>0.15</c:v>
                </c:pt>
                <c:pt idx="27">
                  <c:v>0.15</c:v>
                </c:pt>
                <c:pt idx="28">
                  <c:v>0.15</c:v>
                </c:pt>
                <c:pt idx="29">
                  <c:v>0.15</c:v>
                </c:pt>
                <c:pt idx="30">
                  <c:v>0.15</c:v>
                </c:pt>
                <c:pt idx="31">
                  <c:v>0.15</c:v>
                </c:pt>
                <c:pt idx="32">
                  <c:v>0.15</c:v>
                </c:pt>
                <c:pt idx="33">
                  <c:v>0.15</c:v>
                </c:pt>
                <c:pt idx="34">
                  <c:v>0.15</c:v>
                </c:pt>
                <c:pt idx="35">
                  <c:v>0.15</c:v>
                </c:pt>
                <c:pt idx="36">
                  <c:v>0.15</c:v>
                </c:pt>
                <c:pt idx="37">
                  <c:v>0.15</c:v>
                </c:pt>
                <c:pt idx="38">
                  <c:v>0.15</c:v>
                </c:pt>
                <c:pt idx="39">
                  <c:v>0.15</c:v>
                </c:pt>
                <c:pt idx="40">
                  <c:v>0.15</c:v>
                </c:pt>
                <c:pt idx="41">
                  <c:v>0.15</c:v>
                </c:pt>
                <c:pt idx="42">
                  <c:v>0.15</c:v>
                </c:pt>
                <c:pt idx="43">
                  <c:v>0.15</c:v>
                </c:pt>
                <c:pt idx="44">
                  <c:v>0.15</c:v>
                </c:pt>
                <c:pt idx="45">
                  <c:v>0.15</c:v>
                </c:pt>
                <c:pt idx="46">
                  <c:v>0.15</c:v>
                </c:pt>
                <c:pt idx="47">
                  <c:v>0.15</c:v>
                </c:pt>
                <c:pt idx="48">
                  <c:v>0.15</c:v>
                </c:pt>
                <c:pt idx="49">
                  <c:v>0.15</c:v>
                </c:pt>
              </c:numCache>
            </c:numRef>
          </c:xVal>
          <c:yVal>
            <c:numRef>
              <c:f>Results!$B$50:$B$99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DA57-42D0-813F-6D698D69DF64}"/>
            </c:ext>
          </c:extLst>
        </c:ser>
        <c:ser>
          <c:idx val="4"/>
          <c:order val="4"/>
          <c:tx>
            <c:v>Upper specification</c:v>
          </c:tx>
          <c:spPr>
            <a:ln w="19050">
              <a:solidFill>
                <a:srgbClr val="B91C1C"/>
              </a:solidFill>
              <a:prstDash val="sysDash"/>
            </a:ln>
          </c:spPr>
          <c:marker>
            <c:symbol val="none"/>
          </c:marker>
          <c:xVal>
            <c:numRef>
              <c:f>Results!$H$50:$H$99</c:f>
              <c:numCache>
                <c:formatCode>#,##0.00</c:formatCode>
                <c:ptCount val="50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</c:numCache>
            </c:numRef>
          </c:xVal>
          <c:yVal>
            <c:numRef>
              <c:f>Results!$B$50:$B$99</c:f>
              <c:numCache>
                <c:formatCode>0%</c:formatCode>
                <c:ptCount val="50"/>
                <c:pt idx="0">
                  <c:v>0.01</c:v>
                </c:pt>
                <c:pt idx="1">
                  <c:v>0.03</c:v>
                </c:pt>
                <c:pt idx="2">
                  <c:v>0.05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0.11</c:v>
                </c:pt>
                <c:pt idx="6">
                  <c:v>0.13</c:v>
                </c:pt>
                <c:pt idx="7">
                  <c:v>0.15</c:v>
                </c:pt>
                <c:pt idx="8">
                  <c:v>0.17</c:v>
                </c:pt>
                <c:pt idx="9">
                  <c:v>0.19</c:v>
                </c:pt>
                <c:pt idx="10">
                  <c:v>0.21</c:v>
                </c:pt>
                <c:pt idx="11">
                  <c:v>0.23</c:v>
                </c:pt>
                <c:pt idx="12">
                  <c:v>0.25</c:v>
                </c:pt>
                <c:pt idx="13">
                  <c:v>0.27</c:v>
                </c:pt>
                <c:pt idx="14">
                  <c:v>0.28999999999999998</c:v>
                </c:pt>
                <c:pt idx="15">
                  <c:v>0.31</c:v>
                </c:pt>
                <c:pt idx="16">
                  <c:v>0.33</c:v>
                </c:pt>
                <c:pt idx="17">
                  <c:v>0.35</c:v>
                </c:pt>
                <c:pt idx="18">
                  <c:v>0.37</c:v>
                </c:pt>
                <c:pt idx="19">
                  <c:v>0.39</c:v>
                </c:pt>
                <c:pt idx="20">
                  <c:v>0.41</c:v>
                </c:pt>
                <c:pt idx="21">
                  <c:v>0.43</c:v>
                </c:pt>
                <c:pt idx="22">
                  <c:v>0.45</c:v>
                </c:pt>
                <c:pt idx="23">
                  <c:v>0.47</c:v>
                </c:pt>
                <c:pt idx="24">
                  <c:v>0.49</c:v>
                </c:pt>
                <c:pt idx="25">
                  <c:v>0.51</c:v>
                </c:pt>
                <c:pt idx="26">
                  <c:v>0.53</c:v>
                </c:pt>
                <c:pt idx="27">
                  <c:v>0.55000000000000004</c:v>
                </c:pt>
                <c:pt idx="28">
                  <c:v>0.56999999999999995</c:v>
                </c:pt>
                <c:pt idx="29">
                  <c:v>0.59</c:v>
                </c:pt>
                <c:pt idx="30">
                  <c:v>0.61</c:v>
                </c:pt>
                <c:pt idx="31">
                  <c:v>0.63</c:v>
                </c:pt>
                <c:pt idx="32">
                  <c:v>0.65</c:v>
                </c:pt>
                <c:pt idx="33">
                  <c:v>0.67</c:v>
                </c:pt>
                <c:pt idx="34">
                  <c:v>0.69</c:v>
                </c:pt>
                <c:pt idx="35">
                  <c:v>0.71</c:v>
                </c:pt>
                <c:pt idx="36">
                  <c:v>0.73</c:v>
                </c:pt>
                <c:pt idx="37">
                  <c:v>0.75</c:v>
                </c:pt>
                <c:pt idx="38">
                  <c:v>0.77</c:v>
                </c:pt>
                <c:pt idx="39">
                  <c:v>0.79</c:v>
                </c:pt>
                <c:pt idx="40">
                  <c:v>0.81</c:v>
                </c:pt>
                <c:pt idx="41">
                  <c:v>0.83</c:v>
                </c:pt>
                <c:pt idx="42">
                  <c:v>0.85</c:v>
                </c:pt>
                <c:pt idx="43">
                  <c:v>0.87</c:v>
                </c:pt>
                <c:pt idx="44">
                  <c:v>0.89</c:v>
                </c:pt>
                <c:pt idx="45">
                  <c:v>0.91</c:v>
                </c:pt>
                <c:pt idx="46">
                  <c:v>0.93</c:v>
                </c:pt>
                <c:pt idx="47">
                  <c:v>0.95</c:v>
                </c:pt>
                <c:pt idx="48">
                  <c:v>0.97</c:v>
                </c:pt>
                <c:pt idx="49">
                  <c:v>0.99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DA57-42D0-813F-6D698D69D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mm</a:t>
                </a:r>
              </a:p>
            </c:rich>
          </c:tx>
          <c:overlay val="0"/>
        </c:title>
        <c:numFmt formatCode="0.0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4E9F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Cumulative probability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37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24</xdr:row>
      <xdr:rowOff>0</xdr:rowOff>
    </xdr:from>
    <xdr:ext cx="6263999" cy="2664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E4F92"/>
    <pageSetUpPr fitToPage="1"/>
  </sheetPr>
  <dimension ref="A1:D73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39.4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39.4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57" customHeight="1" x14ac:dyDescent="0.45">
      <c r="B16" s="74" t="s">
        <v>20</v>
      </c>
      <c r="C16" s="75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26.25" x14ac:dyDescent="0.45">
      <c r="B30" s="9" t="s">
        <v>27</v>
      </c>
      <c r="C30" s="10" t="s">
        <v>28</v>
      </c>
    </row>
    <row r="31" spans="2:3" ht="12" customHeight="1" x14ac:dyDescent="0.45"/>
    <row r="32" spans="2:3" ht="22.05" customHeight="1" x14ac:dyDescent="0.5">
      <c r="B32" s="7" t="s">
        <v>29</v>
      </c>
      <c r="C32" s="8"/>
    </row>
    <row r="33" spans="2:3" x14ac:dyDescent="0.45">
      <c r="B33" s="9" t="s">
        <v>30</v>
      </c>
      <c r="C33" s="10" t="s">
        <v>31</v>
      </c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ht="12" customHeight="1" x14ac:dyDescent="0.45"/>
    <row r="38" spans="2:3" ht="22.05" customHeight="1" x14ac:dyDescent="0.5">
      <c r="B38" s="7" t="s">
        <v>38</v>
      </c>
      <c r="C38" s="8"/>
    </row>
    <row r="39" spans="2:3" x14ac:dyDescent="0.45">
      <c r="B39" s="14" t="s">
        <v>39</v>
      </c>
      <c r="C39" s="10" t="s">
        <v>40</v>
      </c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ht="12" customHeight="1" x14ac:dyDescent="0.45"/>
    <row r="43" spans="2:3" ht="22.05" customHeight="1" x14ac:dyDescent="0.5">
      <c r="B43" s="7" t="s">
        <v>45</v>
      </c>
      <c r="C43" s="8"/>
    </row>
    <row r="44" spans="2:3" x14ac:dyDescent="0.45">
      <c r="B44" s="15" t="s">
        <v>46</v>
      </c>
      <c r="C44" s="12" t="s">
        <v>47</v>
      </c>
    </row>
    <row r="45" spans="2:3" x14ac:dyDescent="0.45">
      <c r="B45" s="16" t="s">
        <v>48</v>
      </c>
      <c r="C45" s="12" t="s">
        <v>49</v>
      </c>
    </row>
    <row r="46" spans="2:3" x14ac:dyDescent="0.45">
      <c r="B46" s="17" t="s">
        <v>50</v>
      </c>
      <c r="C46" s="12" t="s">
        <v>51</v>
      </c>
    </row>
    <row r="47" spans="2:3" x14ac:dyDescent="0.45">
      <c r="B47" s="18" t="s">
        <v>52</v>
      </c>
      <c r="C47" s="12" t="s">
        <v>53</v>
      </c>
    </row>
    <row r="48" spans="2:3" x14ac:dyDescent="0.45">
      <c r="B48" s="19" t="s">
        <v>54</v>
      </c>
      <c r="C48" s="12" t="s">
        <v>55</v>
      </c>
    </row>
    <row r="49" spans="2:3" ht="12" customHeight="1" x14ac:dyDescent="0.45"/>
    <row r="50" spans="2:3" ht="22.05" customHeight="1" x14ac:dyDescent="0.5">
      <c r="B50" s="7" t="s">
        <v>56</v>
      </c>
      <c r="C50" s="8"/>
    </row>
    <row r="51" spans="2:3" x14ac:dyDescent="0.45">
      <c r="B51" s="9" t="s">
        <v>57</v>
      </c>
      <c r="C51" s="10" t="s">
        <v>58</v>
      </c>
    </row>
    <row r="52" spans="2:3" x14ac:dyDescent="0.45">
      <c r="B52" s="9" t="s">
        <v>59</v>
      </c>
      <c r="C52" s="10" t="s">
        <v>60</v>
      </c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ht="12" customHeight="1" x14ac:dyDescent="0.45"/>
    <row r="63" spans="2:3" ht="22.05" customHeight="1" x14ac:dyDescent="0.5">
      <c r="B63" s="7" t="s">
        <v>76</v>
      </c>
      <c r="C63" s="8"/>
    </row>
    <row r="64" spans="2:3" x14ac:dyDescent="0.45">
      <c r="B64" s="20" t="s">
        <v>77</v>
      </c>
      <c r="C64" s="10" t="s">
        <v>78</v>
      </c>
    </row>
    <row r="65" spans="2:3" ht="26.25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12" customHeight="1" x14ac:dyDescent="0.45"/>
    <row r="69" spans="2:3" ht="22.05" customHeight="1" x14ac:dyDescent="0.5">
      <c r="B69" s="7" t="s">
        <v>85</v>
      </c>
      <c r="C69" s="8"/>
    </row>
    <row r="70" spans="2:3" x14ac:dyDescent="0.45">
      <c r="B70" s="9" t="s">
        <v>86</v>
      </c>
      <c r="C70" s="10" t="s">
        <v>87</v>
      </c>
    </row>
    <row r="71" spans="2:3" x14ac:dyDescent="0.45">
      <c r="B71" s="9" t="s">
        <v>88</v>
      </c>
      <c r="C71" s="10" t="s">
        <v>89</v>
      </c>
    </row>
    <row r="72" spans="2:3" ht="16.05" customHeight="1" x14ac:dyDescent="0.45"/>
    <row r="73" spans="2:3" x14ac:dyDescent="0.45">
      <c r="B73" s="76" t="s">
        <v>90</v>
      </c>
      <c r="C73" s="75"/>
    </row>
  </sheetData>
  <mergeCells count="2">
    <mergeCell ref="B16:C16"/>
    <mergeCell ref="B73:C73"/>
  </mergeCells>
  <hyperlinks>
    <hyperlink ref="D4" location="'Inputs'!A1" display="Next:  Inputs  ▸" xr:uid="{00000000-0004-0000-0000-000000000000}"/>
    <hyperlink ref="B39" location="'Inputs'!A1" display="Inputs" xr:uid="{00000000-0004-0000-0000-000001000000}"/>
    <hyperlink ref="B40" location="'Stack-up'!A1" display="Stack-up" xr:uid="{00000000-0004-0000-0000-000002000000}"/>
    <hyperlink ref="B41" location="'Results'!A1" display="Results" xr:uid="{00000000-0004-0000-0000-000003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8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91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92</v>
      </c>
      <c r="C4" s="5"/>
      <c r="D4" s="5"/>
      <c r="E4" s="5"/>
      <c r="F4" s="5"/>
      <c r="G4" s="5"/>
      <c r="H4" s="5"/>
      <c r="I4" s="5"/>
      <c r="J4" s="6" t="s">
        <v>93</v>
      </c>
    </row>
    <row r="5" spans="1:10" ht="8" customHeight="1" x14ac:dyDescent="0.45"/>
    <row r="6" spans="1:10" ht="20" customHeight="1" x14ac:dyDescent="0.45">
      <c r="B6" s="77" t="s">
        <v>94</v>
      </c>
      <c r="C6" s="75"/>
      <c r="D6" s="75"/>
      <c r="E6" s="75"/>
      <c r="F6" s="75"/>
      <c r="G6" s="75"/>
      <c r="H6" s="75"/>
      <c r="I6" s="75"/>
      <c r="J6" s="75"/>
    </row>
    <row r="7" spans="1:10" ht="6" customHeight="1" x14ac:dyDescent="0.45"/>
    <row r="8" spans="1:10" ht="22.05" customHeight="1" x14ac:dyDescent="0.5">
      <c r="B8" s="7" t="s">
        <v>95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96</v>
      </c>
    </row>
    <row r="10" spans="1:10" ht="18" customHeight="1" x14ac:dyDescent="0.45">
      <c r="B10" s="23" t="s">
        <v>97</v>
      </c>
      <c r="C10" s="23" t="s">
        <v>98</v>
      </c>
      <c r="D10" s="24" t="s">
        <v>99</v>
      </c>
      <c r="E10" s="23" t="s">
        <v>100</v>
      </c>
      <c r="F10" s="5"/>
      <c r="G10" s="5"/>
      <c r="H10" s="5"/>
      <c r="I10" s="5"/>
      <c r="J10" s="23" t="s">
        <v>101</v>
      </c>
    </row>
    <row r="11" spans="1:10" x14ac:dyDescent="0.45">
      <c r="B11" s="25" t="s">
        <v>102</v>
      </c>
      <c r="C11" s="26" t="s">
        <v>103</v>
      </c>
      <c r="D11" s="27">
        <v>120</v>
      </c>
      <c r="E11" s="26" t="s">
        <v>104</v>
      </c>
      <c r="F11" s="28"/>
      <c r="G11" s="28"/>
      <c r="H11" s="28"/>
      <c r="I11" s="28"/>
      <c r="J11" s="29" t="s">
        <v>105</v>
      </c>
    </row>
    <row r="12" spans="1:10" x14ac:dyDescent="0.45">
      <c r="B12" s="25" t="s">
        <v>106</v>
      </c>
      <c r="C12" s="26" t="s">
        <v>107</v>
      </c>
      <c r="D12" s="30">
        <v>0.1</v>
      </c>
      <c r="E12" s="26" t="s">
        <v>104</v>
      </c>
      <c r="F12" s="28"/>
      <c r="G12" s="28"/>
      <c r="H12" s="28"/>
      <c r="I12" s="28"/>
      <c r="J12" s="29"/>
    </row>
    <row r="13" spans="1:10" x14ac:dyDescent="0.45">
      <c r="B13" s="25" t="s">
        <v>108</v>
      </c>
      <c r="C13" s="26" t="s">
        <v>103</v>
      </c>
      <c r="D13" s="27">
        <v>40</v>
      </c>
      <c r="E13" s="26" t="s">
        <v>104</v>
      </c>
      <c r="F13" s="28"/>
      <c r="G13" s="28"/>
      <c r="H13" s="28"/>
      <c r="I13" s="28"/>
      <c r="J13" s="29" t="s">
        <v>109</v>
      </c>
    </row>
    <row r="14" spans="1:10" x14ac:dyDescent="0.45">
      <c r="B14" s="25" t="s">
        <v>110</v>
      </c>
      <c r="C14" s="26" t="s">
        <v>107</v>
      </c>
      <c r="D14" s="30">
        <v>0.05</v>
      </c>
      <c r="E14" s="26" t="s">
        <v>104</v>
      </c>
      <c r="F14" s="28"/>
      <c r="G14" s="28"/>
      <c r="H14" s="28"/>
      <c r="I14" s="28"/>
      <c r="J14" s="29"/>
    </row>
    <row r="15" spans="1:10" x14ac:dyDescent="0.45">
      <c r="B15" s="25" t="s">
        <v>111</v>
      </c>
      <c r="C15" s="26" t="s">
        <v>103</v>
      </c>
      <c r="D15" s="27">
        <v>25</v>
      </c>
      <c r="E15" s="26" t="s">
        <v>104</v>
      </c>
      <c r="F15" s="28"/>
      <c r="G15" s="28"/>
      <c r="H15" s="28"/>
      <c r="I15" s="28"/>
      <c r="J15" s="29" t="s">
        <v>112</v>
      </c>
    </row>
    <row r="16" spans="1:10" x14ac:dyDescent="0.45">
      <c r="B16" s="25" t="s">
        <v>113</v>
      </c>
      <c r="C16" s="26" t="s">
        <v>107</v>
      </c>
      <c r="D16" s="30">
        <v>0.06</v>
      </c>
      <c r="E16" s="26" t="s">
        <v>104</v>
      </c>
      <c r="F16" s="28"/>
      <c r="G16" s="28"/>
      <c r="H16" s="28"/>
      <c r="I16" s="28"/>
      <c r="J16" s="29"/>
    </row>
    <row r="17" spans="2:10" x14ac:dyDescent="0.45">
      <c r="B17" s="25" t="s">
        <v>114</v>
      </c>
      <c r="C17" s="26" t="s">
        <v>103</v>
      </c>
      <c r="D17" s="27">
        <v>30</v>
      </c>
      <c r="E17" s="26" t="s">
        <v>104</v>
      </c>
      <c r="F17" s="28"/>
      <c r="G17" s="28"/>
      <c r="H17" s="28"/>
      <c r="I17" s="28"/>
      <c r="J17" s="29" t="s">
        <v>105</v>
      </c>
    </row>
    <row r="18" spans="2:10" x14ac:dyDescent="0.45">
      <c r="B18" s="25" t="s">
        <v>115</v>
      </c>
      <c r="C18" s="26" t="s">
        <v>107</v>
      </c>
      <c r="D18" s="30">
        <v>0.05</v>
      </c>
      <c r="E18" s="26" t="s">
        <v>104</v>
      </c>
      <c r="F18" s="28"/>
      <c r="G18" s="28"/>
      <c r="H18" s="28"/>
      <c r="I18" s="28"/>
      <c r="J18" s="29"/>
    </row>
    <row r="19" spans="2:10" x14ac:dyDescent="0.45">
      <c r="B19" s="25" t="s">
        <v>116</v>
      </c>
      <c r="C19" s="26" t="s">
        <v>103</v>
      </c>
      <c r="D19" s="27">
        <v>24.7</v>
      </c>
      <c r="E19" s="26" t="s">
        <v>104</v>
      </c>
      <c r="F19" s="28"/>
      <c r="G19" s="28"/>
      <c r="H19" s="28"/>
      <c r="I19" s="28"/>
      <c r="J19" s="29" t="s">
        <v>117</v>
      </c>
    </row>
    <row r="20" spans="2:10" x14ac:dyDescent="0.45">
      <c r="B20" s="25" t="s">
        <v>118</v>
      </c>
      <c r="C20" s="26" t="s">
        <v>107</v>
      </c>
      <c r="D20" s="30">
        <v>0.04</v>
      </c>
      <c r="E20" s="26" t="s">
        <v>104</v>
      </c>
      <c r="F20" s="28"/>
      <c r="G20" s="28"/>
      <c r="H20" s="28"/>
      <c r="I20" s="28"/>
      <c r="J20" s="29"/>
    </row>
    <row r="21" spans="2:10" ht="8" customHeight="1" x14ac:dyDescent="0.45"/>
    <row r="22" spans="2:10" ht="22.05" customHeight="1" x14ac:dyDescent="0.5">
      <c r="B22" s="7" t="s">
        <v>119</v>
      </c>
      <c r="C22" s="8"/>
      <c r="D22" s="8"/>
      <c r="E22" s="8"/>
      <c r="F22" s="8"/>
      <c r="G22" s="8"/>
      <c r="H22" s="8"/>
      <c r="I22" s="8"/>
      <c r="J22" s="8"/>
    </row>
    <row r="23" spans="2:10" ht="18" customHeight="1" x14ac:dyDescent="0.45">
      <c r="B23" s="23" t="s">
        <v>97</v>
      </c>
      <c r="C23" s="23" t="s">
        <v>98</v>
      </c>
      <c r="D23" s="24" t="s">
        <v>99</v>
      </c>
      <c r="E23" s="23" t="s">
        <v>100</v>
      </c>
      <c r="F23" s="5"/>
      <c r="G23" s="5"/>
      <c r="H23" s="5"/>
      <c r="I23" s="5"/>
      <c r="J23" s="23" t="s">
        <v>101</v>
      </c>
    </row>
    <row r="24" spans="2:10" x14ac:dyDescent="0.45">
      <c r="B24" s="25" t="s">
        <v>120</v>
      </c>
      <c r="C24" s="26" t="s">
        <v>103</v>
      </c>
      <c r="D24" s="30">
        <v>0.02</v>
      </c>
      <c r="E24" s="26" t="s">
        <v>104</v>
      </c>
      <c r="F24" s="28"/>
      <c r="G24" s="28"/>
      <c r="H24" s="28"/>
      <c r="I24" s="28"/>
      <c r="J24" s="29" t="s">
        <v>121</v>
      </c>
    </row>
    <row r="25" spans="2:10" ht="23.25" x14ac:dyDescent="0.45">
      <c r="B25" s="25" t="s">
        <v>122</v>
      </c>
      <c r="C25" s="26" t="s">
        <v>123</v>
      </c>
      <c r="D25" s="31">
        <v>3</v>
      </c>
      <c r="E25" s="26" t="s">
        <v>104</v>
      </c>
      <c r="F25" s="28"/>
      <c r="G25" s="28"/>
      <c r="H25" s="28"/>
      <c r="I25" s="28"/>
      <c r="J25" s="29" t="s">
        <v>124</v>
      </c>
    </row>
    <row r="26" spans="2:10" x14ac:dyDescent="0.45">
      <c r="B26" s="25" t="s">
        <v>125</v>
      </c>
      <c r="C26" s="26" t="s">
        <v>103</v>
      </c>
      <c r="D26" s="27">
        <v>0.15</v>
      </c>
      <c r="E26" s="26" t="s">
        <v>104</v>
      </c>
      <c r="F26" s="28"/>
      <c r="G26" s="28"/>
      <c r="H26" s="28"/>
      <c r="I26" s="28"/>
      <c r="J26" s="29" t="s">
        <v>126</v>
      </c>
    </row>
    <row r="27" spans="2:10" x14ac:dyDescent="0.45">
      <c r="B27" s="25" t="s">
        <v>127</v>
      </c>
      <c r="C27" s="26" t="s">
        <v>103</v>
      </c>
      <c r="D27" s="27">
        <v>0.45</v>
      </c>
      <c r="E27" s="26" t="s">
        <v>104</v>
      </c>
      <c r="F27" s="28"/>
      <c r="G27" s="28"/>
      <c r="H27" s="28"/>
      <c r="I27" s="28"/>
      <c r="J27" s="29" t="s">
        <v>128</v>
      </c>
    </row>
    <row r="28" spans="2:10" ht="8" customHeight="1" x14ac:dyDescent="0.45"/>
  </sheetData>
  <mergeCells count="1">
    <mergeCell ref="B6:J6"/>
  </mergeCells>
  <dataValidations count="2">
    <dataValidation type="decimal" operator="greaterThan" showErrorMessage="1" errorTitle="Positive value" error="Enter a value greater than zero." sqref="D27 D25 D11:D20" xr:uid="{00000000-0002-0000-0100-000000000000}">
      <formula1>0</formula1>
    </dataValidation>
    <dataValidation type="decimal" showErrorMessage="1" errorTitle="Value" error="Enter a value of zero or more." sqref="D24 D26" xr:uid="{00000000-0002-0000-0100-00000A000000}">
      <formula1>0</formula1>
      <formula2>1000000000000</formula2>
    </dataValidation>
  </dataValidations>
  <hyperlinks>
    <hyperlink ref="B4" location="'About'!A1" display="◂  About" xr:uid="{00000000-0004-0000-0100-000000000000}"/>
    <hyperlink ref="J4" location="'Stack-up'!A1" display="Next:  Stack-up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AA0BA"/>
    <pageSetUpPr fitToPage="1"/>
  </sheetPr>
  <dimension ref="A1:L55"/>
  <sheetViews>
    <sheetView showGridLines="0" workbookViewId="0"/>
  </sheetViews>
  <sheetFormatPr defaultRowHeight="14.25" x14ac:dyDescent="0.45"/>
  <cols>
    <col min="1" max="1" width="2" customWidth="1"/>
    <col min="2" max="2" width="34" customWidth="1"/>
    <col min="3" max="3" width="7" customWidth="1"/>
    <col min="4" max="5" width="11" customWidth="1"/>
    <col min="6" max="6" width="15" customWidth="1"/>
    <col min="7" max="10" width="11" customWidth="1"/>
    <col min="11" max="11" width="3" customWidth="1"/>
    <col min="12" max="12" width="44" customWidth="1"/>
  </cols>
  <sheetData>
    <row r="1" spans="1:12" ht="6" customHeight="1" x14ac:dyDescent="0.45"/>
    <row r="2" spans="1:12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3" t="s">
        <v>1</v>
      </c>
    </row>
    <row r="3" spans="1:12" ht="20" customHeight="1" x14ac:dyDescent="0.45">
      <c r="A3" s="1"/>
      <c r="B3" s="4" t="s">
        <v>129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" customHeight="1" x14ac:dyDescent="0.45">
      <c r="A4" s="5"/>
      <c r="B4" s="22" t="s">
        <v>130</v>
      </c>
      <c r="C4" s="5"/>
      <c r="D4" s="5"/>
      <c r="E4" s="5"/>
      <c r="F4" s="5"/>
      <c r="G4" s="5"/>
      <c r="H4" s="5"/>
      <c r="I4" s="5"/>
      <c r="J4" s="5"/>
      <c r="K4" s="5"/>
      <c r="L4" s="6" t="s">
        <v>131</v>
      </c>
    </row>
    <row r="5" spans="1:12" ht="8" customHeight="1" x14ac:dyDescent="0.45"/>
    <row r="6" spans="1:12" ht="22.05" customHeight="1" x14ac:dyDescent="0.5">
      <c r="B6" s="7" t="s">
        <v>132</v>
      </c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18" customHeight="1" x14ac:dyDescent="0.45">
      <c r="B7" s="13" t="s">
        <v>133</v>
      </c>
    </row>
    <row r="8" spans="1:12" ht="18" customHeight="1" x14ac:dyDescent="0.45">
      <c r="B8" s="32" t="s">
        <v>134</v>
      </c>
      <c r="C8" s="33" t="s">
        <v>135</v>
      </c>
      <c r="D8" s="34" t="s">
        <v>136</v>
      </c>
      <c r="E8" s="34" t="s">
        <v>137</v>
      </c>
      <c r="F8" s="32" t="s">
        <v>138</v>
      </c>
      <c r="G8" s="34" t="s">
        <v>139</v>
      </c>
      <c r="H8" s="34" t="s">
        <v>140</v>
      </c>
      <c r="I8" s="34" t="s">
        <v>141</v>
      </c>
      <c r="J8" s="34" t="s">
        <v>142</v>
      </c>
      <c r="K8" s="5"/>
      <c r="L8" s="5"/>
    </row>
    <row r="9" spans="1:12" x14ac:dyDescent="0.45">
      <c r="B9" s="35"/>
      <c r="C9" s="36"/>
      <c r="D9" s="35" t="s">
        <v>103</v>
      </c>
      <c r="E9" s="35" t="s">
        <v>107</v>
      </c>
      <c r="F9" s="35" t="s">
        <v>143</v>
      </c>
      <c r="G9" s="35" t="s">
        <v>103</v>
      </c>
      <c r="H9" s="35" t="s">
        <v>103</v>
      </c>
      <c r="I9" s="35" t="s">
        <v>103</v>
      </c>
      <c r="J9" s="35" t="s">
        <v>103</v>
      </c>
    </row>
    <row r="10" spans="1:12" x14ac:dyDescent="0.45">
      <c r="B10" s="25" t="s">
        <v>144</v>
      </c>
      <c r="C10" s="37">
        <v>1</v>
      </c>
      <c r="D10" s="38">
        <f>Nom_H</f>
        <v>120</v>
      </c>
      <c r="E10" s="38">
        <f>Tol_H</f>
        <v>0.1</v>
      </c>
      <c r="F10" s="26" t="s">
        <v>145</v>
      </c>
      <c r="G10" s="39">
        <f>E10/TolSigmas</f>
        <v>3.3333333333333333E-2</v>
      </c>
      <c r="H10" s="40" cm="1">
        <f t="array" aca="1" ref="H10" ca="1">_xll.VoseNormal(D10,E10/TolSigmas)</f>
        <v>120.04877243515911</v>
      </c>
      <c r="I10" s="40" cm="1">
        <f t="array" aca="1" ref="I10" ca="1">_xll.VoseNormal(D10,E10/TolSigmas)</f>
        <v>119.98707220791414</v>
      </c>
      <c r="J10" s="40" cm="1">
        <f t="array" aca="1" ref="J10" ca="1">_xll.VoseNormal(D10,E10/TolSigmas)</f>
        <v>119.98204768228062</v>
      </c>
      <c r="K10" s="28"/>
      <c r="L10" s="26" t="s">
        <v>146</v>
      </c>
    </row>
    <row r="11" spans="1:12" x14ac:dyDescent="0.45">
      <c r="B11" s="25" t="s">
        <v>147</v>
      </c>
      <c r="C11" s="37">
        <v>-1</v>
      </c>
      <c r="D11" s="38">
        <f>Nom_A</f>
        <v>40</v>
      </c>
      <c r="E11" s="38">
        <f>Tol_A</f>
        <v>0.05</v>
      </c>
      <c r="F11" s="26" t="s">
        <v>145</v>
      </c>
      <c r="G11" s="39">
        <f>E11/TolSigmas</f>
        <v>1.6666666666666666E-2</v>
      </c>
      <c r="H11" s="40" cm="1">
        <f t="array" aca="1" ref="H11" ca="1">_xll.VoseNormal(D11,E11/TolSigmas)</f>
        <v>40.018936849253912</v>
      </c>
      <c r="I11" s="40" cm="1">
        <f t="array" aca="1" ref="I11" ca="1">_xll.VoseNormal(D11,E11/TolSigmas)</f>
        <v>39.999796202884433</v>
      </c>
      <c r="J11" s="40" cm="1">
        <f t="array" aca="1" ref="J11" ca="1">_xll.VoseNormal(D11,E11/TolSigmas)</f>
        <v>40.006879418648417</v>
      </c>
      <c r="K11" s="28"/>
      <c r="L11" s="26" t="s">
        <v>148</v>
      </c>
    </row>
    <row r="12" spans="1:12" x14ac:dyDescent="0.45">
      <c r="B12" s="25" t="s">
        <v>149</v>
      </c>
      <c r="C12" s="37">
        <v>-1</v>
      </c>
      <c r="D12" s="38">
        <f>Nom_B</f>
        <v>25</v>
      </c>
      <c r="E12" s="38">
        <f>Tol_B</f>
        <v>0.06</v>
      </c>
      <c r="F12" s="26" t="s">
        <v>150</v>
      </c>
      <c r="G12" s="39">
        <f>2*E12/SQRT(12)</f>
        <v>3.4641016151377546E-2</v>
      </c>
      <c r="H12" s="40" cm="1">
        <f t="array" aca="1" ref="H12" ca="1">_xll.VoseUniform(D12-E12,D12+E12)</f>
        <v>25.050442279861308</v>
      </c>
      <c r="I12" s="40" cm="1">
        <f t="array" aca="1" ref="I12" ca="1">_xll.VoseNormal(D12,E12/TolSigmas)</f>
        <v>24.9706446144911</v>
      </c>
      <c r="J12" s="40" cm="1">
        <f t="array" aca="1" ref="J12" ca="1">_xll.VoseNormal(D12,E12/TolSigmas)</f>
        <v>25.006005272700875</v>
      </c>
      <c r="K12" s="28"/>
      <c r="L12" s="26" t="s">
        <v>151</v>
      </c>
    </row>
    <row r="13" spans="1:12" x14ac:dyDescent="0.45">
      <c r="B13" s="25" t="s">
        <v>152</v>
      </c>
      <c r="C13" s="37">
        <v>-1</v>
      </c>
      <c r="D13" s="38">
        <f>Nom_G</f>
        <v>30</v>
      </c>
      <c r="E13" s="38">
        <f>Tol_G</f>
        <v>0.05</v>
      </c>
      <c r="F13" s="26" t="s">
        <v>145</v>
      </c>
      <c r="G13" s="39">
        <f>E13/TolSigmas</f>
        <v>1.6666666666666666E-2</v>
      </c>
      <c r="H13" s="40" cm="1">
        <f t="array" aca="1" ref="H13" ca="1">_xll.VoseNormal(D13,E13/TolSigmas)</f>
        <v>29.988647758004717</v>
      </c>
      <c r="I13" s="40" cm="1">
        <f t="array" aca="1" ref="I13" ca="1">_xll.VoseNormal(D13,E13/TolSigmas)</f>
        <v>30.000872647043174</v>
      </c>
      <c r="J13" s="40" cm="1">
        <f t="array" aca="1" ref="J13" ca="1">_xll.VoseNormal(D13,E13/TolSigmas)</f>
        <v>30.017401696495348</v>
      </c>
      <c r="K13" s="28"/>
      <c r="L13" s="28"/>
    </row>
    <row r="14" spans="1:12" x14ac:dyDescent="0.45">
      <c r="B14" s="25" t="s">
        <v>153</v>
      </c>
      <c r="C14" s="37">
        <v>-1</v>
      </c>
      <c r="D14" s="38">
        <f>Nom_S</f>
        <v>24.7</v>
      </c>
      <c r="E14" s="38">
        <f>Tol_S</f>
        <v>0.04</v>
      </c>
      <c r="F14" s="26" t="s">
        <v>154</v>
      </c>
      <c r="G14" s="39">
        <f>E14/TolSigmas</f>
        <v>1.3333333333333334E-2</v>
      </c>
      <c r="H14" s="40" cm="1">
        <f t="array" aca="1" ref="H14" ca="1">_xll.VoseNormal(D14+ShiftS,E14/TolSigmas)</f>
        <v>24.723759865294049</v>
      </c>
      <c r="I14" s="40" cm="1">
        <f t="array" aca="1" ref="I14" ca="1">_xll.VoseNormal(D14+ShiftS,E14/TolSigmas)</f>
        <v>24.712341471436027</v>
      </c>
      <c r="J14" s="40" cm="1">
        <f t="array" aca="1" ref="J14" ca="1">_xll.VoseNormal(D14,E14/TolSigmas)</f>
        <v>24.717815853311023</v>
      </c>
      <c r="K14" s="28"/>
      <c r="L14" s="26" t="s">
        <v>155</v>
      </c>
    </row>
    <row r="15" spans="1:12" x14ac:dyDescent="0.45">
      <c r="B15" s="41" t="s">
        <v>59</v>
      </c>
      <c r="C15" s="42"/>
      <c r="D15" s="43">
        <f>SUMPRODUCT($C$10:$C$14,D10:D14)</f>
        <v>0.30000000000000071</v>
      </c>
      <c r="E15" s="42"/>
      <c r="F15" s="42"/>
      <c r="G15" s="42"/>
      <c r="H15" s="44">
        <f ca="1">SUMPRODUCT($C$10:$C$14,H10:H14)</f>
        <v>0.26698568274512979</v>
      </c>
      <c r="I15" s="44">
        <f ca="1">SUMPRODUCT($C$10:$C$14,I10:I14)</f>
        <v>0.30341727205941282</v>
      </c>
      <c r="J15" s="44">
        <f ca="1">SUMPRODUCT($C$10:$C$14,J10:J14)</f>
        <v>0.23394544112496618</v>
      </c>
      <c r="L15" s="45" t="s">
        <v>156</v>
      </c>
    </row>
    <row r="16" spans="1:12" x14ac:dyDescent="0.45">
      <c r="B16" s="46" t="s">
        <v>157</v>
      </c>
    </row>
    <row r="17" spans="2:12" x14ac:dyDescent="0.45">
      <c r="B17" s="46" t="s">
        <v>158</v>
      </c>
    </row>
    <row r="18" spans="2:12" x14ac:dyDescent="0.45">
      <c r="B18" s="46" t="s">
        <v>159</v>
      </c>
    </row>
    <row r="19" spans="2:12" ht="8" customHeight="1" x14ac:dyDescent="0.45"/>
    <row r="20" spans="2:12" ht="22.05" customHeight="1" x14ac:dyDescent="0.5">
      <c r="B20" s="7" t="s">
        <v>160</v>
      </c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2:12" ht="18" customHeight="1" x14ac:dyDescent="0.45">
      <c r="B21" s="13" t="s">
        <v>161</v>
      </c>
    </row>
    <row r="22" spans="2:12" ht="18" customHeight="1" x14ac:dyDescent="0.45">
      <c r="B22" s="47" t="s">
        <v>162</v>
      </c>
      <c r="C22" s="47" t="s">
        <v>98</v>
      </c>
      <c r="D22" s="48" t="s">
        <v>163</v>
      </c>
      <c r="E22" s="5"/>
      <c r="F22" s="5"/>
      <c r="G22" s="5"/>
      <c r="H22" s="5"/>
      <c r="I22" s="5"/>
      <c r="J22" s="5"/>
      <c r="K22" s="5"/>
      <c r="L22" s="47" t="s">
        <v>164</v>
      </c>
    </row>
    <row r="23" spans="2:12" x14ac:dyDescent="0.45">
      <c r="B23" s="25" t="s">
        <v>165</v>
      </c>
      <c r="C23" s="26" t="s">
        <v>103</v>
      </c>
      <c r="D23" s="38">
        <f>D15</f>
        <v>0.30000000000000071</v>
      </c>
      <c r="E23" s="28"/>
      <c r="F23" s="28"/>
      <c r="G23" s="28"/>
      <c r="H23" s="28"/>
      <c r="I23" s="28"/>
      <c r="J23" s="28"/>
      <c r="K23" s="28"/>
      <c r="L23" s="26" t="s">
        <v>166</v>
      </c>
    </row>
    <row r="24" spans="2:12" x14ac:dyDescent="0.45">
      <c r="B24" s="25" t="s">
        <v>167</v>
      </c>
      <c r="C24" s="26" t="s">
        <v>107</v>
      </c>
      <c r="D24" s="38">
        <f>SUM(E10:E14)</f>
        <v>0.3</v>
      </c>
      <c r="E24" s="28"/>
      <c r="F24" s="28"/>
      <c r="G24" s="28"/>
      <c r="H24" s="28"/>
      <c r="I24" s="28"/>
      <c r="J24" s="28"/>
      <c r="K24" s="28"/>
      <c r="L24" s="28"/>
    </row>
    <row r="25" spans="2:12" x14ac:dyDescent="0.45">
      <c r="B25" s="25" t="s">
        <v>168</v>
      </c>
      <c r="C25" s="26" t="s">
        <v>103</v>
      </c>
      <c r="D25" s="38">
        <f>GapNom-TolSum</f>
        <v>7.2164496600635175E-16</v>
      </c>
      <c r="E25" s="28"/>
      <c r="F25" s="28"/>
      <c r="G25" s="28"/>
      <c r="H25" s="28"/>
      <c r="I25" s="28"/>
      <c r="J25" s="28"/>
      <c r="K25" s="28"/>
      <c r="L25" s="26" t="s">
        <v>169</v>
      </c>
    </row>
    <row r="26" spans="2:12" x14ac:dyDescent="0.45">
      <c r="B26" s="25" t="s">
        <v>170</v>
      </c>
      <c r="C26" s="26" t="s">
        <v>103</v>
      </c>
      <c r="D26" s="38">
        <f>GapNom+TolSum</f>
        <v>0.60000000000000075</v>
      </c>
      <c r="E26" s="28"/>
      <c r="F26" s="28"/>
      <c r="G26" s="28"/>
      <c r="H26" s="28"/>
      <c r="I26" s="28"/>
      <c r="J26" s="28"/>
      <c r="K26" s="28"/>
      <c r="L26" s="28"/>
    </row>
    <row r="27" spans="2:12" x14ac:dyDescent="0.45">
      <c r="B27" s="25" t="s">
        <v>171</v>
      </c>
      <c r="C27" s="26" t="s">
        <v>103</v>
      </c>
      <c r="D27" s="39">
        <f>SQRT(SUMSQ(E10:E14))/TolSigmas</f>
        <v>4.7375568011839654E-2</v>
      </c>
      <c r="E27" s="28"/>
      <c r="F27" s="28"/>
      <c r="G27" s="28"/>
      <c r="H27" s="28"/>
      <c r="I27" s="28"/>
      <c r="J27" s="28"/>
      <c r="K27" s="28"/>
      <c r="L27" s="26" t="s">
        <v>172</v>
      </c>
    </row>
    <row r="28" spans="2:12" x14ac:dyDescent="0.45">
      <c r="B28" s="25" t="s">
        <v>173</v>
      </c>
      <c r="C28" s="26" t="s">
        <v>103</v>
      </c>
      <c r="D28" s="38">
        <f>GapNom-3*RSS_SD</f>
        <v>0.15787329596448174</v>
      </c>
      <c r="E28" s="28"/>
      <c r="F28" s="28"/>
      <c r="G28" s="28"/>
      <c r="H28" s="28"/>
      <c r="I28" s="28"/>
      <c r="J28" s="28"/>
      <c r="K28" s="28"/>
      <c r="L28" s="28"/>
    </row>
    <row r="29" spans="2:12" x14ac:dyDescent="0.45">
      <c r="B29" s="25" t="s">
        <v>174</v>
      </c>
      <c r="C29" s="26" t="s">
        <v>103</v>
      </c>
      <c r="D29" s="38">
        <f>GapNom+3*RSS_SD</f>
        <v>0.44212670403551968</v>
      </c>
      <c r="E29" s="28"/>
      <c r="F29" s="28"/>
      <c r="G29" s="28"/>
      <c r="H29" s="28"/>
      <c r="I29" s="28"/>
      <c r="J29" s="28"/>
      <c r="K29" s="28"/>
      <c r="L29" s="28"/>
    </row>
    <row r="30" spans="2:12" x14ac:dyDescent="0.45">
      <c r="B30" s="25" t="s">
        <v>175</v>
      </c>
      <c r="C30" s="26"/>
      <c r="D30" s="49">
        <f>MIN(GapNom-LSL,USL-GapNom)/(3*RSS_SD)</f>
        <v>1.0553963170954328</v>
      </c>
      <c r="E30" s="28"/>
      <c r="F30" s="28"/>
      <c r="G30" s="28"/>
      <c r="H30" s="28"/>
      <c r="I30" s="28"/>
      <c r="J30" s="28"/>
      <c r="K30" s="28"/>
      <c r="L30" s="26" t="s">
        <v>176</v>
      </c>
    </row>
    <row r="31" spans="2:12" x14ac:dyDescent="0.45">
      <c r="B31" s="25" t="s">
        <v>177</v>
      </c>
      <c r="C31" s="26" t="s">
        <v>178</v>
      </c>
      <c r="D31" s="50">
        <f>(_xlfn.NORM.DIST(LSL,GapNom,RSS_SD,TRUE)+1-_xlfn.NORM.DIST(USL,GapNom,RSS_SD,TRUE))*1000000</f>
        <v>1544.5043095669853</v>
      </c>
      <c r="E31" s="28"/>
      <c r="F31" s="28"/>
      <c r="G31" s="28"/>
      <c r="H31" s="28"/>
      <c r="I31" s="28"/>
      <c r="J31" s="28"/>
      <c r="K31" s="28"/>
      <c r="L31" s="26" t="s">
        <v>179</v>
      </c>
    </row>
    <row r="32" spans="2:12" ht="8" customHeight="1" x14ac:dyDescent="0.45"/>
    <row r="33" spans="2:12" ht="22.05" customHeight="1" x14ac:dyDescent="0.5">
      <c r="B33" s="7" t="s">
        <v>180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2:12" ht="18" customHeight="1" x14ac:dyDescent="0.45">
      <c r="B34" s="13" t="s">
        <v>181</v>
      </c>
    </row>
    <row r="35" spans="2:12" ht="18" customHeight="1" x14ac:dyDescent="0.45">
      <c r="B35" s="32" t="s">
        <v>134</v>
      </c>
      <c r="C35" s="51"/>
      <c r="D35" s="51"/>
      <c r="E35" s="51"/>
      <c r="F35" s="51"/>
      <c r="G35" s="34" t="s">
        <v>139</v>
      </c>
      <c r="H35" s="34" t="s">
        <v>182</v>
      </c>
      <c r="I35" s="34" t="s">
        <v>183</v>
      </c>
      <c r="J35" s="5"/>
      <c r="K35" s="5"/>
      <c r="L35" s="5"/>
    </row>
    <row r="36" spans="2:12" x14ac:dyDescent="0.45">
      <c r="B36" s="35"/>
      <c r="C36" s="35"/>
      <c r="D36" s="35"/>
      <c r="E36" s="35"/>
      <c r="F36" s="35"/>
      <c r="G36" s="35" t="s">
        <v>103</v>
      </c>
      <c r="H36" s="35" t="s">
        <v>184</v>
      </c>
      <c r="I36" s="35" t="s">
        <v>185</v>
      </c>
    </row>
    <row r="37" spans="2:12" x14ac:dyDescent="0.45">
      <c r="B37" s="25" t="s">
        <v>144</v>
      </c>
      <c r="C37" s="28"/>
      <c r="D37" s="28"/>
      <c r="E37" s="28"/>
      <c r="F37" s="28"/>
      <c r="G37" s="39">
        <f>G10</f>
        <v>3.3333333333333333E-2</v>
      </c>
      <c r="H37" s="52">
        <f>G37^2</f>
        <v>1.1111111111111111E-3</v>
      </c>
      <c r="I37" s="53">
        <f>H37/SUM($H$37:$H$41)</f>
        <v>0.36496350364963503</v>
      </c>
      <c r="J37" s="28"/>
      <c r="K37" s="28"/>
      <c r="L37" s="26" t="s">
        <v>186</v>
      </c>
    </row>
    <row r="38" spans="2:12" x14ac:dyDescent="0.45">
      <c r="B38" s="25" t="s">
        <v>147</v>
      </c>
      <c r="C38" s="28"/>
      <c r="D38" s="28"/>
      <c r="E38" s="28"/>
      <c r="F38" s="28"/>
      <c r="G38" s="39">
        <f>G11</f>
        <v>1.6666666666666666E-2</v>
      </c>
      <c r="H38" s="52">
        <f>G38^2</f>
        <v>2.7777777777777778E-4</v>
      </c>
      <c r="I38" s="53">
        <f>H38/SUM($H$37:$H$41)</f>
        <v>9.1240875912408759E-2</v>
      </c>
      <c r="J38" s="28"/>
      <c r="K38" s="28"/>
      <c r="L38" s="28"/>
    </row>
    <row r="39" spans="2:12" x14ac:dyDescent="0.45">
      <c r="B39" s="25" t="s">
        <v>149</v>
      </c>
      <c r="C39" s="28"/>
      <c r="D39" s="28"/>
      <c r="E39" s="28"/>
      <c r="F39" s="28"/>
      <c r="G39" s="39">
        <f>G12</f>
        <v>3.4641016151377546E-2</v>
      </c>
      <c r="H39" s="52">
        <f>G39^2</f>
        <v>1.2000000000000001E-3</v>
      </c>
      <c r="I39" s="53">
        <f>H39/SUM($H$37:$H$41)</f>
        <v>0.39416058394160586</v>
      </c>
      <c r="J39" s="28"/>
      <c r="K39" s="28"/>
      <c r="L39" s="28"/>
    </row>
    <row r="40" spans="2:12" x14ac:dyDescent="0.45">
      <c r="B40" s="25" t="s">
        <v>152</v>
      </c>
      <c r="C40" s="28"/>
      <c r="D40" s="28"/>
      <c r="E40" s="28"/>
      <c r="F40" s="28"/>
      <c r="G40" s="39">
        <f>G13</f>
        <v>1.6666666666666666E-2</v>
      </c>
      <c r="H40" s="52">
        <f>G40^2</f>
        <v>2.7777777777777778E-4</v>
      </c>
      <c r="I40" s="53">
        <f>H40/SUM($H$37:$H$41)</f>
        <v>9.1240875912408759E-2</v>
      </c>
      <c r="J40" s="28"/>
      <c r="K40" s="28"/>
      <c r="L40" s="28"/>
    </row>
    <row r="41" spans="2:12" x14ac:dyDescent="0.45">
      <c r="B41" s="25" t="s">
        <v>153</v>
      </c>
      <c r="C41" s="28"/>
      <c r="D41" s="28"/>
      <c r="E41" s="28"/>
      <c r="F41" s="28"/>
      <c r="G41" s="39">
        <f>G14</f>
        <v>1.3333333333333334E-2</v>
      </c>
      <c r="H41" s="52">
        <f>G41^2</f>
        <v>1.7777777777777781E-4</v>
      </c>
      <c r="I41" s="53">
        <f>H41/SUM($H$37:$H$41)</f>
        <v>5.8394160583941611E-2</v>
      </c>
      <c r="J41" s="28"/>
      <c r="K41" s="28"/>
      <c r="L41" s="28"/>
    </row>
    <row r="42" spans="2:12" x14ac:dyDescent="0.45">
      <c r="B42" s="41" t="s">
        <v>59</v>
      </c>
      <c r="C42" s="42"/>
      <c r="D42" s="42"/>
      <c r="E42" s="42"/>
      <c r="F42" s="42"/>
      <c r="G42" s="54">
        <f>SQRT(H42)</f>
        <v>5.5176484524156161E-2</v>
      </c>
      <c r="H42" s="55">
        <f>SUM(H37:H41)</f>
        <v>3.0444444444444447E-3</v>
      </c>
      <c r="I42" s="42"/>
    </row>
    <row r="43" spans="2:12" ht="8" customHeight="1" x14ac:dyDescent="0.45"/>
    <row r="44" spans="2:12" ht="22.05" customHeight="1" x14ac:dyDescent="0.5">
      <c r="B44" s="7" t="s">
        <v>187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2" ht="18" customHeight="1" x14ac:dyDescent="0.45">
      <c r="B45" s="13" t="s">
        <v>188</v>
      </c>
    </row>
    <row r="46" spans="2:12" ht="18" customHeight="1" x14ac:dyDescent="0.45">
      <c r="B46" s="47" t="s">
        <v>189</v>
      </c>
      <c r="C46" s="5"/>
      <c r="D46" s="5"/>
      <c r="E46" s="47" t="s">
        <v>98</v>
      </c>
      <c r="F46" s="5"/>
      <c r="G46" s="48" t="s">
        <v>163</v>
      </c>
      <c r="H46" s="5"/>
      <c r="I46" s="5"/>
      <c r="J46" s="5"/>
      <c r="K46" s="5"/>
      <c r="L46" s="47" t="s">
        <v>190</v>
      </c>
    </row>
    <row r="47" spans="2:12" x14ac:dyDescent="0.45">
      <c r="B47" s="25" t="s">
        <v>191</v>
      </c>
      <c r="C47" s="28"/>
      <c r="D47" s="28"/>
      <c r="E47" s="26" t="s">
        <v>103</v>
      </c>
      <c r="F47" s="28"/>
      <c r="G47" s="56" cm="1">
        <f t="array" aca="1" ref="G47" ca="1">_xll.VoseOutput("Gap, design 1","mm")+Gap_1</f>
        <v>0.26698568274512979</v>
      </c>
      <c r="H47" s="28"/>
      <c r="I47" s="28"/>
      <c r="J47" s="28"/>
      <c r="K47" s="28"/>
      <c r="L47" s="26" t="s">
        <v>192</v>
      </c>
    </row>
    <row r="48" spans="2:12" x14ac:dyDescent="0.45">
      <c r="B48" s="25" t="s">
        <v>193</v>
      </c>
      <c r="C48" s="28"/>
      <c r="D48" s="28"/>
      <c r="E48" s="26" t="s">
        <v>103</v>
      </c>
      <c r="F48" s="28"/>
      <c r="G48" s="56" cm="1">
        <f t="array" aca="1" ref="G48" ca="1">_xll.VoseOutput("Gap, design 2","mm")+Gap_2</f>
        <v>0.30341727205941282</v>
      </c>
      <c r="H48" s="28"/>
      <c r="I48" s="28"/>
      <c r="J48" s="28"/>
      <c r="K48" s="28"/>
      <c r="L48" s="26" t="s">
        <v>194</v>
      </c>
    </row>
    <row r="49" spans="2:12" x14ac:dyDescent="0.45">
      <c r="B49" s="25" t="s">
        <v>195</v>
      </c>
      <c r="C49" s="28"/>
      <c r="D49" s="28"/>
      <c r="E49" s="26" t="s">
        <v>103</v>
      </c>
      <c r="F49" s="28"/>
      <c r="G49" s="56" cm="1">
        <f t="array" aca="1" ref="G49" ca="1">_xll.VoseOutput("Gap, design 3","mm")+Gap_3</f>
        <v>0.23394544112496618</v>
      </c>
      <c r="H49" s="28"/>
      <c r="I49" s="28"/>
      <c r="J49" s="28"/>
      <c r="K49" s="28"/>
      <c r="L49" s="26" t="s">
        <v>196</v>
      </c>
    </row>
    <row r="50" spans="2:12" ht="8" customHeight="1" x14ac:dyDescent="0.45"/>
    <row r="51" spans="2:12" ht="22.05" customHeight="1" x14ac:dyDescent="0.5">
      <c r="B51" s="7" t="s">
        <v>197</v>
      </c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2:12" ht="18" customHeight="1" x14ac:dyDescent="0.45">
      <c r="B52" s="13" t="s">
        <v>198</v>
      </c>
    </row>
    <row r="53" spans="2:12" x14ac:dyDescent="0.45">
      <c r="B53" s="25" t="s">
        <v>199</v>
      </c>
      <c r="C53" s="28"/>
      <c r="D53" s="28"/>
      <c r="E53" s="28"/>
      <c r="F53" s="28"/>
      <c r="G53" s="57" t="str">
        <f>IF(LSL&lt;USL,"OK","CHECK")</f>
        <v>OK</v>
      </c>
      <c r="H53" s="28"/>
      <c r="I53" s="28"/>
      <c r="J53" s="28"/>
      <c r="K53" s="28"/>
      <c r="L53" s="28"/>
    </row>
    <row r="54" spans="2:12" x14ac:dyDescent="0.45">
      <c r="B54" s="25" t="s">
        <v>200</v>
      </c>
      <c r="C54" s="28"/>
      <c r="D54" s="28"/>
      <c r="E54" s="28"/>
      <c r="F54" s="28"/>
      <c r="G54" s="57" t="str">
        <f>IF(AND(GapNom&gt;LSL,GapNom&lt;USL),"OK","CHECK")</f>
        <v>OK</v>
      </c>
      <c r="H54" s="28"/>
      <c r="I54" s="28"/>
      <c r="J54" s="28"/>
      <c r="K54" s="28"/>
      <c r="L54" s="28"/>
    </row>
    <row r="55" spans="2:12" ht="14" customHeight="1" x14ac:dyDescent="0.45"/>
  </sheetData>
  <conditionalFormatting sqref="G53:G54">
    <cfRule type="expression" dxfId="4" priority="1">
      <formula>G53="CHECK"</formula>
    </cfRule>
  </conditionalFormatting>
  <hyperlinks>
    <hyperlink ref="B4" location="'Inputs'!A1" display="◂  Inputs" xr:uid="{00000000-0004-0000-0200-000000000000}"/>
    <hyperlink ref="L4" location="'Results'!A1" display="Next:  Results  ▸" xr:uid="{00000000-0004-0000-0200-000001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5803D"/>
    <outlinePr summaryBelow="0"/>
    <pageSetUpPr fitToPage="1"/>
  </sheetPr>
  <dimension ref="A1:R229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201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202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58" t="str" cm="1">
        <f t="array" aca="1" ref="B6" ca="1">IF(ISNUMBER(_xll.VoseSimMean(Out_Gap_1)),"✔  Showing results of the last simulation run in this Excel session. Re-run the simulation after changing any input.","▶  No simulation results yet. On the ModelRisk ribbon, start a simulation — this sheet then fills in automatically.")</f>
        <v>✔  Showing results of the last simulation run in this Excel session. Re-run the simulation after changing any input.</v>
      </c>
      <c r="C6" s="59"/>
      <c r="D6" s="59"/>
      <c r="E6" s="59"/>
      <c r="F6" s="59"/>
      <c r="G6" s="59"/>
    </row>
    <row r="7" spans="1:18" x14ac:dyDescent="0.45">
      <c r="B7" s="45" t="str">
        <f>IF(COUNTIF(Checks,"CHECK")=0,"✔  All model checks read OK.","✗  "&amp;COUNTIF(Checks,"CHECK")&amp;" model check(s) read CHECK: see Model checks at the end of the calculation sheet.")</f>
        <v>✔  All model checks read OK.</v>
      </c>
    </row>
    <row r="8" spans="1:18" ht="8" customHeight="1" x14ac:dyDescent="0.45"/>
    <row r="9" spans="1:18" ht="22.05" customHeight="1" x14ac:dyDescent="0.5">
      <c r="B9" s="7" t="s">
        <v>203</v>
      </c>
      <c r="C9" s="8"/>
      <c r="D9" s="8"/>
      <c r="E9" s="8"/>
      <c r="F9" s="8"/>
      <c r="G9" s="8"/>
      <c r="I9" s="60" t="s">
        <v>204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205</v>
      </c>
    </row>
    <row r="11" spans="1:18" ht="18" customHeight="1" x14ac:dyDescent="0.45">
      <c r="B11" s="61" t="s">
        <v>206</v>
      </c>
      <c r="C11" s="62" t="s">
        <v>207</v>
      </c>
      <c r="D11" s="62" t="s">
        <v>208</v>
      </c>
      <c r="E11" s="62" t="s">
        <v>61</v>
      </c>
      <c r="F11" s="62" t="s">
        <v>63</v>
      </c>
      <c r="G11" s="62" t="s">
        <v>209</v>
      </c>
    </row>
    <row r="12" spans="1:18" x14ac:dyDescent="0.45">
      <c r="B12" s="35"/>
      <c r="C12" s="35" t="s">
        <v>103</v>
      </c>
      <c r="D12" s="35" t="s">
        <v>103</v>
      </c>
      <c r="E12" s="35"/>
      <c r="F12" s="35"/>
      <c r="G12" s="35" t="s">
        <v>178</v>
      </c>
    </row>
    <row r="13" spans="1:18" x14ac:dyDescent="0.45">
      <c r="B13" s="63" t="s">
        <v>210</v>
      </c>
      <c r="C13" s="38">
        <f>WC_Lo</f>
        <v>7.2164496600635175E-16</v>
      </c>
      <c r="D13" s="38">
        <f>WC_Hi</f>
        <v>0.60000000000000075</v>
      </c>
      <c r="E13" s="64" t="s">
        <v>211</v>
      </c>
      <c r="F13" s="64" t="s">
        <v>211</v>
      </c>
      <c r="G13" s="64" t="s">
        <v>211</v>
      </c>
    </row>
    <row r="14" spans="1:18" x14ac:dyDescent="0.45">
      <c r="B14" s="63" t="s">
        <v>212</v>
      </c>
      <c r="C14" s="38">
        <f>RSS_Lo</f>
        <v>0.15787329596448174</v>
      </c>
      <c r="D14" s="38">
        <f>RSS_Hi</f>
        <v>0.44212670403551968</v>
      </c>
      <c r="E14" s="49">
        <f>(USL-LSL)/(6*RSS_SD)</f>
        <v>1.0553963170954379</v>
      </c>
      <c r="F14" s="49">
        <f>RSS_Cpk</f>
        <v>1.0553963170954328</v>
      </c>
      <c r="G14" s="50">
        <f>RSS_PPM</f>
        <v>1544.5043095669853</v>
      </c>
    </row>
    <row r="15" spans="1:18" x14ac:dyDescent="0.45">
      <c r="B15" s="65" t="s">
        <v>213</v>
      </c>
      <c r="C15" s="66" cm="1">
        <f t="array" aca="1" ref="C15" ca="1">_xll.VoseSimPercentile(Out_Gap_1,0.00135)</f>
        <v>0.12463035656142907</v>
      </c>
      <c r="D15" s="66" cm="1">
        <f t="array" aca="1" ref="D15" ca="1">_xll.VoseSimPercentile(Out_Gap_1,0.99865)</f>
        <v>0.43970208640401864</v>
      </c>
      <c r="E15" s="67" cm="1">
        <f t="array" aca="1" ref="E15" ca="1">_xll.VoseSixSigmaCp(Out_Gap_1,LSL,USL)</f>
        <v>0.90364748558321673</v>
      </c>
      <c r="F15" s="67" cm="1">
        <f t="array" aca="1" ref="F15" ca="1">_xll.VoseSixSigmaCpk(Out_Gap_1,LSL,USL)</f>
        <v>0.78630929126534366</v>
      </c>
      <c r="G15" s="68" cm="1">
        <f t="array" aca="1" ref="G15" ca="1">_xll.VoseSixSigmaDefectPPM(Out_Gap_1,LSL,USL)</f>
        <v>8799.1200879912194</v>
      </c>
    </row>
    <row r="16" spans="1:18" x14ac:dyDescent="0.45">
      <c r="B16" s="25" t="s">
        <v>214</v>
      </c>
      <c r="C16" s="66" cm="1">
        <f t="array" aca="1" ref="C16" ca="1">_xll.VoseSimPercentile(Out_Gap_2,0.00135)</f>
        <v>0.1340069276333864</v>
      </c>
      <c r="D16" s="66" cm="1">
        <f t="array" aca="1" ref="D16" ca="1">_xll.VoseSimPercentile(Out_Gap_2,0.99865)</f>
        <v>0.42077881139336881</v>
      </c>
      <c r="E16" s="67" cm="1">
        <f t="array" aca="1" ref="E16" ca="1">_xll.VoseSixSigmaCp(Out_Gap_2,LSL,USL)</f>
        <v>1.0571407828240647</v>
      </c>
      <c r="F16" s="67" cm="1">
        <f t="array" aca="1" ref="F16" ca="1">_xll.VoseSixSigmaCpk(Out_Gap_2,LSL,USL)</f>
        <v>0.91739794462650492</v>
      </c>
      <c r="G16" s="68" cm="1">
        <f t="array" aca="1" ref="G16" ca="1">_xll.VoseSixSigmaDefectPPM(Out_Gap_2,LSL,USL)</f>
        <v>3699.6300369962487</v>
      </c>
    </row>
    <row r="17" spans="2:18" x14ac:dyDescent="0.45">
      <c r="B17" s="25" t="s">
        <v>215</v>
      </c>
      <c r="C17" s="66" cm="1">
        <f t="array" aca="1" ref="C17" ca="1">_xll.VoseSimPercentile(Out_Gap_3,0.00135)</f>
        <v>0.15589667597711099</v>
      </c>
      <c r="D17" s="66" cm="1">
        <f t="array" aca="1" ref="D17" ca="1">_xll.VoseSimPercentile(Out_Gap_3,0.99865)</f>
        <v>0.44084357398972074</v>
      </c>
      <c r="E17" s="67" cm="1">
        <f t="array" aca="1" ref="E17" ca="1">_xll.VoseSixSigmaCp(Out_Gap_3,LSL,USL)</f>
        <v>1.0560881681704053</v>
      </c>
      <c r="F17" s="67" cm="1">
        <f t="array" aca="1" ref="F17" ca="1">_xll.VoseSixSigmaCpk(Out_Gap_3,LSL,USL)</f>
        <v>1.0555896847516508</v>
      </c>
      <c r="G17" s="68" cm="1">
        <f t="array" aca="1" ref="G17" ca="1">_xll.VoseSixSigmaDefectPPM(Out_Gap_3,LSL,USL)</f>
        <v>1399.8600139984997</v>
      </c>
    </row>
    <row r="18" spans="2:18" ht="28.05" customHeight="1" x14ac:dyDescent="0.45">
      <c r="B18" s="77" t="str">
        <f>"Low and high: for the methods, worst case and ±3 standard deviations; for the simulation, the 0.135th and 99.865th percentiles (the same ±3σ coverage). Specification: "&amp;TEXT(LSL,"0.00")&amp;" to "&amp;TEXT(USL,"0.00")&amp;" mm."</f>
        <v>Low and high: for the methods, worst case and ±3 standard deviations; for the simulation, the 0.135th and 99.865th percentiles (the same ±3σ coverage). Specification: 0.15 to 0.45 mm.</v>
      </c>
      <c r="C18" s="75"/>
      <c r="D18" s="75"/>
      <c r="E18" s="75"/>
      <c r="F18" s="75"/>
      <c r="G18" s="75"/>
    </row>
    <row r="19" spans="2:18" ht="8" customHeight="1" x14ac:dyDescent="0.45"/>
    <row r="20" spans="2:18" ht="22.05" customHeight="1" x14ac:dyDescent="0.5">
      <c r="B20" s="7" t="s">
        <v>216</v>
      </c>
      <c r="C20" s="8"/>
      <c r="D20" s="8"/>
      <c r="E20" s="8"/>
      <c r="F20" s="8"/>
      <c r="G20" s="8"/>
    </row>
    <row r="21" spans="2:18" ht="18" customHeight="1" x14ac:dyDescent="0.45">
      <c r="B21" s="13" t="s">
        <v>181</v>
      </c>
    </row>
    <row r="22" spans="2:18" ht="18" customHeight="1" x14ac:dyDescent="0.45">
      <c r="B22" s="61" t="s">
        <v>134</v>
      </c>
      <c r="C22" s="62" t="s">
        <v>139</v>
      </c>
      <c r="D22" s="62" t="s">
        <v>183</v>
      </c>
      <c r="E22" s="5"/>
      <c r="F22" s="5"/>
      <c r="G22" s="5"/>
    </row>
    <row r="23" spans="2:18" x14ac:dyDescent="0.45">
      <c r="B23" s="35"/>
      <c r="C23" s="35" t="s">
        <v>103</v>
      </c>
      <c r="D23" s="35" t="s">
        <v>185</v>
      </c>
    </row>
    <row r="24" spans="2:18" x14ac:dyDescent="0.45">
      <c r="B24" s="65" t="s">
        <v>144</v>
      </c>
      <c r="C24" s="39">
        <f>SD_H</f>
        <v>3.3333333333333333E-2</v>
      </c>
      <c r="D24" s="53">
        <f>Share_H</f>
        <v>0.36496350364963503</v>
      </c>
      <c r="E24" s="28"/>
      <c r="F24" s="28"/>
      <c r="G24" s="28"/>
      <c r="I24" s="60" t="s">
        <v>217</v>
      </c>
      <c r="J24" s="8"/>
      <c r="K24" s="8"/>
      <c r="L24" s="8"/>
      <c r="M24" s="8"/>
      <c r="N24" s="8"/>
      <c r="O24" s="8"/>
      <c r="P24" s="8"/>
      <c r="Q24" s="8"/>
      <c r="R24" s="8"/>
    </row>
    <row r="25" spans="2:18" x14ac:dyDescent="0.45">
      <c r="B25" s="25" t="s">
        <v>147</v>
      </c>
      <c r="C25" s="39">
        <f>SD_A</f>
        <v>1.6666666666666666E-2</v>
      </c>
      <c r="D25" s="53">
        <f>Share_A</f>
        <v>9.1240875912408759E-2</v>
      </c>
      <c r="E25" s="28"/>
      <c r="F25" s="28"/>
      <c r="G25" s="28"/>
    </row>
    <row r="26" spans="2:18" x14ac:dyDescent="0.45">
      <c r="B26" s="65" t="s">
        <v>149</v>
      </c>
      <c r="C26" s="39">
        <f>SD_B</f>
        <v>3.4641016151377546E-2</v>
      </c>
      <c r="D26" s="53">
        <f>Share_B</f>
        <v>0.39416058394160586</v>
      </c>
      <c r="E26" s="28"/>
      <c r="F26" s="28"/>
      <c r="G26" s="28"/>
    </row>
    <row r="27" spans="2:18" x14ac:dyDescent="0.45">
      <c r="B27" s="25" t="s">
        <v>152</v>
      </c>
      <c r="C27" s="39">
        <f>SD_G</f>
        <v>1.6666666666666666E-2</v>
      </c>
      <c r="D27" s="53">
        <f>Share_G</f>
        <v>9.1240875912408759E-2</v>
      </c>
      <c r="E27" s="28"/>
      <c r="F27" s="28"/>
      <c r="G27" s="28"/>
    </row>
    <row r="28" spans="2:18" x14ac:dyDescent="0.45">
      <c r="B28" s="25" t="s">
        <v>153</v>
      </c>
      <c r="C28" s="39">
        <f>SD_S</f>
        <v>1.3333333333333334E-2</v>
      </c>
      <c r="D28" s="53">
        <f>Share_S</f>
        <v>5.8394160583941611E-2</v>
      </c>
      <c r="E28" s="28"/>
      <c r="F28" s="28"/>
      <c r="G28" s="28"/>
    </row>
    <row r="29" spans="2:18" ht="8" customHeight="1" x14ac:dyDescent="0.45"/>
    <row r="40" spans="2:7" ht="22.05" customHeight="1" x14ac:dyDescent="0.5">
      <c r="B40" s="7" t="s">
        <v>218</v>
      </c>
      <c r="C40" s="8"/>
      <c r="D40" s="8"/>
      <c r="E40" s="8"/>
      <c r="F40" s="8"/>
      <c r="G40" s="8"/>
    </row>
    <row r="41" spans="2:7" ht="32" customHeight="1" x14ac:dyDescent="0.45">
      <c r="B41" s="74" t="s">
        <v>219</v>
      </c>
      <c r="C41" s="75"/>
      <c r="D41" s="75"/>
      <c r="E41" s="75"/>
      <c r="F41" s="75"/>
      <c r="G41" s="75"/>
    </row>
    <row r="42" spans="2:7" ht="45" customHeight="1" x14ac:dyDescent="0.45">
      <c r="B42" s="74" t="s">
        <v>220</v>
      </c>
      <c r="C42" s="75"/>
      <c r="D42" s="75"/>
      <c r="E42" s="75"/>
      <c r="F42" s="75"/>
      <c r="G42" s="75"/>
    </row>
    <row r="43" spans="2:7" ht="45" customHeight="1" x14ac:dyDescent="0.45">
      <c r="B43" s="74" t="s">
        <v>221</v>
      </c>
      <c r="C43" s="75"/>
      <c r="D43" s="75"/>
      <c r="E43" s="75"/>
      <c r="F43" s="75"/>
      <c r="G43" s="75"/>
    </row>
    <row r="44" spans="2:7" ht="32" customHeight="1" x14ac:dyDescent="0.45">
      <c r="B44" s="74" t="s">
        <v>222</v>
      </c>
      <c r="C44" s="75"/>
      <c r="D44" s="75"/>
      <c r="E44" s="75"/>
      <c r="F44" s="75"/>
      <c r="G44" s="75"/>
    </row>
    <row r="45" spans="2:7" ht="14" customHeight="1" x14ac:dyDescent="0.45"/>
    <row r="46" spans="2:7" ht="14" customHeight="1" x14ac:dyDescent="0.45"/>
    <row r="47" spans="2:7" ht="22.05" customHeight="1" x14ac:dyDescent="0.5">
      <c r="B47" s="7" t="s">
        <v>223</v>
      </c>
      <c r="C47" s="8"/>
      <c r="D47" s="8"/>
      <c r="E47" s="8"/>
      <c r="F47" s="8"/>
      <c r="G47" s="8"/>
    </row>
    <row r="48" spans="2:7" ht="18" customHeight="1" x14ac:dyDescent="0.45">
      <c r="B48" s="13" t="s">
        <v>224</v>
      </c>
    </row>
    <row r="49" spans="2:8" ht="28.05" hidden="1" customHeight="1" outlineLevel="1" x14ac:dyDescent="0.45">
      <c r="B49" s="24" t="s">
        <v>225</v>
      </c>
      <c r="C49" s="24" t="s">
        <v>226</v>
      </c>
      <c r="D49" s="24" t="s">
        <v>227</v>
      </c>
      <c r="E49" s="24" t="s">
        <v>228</v>
      </c>
      <c r="F49" s="24" t="s">
        <v>229</v>
      </c>
      <c r="G49" s="24" t="s">
        <v>230</v>
      </c>
      <c r="H49" s="24" t="s">
        <v>231</v>
      </c>
    </row>
    <row r="50" spans="2:8" hidden="1" outlineLevel="1" x14ac:dyDescent="0.45">
      <c r="B50" s="69">
        <v>0.01</v>
      </c>
      <c r="C50" s="69">
        <f t="shared" ref="C50:C81" si="0">1-B50</f>
        <v>0.99</v>
      </c>
      <c r="D50" s="70" cm="1">
        <f t="array" aca="1" ref="D50" ca="1">IF(ISNUMBER(_xll.VoseSimPercentile(Out_Gap_1,$B50)),_xll.VoseSimPercentile(Out_Gap_1,$B50),NA())</f>
        <v>0.15570005390380004</v>
      </c>
      <c r="E50" s="70" cm="1">
        <f t="array" aca="1" ref="E50" ca="1">IF(ISNUMBER(_xll.VoseSimPercentile(Out_Gap_2,$B50)),_xll.VoseSimPercentile(Out_Gap_2,$B50),NA())</f>
        <v>0.16934776100030291</v>
      </c>
      <c r="F50" s="70" cm="1">
        <f t="array" aca="1" ref="F50" ca="1">IF(ISNUMBER(_xll.VoseSimPercentile(Out_Gap_3,$B50)),_xll.VoseSimPercentile(Out_Gap_3,$B50),NA())</f>
        <v>0.18914640909343916</v>
      </c>
      <c r="G50" s="70">
        <f t="shared" ref="G50:G81" si="1">LSL</f>
        <v>0.15</v>
      </c>
      <c r="H50" s="70">
        <f t="shared" ref="H50:H81" si="2">USL</f>
        <v>0.45</v>
      </c>
    </row>
    <row r="51" spans="2:8" hidden="1" outlineLevel="1" x14ac:dyDescent="0.45">
      <c r="B51" s="69">
        <v>0.03</v>
      </c>
      <c r="C51" s="69">
        <f t="shared" si="0"/>
        <v>0.97</v>
      </c>
      <c r="D51" s="70" cm="1">
        <f t="array" aca="1" ref="D51" ca="1">IF(ISNUMBER(_xll.VoseSimPercentile(Out_Gap_1,$B51)),_xll.VoseSimPercentile(Out_Gap_1,$B51),NA())</f>
        <v>0.17794617274786972</v>
      </c>
      <c r="E51" s="70" cm="1">
        <f t="array" aca="1" ref="E51" ca="1">IF(ISNUMBER(_xll.VoseSimPercentile(Out_Gap_2,$B51)),_xll.VoseSimPercentile(Out_Gap_2,$B51),NA())</f>
        <v>0.19300777610156672</v>
      </c>
      <c r="F51" s="70" cm="1">
        <f t="array" aca="1" ref="F51" ca="1">IF(ISNUMBER(_xll.VoseSimPercentile(Out_Gap_3,$B51)),_xll.VoseSimPercentile(Out_Gap_3,$B51),NA())</f>
        <v>0.20901657056575829</v>
      </c>
      <c r="G51" s="70">
        <f t="shared" si="1"/>
        <v>0.15</v>
      </c>
      <c r="H51" s="70">
        <f t="shared" si="2"/>
        <v>0.45</v>
      </c>
    </row>
    <row r="52" spans="2:8" hidden="1" outlineLevel="1" x14ac:dyDescent="0.45">
      <c r="B52" s="69">
        <v>0.05</v>
      </c>
      <c r="C52" s="69">
        <f t="shared" si="0"/>
        <v>0.95</v>
      </c>
      <c r="D52" s="70" cm="1">
        <f t="array" aca="1" ref="D52" ca="1">IF(ISNUMBER(_xll.VoseSimPercentile(Out_Gap_1,$B52)),_xll.VoseSimPercentile(Out_Gap_1,$B52),NA())</f>
        <v>0.19054445325190628</v>
      </c>
      <c r="E52" s="70" cm="1">
        <f t="array" aca="1" ref="E52" ca="1">IF(ISNUMBER(_xll.VoseSimPercentile(Out_Gap_2,$B52)),_xll.VoseSimPercentile(Out_Gap_2,$B52),NA())</f>
        <v>0.20312040723642966</v>
      </c>
      <c r="F52" s="70" cm="1">
        <f t="array" aca="1" ref="F52" ca="1">IF(ISNUMBER(_xll.VoseSimPercentile(Out_Gap_3,$B52)),_xll.VoseSimPercentile(Out_Gap_3,$B52),NA())</f>
        <v>0.22170241708039029</v>
      </c>
      <c r="G52" s="70">
        <f t="shared" si="1"/>
        <v>0.15</v>
      </c>
      <c r="H52" s="70">
        <f t="shared" si="2"/>
        <v>0.45</v>
      </c>
    </row>
    <row r="53" spans="2:8" hidden="1" outlineLevel="1" x14ac:dyDescent="0.45">
      <c r="B53" s="69">
        <v>7.0000000000000007E-2</v>
      </c>
      <c r="C53" s="69">
        <f t="shared" si="0"/>
        <v>0.92999999999999994</v>
      </c>
      <c r="D53" s="70" cm="1">
        <f t="array" aca="1" ref="D53" ca="1">IF(ISNUMBER(_xll.VoseSimPercentile(Out_Gap_1,$B53)),_xll.VoseSimPercentile(Out_Gap_1,$B53),NA())</f>
        <v>0.19906723145664529</v>
      </c>
      <c r="E53" s="70" cm="1">
        <f t="array" aca="1" ref="E53" ca="1">IF(ISNUMBER(_xll.VoseSimPercentile(Out_Gap_2,$B53)),_xll.VoseSimPercentile(Out_Gap_2,$B53),NA())</f>
        <v>0.21064225694211558</v>
      </c>
      <c r="F53" s="70" cm="1">
        <f t="array" aca="1" ref="F53" ca="1">IF(ISNUMBER(_xll.VoseSimPercentile(Out_Gap_3,$B53)),_xll.VoseSimPercentile(Out_Gap_3,$B53),NA())</f>
        <v>0.22978855597198233</v>
      </c>
      <c r="G53" s="70">
        <f t="shared" si="1"/>
        <v>0.15</v>
      </c>
      <c r="H53" s="70">
        <f t="shared" si="2"/>
        <v>0.45</v>
      </c>
    </row>
    <row r="54" spans="2:8" hidden="1" outlineLevel="1" x14ac:dyDescent="0.45">
      <c r="B54" s="69">
        <v>0.09</v>
      </c>
      <c r="C54" s="69">
        <f t="shared" si="0"/>
        <v>0.91</v>
      </c>
      <c r="D54" s="70" cm="1">
        <f t="array" aca="1" ref="D54" ca="1">IF(ISNUMBER(_xll.VoseSimPercentile(Out_Gap_1,$B54)),_xll.VoseSimPercentile(Out_Gap_1,$B54),NA())</f>
        <v>0.20639182101515985</v>
      </c>
      <c r="E54" s="70" cm="1">
        <f t="array" aca="1" ref="E54" ca="1">IF(ISNUMBER(_xll.VoseSimPercentile(Out_Gap_2,$B54)),_xll.VoseSimPercentile(Out_Gap_2,$B54),NA())</f>
        <v>0.21668888859019475</v>
      </c>
      <c r="F54" s="70" cm="1">
        <f t="array" aca="1" ref="F54" ca="1">IF(ISNUMBER(_xll.VoseSimPercentile(Out_Gap_3,$B54)),_xll.VoseSimPercentile(Out_Gap_3,$B54),NA())</f>
        <v>0.23634684413796947</v>
      </c>
      <c r="G54" s="70">
        <f t="shared" si="1"/>
        <v>0.15</v>
      </c>
      <c r="H54" s="70">
        <f t="shared" si="2"/>
        <v>0.45</v>
      </c>
    </row>
    <row r="55" spans="2:8" hidden="1" outlineLevel="1" x14ac:dyDescent="0.45">
      <c r="B55" s="69">
        <v>0.11</v>
      </c>
      <c r="C55" s="69">
        <f t="shared" si="0"/>
        <v>0.89</v>
      </c>
      <c r="D55" s="70" cm="1">
        <f t="array" aca="1" ref="D55" ca="1">IF(ISNUMBER(_xll.VoseSimPercentile(Out_Gap_1,$B55)),_xll.VoseSimPercentile(Out_Gap_1,$B55),NA())</f>
        <v>0.21214053329244464</v>
      </c>
      <c r="E55" s="70" cm="1">
        <f t="array" aca="1" ref="E55" ca="1">IF(ISNUMBER(_xll.VoseSimPercentile(Out_Gap_2,$B55)),_xll.VoseSimPercentile(Out_Gap_2,$B55),NA())</f>
        <v>0.2225299154444258</v>
      </c>
      <c r="F55" s="70" cm="1">
        <f t="array" aca="1" ref="F55" ca="1">IF(ISNUMBER(_xll.VoseSimPercentile(Out_Gap_3,$B55)),_xll.VoseSimPercentile(Out_Gap_3,$B55),NA())</f>
        <v>0.24176212916164275</v>
      </c>
      <c r="G55" s="70">
        <f t="shared" si="1"/>
        <v>0.15</v>
      </c>
      <c r="H55" s="70">
        <f t="shared" si="2"/>
        <v>0.45</v>
      </c>
    </row>
    <row r="56" spans="2:8" hidden="1" outlineLevel="1" x14ac:dyDescent="0.45">
      <c r="B56" s="69">
        <v>0.13</v>
      </c>
      <c r="C56" s="69">
        <f t="shared" si="0"/>
        <v>0.87</v>
      </c>
      <c r="D56" s="70" cm="1">
        <f t="array" aca="1" ref="D56" ca="1">IF(ISNUMBER(_xll.VoseSimPercentile(Out_Gap_1,$B56)),_xll.VoseSimPercentile(Out_Gap_1,$B56),NA())</f>
        <v>0.2173352551255654</v>
      </c>
      <c r="E56" s="70" cm="1">
        <f t="array" aca="1" ref="E56" ca="1">IF(ISNUMBER(_xll.VoseSimPercentile(Out_Gap_2,$B56)),_xll.VoseSimPercentile(Out_Gap_2,$B56),NA())</f>
        <v>0.22713624528611476</v>
      </c>
      <c r="F56" s="70" cm="1">
        <f t="array" aca="1" ref="F56" ca="1">IF(ISNUMBER(_xll.VoseSimPercentile(Out_Gap_3,$B56)),_xll.VoseSimPercentile(Out_Gap_3,$B56),NA())</f>
        <v>0.2466859504464658</v>
      </c>
      <c r="G56" s="70">
        <f t="shared" si="1"/>
        <v>0.15</v>
      </c>
      <c r="H56" s="70">
        <f t="shared" si="2"/>
        <v>0.45</v>
      </c>
    </row>
    <row r="57" spans="2:8" hidden="1" outlineLevel="1" x14ac:dyDescent="0.45">
      <c r="B57" s="69">
        <v>0.15</v>
      </c>
      <c r="C57" s="69">
        <f t="shared" si="0"/>
        <v>0.85</v>
      </c>
      <c r="D57" s="70" cm="1">
        <f t="array" aca="1" ref="D57" ca="1">IF(ISNUMBER(_xll.VoseSimPercentile(Out_Gap_1,$B57)),_xll.VoseSimPercentile(Out_Gap_1,$B57),NA())</f>
        <v>0.22184035848741956</v>
      </c>
      <c r="E57" s="70" cm="1">
        <f t="array" aca="1" ref="E57" ca="1">IF(ISNUMBER(_xll.VoseSimPercentile(Out_Gap_2,$B57)),_xll.VoseSimPercentile(Out_Gap_2,$B57),NA())</f>
        <v>0.23124175143248138</v>
      </c>
      <c r="F57" s="70" cm="1">
        <f t="array" aca="1" ref="F57" ca="1">IF(ISNUMBER(_xll.VoseSimPercentile(Out_Gap_3,$B57)),_xll.VoseSimPercentile(Out_Gap_3,$B57),NA())</f>
        <v>0.25074996796580251</v>
      </c>
      <c r="G57" s="70">
        <f t="shared" si="1"/>
        <v>0.15</v>
      </c>
      <c r="H57" s="70">
        <f t="shared" si="2"/>
        <v>0.45</v>
      </c>
    </row>
    <row r="58" spans="2:8" hidden="1" outlineLevel="1" x14ac:dyDescent="0.45">
      <c r="B58" s="69">
        <v>0.17</v>
      </c>
      <c r="C58" s="69">
        <f t="shared" si="0"/>
        <v>0.83</v>
      </c>
      <c r="D58" s="70" cm="1">
        <f t="array" aca="1" ref="D58" ca="1">IF(ISNUMBER(_xll.VoseSimPercentile(Out_Gap_1,$B58)),_xll.VoseSimPercentile(Out_Gap_1,$B58),NA())</f>
        <v>0.22651134930874406</v>
      </c>
      <c r="E58" s="70" cm="1">
        <f t="array" aca="1" ref="E58" ca="1">IF(ISNUMBER(_xll.VoseSimPercentile(Out_Gap_2,$B58)),_xll.VoseSimPercentile(Out_Gap_2,$B58),NA())</f>
        <v>0.23502745249246004</v>
      </c>
      <c r="F58" s="70" cm="1">
        <f t="array" aca="1" ref="F58" ca="1">IF(ISNUMBER(_xll.VoseSimPercentile(Out_Gap_3,$B58)),_xll.VoseSimPercentile(Out_Gap_3,$B58),NA())</f>
        <v>0.25449179193899951</v>
      </c>
      <c r="G58" s="70">
        <f t="shared" si="1"/>
        <v>0.15</v>
      </c>
      <c r="H58" s="70">
        <f t="shared" si="2"/>
        <v>0.45</v>
      </c>
    </row>
    <row r="59" spans="2:8" hidden="1" outlineLevel="1" x14ac:dyDescent="0.45">
      <c r="B59" s="69">
        <v>0.19</v>
      </c>
      <c r="C59" s="69">
        <f t="shared" si="0"/>
        <v>0.81</v>
      </c>
      <c r="D59" s="70" cm="1">
        <f t="array" aca="1" ref="D59" ca="1">IF(ISNUMBER(_xll.VoseSimPercentile(Out_Gap_1,$B59)),_xll.VoseSimPercentile(Out_Gap_1,$B59),NA())</f>
        <v>0.23080576154852039</v>
      </c>
      <c r="E59" s="70" cm="1">
        <f t="array" aca="1" ref="E59" ca="1">IF(ISNUMBER(_xll.VoseSimPercentile(Out_Gap_2,$B59)),_xll.VoseSimPercentile(Out_Gap_2,$B59),NA())</f>
        <v>0.23839590106685549</v>
      </c>
      <c r="F59" s="70" cm="1">
        <f t="array" aca="1" ref="F59" ca="1">IF(ISNUMBER(_xll.VoseSimPercentile(Out_Gap_3,$B59)),_xll.VoseSimPercentile(Out_Gap_3,$B59),NA())</f>
        <v>0.25826243223625411</v>
      </c>
      <c r="G59" s="70">
        <f t="shared" si="1"/>
        <v>0.15</v>
      </c>
      <c r="H59" s="70">
        <f t="shared" si="2"/>
        <v>0.45</v>
      </c>
    </row>
    <row r="60" spans="2:8" hidden="1" outlineLevel="1" x14ac:dyDescent="0.45">
      <c r="B60" s="69">
        <v>0.21</v>
      </c>
      <c r="C60" s="69">
        <f t="shared" si="0"/>
        <v>0.79</v>
      </c>
      <c r="D60" s="70" cm="1">
        <f t="array" aca="1" ref="D60" ca="1">IF(ISNUMBER(_xll.VoseSimPercentile(Out_Gap_1,$B60)),_xll.VoseSimPercentile(Out_Gap_1,$B60),NA())</f>
        <v>0.23500534970371945</v>
      </c>
      <c r="E60" s="70" cm="1">
        <f t="array" aca="1" ref="E60" ca="1">IF(ISNUMBER(_xll.VoseSimPercentile(Out_Gap_2,$B60)),_xll.VoseSimPercentile(Out_Gap_2,$B60),NA())</f>
        <v>0.24181948984132262</v>
      </c>
      <c r="F60" s="70" cm="1">
        <f t="array" aca="1" ref="F60" ca="1">IF(ISNUMBER(_xll.VoseSimPercentile(Out_Gap_3,$B60)),_xll.VoseSimPercentile(Out_Gap_3,$B60),NA())</f>
        <v>0.26186056419301806</v>
      </c>
      <c r="G60" s="70">
        <f t="shared" si="1"/>
        <v>0.15</v>
      </c>
      <c r="H60" s="70">
        <f t="shared" si="2"/>
        <v>0.45</v>
      </c>
    </row>
    <row r="61" spans="2:8" hidden="1" outlineLevel="1" x14ac:dyDescent="0.45">
      <c r="B61" s="69">
        <v>0.23</v>
      </c>
      <c r="C61" s="69">
        <f t="shared" si="0"/>
        <v>0.77</v>
      </c>
      <c r="D61" s="70" cm="1">
        <f t="array" aca="1" ref="D61" ca="1">IF(ISNUMBER(_xll.VoseSimPercentile(Out_Gap_1,$B61)),_xll.VoseSimPercentile(Out_Gap_1,$B61),NA())</f>
        <v>0.23843537973856499</v>
      </c>
      <c r="E61" s="70" cm="1">
        <f t="array" aca="1" ref="E61" ca="1">IF(ISNUMBER(_xll.VoseSimPercentile(Out_Gap_2,$B61)),_xll.VoseSimPercentile(Out_Gap_2,$B61),NA())</f>
        <v>0.24490986555457894</v>
      </c>
      <c r="F61" s="70" cm="1">
        <f t="array" aca="1" ref="F61" ca="1">IF(ISNUMBER(_xll.VoseSimPercentile(Out_Gap_3,$B61)),_xll.VoseSimPercentile(Out_Gap_3,$B61),NA())</f>
        <v>0.2652430752848467</v>
      </c>
      <c r="G61" s="70">
        <f t="shared" si="1"/>
        <v>0.15</v>
      </c>
      <c r="H61" s="70">
        <f t="shared" si="2"/>
        <v>0.45</v>
      </c>
    </row>
    <row r="62" spans="2:8" hidden="1" outlineLevel="1" x14ac:dyDescent="0.45">
      <c r="B62" s="69">
        <v>0.25</v>
      </c>
      <c r="C62" s="69">
        <f t="shared" si="0"/>
        <v>0.75</v>
      </c>
      <c r="D62" s="70" cm="1">
        <f t="array" aca="1" ref="D62" ca="1">IF(ISNUMBER(_xll.VoseSimPercentile(Out_Gap_1,$B62)),_xll.VoseSimPercentile(Out_Gap_1,$B62),NA())</f>
        <v>0.24206476018296996</v>
      </c>
      <c r="E62" s="70" cm="1">
        <f t="array" aca="1" ref="E62" ca="1">IF(ISNUMBER(_xll.VoseSimPercentile(Out_Gap_2,$B62)),_xll.VoseSimPercentile(Out_Gap_2,$B62),NA())</f>
        <v>0.24819482228127754</v>
      </c>
      <c r="F62" s="70" cm="1">
        <f t="array" aca="1" ref="F62" ca="1">IF(ISNUMBER(_xll.VoseSimPercentile(Out_Gap_3,$B62)),_xll.VoseSimPercentile(Out_Gap_3,$B62),NA())</f>
        <v>0.26813061402337013</v>
      </c>
      <c r="G62" s="70">
        <f t="shared" si="1"/>
        <v>0.15</v>
      </c>
      <c r="H62" s="70">
        <f t="shared" si="2"/>
        <v>0.45</v>
      </c>
    </row>
    <row r="63" spans="2:8" hidden="1" outlineLevel="1" x14ac:dyDescent="0.45">
      <c r="B63" s="69">
        <v>0.27</v>
      </c>
      <c r="C63" s="69">
        <f t="shared" si="0"/>
        <v>0.73</v>
      </c>
      <c r="D63" s="70" cm="1">
        <f t="array" aca="1" ref="D63" ca="1">IF(ISNUMBER(_xll.VoseSimPercentile(Out_Gap_1,$B63)),_xll.VoseSimPercentile(Out_Gap_1,$B63),NA())</f>
        <v>0.24538648441458477</v>
      </c>
      <c r="E63" s="70" cm="1">
        <f t="array" aca="1" ref="E63" ca="1">IF(ISNUMBER(_xll.VoseSimPercentile(Out_Gap_2,$B63)),_xll.VoseSimPercentile(Out_Gap_2,$B63),NA())</f>
        <v>0.25117959590450667</v>
      </c>
      <c r="F63" s="70" cm="1">
        <f t="array" aca="1" ref="F63" ca="1">IF(ISNUMBER(_xll.VoseSimPercentile(Out_Gap_3,$B63)),_xll.VoseSimPercentile(Out_Gap_3,$B63),NA())</f>
        <v>0.27119777971146064</v>
      </c>
      <c r="G63" s="70">
        <f t="shared" si="1"/>
        <v>0.15</v>
      </c>
      <c r="H63" s="70">
        <f t="shared" si="2"/>
        <v>0.45</v>
      </c>
    </row>
    <row r="64" spans="2:8" hidden="1" outlineLevel="1" x14ac:dyDescent="0.45">
      <c r="B64" s="69">
        <v>0.28999999999999998</v>
      </c>
      <c r="C64" s="69">
        <f t="shared" si="0"/>
        <v>0.71</v>
      </c>
      <c r="D64" s="70" cm="1">
        <f t="array" aca="1" ref="D64" ca="1">IF(ISNUMBER(_xll.VoseSimPercentile(Out_Gap_1,$B64)),_xll.VoseSimPercentile(Out_Gap_1,$B64),NA())</f>
        <v>0.24868811996509166</v>
      </c>
      <c r="E64" s="70" cm="1">
        <f t="array" aca="1" ref="E64" ca="1">IF(ISNUMBER(_xll.VoseSimPercentile(Out_Gap_2,$B64)),_xll.VoseSimPercentile(Out_Gap_2,$B64),NA())</f>
        <v>0.25393368613769951</v>
      </c>
      <c r="F64" s="70" cm="1">
        <f t="array" aca="1" ref="F64" ca="1">IF(ISNUMBER(_xll.VoseSimPercentile(Out_Gap_3,$B64)),_xll.VoseSimPercentile(Out_Gap_3,$B64),NA())</f>
        <v>0.27398410293878683</v>
      </c>
      <c r="G64" s="70">
        <f t="shared" si="1"/>
        <v>0.15</v>
      </c>
      <c r="H64" s="70">
        <f t="shared" si="2"/>
        <v>0.45</v>
      </c>
    </row>
    <row r="65" spans="2:8" hidden="1" outlineLevel="1" x14ac:dyDescent="0.45">
      <c r="B65" s="69">
        <v>0.31</v>
      </c>
      <c r="C65" s="69">
        <f t="shared" si="0"/>
        <v>0.69</v>
      </c>
      <c r="D65" s="70" cm="1">
        <f t="array" aca="1" ref="D65" ca="1">IF(ISNUMBER(_xll.VoseSimPercentile(Out_Gap_1,$B65)),_xll.VoseSimPercentile(Out_Gap_1,$B65),NA())</f>
        <v>0.25185202849958088</v>
      </c>
      <c r="E65" s="70" cm="1">
        <f t="array" aca="1" ref="E65" ca="1">IF(ISNUMBER(_xll.VoseSimPercentile(Out_Gap_2,$B65)),_xll.VoseSimPercentile(Out_Gap_2,$B65),NA())</f>
        <v>0.25668262629677585</v>
      </c>
      <c r="F65" s="70" cm="1">
        <f t="array" aca="1" ref="F65" ca="1">IF(ISNUMBER(_xll.VoseSimPercentile(Out_Gap_3,$B65)),_xll.VoseSimPercentile(Out_Gap_3,$B65),NA())</f>
        <v>0.27663978236748932</v>
      </c>
      <c r="G65" s="70">
        <f t="shared" si="1"/>
        <v>0.15</v>
      </c>
      <c r="H65" s="70">
        <f t="shared" si="2"/>
        <v>0.45</v>
      </c>
    </row>
    <row r="66" spans="2:8" hidden="1" outlineLevel="1" x14ac:dyDescent="0.45">
      <c r="B66" s="69">
        <v>0.33</v>
      </c>
      <c r="C66" s="69">
        <f t="shared" si="0"/>
        <v>0.66999999999999993</v>
      </c>
      <c r="D66" s="70" cm="1">
        <f t="array" aca="1" ref="D66" ca="1">IF(ISNUMBER(_xll.VoseSimPercentile(Out_Gap_1,$B66)),_xll.VoseSimPercentile(Out_Gap_1,$B66),NA())</f>
        <v>0.25501150283272267</v>
      </c>
      <c r="E66" s="70" cm="1">
        <f t="array" aca="1" ref="E66" ca="1">IF(ISNUMBER(_xll.VoseSimPercentile(Out_Gap_2,$B66)),_xll.VoseSimPercentile(Out_Gap_2,$B66),NA())</f>
        <v>0.25934842348614495</v>
      </c>
      <c r="F66" s="70" cm="1">
        <f t="array" aca="1" ref="F66" ca="1">IF(ISNUMBER(_xll.VoseSimPercentile(Out_Gap_3,$B66)),_xll.VoseSimPercentile(Out_Gap_3,$B66),NA())</f>
        <v>0.27928144174223135</v>
      </c>
      <c r="G66" s="70">
        <f t="shared" si="1"/>
        <v>0.15</v>
      </c>
      <c r="H66" s="70">
        <f t="shared" si="2"/>
        <v>0.45</v>
      </c>
    </row>
    <row r="67" spans="2:8" hidden="1" outlineLevel="1" x14ac:dyDescent="0.45">
      <c r="B67" s="69">
        <v>0.35</v>
      </c>
      <c r="C67" s="69">
        <f t="shared" si="0"/>
        <v>0.65</v>
      </c>
      <c r="D67" s="70" cm="1">
        <f t="array" aca="1" ref="D67" ca="1">IF(ISNUMBER(_xll.VoseSimPercentile(Out_Gap_1,$B67)),_xll.VoseSimPercentile(Out_Gap_1,$B67),NA())</f>
        <v>0.25815883618289348</v>
      </c>
      <c r="E67" s="70" cm="1">
        <f t="array" aca="1" ref="E67" ca="1">IF(ISNUMBER(_xll.VoseSimPercentile(Out_Gap_2,$B67)),_xll.VoseSimPercentile(Out_Gap_2,$B67),NA())</f>
        <v>0.26193516118135918</v>
      </c>
      <c r="F67" s="70" cm="1">
        <f t="array" aca="1" ref="F67" ca="1">IF(ISNUMBER(_xll.VoseSimPercentile(Out_Gap_3,$B67)),_xll.VoseSimPercentile(Out_Gap_3,$B67),NA())</f>
        <v>0.28196848890106097</v>
      </c>
      <c r="G67" s="70">
        <f t="shared" si="1"/>
        <v>0.15</v>
      </c>
      <c r="H67" s="70">
        <f t="shared" si="2"/>
        <v>0.45</v>
      </c>
    </row>
    <row r="68" spans="2:8" hidden="1" outlineLevel="1" x14ac:dyDescent="0.45">
      <c r="B68" s="69">
        <v>0.37</v>
      </c>
      <c r="C68" s="69">
        <f t="shared" si="0"/>
        <v>0.63</v>
      </c>
      <c r="D68" s="70" cm="1">
        <f t="array" aca="1" ref="D68" ca="1">IF(ISNUMBER(_xll.VoseSimPercentile(Out_Gap_1,$B68)),_xll.VoseSimPercentile(Out_Gap_1,$B68),NA())</f>
        <v>0.26107098210100688</v>
      </c>
      <c r="E68" s="70" cm="1">
        <f t="array" aca="1" ref="E68" ca="1">IF(ISNUMBER(_xll.VoseSimPercentile(Out_Gap_2,$B68)),_xll.VoseSimPercentile(Out_Gap_2,$B68),NA())</f>
        <v>0.26423331901803238</v>
      </c>
      <c r="F68" s="70" cm="1">
        <f t="array" aca="1" ref="F68" ca="1">IF(ISNUMBER(_xll.VoseSimPercentile(Out_Gap_3,$B68)),_xll.VoseSimPercentile(Out_Gap_3,$B68),NA())</f>
        <v>0.28434233408621878</v>
      </c>
      <c r="G68" s="70">
        <f t="shared" si="1"/>
        <v>0.15</v>
      </c>
      <c r="H68" s="70">
        <f t="shared" si="2"/>
        <v>0.45</v>
      </c>
    </row>
    <row r="69" spans="2:8" hidden="1" outlineLevel="1" x14ac:dyDescent="0.45">
      <c r="B69" s="69">
        <v>0.39</v>
      </c>
      <c r="C69" s="69">
        <f t="shared" si="0"/>
        <v>0.61</v>
      </c>
      <c r="D69" s="70" cm="1">
        <f t="array" aca="1" ref="D69" ca="1">IF(ISNUMBER(_xll.VoseSimPercentile(Out_Gap_1,$B69)),_xll.VoseSimPercentile(Out_Gap_1,$B69),NA())</f>
        <v>0.26409155596529033</v>
      </c>
      <c r="E69" s="70" cm="1">
        <f t="array" aca="1" ref="E69" ca="1">IF(ISNUMBER(_xll.VoseSimPercentile(Out_Gap_2,$B69)),_xll.VoseSimPercentile(Out_Gap_2,$B69),NA())</f>
        <v>0.26677977017958199</v>
      </c>
      <c r="F69" s="70" cm="1">
        <f t="array" aca="1" ref="F69" ca="1">IF(ISNUMBER(_xll.VoseSimPercentile(Out_Gap_3,$B69)),_xll.VoseSimPercentile(Out_Gap_3,$B69),NA())</f>
        <v>0.28675486993651944</v>
      </c>
      <c r="G69" s="70">
        <f t="shared" si="1"/>
        <v>0.15</v>
      </c>
      <c r="H69" s="70">
        <f t="shared" si="2"/>
        <v>0.45</v>
      </c>
    </row>
    <row r="70" spans="2:8" hidden="1" outlineLevel="1" x14ac:dyDescent="0.45">
      <c r="B70" s="69">
        <v>0.41</v>
      </c>
      <c r="C70" s="69">
        <f t="shared" si="0"/>
        <v>0.59000000000000008</v>
      </c>
      <c r="D70" s="70" cm="1">
        <f t="array" aca="1" ref="D70" ca="1">IF(ISNUMBER(_xll.VoseSimPercentile(Out_Gap_1,$B70)),_xll.VoseSimPercentile(Out_Gap_1,$B70),NA())</f>
        <v>0.26681058408556879</v>
      </c>
      <c r="E70" s="70" cm="1">
        <f t="array" aca="1" ref="E70" ca="1">IF(ISNUMBER(_xll.VoseSimPercentile(Out_Gap_2,$B70)),_xll.VoseSimPercentile(Out_Gap_2,$B70),NA())</f>
        <v>0.26944434771872849</v>
      </c>
      <c r="F70" s="70" cm="1">
        <f t="array" aca="1" ref="F70" ca="1">IF(ISNUMBER(_xll.VoseSimPercentile(Out_Gap_3,$B70)),_xll.VoseSimPercentile(Out_Gap_3,$B70),NA())</f>
        <v>0.28944367653570779</v>
      </c>
      <c r="G70" s="70">
        <f t="shared" si="1"/>
        <v>0.15</v>
      </c>
      <c r="H70" s="70">
        <f t="shared" si="2"/>
        <v>0.45</v>
      </c>
    </row>
    <row r="71" spans="2:8" hidden="1" outlineLevel="1" x14ac:dyDescent="0.45">
      <c r="B71" s="69">
        <v>0.43</v>
      </c>
      <c r="C71" s="69">
        <f t="shared" si="0"/>
        <v>0.57000000000000006</v>
      </c>
      <c r="D71" s="70" cm="1">
        <f t="array" aca="1" ref="D71" ca="1">IF(ISNUMBER(_xll.VoseSimPercentile(Out_Gap_1,$B71)),_xll.VoseSimPercentile(Out_Gap_1,$B71),NA())</f>
        <v>0.26995031071522035</v>
      </c>
      <c r="E71" s="70" cm="1">
        <f t="array" aca="1" ref="E71" ca="1">IF(ISNUMBER(_xll.VoseSimPercentile(Out_Gap_2,$B71)),_xll.VoseSimPercentile(Out_Gap_2,$B71),NA())</f>
        <v>0.27169285514916552</v>
      </c>
      <c r="F71" s="70" cm="1">
        <f t="array" aca="1" ref="F71" ca="1">IF(ISNUMBER(_xll.VoseSimPercentile(Out_Gap_3,$B71)),_xll.VoseSimPercentile(Out_Gap_3,$B71),NA())</f>
        <v>0.29201746379602866</v>
      </c>
      <c r="G71" s="70">
        <f t="shared" si="1"/>
        <v>0.15</v>
      </c>
      <c r="H71" s="70">
        <f t="shared" si="2"/>
        <v>0.45</v>
      </c>
    </row>
    <row r="72" spans="2:8" hidden="1" outlineLevel="1" x14ac:dyDescent="0.45">
      <c r="B72" s="69">
        <v>0.45</v>
      </c>
      <c r="C72" s="69">
        <f t="shared" si="0"/>
        <v>0.55000000000000004</v>
      </c>
      <c r="D72" s="70" cm="1">
        <f t="array" aca="1" ref="D72" ca="1">IF(ISNUMBER(_xll.VoseSimPercentile(Out_Gap_1,$B72)),_xll.VoseSimPercentile(Out_Gap_1,$B72),NA())</f>
        <v>0.27299350333762717</v>
      </c>
      <c r="E72" s="70" cm="1">
        <f t="array" aca="1" ref="E72" ca="1">IF(ISNUMBER(_xll.VoseSimPercentile(Out_Gap_2,$B72)),_xll.VoseSimPercentile(Out_Gap_2,$B72),NA())</f>
        <v>0.27412680200377437</v>
      </c>
      <c r="F72" s="70" cm="1">
        <f t="array" aca="1" ref="F72" ca="1">IF(ISNUMBER(_xll.VoseSimPercentile(Out_Gap_3,$B72)),_xll.VoseSimPercentile(Out_Gap_3,$B72),NA())</f>
        <v>0.2944747790861868</v>
      </c>
      <c r="G72" s="70">
        <f t="shared" si="1"/>
        <v>0.15</v>
      </c>
      <c r="H72" s="70">
        <f t="shared" si="2"/>
        <v>0.45</v>
      </c>
    </row>
    <row r="73" spans="2:8" hidden="1" outlineLevel="1" x14ac:dyDescent="0.45">
      <c r="B73" s="69">
        <v>0.47</v>
      </c>
      <c r="C73" s="69">
        <f t="shared" si="0"/>
        <v>0.53</v>
      </c>
      <c r="D73" s="70" cm="1">
        <f t="array" aca="1" ref="D73" ca="1">IF(ISNUMBER(_xll.VoseSimPercentile(Out_Gap_1,$B73)),_xll.VoseSimPercentile(Out_Gap_1,$B73),NA())</f>
        <v>0.27594211388382917</v>
      </c>
      <c r="E73" s="70" cm="1">
        <f t="array" aca="1" ref="E73" ca="1">IF(ISNUMBER(_xll.VoseSimPercentile(Out_Gap_2,$B73)),_xll.VoseSimPercentile(Out_Gap_2,$B73),NA())</f>
        <v>0.27671709575615822</v>
      </c>
      <c r="F73" s="70" cm="1">
        <f t="array" aca="1" ref="F73" ca="1">IF(ISNUMBER(_xll.VoseSimPercentile(Out_Gap_3,$B73)),_xll.VoseSimPercentile(Out_Gap_3,$B73),NA())</f>
        <v>0.29677813752547877</v>
      </c>
      <c r="G73" s="70">
        <f t="shared" si="1"/>
        <v>0.15</v>
      </c>
      <c r="H73" s="70">
        <f t="shared" si="2"/>
        <v>0.45</v>
      </c>
    </row>
    <row r="74" spans="2:8" hidden="1" outlineLevel="1" x14ac:dyDescent="0.45">
      <c r="B74" s="69">
        <v>0.49</v>
      </c>
      <c r="C74" s="69">
        <f t="shared" si="0"/>
        <v>0.51</v>
      </c>
      <c r="D74" s="70" cm="1">
        <f t="array" aca="1" ref="D74" ca="1">IF(ISNUMBER(_xll.VoseSimPercentile(Out_Gap_1,$B74)),_xll.VoseSimPercentile(Out_Gap_1,$B74),NA())</f>
        <v>0.27854907580593391</v>
      </c>
      <c r="E74" s="70" cm="1">
        <f t="array" aca="1" ref="E74" ca="1">IF(ISNUMBER(_xll.VoseSimPercentile(Out_Gap_2,$B74)),_xll.VoseSimPercentile(Out_Gap_2,$B74),NA())</f>
        <v>0.27937648019564421</v>
      </c>
      <c r="F74" s="70" cm="1">
        <f t="array" aca="1" ref="F74" ca="1">IF(ISNUMBER(_xll.VoseSimPercentile(Out_Gap_3,$B74)),_xll.VoseSimPercentile(Out_Gap_3,$B74),NA())</f>
        <v>0.2991546901620481</v>
      </c>
      <c r="G74" s="70">
        <f t="shared" si="1"/>
        <v>0.15</v>
      </c>
      <c r="H74" s="70">
        <f t="shared" si="2"/>
        <v>0.45</v>
      </c>
    </row>
    <row r="75" spans="2:8" hidden="1" outlineLevel="1" x14ac:dyDescent="0.45">
      <c r="B75" s="69">
        <v>0.51</v>
      </c>
      <c r="C75" s="69">
        <f t="shared" si="0"/>
        <v>0.49</v>
      </c>
      <c r="D75" s="70" cm="1">
        <f t="array" aca="1" ref="D75" ca="1">IF(ISNUMBER(_xll.VoseSimPercentile(Out_Gap_1,$B75)),_xll.VoseSimPercentile(Out_Gap_1,$B75),NA())</f>
        <v>0.28160443544847169</v>
      </c>
      <c r="E75" s="70" cm="1">
        <f t="array" aca="1" ref="E75" ca="1">IF(ISNUMBER(_xll.VoseSimPercentile(Out_Gap_2,$B75)),_xll.VoseSimPercentile(Out_Gap_2,$B75),NA())</f>
        <v>0.28184193338115904</v>
      </c>
      <c r="F75" s="70" cm="1">
        <f t="array" aca="1" ref="F75" ca="1">IF(ISNUMBER(_xll.VoseSimPercentile(Out_Gap_3,$B75)),_xll.VoseSimPercentile(Out_Gap_3,$B75),NA())</f>
        <v>0.30129640214343212</v>
      </c>
      <c r="G75" s="70">
        <f t="shared" si="1"/>
        <v>0.15</v>
      </c>
      <c r="H75" s="70">
        <f t="shared" si="2"/>
        <v>0.45</v>
      </c>
    </row>
    <row r="76" spans="2:8" hidden="1" outlineLevel="1" x14ac:dyDescent="0.45">
      <c r="B76" s="69">
        <v>0.53</v>
      </c>
      <c r="C76" s="69">
        <f t="shared" si="0"/>
        <v>0.47</v>
      </c>
      <c r="D76" s="70" cm="1">
        <f t="array" aca="1" ref="D76" ca="1">IF(ISNUMBER(_xll.VoseSimPercentile(Out_Gap_1,$B76)),_xll.VoseSimPercentile(Out_Gap_1,$B76),NA())</f>
        <v>0.28448009811029351</v>
      </c>
      <c r="E76" s="70" cm="1">
        <f t="array" aca="1" ref="E76" ca="1">IF(ISNUMBER(_xll.VoseSimPercentile(Out_Gap_2,$B76)),_xll.VoseSimPercentile(Out_Gap_2,$B76),NA())</f>
        <v>0.28387374685958733</v>
      </c>
      <c r="F76" s="70" cm="1">
        <f t="array" aca="1" ref="F76" ca="1">IF(ISNUMBER(_xll.VoseSimPercentile(Out_Gap_3,$B76)),_xll.VoseSimPercentile(Out_Gap_3,$B76),NA())</f>
        <v>0.30369611485011205</v>
      </c>
      <c r="G76" s="70">
        <f t="shared" si="1"/>
        <v>0.15</v>
      </c>
      <c r="H76" s="70">
        <f t="shared" si="2"/>
        <v>0.45</v>
      </c>
    </row>
    <row r="77" spans="2:8" hidden="1" outlineLevel="1" x14ac:dyDescent="0.45">
      <c r="B77" s="69">
        <v>0.55000000000000004</v>
      </c>
      <c r="C77" s="69">
        <f t="shared" si="0"/>
        <v>0.44999999999999996</v>
      </c>
      <c r="D77" s="70" cm="1">
        <f t="array" aca="1" ref="D77" ca="1">IF(ISNUMBER(_xll.VoseSimPercentile(Out_Gap_1,$B77)),_xll.VoseSimPercentile(Out_Gap_1,$B77),NA())</f>
        <v>0.28746739957814782</v>
      </c>
      <c r="E77" s="70" cm="1">
        <f t="array" aca="1" ref="E77" ca="1">IF(ISNUMBER(_xll.VoseSimPercentile(Out_Gap_2,$B77)),_xll.VoseSimPercentile(Out_Gap_2,$B77),NA())</f>
        <v>0.28642094374465188</v>
      </c>
      <c r="F77" s="70" cm="1">
        <f t="array" aca="1" ref="F77" ca="1">IF(ISNUMBER(_xll.VoseSimPercentile(Out_Gap_3,$B77)),_xll.VoseSimPercentile(Out_Gap_3,$B77),NA())</f>
        <v>0.30602351332368016</v>
      </c>
      <c r="G77" s="70">
        <f t="shared" si="1"/>
        <v>0.15</v>
      </c>
      <c r="H77" s="70">
        <f t="shared" si="2"/>
        <v>0.45</v>
      </c>
    </row>
    <row r="78" spans="2:8" hidden="1" outlineLevel="1" x14ac:dyDescent="0.45">
      <c r="B78" s="69">
        <v>0.56999999999999995</v>
      </c>
      <c r="C78" s="69">
        <f t="shared" si="0"/>
        <v>0.43000000000000005</v>
      </c>
      <c r="D78" s="70" cm="1">
        <f t="array" aca="1" ref="D78" ca="1">IF(ISNUMBER(_xll.VoseSimPercentile(Out_Gap_1,$B78)),_xll.VoseSimPercentile(Out_Gap_1,$B78),NA())</f>
        <v>0.29035338291350499</v>
      </c>
      <c r="E78" s="70" cm="1">
        <f t="array" aca="1" ref="E78" ca="1">IF(ISNUMBER(_xll.VoseSimPercentile(Out_Gap_2,$B78)),_xll.VoseSimPercentile(Out_Gap_2,$B78),NA())</f>
        <v>0.2887868064629906</v>
      </c>
      <c r="F78" s="70" cm="1">
        <f t="array" aca="1" ref="F78" ca="1">IF(ISNUMBER(_xll.VoseSimPercentile(Out_Gap_3,$B78)),_xll.VoseSimPercentile(Out_Gap_3,$B78),NA())</f>
        <v>0.30812705673070795</v>
      </c>
      <c r="G78" s="70">
        <f t="shared" si="1"/>
        <v>0.15</v>
      </c>
      <c r="H78" s="70">
        <f t="shared" si="2"/>
        <v>0.45</v>
      </c>
    </row>
    <row r="79" spans="2:8" hidden="1" outlineLevel="1" x14ac:dyDescent="0.45">
      <c r="B79" s="69">
        <v>0.59</v>
      </c>
      <c r="C79" s="69">
        <f t="shared" si="0"/>
        <v>0.41000000000000003</v>
      </c>
      <c r="D79" s="70" cm="1">
        <f t="array" aca="1" ref="D79" ca="1">IF(ISNUMBER(_xll.VoseSimPercentile(Out_Gap_1,$B79)),_xll.VoseSimPercentile(Out_Gap_1,$B79),NA())</f>
        <v>0.29320388536300257</v>
      </c>
      <c r="E79" s="70" cm="1">
        <f t="array" aca="1" ref="E79" ca="1">IF(ISNUMBER(_xll.VoseSimPercentile(Out_Gap_2,$B79)),_xll.VoseSimPercentile(Out_Gap_2,$B79),NA())</f>
        <v>0.29088029932320225</v>
      </c>
      <c r="F79" s="70" cm="1">
        <f t="array" aca="1" ref="F79" ca="1">IF(ISNUMBER(_xll.VoseSimPercentile(Out_Gap_3,$B79)),_xll.VoseSimPercentile(Out_Gap_3,$B79),NA())</f>
        <v>0.31040724291637289</v>
      </c>
      <c r="G79" s="70">
        <f t="shared" si="1"/>
        <v>0.15</v>
      </c>
      <c r="H79" s="70">
        <f t="shared" si="2"/>
        <v>0.45</v>
      </c>
    </row>
    <row r="80" spans="2:8" hidden="1" outlineLevel="1" x14ac:dyDescent="0.45">
      <c r="B80" s="69">
        <v>0.61</v>
      </c>
      <c r="C80" s="69">
        <f t="shared" si="0"/>
        <v>0.39</v>
      </c>
      <c r="D80" s="70" cm="1">
        <f t="array" aca="1" ref="D80" ca="1">IF(ISNUMBER(_xll.VoseSimPercentile(Out_Gap_1,$B80)),_xll.VoseSimPercentile(Out_Gap_1,$B80),NA())</f>
        <v>0.29633175271242607</v>
      </c>
      <c r="E80" s="70" cm="1">
        <f t="array" aca="1" ref="E80" ca="1">IF(ISNUMBER(_xll.VoseSimPercentile(Out_Gap_2,$B80)),_xll.VoseSimPercentile(Out_Gap_2,$B80),NA())</f>
        <v>0.29324073878919776</v>
      </c>
      <c r="F80" s="70" cm="1">
        <f t="array" aca="1" ref="F80" ca="1">IF(ISNUMBER(_xll.VoseSimPercentile(Out_Gap_3,$B80)),_xll.VoseSimPercentile(Out_Gap_3,$B80),NA())</f>
        <v>0.31323895145554204</v>
      </c>
      <c r="G80" s="70">
        <f t="shared" si="1"/>
        <v>0.15</v>
      </c>
      <c r="H80" s="70">
        <f t="shared" si="2"/>
        <v>0.45</v>
      </c>
    </row>
    <row r="81" spans="2:8" hidden="1" outlineLevel="1" x14ac:dyDescent="0.45">
      <c r="B81" s="69">
        <v>0.63</v>
      </c>
      <c r="C81" s="69">
        <f t="shared" si="0"/>
        <v>0.37</v>
      </c>
      <c r="D81" s="70" cm="1">
        <f t="array" aca="1" ref="D81" ca="1">IF(ISNUMBER(_xll.VoseSimPercentile(Out_Gap_1,$B81)),_xll.VoseSimPercentile(Out_Gap_1,$B81),NA())</f>
        <v>0.29959674691899707</v>
      </c>
      <c r="E81" s="70" cm="1">
        <f t="array" aca="1" ref="E81" ca="1">IF(ISNUMBER(_xll.VoseSimPercentile(Out_Gap_2,$B81)),_xll.VoseSimPercentile(Out_Gap_2,$B81),NA())</f>
        <v>0.29551733757904941</v>
      </c>
      <c r="F81" s="70" cm="1">
        <f t="array" aca="1" ref="F81" ca="1">IF(ISNUMBER(_xll.VoseSimPercentile(Out_Gap_3,$B81)),_xll.VoseSimPercentile(Out_Gap_3,$B81),NA())</f>
        <v>0.31580509040740878</v>
      </c>
      <c r="G81" s="70">
        <f t="shared" si="1"/>
        <v>0.15</v>
      </c>
      <c r="H81" s="70">
        <f t="shared" si="2"/>
        <v>0.45</v>
      </c>
    </row>
    <row r="82" spans="2:8" hidden="1" outlineLevel="1" x14ac:dyDescent="0.45">
      <c r="B82" s="69">
        <v>0.65</v>
      </c>
      <c r="C82" s="69">
        <f t="shared" ref="C82:C113" si="3">1-B82</f>
        <v>0.35</v>
      </c>
      <c r="D82" s="70" cm="1">
        <f t="array" aca="1" ref="D82" ca="1">IF(ISNUMBER(_xll.VoseSimPercentile(Out_Gap_1,$B82)),_xll.VoseSimPercentile(Out_Gap_1,$B82),NA())</f>
        <v>0.30259542812192208</v>
      </c>
      <c r="E82" s="70" cm="1">
        <f t="array" aca="1" ref="E82" ca="1">IF(ISNUMBER(_xll.VoseSimPercentile(Out_Gap_2,$B82)),_xll.VoseSimPercentile(Out_Gap_2,$B82),NA())</f>
        <v>0.29827596527887934</v>
      </c>
      <c r="F82" s="70" cm="1">
        <f t="array" aca="1" ref="F82" ca="1">IF(ISNUMBER(_xll.VoseSimPercentile(Out_Gap_3,$B82)),_xll.VoseSimPercentile(Out_Gap_3,$B82),NA())</f>
        <v>0.31821259043734074</v>
      </c>
      <c r="G82" s="70">
        <f t="shared" ref="G82:G99" si="4">LSL</f>
        <v>0.15</v>
      </c>
      <c r="H82" s="70">
        <f t="shared" ref="H82:H99" si="5">USL</f>
        <v>0.45</v>
      </c>
    </row>
    <row r="83" spans="2:8" hidden="1" outlineLevel="1" x14ac:dyDescent="0.45">
      <c r="B83" s="69">
        <v>0.67</v>
      </c>
      <c r="C83" s="69">
        <f t="shared" si="3"/>
        <v>0.32999999999999996</v>
      </c>
      <c r="D83" s="70" cm="1">
        <f t="array" aca="1" ref="D83" ca="1">IF(ISNUMBER(_xll.VoseSimPercentile(Out_Gap_1,$B83)),_xll.VoseSimPercentile(Out_Gap_1,$B83),NA())</f>
        <v>0.30563164272957977</v>
      </c>
      <c r="E83" s="70" cm="1">
        <f t="array" aca="1" ref="E83" ca="1">IF(ISNUMBER(_xll.VoseSimPercentile(Out_Gap_2,$B83)),_xll.VoseSimPercentile(Out_Gap_2,$B83),NA())</f>
        <v>0.3011336628444603</v>
      </c>
      <c r="F83" s="70" cm="1">
        <f t="array" aca="1" ref="F83" ca="1">IF(ISNUMBER(_xll.VoseSimPercentile(Out_Gap_3,$B83)),_xll.VoseSimPercentile(Out_Gap_3,$B83),NA())</f>
        <v>0.32083172459465459</v>
      </c>
      <c r="G83" s="70">
        <f t="shared" si="4"/>
        <v>0.15</v>
      </c>
      <c r="H83" s="70">
        <f t="shared" si="5"/>
        <v>0.45</v>
      </c>
    </row>
    <row r="84" spans="2:8" hidden="1" outlineLevel="1" x14ac:dyDescent="0.45">
      <c r="B84" s="69">
        <v>0.69</v>
      </c>
      <c r="C84" s="69">
        <f t="shared" si="3"/>
        <v>0.31000000000000005</v>
      </c>
      <c r="D84" s="70" cm="1">
        <f t="array" aca="1" ref="D84" ca="1">IF(ISNUMBER(_xll.VoseSimPercentile(Out_Gap_1,$B84)),_xll.VoseSimPercentile(Out_Gap_1,$B84),NA())</f>
        <v>0.30899050911428105</v>
      </c>
      <c r="E84" s="70" cm="1">
        <f t="array" aca="1" ref="E84" ca="1">IF(ISNUMBER(_xll.VoseSimPercentile(Out_Gap_2,$B84)),_xll.VoseSimPercentile(Out_Gap_2,$B84),NA())</f>
        <v>0.30382459360233582</v>
      </c>
      <c r="F84" s="70" cm="1">
        <f t="array" aca="1" ref="F84" ca="1">IF(ISNUMBER(_xll.VoseSimPercentile(Out_Gap_3,$B84)),_xll.VoseSimPercentile(Out_Gap_3,$B84),NA())</f>
        <v>0.3236021564172944</v>
      </c>
      <c r="G84" s="70">
        <f t="shared" si="4"/>
        <v>0.15</v>
      </c>
      <c r="H84" s="70">
        <f t="shared" si="5"/>
        <v>0.45</v>
      </c>
    </row>
    <row r="85" spans="2:8" hidden="1" outlineLevel="1" x14ac:dyDescent="0.45">
      <c r="B85" s="69">
        <v>0.71</v>
      </c>
      <c r="C85" s="69">
        <f t="shared" si="3"/>
        <v>0.29000000000000004</v>
      </c>
      <c r="D85" s="70" cm="1">
        <f t="array" aca="1" ref="D85" ca="1">IF(ISNUMBER(_xll.VoseSimPercentile(Out_Gap_1,$B85)),_xll.VoseSimPercentile(Out_Gap_1,$B85),NA())</f>
        <v>0.31203566072768396</v>
      </c>
      <c r="E85" s="70" cm="1">
        <f t="array" aca="1" ref="E85" ca="1">IF(ISNUMBER(_xll.VoseSimPercentile(Out_Gap_2,$B85)),_xll.VoseSimPercentile(Out_Gap_2,$B85),NA())</f>
        <v>0.30633578286600027</v>
      </c>
      <c r="F85" s="70" cm="1">
        <f t="array" aca="1" ref="F85" ca="1">IF(ISNUMBER(_xll.VoseSimPercentile(Out_Gap_3,$B85)),_xll.VoseSimPercentile(Out_Gap_3,$B85),NA())</f>
        <v>0.32631088913810657</v>
      </c>
      <c r="G85" s="70">
        <f t="shared" si="4"/>
        <v>0.15</v>
      </c>
      <c r="H85" s="70">
        <f t="shared" si="5"/>
        <v>0.45</v>
      </c>
    </row>
    <row r="86" spans="2:8" hidden="1" outlineLevel="1" x14ac:dyDescent="0.45">
      <c r="B86" s="69">
        <v>0.73</v>
      </c>
      <c r="C86" s="69">
        <f t="shared" si="3"/>
        <v>0.27</v>
      </c>
      <c r="D86" s="70" cm="1">
        <f t="array" aca="1" ref="D86" ca="1">IF(ISNUMBER(_xll.VoseSimPercentile(Out_Gap_1,$B86)),_xll.VoseSimPercentile(Out_Gap_1,$B86),NA())</f>
        <v>0.3155568965510227</v>
      </c>
      <c r="E86" s="70" cm="1">
        <f t="array" aca="1" ref="E86" ca="1">IF(ISNUMBER(_xll.VoseSimPercentile(Out_Gap_2,$B86)),_xll.VoseSimPercentile(Out_Gap_2,$B86),NA())</f>
        <v>0.30879047124597747</v>
      </c>
      <c r="F86" s="70" cm="1">
        <f t="array" aca="1" ref="F86" ca="1">IF(ISNUMBER(_xll.VoseSimPercentile(Out_Gap_3,$B86)),_xll.VoseSimPercentile(Out_Gap_3,$B86),NA())</f>
        <v>0.32930608422851293</v>
      </c>
      <c r="G86" s="70">
        <f t="shared" si="4"/>
        <v>0.15</v>
      </c>
      <c r="H86" s="70">
        <f t="shared" si="5"/>
        <v>0.45</v>
      </c>
    </row>
    <row r="87" spans="2:8" hidden="1" outlineLevel="1" x14ac:dyDescent="0.45">
      <c r="B87" s="69">
        <v>0.75</v>
      </c>
      <c r="C87" s="69">
        <f t="shared" si="3"/>
        <v>0.25</v>
      </c>
      <c r="D87" s="70" cm="1">
        <f t="array" aca="1" ref="D87" ca="1">IF(ISNUMBER(_xll.VoseSimPercentile(Out_Gap_1,$B87)),_xll.VoseSimPercentile(Out_Gap_1,$B87),NA())</f>
        <v>0.318793506254476</v>
      </c>
      <c r="E87" s="70" cm="1">
        <f t="array" aca="1" ref="E87" ca="1">IF(ISNUMBER(_xll.VoseSimPercentile(Out_Gap_2,$B87)),_xll.VoseSimPercentile(Out_Gap_2,$B87),NA())</f>
        <v>0.31180605648793502</v>
      </c>
      <c r="F87" s="70" cm="1">
        <f t="array" aca="1" ref="F87" ca="1">IF(ISNUMBER(_xll.VoseSimPercentile(Out_Gap_3,$B87)),_xll.VoseSimPercentile(Out_Gap_3,$B87),NA())</f>
        <v>0.33232808047659645</v>
      </c>
      <c r="G87" s="70">
        <f t="shared" si="4"/>
        <v>0.15</v>
      </c>
      <c r="H87" s="70">
        <f t="shared" si="5"/>
        <v>0.45</v>
      </c>
    </row>
    <row r="88" spans="2:8" hidden="1" outlineLevel="1" x14ac:dyDescent="0.45">
      <c r="B88" s="69">
        <v>0.77</v>
      </c>
      <c r="C88" s="69">
        <f t="shared" si="3"/>
        <v>0.22999999999999998</v>
      </c>
      <c r="D88" s="70" cm="1">
        <f t="array" aca="1" ref="D88" ca="1">IF(ISNUMBER(_xll.VoseSimPercentile(Out_Gap_1,$B88)),_xll.VoseSimPercentile(Out_Gap_1,$B88),NA())</f>
        <v>0.32270569227067014</v>
      </c>
      <c r="E88" s="70" cm="1">
        <f t="array" aca="1" ref="E88" ca="1">IF(ISNUMBER(_xll.VoseSimPercentile(Out_Gap_2,$B88)),_xll.VoseSimPercentile(Out_Gap_2,$B88),NA())</f>
        <v>0.31483390679175827</v>
      </c>
      <c r="F88" s="70" cm="1">
        <f t="array" aca="1" ref="F88" ca="1">IF(ISNUMBER(_xll.VoseSimPercentile(Out_Gap_3,$B88)),_xll.VoseSimPercentile(Out_Gap_3,$B88),NA())</f>
        <v>0.33523340923051492</v>
      </c>
      <c r="G88" s="70">
        <f t="shared" si="4"/>
        <v>0.15</v>
      </c>
      <c r="H88" s="70">
        <f t="shared" si="5"/>
        <v>0.45</v>
      </c>
    </row>
    <row r="89" spans="2:8" hidden="1" outlineLevel="1" x14ac:dyDescent="0.45">
      <c r="B89" s="69">
        <v>0.79</v>
      </c>
      <c r="C89" s="69">
        <f t="shared" si="3"/>
        <v>0.20999999999999996</v>
      </c>
      <c r="D89" s="70" cm="1">
        <f t="array" aca="1" ref="D89" ca="1">IF(ISNUMBER(_xll.VoseSimPercentile(Out_Gap_1,$B89)),_xll.VoseSimPercentile(Out_Gap_1,$B89),NA())</f>
        <v>0.32647383796187412</v>
      </c>
      <c r="E89" s="70" cm="1">
        <f t="array" aca="1" ref="E89" ca="1">IF(ISNUMBER(_xll.VoseSimPercentile(Out_Gap_2,$B89)),_xll.VoseSimPercentile(Out_Gap_2,$B89),NA())</f>
        <v>0.31778360968802843</v>
      </c>
      <c r="F89" s="70" cm="1">
        <f t="array" aca="1" ref="F89" ca="1">IF(ISNUMBER(_xll.VoseSimPercentile(Out_Gap_3,$B89)),_xll.VoseSimPercentile(Out_Gap_3,$B89),NA())</f>
        <v>0.33852537203095778</v>
      </c>
      <c r="G89" s="70">
        <f t="shared" si="4"/>
        <v>0.15</v>
      </c>
      <c r="H89" s="70">
        <f t="shared" si="5"/>
        <v>0.45</v>
      </c>
    </row>
    <row r="90" spans="2:8" hidden="1" outlineLevel="1" x14ac:dyDescent="0.45">
      <c r="B90" s="69">
        <v>0.81</v>
      </c>
      <c r="C90" s="69">
        <f t="shared" si="3"/>
        <v>0.18999999999999995</v>
      </c>
      <c r="D90" s="70" cm="1">
        <f t="array" aca="1" ref="D90" ca="1">IF(ISNUMBER(_xll.VoseSimPercentile(Out_Gap_1,$B90)),_xll.VoseSimPercentile(Out_Gap_1,$B90),NA())</f>
        <v>0.33041419023144769</v>
      </c>
      <c r="E90" s="70" cm="1">
        <f t="array" aca="1" ref="E90" ca="1">IF(ISNUMBER(_xll.VoseSimPercentile(Out_Gap_2,$B90)),_xll.VoseSimPercentile(Out_Gap_2,$B90),NA())</f>
        <v>0.32144976772861611</v>
      </c>
      <c r="F90" s="70" cm="1">
        <f t="array" aca="1" ref="F90" ca="1">IF(ISNUMBER(_xll.VoseSimPercentile(Out_Gap_3,$B90)),_xll.VoseSimPercentile(Out_Gap_3,$B90),NA())</f>
        <v>0.34239405292241543</v>
      </c>
      <c r="G90" s="70">
        <f t="shared" si="4"/>
        <v>0.15</v>
      </c>
      <c r="H90" s="70">
        <f t="shared" si="5"/>
        <v>0.45</v>
      </c>
    </row>
    <row r="91" spans="2:8" hidden="1" outlineLevel="1" x14ac:dyDescent="0.45">
      <c r="B91" s="69">
        <v>0.83</v>
      </c>
      <c r="C91" s="69">
        <f t="shared" si="3"/>
        <v>0.17000000000000004</v>
      </c>
      <c r="D91" s="70" cm="1">
        <f t="array" aca="1" ref="D91" ca="1">IF(ISNUMBER(_xll.VoseSimPercentile(Out_Gap_1,$B91)),_xll.VoseSimPercentile(Out_Gap_1,$B91),NA())</f>
        <v>0.33454454303221226</v>
      </c>
      <c r="E91" s="70" cm="1">
        <f t="array" aca="1" ref="E91" ca="1">IF(ISNUMBER(_xll.VoseSimPercentile(Out_Gap_2,$B91)),_xll.VoseSimPercentile(Out_Gap_2,$B91),NA())</f>
        <v>0.32471573295997658</v>
      </c>
      <c r="F91" s="70" cm="1">
        <f t="array" aca="1" ref="F91" ca="1">IF(ISNUMBER(_xll.VoseSimPercentile(Out_Gap_3,$B91)),_xll.VoseSimPercentile(Out_Gap_3,$B91),NA())</f>
        <v>0.34593729984131372</v>
      </c>
      <c r="G91" s="70">
        <f t="shared" si="4"/>
        <v>0.15</v>
      </c>
      <c r="H91" s="70">
        <f t="shared" si="5"/>
        <v>0.45</v>
      </c>
    </row>
    <row r="92" spans="2:8" hidden="1" outlineLevel="1" x14ac:dyDescent="0.45">
      <c r="B92" s="69">
        <v>0.85</v>
      </c>
      <c r="C92" s="69">
        <f t="shared" si="3"/>
        <v>0.15000000000000002</v>
      </c>
      <c r="D92" s="70" cm="1">
        <f t="array" aca="1" ref="D92" ca="1">IF(ISNUMBER(_xll.VoseSimPercentile(Out_Gap_1,$B92)),_xll.VoseSimPercentile(Out_Gap_1,$B92),NA())</f>
        <v>0.33891344361140341</v>
      </c>
      <c r="E92" s="70" cm="1">
        <f t="array" aca="1" ref="E92" ca="1">IF(ISNUMBER(_xll.VoseSimPercentile(Out_Gap_2,$B92)),_xll.VoseSimPercentile(Out_Gap_2,$B92),NA())</f>
        <v>0.32872660957589872</v>
      </c>
      <c r="F92" s="70" cm="1">
        <f t="array" aca="1" ref="F92" ca="1">IF(ISNUMBER(_xll.VoseSimPercentile(Out_Gap_3,$B92)),_xll.VoseSimPercentile(Out_Gap_3,$B92),NA())</f>
        <v>0.34963196089111648</v>
      </c>
      <c r="G92" s="70">
        <f t="shared" si="4"/>
        <v>0.15</v>
      </c>
      <c r="H92" s="70">
        <f t="shared" si="5"/>
        <v>0.45</v>
      </c>
    </row>
    <row r="93" spans="2:8" hidden="1" outlineLevel="1" x14ac:dyDescent="0.45">
      <c r="B93" s="69">
        <v>0.87</v>
      </c>
      <c r="C93" s="69">
        <f t="shared" si="3"/>
        <v>0.13</v>
      </c>
      <c r="D93" s="70" cm="1">
        <f t="array" aca="1" ref="D93" ca="1">IF(ISNUMBER(_xll.VoseSimPercentile(Out_Gap_1,$B93)),_xll.VoseSimPercentile(Out_Gap_1,$B93),NA())</f>
        <v>0.34368560997475583</v>
      </c>
      <c r="E93" s="70" cm="1">
        <f t="array" aca="1" ref="E93" ca="1">IF(ISNUMBER(_xll.VoseSimPercentile(Out_Gap_2,$B93)),_xll.VoseSimPercentile(Out_Gap_2,$B93),NA())</f>
        <v>0.33316520435758079</v>
      </c>
      <c r="F93" s="70" cm="1">
        <f t="array" aca="1" ref="F93" ca="1">IF(ISNUMBER(_xll.VoseSimPercentile(Out_Gap_3,$B93)),_xll.VoseSimPercentile(Out_Gap_3,$B93),NA())</f>
        <v>0.35370516621571824</v>
      </c>
      <c r="G93" s="70">
        <f t="shared" si="4"/>
        <v>0.15</v>
      </c>
      <c r="H93" s="70">
        <f t="shared" si="5"/>
        <v>0.45</v>
      </c>
    </row>
    <row r="94" spans="2:8" hidden="1" outlineLevel="1" x14ac:dyDescent="0.45">
      <c r="B94" s="69">
        <v>0.89</v>
      </c>
      <c r="C94" s="69">
        <f t="shared" si="3"/>
        <v>0.10999999999999999</v>
      </c>
      <c r="D94" s="70" cm="1">
        <f t="array" aca="1" ref="D94" ca="1">IF(ISNUMBER(_xll.VoseSimPercentile(Out_Gap_1,$B94)),_xll.VoseSimPercentile(Out_Gap_1,$B94),NA())</f>
        <v>0.34972058212423462</v>
      </c>
      <c r="E94" s="70" cm="1">
        <f t="array" aca="1" ref="E94" ca="1">IF(ISNUMBER(_xll.VoseSimPercentile(Out_Gap_2,$B94)),_xll.VoseSimPercentile(Out_Gap_2,$B94),NA())</f>
        <v>0.33776754063058334</v>
      </c>
      <c r="F94" s="70" cm="1">
        <f t="array" aca="1" ref="F94" ca="1">IF(ISNUMBER(_xll.VoseSimPercentile(Out_Gap_3,$B94)),_xll.VoseSimPercentile(Out_Gap_3,$B94),NA())</f>
        <v>0.35787060432204854</v>
      </c>
      <c r="G94" s="70">
        <f t="shared" si="4"/>
        <v>0.15</v>
      </c>
      <c r="H94" s="70">
        <f t="shared" si="5"/>
        <v>0.45</v>
      </c>
    </row>
    <row r="95" spans="2:8" hidden="1" outlineLevel="1" x14ac:dyDescent="0.45">
      <c r="B95" s="69">
        <v>0.91</v>
      </c>
      <c r="C95" s="69">
        <f t="shared" si="3"/>
        <v>8.9999999999999969E-2</v>
      </c>
      <c r="D95" s="70" cm="1">
        <f t="array" aca="1" ref="D95" ca="1">IF(ISNUMBER(_xll.VoseSimPercentile(Out_Gap_1,$B95)),_xll.VoseSimPercentile(Out_Gap_1,$B95),NA())</f>
        <v>0.35602159724677307</v>
      </c>
      <c r="E95" s="70" cm="1">
        <f t="array" aca="1" ref="E95" ca="1">IF(ISNUMBER(_xll.VoseSimPercentile(Out_Gap_2,$B95)),_xll.VoseSimPercentile(Out_Gap_2,$B95),NA())</f>
        <v>0.34349456185793059</v>
      </c>
      <c r="F95" s="70" cm="1">
        <f t="array" aca="1" ref="F95" ca="1">IF(ISNUMBER(_xll.VoseSimPercentile(Out_Gap_3,$B95)),_xll.VoseSimPercentile(Out_Gap_3,$B95),NA())</f>
        <v>0.36315996020673325</v>
      </c>
      <c r="G95" s="70">
        <f t="shared" si="4"/>
        <v>0.15</v>
      </c>
      <c r="H95" s="70">
        <f t="shared" si="5"/>
        <v>0.45</v>
      </c>
    </row>
    <row r="96" spans="2:8" hidden="1" outlineLevel="1" x14ac:dyDescent="0.45">
      <c r="B96" s="69">
        <v>0.93</v>
      </c>
      <c r="C96" s="69">
        <f t="shared" si="3"/>
        <v>6.9999999999999951E-2</v>
      </c>
      <c r="D96" s="70" cm="1">
        <f t="array" aca="1" ref="D96" ca="1">IF(ISNUMBER(_xll.VoseSimPercentile(Out_Gap_1,$B96)),_xll.VoseSimPercentile(Out_Gap_1,$B96),NA())</f>
        <v>0.36349971717012153</v>
      </c>
      <c r="E96" s="70" cm="1">
        <f t="array" aca="1" ref="E96" ca="1">IF(ISNUMBER(_xll.VoseSimPercentile(Out_Gap_2,$B96)),_xll.VoseSimPercentile(Out_Gap_2,$B96),NA())</f>
        <v>0.34993069845891966</v>
      </c>
      <c r="F96" s="70" cm="1">
        <f t="array" aca="1" ref="F96" ca="1">IF(ISNUMBER(_xll.VoseSimPercentile(Out_Gap_3,$B96)),_xll.VoseSimPercentile(Out_Gap_3,$B96),NA())</f>
        <v>0.3693305637440929</v>
      </c>
      <c r="G96" s="70">
        <f t="shared" si="4"/>
        <v>0.15</v>
      </c>
      <c r="H96" s="70">
        <f t="shared" si="5"/>
        <v>0.45</v>
      </c>
    </row>
    <row r="97" spans="2:8" hidden="1" outlineLevel="1" x14ac:dyDescent="0.45">
      <c r="B97" s="69">
        <v>0.95</v>
      </c>
      <c r="C97" s="69">
        <f t="shared" si="3"/>
        <v>5.0000000000000044E-2</v>
      </c>
      <c r="D97" s="70" cm="1">
        <f t="array" aca="1" ref="D97" ca="1">IF(ISNUMBER(_xll.VoseSimPercentile(Out_Gap_1,$B97)),_xll.VoseSimPercentile(Out_Gap_1,$B97),NA())</f>
        <v>0.37138883926550648</v>
      </c>
      <c r="E97" s="70" cm="1">
        <f t="array" aca="1" ref="E97" ca="1">IF(ISNUMBER(_xll.VoseSimPercentile(Out_Gap_2,$B97)),_xll.VoseSimPercentile(Out_Gap_2,$B97),NA())</f>
        <v>0.35762315967122049</v>
      </c>
      <c r="F97" s="70" cm="1">
        <f t="array" aca="1" ref="F97" ca="1">IF(ISNUMBER(_xll.VoseSimPercentile(Out_Gap_3,$B97)),_xll.VoseSimPercentile(Out_Gap_3,$B97),NA())</f>
        <v>0.37697967578622382</v>
      </c>
      <c r="G97" s="70">
        <f t="shared" si="4"/>
        <v>0.15</v>
      </c>
      <c r="H97" s="70">
        <f t="shared" si="5"/>
        <v>0.45</v>
      </c>
    </row>
    <row r="98" spans="2:8" hidden="1" outlineLevel="1" x14ac:dyDescent="0.45">
      <c r="B98" s="69">
        <v>0.97</v>
      </c>
      <c r="C98" s="69">
        <f t="shared" si="3"/>
        <v>3.0000000000000027E-2</v>
      </c>
      <c r="D98" s="70" cm="1">
        <f t="array" aca="1" ref="D98" ca="1">IF(ISNUMBER(_xll.VoseSimPercentile(Out_Gap_1,$B98)),_xll.VoseSimPercentile(Out_Gap_1,$B98),NA())</f>
        <v>0.3838504371349778</v>
      </c>
      <c r="E98" s="70" cm="1">
        <f t="array" aca="1" ref="E98" ca="1">IF(ISNUMBER(_xll.VoseSimPercentile(Out_Gap_2,$B98)),_xll.VoseSimPercentile(Out_Gap_2,$B98),NA())</f>
        <v>0.36939308742776333</v>
      </c>
      <c r="F98" s="70" cm="1">
        <f t="array" aca="1" ref="F98" ca="1">IF(ISNUMBER(_xll.VoseSimPercentile(Out_Gap_3,$B98)),_xll.VoseSimPercentile(Out_Gap_3,$B98),NA())</f>
        <v>0.3869607114328204</v>
      </c>
      <c r="G98" s="70">
        <f t="shared" si="4"/>
        <v>0.15</v>
      </c>
      <c r="H98" s="70">
        <f t="shared" si="5"/>
        <v>0.45</v>
      </c>
    </row>
    <row r="99" spans="2:8" hidden="1" outlineLevel="1" x14ac:dyDescent="0.45">
      <c r="B99" s="69">
        <v>0.99</v>
      </c>
      <c r="C99" s="69">
        <f t="shared" si="3"/>
        <v>1.0000000000000009E-2</v>
      </c>
      <c r="D99" s="70" cm="1">
        <f t="array" aca="1" ref="D99" ca="1">IF(ISNUMBER(_xll.VoseSimPercentile(Out_Gap_1,$B99)),_xll.VoseSimPercentile(Out_Gap_1,$B99),NA())</f>
        <v>0.40663749729555576</v>
      </c>
      <c r="E99" s="70" cm="1">
        <f t="array" aca="1" ref="E99" ca="1">IF(ISNUMBER(_xll.VoseSimPercentile(Out_Gap_2,$B99)),_xll.VoseSimPercentile(Out_Gap_2,$B99),NA())</f>
        <v>0.39210334507822964</v>
      </c>
      <c r="F99" s="70" cm="1">
        <f t="array" aca="1" ref="F99" ca="1">IF(ISNUMBER(_xll.VoseSimPercentile(Out_Gap_3,$B99)),_xll.VoseSimPercentile(Out_Gap_3,$B99),NA())</f>
        <v>0.40650064689018706</v>
      </c>
      <c r="G99" s="70">
        <f t="shared" si="4"/>
        <v>0.15</v>
      </c>
      <c r="H99" s="70">
        <f t="shared" si="5"/>
        <v>0.45</v>
      </c>
    </row>
    <row r="100" spans="2:8" hidden="1" outlineLevel="1" x14ac:dyDescent="0.45"/>
    <row r="101" spans="2:8" ht="18" hidden="1" customHeight="1" outlineLevel="1" x14ac:dyDescent="0.45">
      <c r="B101" s="23" t="s">
        <v>232</v>
      </c>
      <c r="C101" s="24" t="s">
        <v>163</v>
      </c>
      <c r="D101" s="5"/>
      <c r="E101" s="5"/>
      <c r="F101" s="5"/>
      <c r="G101" s="5"/>
    </row>
    <row r="102" spans="2:8" hidden="1" outlineLevel="1" x14ac:dyDescent="0.45">
      <c r="B102" s="71">
        <v>5.0000000000000001E-3</v>
      </c>
      <c r="C102" s="70" cm="1">
        <f t="array" aca="1" ref="C102" ca="1">IF(ISNUMBER(_xll.VoseSimPercentile(Out_Gap_1,0.005)),_xll.VoseSimPercentile(Out_Gap_1,0.005),NA())</f>
        <v>0.14192353517065825</v>
      </c>
    </row>
    <row r="103" spans="2:8" hidden="1" outlineLevel="1" x14ac:dyDescent="0.45">
      <c r="B103" s="71">
        <v>0.01</v>
      </c>
      <c r="C103" s="70" cm="1">
        <f t="array" aca="1" ref="C103" ca="1">IF(ISNUMBER(_xll.VoseSimPercentile(Out_Gap_1,0.01)),_xll.VoseSimPercentile(Out_Gap_1,0.01),NA())</f>
        <v>0.15570005390380004</v>
      </c>
    </row>
    <row r="104" spans="2:8" hidden="1" outlineLevel="1" x14ac:dyDescent="0.45">
      <c r="B104" s="71">
        <v>0.02</v>
      </c>
      <c r="C104" s="70" cm="1">
        <f t="array" aca="1" ref="C104" ca="1">IF(ISNUMBER(_xll.VoseSimPercentile(Out_Gap_1,0.02)),_xll.VoseSimPercentile(Out_Gap_1,0.02),NA())</f>
        <v>0.1692910196564732</v>
      </c>
    </row>
    <row r="105" spans="2:8" hidden="1" outlineLevel="1" x14ac:dyDescent="0.45">
      <c r="B105" s="71">
        <v>0.03</v>
      </c>
      <c r="C105" s="70" cm="1">
        <f t="array" aca="1" ref="C105" ca="1">IF(ISNUMBER(_xll.VoseSimPercentile(Out_Gap_1,0.03)),_xll.VoseSimPercentile(Out_Gap_1,0.03),NA())</f>
        <v>0.17794617274786972</v>
      </c>
    </row>
    <row r="106" spans="2:8" hidden="1" outlineLevel="1" x14ac:dyDescent="0.45">
      <c r="B106" s="71">
        <v>0.04</v>
      </c>
      <c r="C106" s="70" cm="1">
        <f t="array" aca="1" ref="C106" ca="1">IF(ISNUMBER(_xll.VoseSimPercentile(Out_Gap_1,0.04)),_xll.VoseSimPercentile(Out_Gap_1,0.04),NA())</f>
        <v>0.18494007301672255</v>
      </c>
    </row>
    <row r="107" spans="2:8" hidden="1" outlineLevel="1" x14ac:dyDescent="0.45">
      <c r="B107" s="71">
        <v>0.05</v>
      </c>
      <c r="C107" s="70" cm="1">
        <f t="array" aca="1" ref="C107" ca="1">IF(ISNUMBER(_xll.VoseSimPercentile(Out_Gap_1,0.05)),_xll.VoseSimPercentile(Out_Gap_1,0.05),NA())</f>
        <v>0.19054445325190628</v>
      </c>
    </row>
    <row r="108" spans="2:8" hidden="1" outlineLevel="1" x14ac:dyDescent="0.45">
      <c r="B108" s="71">
        <v>0.06</v>
      </c>
      <c r="C108" s="70" cm="1">
        <f t="array" aca="1" ref="C108" ca="1">IF(ISNUMBER(_xll.VoseSimPercentile(Out_Gap_1,0.06)),_xll.VoseSimPercentile(Out_Gap_1,0.06),NA())</f>
        <v>0.19534965392031367</v>
      </c>
    </row>
    <row r="109" spans="2:8" hidden="1" outlineLevel="1" x14ac:dyDescent="0.45">
      <c r="B109" s="71">
        <v>7.0000000000000007E-2</v>
      </c>
      <c r="C109" s="70" cm="1">
        <f t="array" aca="1" ref="C109" ca="1">IF(ISNUMBER(_xll.VoseSimPercentile(Out_Gap_1,0.07)),_xll.VoseSimPercentile(Out_Gap_1,0.07),NA())</f>
        <v>0.19906723145664529</v>
      </c>
    </row>
    <row r="110" spans="2:8" hidden="1" outlineLevel="1" x14ac:dyDescent="0.45">
      <c r="B110" s="71">
        <v>0.08</v>
      </c>
      <c r="C110" s="70" cm="1">
        <f t="array" aca="1" ref="C110" ca="1">IF(ISNUMBER(_xll.VoseSimPercentile(Out_Gap_1,0.08)),_xll.VoseSimPercentile(Out_Gap_1,0.08),NA())</f>
        <v>0.20333477968480906</v>
      </c>
    </row>
    <row r="111" spans="2:8" hidden="1" outlineLevel="1" x14ac:dyDescent="0.45">
      <c r="B111" s="71">
        <v>0.09</v>
      </c>
      <c r="C111" s="70" cm="1">
        <f t="array" aca="1" ref="C111" ca="1">IF(ISNUMBER(_xll.VoseSimPercentile(Out_Gap_1,0.09)),_xll.VoseSimPercentile(Out_Gap_1,0.09),NA())</f>
        <v>0.20639182101515985</v>
      </c>
    </row>
    <row r="112" spans="2:8" hidden="1" outlineLevel="1" x14ac:dyDescent="0.45">
      <c r="B112" s="71">
        <v>0.1</v>
      </c>
      <c r="C112" s="70" cm="1">
        <f t="array" aca="1" ref="C112" ca="1">IF(ISNUMBER(_xll.VoseSimPercentile(Out_Gap_1,0.1)),_xll.VoseSimPercentile(Out_Gap_1,0.1),NA())</f>
        <v>0.20941944950642011</v>
      </c>
    </row>
    <row r="113" spans="2:3" hidden="1" outlineLevel="1" x14ac:dyDescent="0.45">
      <c r="B113" s="71">
        <v>0.11</v>
      </c>
      <c r="C113" s="70" cm="1">
        <f t="array" aca="1" ref="C113" ca="1">IF(ISNUMBER(_xll.VoseSimPercentile(Out_Gap_1,0.11)),_xll.VoseSimPercentile(Out_Gap_1,0.11),NA())</f>
        <v>0.21214053329244464</v>
      </c>
    </row>
    <row r="114" spans="2:3" hidden="1" outlineLevel="1" x14ac:dyDescent="0.45">
      <c r="B114" s="71">
        <v>0.12</v>
      </c>
      <c r="C114" s="70" cm="1">
        <f t="array" aca="1" ref="C114" ca="1">IF(ISNUMBER(_xll.VoseSimPercentile(Out_Gap_1,0.12)),_xll.VoseSimPercentile(Out_Gap_1,0.12),NA())</f>
        <v>0.2148068839209003</v>
      </c>
    </row>
    <row r="115" spans="2:3" hidden="1" outlineLevel="1" x14ac:dyDescent="0.45">
      <c r="B115" s="71">
        <v>0.13</v>
      </c>
      <c r="C115" s="70" cm="1">
        <f t="array" aca="1" ref="C115" ca="1">IF(ISNUMBER(_xll.VoseSimPercentile(Out_Gap_1,0.13)),_xll.VoseSimPercentile(Out_Gap_1,0.13),NA())</f>
        <v>0.2173352551255654</v>
      </c>
    </row>
    <row r="116" spans="2:3" hidden="1" outlineLevel="1" x14ac:dyDescent="0.45">
      <c r="B116" s="71">
        <v>0.14000000000000001</v>
      </c>
      <c r="C116" s="70" cm="1">
        <f t="array" aca="1" ref="C116" ca="1">IF(ISNUMBER(_xll.VoseSimPercentile(Out_Gap_1,0.14)),_xll.VoseSimPercentile(Out_Gap_1,0.14),NA())</f>
        <v>0.21974148054868081</v>
      </c>
    </row>
    <row r="117" spans="2:3" hidden="1" outlineLevel="1" x14ac:dyDescent="0.45">
      <c r="B117" s="71">
        <v>0.15</v>
      </c>
      <c r="C117" s="70" cm="1">
        <f t="array" aca="1" ref="C117" ca="1">IF(ISNUMBER(_xll.VoseSimPercentile(Out_Gap_1,0.15)),_xll.VoseSimPercentile(Out_Gap_1,0.15),NA())</f>
        <v>0.22184035848741956</v>
      </c>
    </row>
    <row r="118" spans="2:3" hidden="1" outlineLevel="1" x14ac:dyDescent="0.45">
      <c r="B118" s="71">
        <v>0.16</v>
      </c>
      <c r="C118" s="70" cm="1">
        <f t="array" aca="1" ref="C118" ca="1">IF(ISNUMBER(_xll.VoseSimPercentile(Out_Gap_1,0.16)),_xll.VoseSimPercentile(Out_Gap_1,0.16),NA())</f>
        <v>0.22385558475217238</v>
      </c>
    </row>
    <row r="119" spans="2:3" hidden="1" outlineLevel="1" x14ac:dyDescent="0.45">
      <c r="B119" s="71">
        <v>0.17</v>
      </c>
      <c r="C119" s="70" cm="1">
        <f t="array" aca="1" ref="C119" ca="1">IF(ISNUMBER(_xll.VoseSimPercentile(Out_Gap_1,0.17)),_xll.VoseSimPercentile(Out_Gap_1,0.17),NA())</f>
        <v>0.22651134930874406</v>
      </c>
    </row>
    <row r="120" spans="2:3" hidden="1" outlineLevel="1" x14ac:dyDescent="0.45">
      <c r="B120" s="71">
        <v>0.18</v>
      </c>
      <c r="C120" s="70" cm="1">
        <f t="array" aca="1" ref="C120" ca="1">IF(ISNUMBER(_xll.VoseSimPercentile(Out_Gap_1,0.18)),_xll.VoseSimPercentile(Out_Gap_1,0.18),NA())</f>
        <v>0.22877154059658622</v>
      </c>
    </row>
    <row r="121" spans="2:3" hidden="1" outlineLevel="1" x14ac:dyDescent="0.45">
      <c r="B121" s="71">
        <v>0.19</v>
      </c>
      <c r="C121" s="70" cm="1">
        <f t="array" aca="1" ref="C121" ca="1">IF(ISNUMBER(_xll.VoseSimPercentile(Out_Gap_1,0.19)),_xll.VoseSimPercentile(Out_Gap_1,0.19),NA())</f>
        <v>0.23080576154852039</v>
      </c>
    </row>
    <row r="122" spans="2:3" hidden="1" outlineLevel="1" x14ac:dyDescent="0.45">
      <c r="B122" s="71">
        <v>0.2</v>
      </c>
      <c r="C122" s="70" cm="1">
        <f t="array" aca="1" ref="C122" ca="1">IF(ISNUMBER(_xll.VoseSimPercentile(Out_Gap_1,0.2)),_xll.VoseSimPercentile(Out_Gap_1,0.2),NA())</f>
        <v>0.23272361411640219</v>
      </c>
    </row>
    <row r="123" spans="2:3" hidden="1" outlineLevel="1" x14ac:dyDescent="0.45">
      <c r="B123" s="71">
        <v>0.21</v>
      </c>
      <c r="C123" s="70" cm="1">
        <f t="array" aca="1" ref="C123" ca="1">IF(ISNUMBER(_xll.VoseSimPercentile(Out_Gap_1,0.21)),_xll.VoseSimPercentile(Out_Gap_1,0.21),NA())</f>
        <v>0.23500534970371945</v>
      </c>
    </row>
    <row r="124" spans="2:3" hidden="1" outlineLevel="1" x14ac:dyDescent="0.45">
      <c r="B124" s="71">
        <v>0.22</v>
      </c>
      <c r="C124" s="70" cm="1">
        <f t="array" aca="1" ref="C124" ca="1">IF(ISNUMBER(_xll.VoseSimPercentile(Out_Gap_1,0.22)),_xll.VoseSimPercentile(Out_Gap_1,0.22),NA())</f>
        <v>0.23684500596582225</v>
      </c>
    </row>
    <row r="125" spans="2:3" hidden="1" outlineLevel="1" x14ac:dyDescent="0.45">
      <c r="B125" s="71">
        <v>0.23</v>
      </c>
      <c r="C125" s="70" cm="1">
        <f t="array" aca="1" ref="C125" ca="1">IF(ISNUMBER(_xll.VoseSimPercentile(Out_Gap_1,0.23)),_xll.VoseSimPercentile(Out_Gap_1,0.23),NA())</f>
        <v>0.23843537973856499</v>
      </c>
    </row>
    <row r="126" spans="2:3" hidden="1" outlineLevel="1" x14ac:dyDescent="0.45">
      <c r="B126" s="71">
        <v>0.24</v>
      </c>
      <c r="C126" s="70" cm="1">
        <f t="array" aca="1" ref="C126" ca="1">IF(ISNUMBER(_xll.VoseSimPercentile(Out_Gap_1,0.24)),_xll.VoseSimPercentile(Out_Gap_1,0.24),NA())</f>
        <v>0.24031395438659686</v>
      </c>
    </row>
    <row r="127" spans="2:3" hidden="1" outlineLevel="1" x14ac:dyDescent="0.45">
      <c r="B127" s="71">
        <v>0.25</v>
      </c>
      <c r="C127" s="70" cm="1">
        <f t="array" aca="1" ref="C127" ca="1">IF(ISNUMBER(_xll.VoseSimPercentile(Out_Gap_1,0.25)),_xll.VoseSimPercentile(Out_Gap_1,0.25),NA())</f>
        <v>0.24206476018296996</v>
      </c>
    </row>
    <row r="128" spans="2:3" hidden="1" outlineLevel="1" x14ac:dyDescent="0.45">
      <c r="B128" s="71">
        <v>0.26</v>
      </c>
      <c r="C128" s="70" cm="1">
        <f t="array" aca="1" ref="C128" ca="1">IF(ISNUMBER(_xll.VoseSimPercentile(Out_Gap_1,0.26)),_xll.VoseSimPercentile(Out_Gap_1,0.26),NA())</f>
        <v>0.24360758590709963</v>
      </c>
    </row>
    <row r="129" spans="2:3" hidden="1" outlineLevel="1" x14ac:dyDescent="0.45">
      <c r="B129" s="71">
        <v>0.27</v>
      </c>
      <c r="C129" s="70" cm="1">
        <f t="array" aca="1" ref="C129" ca="1">IF(ISNUMBER(_xll.VoseSimPercentile(Out_Gap_1,0.27)),_xll.VoseSimPercentile(Out_Gap_1,0.27),NA())</f>
        <v>0.24538648441458477</v>
      </c>
    </row>
    <row r="130" spans="2:3" hidden="1" outlineLevel="1" x14ac:dyDescent="0.45">
      <c r="B130" s="71">
        <v>0.28000000000000003</v>
      </c>
      <c r="C130" s="70" cm="1">
        <f t="array" aca="1" ref="C130" ca="1">IF(ISNUMBER(_xll.VoseSimPercentile(Out_Gap_1,0.28)),_xll.VoseSimPercentile(Out_Gap_1,0.28),NA())</f>
        <v>0.24689957507632343</v>
      </c>
    </row>
    <row r="131" spans="2:3" hidden="1" outlineLevel="1" x14ac:dyDescent="0.45">
      <c r="B131" s="71">
        <v>0.28999999999999998</v>
      </c>
      <c r="C131" s="70" cm="1">
        <f t="array" aca="1" ref="C131" ca="1">IF(ISNUMBER(_xll.VoseSimPercentile(Out_Gap_1,0.29)),_xll.VoseSimPercentile(Out_Gap_1,0.29),NA())</f>
        <v>0.24868811996509166</v>
      </c>
    </row>
    <row r="132" spans="2:3" hidden="1" outlineLevel="1" x14ac:dyDescent="0.45">
      <c r="B132" s="71">
        <v>0.3</v>
      </c>
      <c r="C132" s="70" cm="1">
        <f t="array" aca="1" ref="C132" ca="1">IF(ISNUMBER(_xll.VoseSimPercentile(Out_Gap_1,0.3)),_xll.VoseSimPercentile(Out_Gap_1,0.3),NA())</f>
        <v>0.25027794393979264</v>
      </c>
    </row>
    <row r="133" spans="2:3" hidden="1" outlineLevel="1" x14ac:dyDescent="0.45">
      <c r="B133" s="71">
        <v>0.31</v>
      </c>
      <c r="C133" s="70" cm="1">
        <f t="array" aca="1" ref="C133" ca="1">IF(ISNUMBER(_xll.VoseSimPercentile(Out_Gap_1,0.31)),_xll.VoseSimPercentile(Out_Gap_1,0.31),NA())</f>
        <v>0.25185202849958088</v>
      </c>
    </row>
    <row r="134" spans="2:3" hidden="1" outlineLevel="1" x14ac:dyDescent="0.45">
      <c r="B134" s="71">
        <v>0.32</v>
      </c>
      <c r="C134" s="70" cm="1">
        <f t="array" aca="1" ref="C134" ca="1">IF(ISNUMBER(_xll.VoseSimPercentile(Out_Gap_1,0.32)),_xll.VoseSimPercentile(Out_Gap_1,0.32),NA())</f>
        <v>0.25349457089999206</v>
      </c>
    </row>
    <row r="135" spans="2:3" hidden="1" outlineLevel="1" x14ac:dyDescent="0.45">
      <c r="B135" s="71">
        <v>0.33</v>
      </c>
      <c r="C135" s="70" cm="1">
        <f t="array" aca="1" ref="C135" ca="1">IF(ISNUMBER(_xll.VoseSimPercentile(Out_Gap_1,0.33)),_xll.VoseSimPercentile(Out_Gap_1,0.33),NA())</f>
        <v>0.25501150283272267</v>
      </c>
    </row>
    <row r="136" spans="2:3" hidden="1" outlineLevel="1" x14ac:dyDescent="0.45">
      <c r="B136" s="71">
        <v>0.34</v>
      </c>
      <c r="C136" s="70" cm="1">
        <f t="array" aca="1" ref="C136" ca="1">IF(ISNUMBER(_xll.VoseSimPercentile(Out_Gap_1,0.34)),_xll.VoseSimPercentile(Out_Gap_1,0.34),NA())</f>
        <v>0.25643892587894612</v>
      </c>
    </row>
    <row r="137" spans="2:3" hidden="1" outlineLevel="1" x14ac:dyDescent="0.45">
      <c r="B137" s="71">
        <v>0.35</v>
      </c>
      <c r="C137" s="70" cm="1">
        <f t="array" aca="1" ref="C137" ca="1">IF(ISNUMBER(_xll.VoseSimPercentile(Out_Gap_1,0.35)),_xll.VoseSimPercentile(Out_Gap_1,0.35),NA())</f>
        <v>0.25815883618289348</v>
      </c>
    </row>
    <row r="138" spans="2:3" hidden="1" outlineLevel="1" x14ac:dyDescent="0.45">
      <c r="B138" s="71">
        <v>0.36</v>
      </c>
      <c r="C138" s="70" cm="1">
        <f t="array" aca="1" ref="C138" ca="1">IF(ISNUMBER(_xll.VoseSimPercentile(Out_Gap_1,0.36)),_xll.VoseSimPercentile(Out_Gap_1,0.36),NA())</f>
        <v>0.25950310521513131</v>
      </c>
    </row>
    <row r="139" spans="2:3" hidden="1" outlineLevel="1" x14ac:dyDescent="0.45">
      <c r="B139" s="71">
        <v>0.37</v>
      </c>
      <c r="C139" s="70" cm="1">
        <f t="array" aca="1" ref="C139" ca="1">IF(ISNUMBER(_xll.VoseSimPercentile(Out_Gap_1,0.37)),_xll.VoseSimPercentile(Out_Gap_1,0.37),NA())</f>
        <v>0.26107098210100688</v>
      </c>
    </row>
    <row r="140" spans="2:3" hidden="1" outlineLevel="1" x14ac:dyDescent="0.45">
      <c r="B140" s="71">
        <v>0.38</v>
      </c>
      <c r="C140" s="70" cm="1">
        <f t="array" aca="1" ref="C140" ca="1">IF(ISNUMBER(_xll.VoseSimPercentile(Out_Gap_1,0.38)),_xll.VoseSimPercentile(Out_Gap_1,0.38),NA())</f>
        <v>0.2624951167066385</v>
      </c>
    </row>
    <row r="141" spans="2:3" hidden="1" outlineLevel="1" x14ac:dyDescent="0.45">
      <c r="B141" s="71">
        <v>0.39</v>
      </c>
      <c r="C141" s="70" cm="1">
        <f t="array" aca="1" ref="C141" ca="1">IF(ISNUMBER(_xll.VoseSimPercentile(Out_Gap_1,0.39)),_xll.VoseSimPercentile(Out_Gap_1,0.39),NA())</f>
        <v>0.26409155596529033</v>
      </c>
    </row>
    <row r="142" spans="2:3" hidden="1" outlineLevel="1" x14ac:dyDescent="0.45">
      <c r="B142" s="71">
        <v>0.4</v>
      </c>
      <c r="C142" s="70" cm="1">
        <f t="array" aca="1" ref="C142" ca="1">IF(ISNUMBER(_xll.VoseSimPercentile(Out_Gap_1,0.4)),_xll.VoseSimPercentile(Out_Gap_1,0.4),NA())</f>
        <v>0.26544951656103066</v>
      </c>
    </row>
    <row r="143" spans="2:3" hidden="1" outlineLevel="1" x14ac:dyDescent="0.45">
      <c r="B143" s="71">
        <v>0.41</v>
      </c>
      <c r="C143" s="70" cm="1">
        <f t="array" aca="1" ref="C143" ca="1">IF(ISNUMBER(_xll.VoseSimPercentile(Out_Gap_1,0.41)),_xll.VoseSimPercentile(Out_Gap_1,0.41),NA())</f>
        <v>0.26681058408556879</v>
      </c>
    </row>
    <row r="144" spans="2:3" hidden="1" outlineLevel="1" x14ac:dyDescent="0.45">
      <c r="B144" s="71">
        <v>0.42</v>
      </c>
      <c r="C144" s="70" cm="1">
        <f t="array" aca="1" ref="C144" ca="1">IF(ISNUMBER(_xll.VoseSimPercentile(Out_Gap_1,0.42)),_xll.VoseSimPercentile(Out_Gap_1,0.42),NA())</f>
        <v>0.26823251164048045</v>
      </c>
    </row>
    <row r="145" spans="2:3" hidden="1" outlineLevel="1" x14ac:dyDescent="0.45">
      <c r="B145" s="71">
        <v>0.43</v>
      </c>
      <c r="C145" s="70" cm="1">
        <f t="array" aca="1" ref="C145" ca="1">IF(ISNUMBER(_xll.VoseSimPercentile(Out_Gap_1,0.43)),_xll.VoseSimPercentile(Out_Gap_1,0.43),NA())</f>
        <v>0.26995031071522035</v>
      </c>
    </row>
    <row r="146" spans="2:3" hidden="1" outlineLevel="1" x14ac:dyDescent="0.45">
      <c r="B146" s="71">
        <v>0.44</v>
      </c>
      <c r="C146" s="70" cm="1">
        <f t="array" aca="1" ref="C146" ca="1">IF(ISNUMBER(_xll.VoseSimPercentile(Out_Gap_1,0.44)),_xll.VoseSimPercentile(Out_Gap_1,0.44),NA())</f>
        <v>0.27136188229645342</v>
      </c>
    </row>
    <row r="147" spans="2:3" hidden="1" outlineLevel="1" x14ac:dyDescent="0.45">
      <c r="B147" s="71">
        <v>0.45</v>
      </c>
      <c r="C147" s="70" cm="1">
        <f t="array" aca="1" ref="C147" ca="1">IF(ISNUMBER(_xll.VoseSimPercentile(Out_Gap_1,0.45)),_xll.VoseSimPercentile(Out_Gap_1,0.45),NA())</f>
        <v>0.27299350333762717</v>
      </c>
    </row>
    <row r="148" spans="2:3" hidden="1" outlineLevel="1" x14ac:dyDescent="0.45">
      <c r="B148" s="71">
        <v>0.46</v>
      </c>
      <c r="C148" s="70" cm="1">
        <f t="array" aca="1" ref="C148" ca="1">IF(ISNUMBER(_xll.VoseSimPercentile(Out_Gap_1,0.46)),_xll.VoseSimPercentile(Out_Gap_1,0.46),NA())</f>
        <v>0.27451068982000848</v>
      </c>
    </row>
    <row r="149" spans="2:3" hidden="1" outlineLevel="1" x14ac:dyDescent="0.45">
      <c r="B149" s="71">
        <v>0.47</v>
      </c>
      <c r="C149" s="70" cm="1">
        <f t="array" aca="1" ref="C149" ca="1">IF(ISNUMBER(_xll.VoseSimPercentile(Out_Gap_1,0.47)),_xll.VoseSimPercentile(Out_Gap_1,0.47),NA())</f>
        <v>0.27594211388382917</v>
      </c>
    </row>
    <row r="150" spans="2:3" hidden="1" outlineLevel="1" x14ac:dyDescent="0.45">
      <c r="B150" s="71">
        <v>0.48</v>
      </c>
      <c r="C150" s="70" cm="1">
        <f t="array" aca="1" ref="C150" ca="1">IF(ISNUMBER(_xll.VoseSimPercentile(Out_Gap_1,0.48)),_xll.VoseSimPercentile(Out_Gap_1,0.48),NA())</f>
        <v>0.27725070187525702</v>
      </c>
    </row>
    <row r="151" spans="2:3" hidden="1" outlineLevel="1" x14ac:dyDescent="0.45">
      <c r="B151" s="71">
        <v>0.49</v>
      </c>
      <c r="C151" s="70" cm="1">
        <f t="array" aca="1" ref="C151" ca="1">IF(ISNUMBER(_xll.VoseSimPercentile(Out_Gap_1,0.49)),_xll.VoseSimPercentile(Out_Gap_1,0.49),NA())</f>
        <v>0.27854907580593391</v>
      </c>
    </row>
    <row r="152" spans="2:3" hidden="1" outlineLevel="1" x14ac:dyDescent="0.45">
      <c r="B152" s="71">
        <v>0.5</v>
      </c>
      <c r="C152" s="70" cm="1">
        <f t="array" aca="1" ref="C152" ca="1">IF(ISNUMBER(_xll.VoseSimPercentile(Out_Gap_1,0.5)),_xll.VoseSimPercentile(Out_Gap_1,0.5),NA())</f>
        <v>0.28025567316999656</v>
      </c>
    </row>
    <row r="153" spans="2:3" hidden="1" outlineLevel="1" x14ac:dyDescent="0.45">
      <c r="B153" s="71">
        <v>0.51</v>
      </c>
      <c r="C153" s="70" cm="1">
        <f t="array" aca="1" ref="C153" ca="1">IF(ISNUMBER(_xll.VoseSimPercentile(Out_Gap_1,0.51)),_xll.VoseSimPercentile(Out_Gap_1,0.51),NA())</f>
        <v>0.28160443544847169</v>
      </c>
    </row>
    <row r="154" spans="2:3" hidden="1" outlineLevel="1" x14ac:dyDescent="0.45">
      <c r="B154" s="71">
        <v>0.52</v>
      </c>
      <c r="C154" s="70" cm="1">
        <f t="array" aca="1" ref="C154" ca="1">IF(ISNUMBER(_xll.VoseSimPercentile(Out_Gap_1,0.52)),_xll.VoseSimPercentile(Out_Gap_1,0.52),NA())</f>
        <v>0.28306841457098741</v>
      </c>
    </row>
    <row r="155" spans="2:3" hidden="1" outlineLevel="1" x14ac:dyDescent="0.45">
      <c r="B155" s="71">
        <v>0.53</v>
      </c>
      <c r="C155" s="70" cm="1">
        <f t="array" aca="1" ref="C155" ca="1">IF(ISNUMBER(_xll.VoseSimPercentile(Out_Gap_1,0.53)),_xll.VoseSimPercentile(Out_Gap_1,0.53),NA())</f>
        <v>0.28448009811029351</v>
      </c>
    </row>
    <row r="156" spans="2:3" hidden="1" outlineLevel="1" x14ac:dyDescent="0.45">
      <c r="B156" s="71">
        <v>0.54</v>
      </c>
      <c r="C156" s="70" cm="1">
        <f t="array" aca="1" ref="C156" ca="1">IF(ISNUMBER(_xll.VoseSimPercentile(Out_Gap_1,0.54)),_xll.VoseSimPercentile(Out_Gap_1,0.54),NA())</f>
        <v>0.2860911046112129</v>
      </c>
    </row>
    <row r="157" spans="2:3" hidden="1" outlineLevel="1" x14ac:dyDescent="0.45">
      <c r="B157" s="71">
        <v>0.55000000000000004</v>
      </c>
      <c r="C157" s="70" cm="1">
        <f t="array" aca="1" ref="C157" ca="1">IF(ISNUMBER(_xll.VoseSimPercentile(Out_Gap_1,0.55)),_xll.VoseSimPercentile(Out_Gap_1,0.55),NA())</f>
        <v>0.28746739957814782</v>
      </c>
    </row>
    <row r="158" spans="2:3" hidden="1" outlineLevel="1" x14ac:dyDescent="0.45">
      <c r="B158" s="71">
        <v>0.56000000000000005</v>
      </c>
      <c r="C158" s="70" cm="1">
        <f t="array" aca="1" ref="C158" ca="1">IF(ISNUMBER(_xll.VoseSimPercentile(Out_Gap_1,0.56)),_xll.VoseSimPercentile(Out_Gap_1,0.56),NA())</f>
        <v>0.28874665782561948</v>
      </c>
    </row>
    <row r="159" spans="2:3" hidden="1" outlineLevel="1" x14ac:dyDescent="0.45">
      <c r="B159" s="71">
        <v>0.56999999999999995</v>
      </c>
      <c r="C159" s="70" cm="1">
        <f t="array" aca="1" ref="C159" ca="1">IF(ISNUMBER(_xll.VoseSimPercentile(Out_Gap_1,0.57)),_xll.VoseSimPercentile(Out_Gap_1,0.57),NA())</f>
        <v>0.29035338291350499</v>
      </c>
    </row>
    <row r="160" spans="2:3" hidden="1" outlineLevel="1" x14ac:dyDescent="0.45">
      <c r="B160" s="71">
        <v>0.57999999999999996</v>
      </c>
      <c r="C160" s="70" cm="1">
        <f t="array" aca="1" ref="C160" ca="1">IF(ISNUMBER(_xll.VoseSimPercentile(Out_Gap_1,0.58)),_xll.VoseSimPercentile(Out_Gap_1,0.58),NA())</f>
        <v>0.29174400999912464</v>
      </c>
    </row>
    <row r="161" spans="2:3" hidden="1" outlineLevel="1" x14ac:dyDescent="0.45">
      <c r="B161" s="71">
        <v>0.59</v>
      </c>
      <c r="C161" s="70" cm="1">
        <f t="array" aca="1" ref="C161" ca="1">IF(ISNUMBER(_xll.VoseSimPercentile(Out_Gap_1,0.59)),_xll.VoseSimPercentile(Out_Gap_1,0.59),NA())</f>
        <v>0.29320388536300257</v>
      </c>
    </row>
    <row r="162" spans="2:3" hidden="1" outlineLevel="1" x14ac:dyDescent="0.45">
      <c r="B162" s="71">
        <v>0.6</v>
      </c>
      <c r="C162" s="70" cm="1">
        <f t="array" aca="1" ref="C162" ca="1">IF(ISNUMBER(_xll.VoseSimPercentile(Out_Gap_1,0.6)),_xll.VoseSimPercentile(Out_Gap_1,0.6),NA())</f>
        <v>0.29461503735204175</v>
      </c>
    </row>
    <row r="163" spans="2:3" hidden="1" outlineLevel="1" x14ac:dyDescent="0.45">
      <c r="B163" s="71">
        <v>0.61</v>
      </c>
      <c r="C163" s="70" cm="1">
        <f t="array" aca="1" ref="C163" ca="1">IF(ISNUMBER(_xll.VoseSimPercentile(Out_Gap_1,0.61)),_xll.VoseSimPercentile(Out_Gap_1,0.61),NA())</f>
        <v>0.29633175271242607</v>
      </c>
    </row>
    <row r="164" spans="2:3" hidden="1" outlineLevel="1" x14ac:dyDescent="0.45">
      <c r="B164" s="71">
        <v>0.62</v>
      </c>
      <c r="C164" s="70" cm="1">
        <f t="array" aca="1" ref="C164" ca="1">IF(ISNUMBER(_xll.VoseSimPercentile(Out_Gap_1,0.62)),_xll.VoseSimPercentile(Out_Gap_1,0.62),NA())</f>
        <v>0.29802972604258571</v>
      </c>
    </row>
    <row r="165" spans="2:3" hidden="1" outlineLevel="1" x14ac:dyDescent="0.45">
      <c r="B165" s="71">
        <v>0.63</v>
      </c>
      <c r="C165" s="70" cm="1">
        <f t="array" aca="1" ref="C165" ca="1">IF(ISNUMBER(_xll.VoseSimPercentile(Out_Gap_1,0.63)),_xll.VoseSimPercentile(Out_Gap_1,0.63),NA())</f>
        <v>0.29959674691899707</v>
      </c>
    </row>
    <row r="166" spans="2:3" hidden="1" outlineLevel="1" x14ac:dyDescent="0.45">
      <c r="B166" s="71">
        <v>0.64</v>
      </c>
      <c r="C166" s="70" cm="1">
        <f t="array" aca="1" ref="C166" ca="1">IF(ISNUMBER(_xll.VoseSimPercentile(Out_Gap_1,0.64)),_xll.VoseSimPercentile(Out_Gap_1,0.64),NA())</f>
        <v>0.301033780876935</v>
      </c>
    </row>
    <row r="167" spans="2:3" hidden="1" outlineLevel="1" x14ac:dyDescent="0.45">
      <c r="B167" s="71">
        <v>0.65</v>
      </c>
      <c r="C167" s="70" cm="1">
        <f t="array" aca="1" ref="C167" ca="1">IF(ISNUMBER(_xll.VoseSimPercentile(Out_Gap_1,0.65)),_xll.VoseSimPercentile(Out_Gap_1,0.65),NA())</f>
        <v>0.30259542812192208</v>
      </c>
    </row>
    <row r="168" spans="2:3" hidden="1" outlineLevel="1" x14ac:dyDescent="0.45">
      <c r="B168" s="71">
        <v>0.66</v>
      </c>
      <c r="C168" s="70" cm="1">
        <f t="array" aca="1" ref="C168" ca="1">IF(ISNUMBER(_xll.VoseSimPercentile(Out_Gap_1,0.66)),_xll.VoseSimPercentile(Out_Gap_1,0.66),NA())</f>
        <v>0.304208112533491</v>
      </c>
    </row>
    <row r="169" spans="2:3" hidden="1" outlineLevel="1" x14ac:dyDescent="0.45">
      <c r="B169" s="71">
        <v>0.67</v>
      </c>
      <c r="C169" s="70" cm="1">
        <f t="array" aca="1" ref="C169" ca="1">IF(ISNUMBER(_xll.VoseSimPercentile(Out_Gap_1,0.67)),_xll.VoseSimPercentile(Out_Gap_1,0.67),NA())</f>
        <v>0.30563164272957977</v>
      </c>
    </row>
    <row r="170" spans="2:3" hidden="1" outlineLevel="1" x14ac:dyDescent="0.45">
      <c r="B170" s="71">
        <v>0.68</v>
      </c>
      <c r="C170" s="70" cm="1">
        <f t="array" aca="1" ref="C170" ca="1">IF(ISNUMBER(_xll.VoseSimPercentile(Out_Gap_1,0.68)),_xll.VoseSimPercentile(Out_Gap_1,0.68),NA())</f>
        <v>0.3072532984943912</v>
      </c>
    </row>
    <row r="171" spans="2:3" hidden="1" outlineLevel="1" x14ac:dyDescent="0.45">
      <c r="B171" s="71">
        <v>0.69</v>
      </c>
      <c r="C171" s="70" cm="1">
        <f t="array" aca="1" ref="C171" ca="1">IF(ISNUMBER(_xll.VoseSimPercentile(Out_Gap_1,0.69)),_xll.VoseSimPercentile(Out_Gap_1,0.69),NA())</f>
        <v>0.30899050911428105</v>
      </c>
    </row>
    <row r="172" spans="2:3" hidden="1" outlineLevel="1" x14ac:dyDescent="0.45">
      <c r="B172" s="71">
        <v>0.7</v>
      </c>
      <c r="C172" s="70" cm="1">
        <f t="array" aca="1" ref="C172" ca="1">IF(ISNUMBER(_xll.VoseSimPercentile(Out_Gap_1,0.7)),_xll.VoseSimPercentile(Out_Gap_1,0.7),NA())</f>
        <v>0.31048053554913224</v>
      </c>
    </row>
    <row r="173" spans="2:3" hidden="1" outlineLevel="1" x14ac:dyDescent="0.45">
      <c r="B173" s="71">
        <v>0.71</v>
      </c>
      <c r="C173" s="70" cm="1">
        <f t="array" aca="1" ref="C173" ca="1">IF(ISNUMBER(_xll.VoseSimPercentile(Out_Gap_1,0.71)),_xll.VoseSimPercentile(Out_Gap_1,0.71),NA())</f>
        <v>0.31203566072768396</v>
      </c>
    </row>
    <row r="174" spans="2:3" hidden="1" outlineLevel="1" x14ac:dyDescent="0.45">
      <c r="B174" s="71">
        <v>0.72</v>
      </c>
      <c r="C174" s="70" cm="1">
        <f t="array" aca="1" ref="C174" ca="1">IF(ISNUMBER(_xll.VoseSimPercentile(Out_Gap_1,0.72)),_xll.VoseSimPercentile(Out_Gap_1,0.72),NA())</f>
        <v>0.31384016215339727</v>
      </c>
    </row>
    <row r="175" spans="2:3" hidden="1" outlineLevel="1" x14ac:dyDescent="0.45">
      <c r="B175" s="71">
        <v>0.73</v>
      </c>
      <c r="C175" s="70" cm="1">
        <f t="array" aca="1" ref="C175" ca="1">IF(ISNUMBER(_xll.VoseSimPercentile(Out_Gap_1,0.73)),_xll.VoseSimPercentile(Out_Gap_1,0.73),NA())</f>
        <v>0.3155568965510227</v>
      </c>
    </row>
    <row r="176" spans="2:3" hidden="1" outlineLevel="1" x14ac:dyDescent="0.45">
      <c r="B176" s="71">
        <v>0.74</v>
      </c>
      <c r="C176" s="70" cm="1">
        <f t="array" aca="1" ref="C176" ca="1">IF(ISNUMBER(_xll.VoseSimPercentile(Out_Gap_1,0.74)),_xll.VoseSimPercentile(Out_Gap_1,0.74),NA())</f>
        <v>0.3172887124693311</v>
      </c>
    </row>
    <row r="177" spans="2:3" hidden="1" outlineLevel="1" x14ac:dyDescent="0.45">
      <c r="B177" s="71">
        <v>0.75</v>
      </c>
      <c r="C177" s="70" cm="1">
        <f t="array" aca="1" ref="C177" ca="1">IF(ISNUMBER(_xll.VoseSimPercentile(Out_Gap_1,0.75)),_xll.VoseSimPercentile(Out_Gap_1,0.75),NA())</f>
        <v>0.318793506254476</v>
      </c>
    </row>
    <row r="178" spans="2:3" hidden="1" outlineLevel="1" x14ac:dyDescent="0.45">
      <c r="B178" s="71">
        <v>0.76</v>
      </c>
      <c r="C178" s="70" cm="1">
        <f t="array" aca="1" ref="C178" ca="1">IF(ISNUMBER(_xll.VoseSimPercentile(Out_Gap_1,0.76)),_xll.VoseSimPercentile(Out_Gap_1,0.76),NA())</f>
        <v>0.32048448643042704</v>
      </c>
    </row>
    <row r="179" spans="2:3" hidden="1" outlineLevel="1" x14ac:dyDescent="0.45">
      <c r="B179" s="71">
        <v>0.77</v>
      </c>
      <c r="C179" s="70" cm="1">
        <f t="array" aca="1" ref="C179" ca="1">IF(ISNUMBER(_xll.VoseSimPercentile(Out_Gap_1,0.77)),_xll.VoseSimPercentile(Out_Gap_1,0.77),NA())</f>
        <v>0.32270569227067014</v>
      </c>
    </row>
    <row r="180" spans="2:3" hidden="1" outlineLevel="1" x14ac:dyDescent="0.45">
      <c r="B180" s="71">
        <v>0.78</v>
      </c>
      <c r="C180" s="70" cm="1">
        <f t="array" aca="1" ref="C180" ca="1">IF(ISNUMBER(_xll.VoseSimPercentile(Out_Gap_1,0.78)),_xll.VoseSimPercentile(Out_Gap_1,0.78),NA())</f>
        <v>0.32448642206137279</v>
      </c>
    </row>
    <row r="181" spans="2:3" hidden="1" outlineLevel="1" x14ac:dyDescent="0.45">
      <c r="B181" s="71">
        <v>0.79</v>
      </c>
      <c r="C181" s="70" cm="1">
        <f t="array" aca="1" ref="C181" ca="1">IF(ISNUMBER(_xll.VoseSimPercentile(Out_Gap_1,0.79)),_xll.VoseSimPercentile(Out_Gap_1,0.79),NA())</f>
        <v>0.32647383796187412</v>
      </c>
    </row>
    <row r="182" spans="2:3" hidden="1" outlineLevel="1" x14ac:dyDescent="0.45">
      <c r="B182" s="71">
        <v>0.8</v>
      </c>
      <c r="C182" s="70" cm="1">
        <f t="array" aca="1" ref="C182" ca="1">IF(ISNUMBER(_xll.VoseSimPercentile(Out_Gap_1,0.8)),_xll.VoseSimPercentile(Out_Gap_1,0.8),NA())</f>
        <v>0.328385829146562</v>
      </c>
    </row>
    <row r="183" spans="2:3" hidden="1" outlineLevel="1" x14ac:dyDescent="0.45">
      <c r="B183" s="71">
        <v>0.81</v>
      </c>
      <c r="C183" s="70" cm="1">
        <f t="array" aca="1" ref="C183" ca="1">IF(ISNUMBER(_xll.VoseSimPercentile(Out_Gap_1,0.81)),_xll.VoseSimPercentile(Out_Gap_1,0.81),NA())</f>
        <v>0.33041419023144769</v>
      </c>
    </row>
    <row r="184" spans="2:3" hidden="1" outlineLevel="1" x14ac:dyDescent="0.45">
      <c r="B184" s="71">
        <v>0.82</v>
      </c>
      <c r="C184" s="70" cm="1">
        <f t="array" aca="1" ref="C184" ca="1">IF(ISNUMBER(_xll.VoseSimPercentile(Out_Gap_1,0.82)),_xll.VoseSimPercentile(Out_Gap_1,0.82),NA())</f>
        <v>0.33257362421827352</v>
      </c>
    </row>
    <row r="185" spans="2:3" hidden="1" outlineLevel="1" x14ac:dyDescent="0.45">
      <c r="B185" s="71">
        <v>0.83</v>
      </c>
      <c r="C185" s="70" cm="1">
        <f t="array" aca="1" ref="C185" ca="1">IF(ISNUMBER(_xll.VoseSimPercentile(Out_Gap_1,0.83)),_xll.VoseSimPercentile(Out_Gap_1,0.83),NA())</f>
        <v>0.33454454303221226</v>
      </c>
    </row>
    <row r="186" spans="2:3" hidden="1" outlineLevel="1" x14ac:dyDescent="0.45">
      <c r="B186" s="71">
        <v>0.84</v>
      </c>
      <c r="C186" s="70" cm="1">
        <f t="array" aca="1" ref="C186" ca="1">IF(ISNUMBER(_xll.VoseSimPercentile(Out_Gap_1,0.84)),_xll.VoseSimPercentile(Out_Gap_1,0.84),NA())</f>
        <v>0.33677622791250883</v>
      </c>
    </row>
    <row r="187" spans="2:3" hidden="1" outlineLevel="1" x14ac:dyDescent="0.45">
      <c r="B187" s="71">
        <v>0.85</v>
      </c>
      <c r="C187" s="70" cm="1">
        <f t="array" aca="1" ref="C187" ca="1">IF(ISNUMBER(_xll.VoseSimPercentile(Out_Gap_1,0.85)),_xll.VoseSimPercentile(Out_Gap_1,0.85),NA())</f>
        <v>0.33891344361140341</v>
      </c>
    </row>
    <row r="188" spans="2:3" hidden="1" outlineLevel="1" x14ac:dyDescent="0.45">
      <c r="B188" s="71">
        <v>0.86</v>
      </c>
      <c r="C188" s="70" cm="1">
        <f t="array" aca="1" ref="C188" ca="1">IF(ISNUMBER(_xll.VoseSimPercentile(Out_Gap_1,0.86)),_xll.VoseSimPercentile(Out_Gap_1,0.86),NA())</f>
        <v>0.34124216529290408</v>
      </c>
    </row>
    <row r="189" spans="2:3" hidden="1" outlineLevel="1" x14ac:dyDescent="0.45">
      <c r="B189" s="71">
        <v>0.87</v>
      </c>
      <c r="C189" s="70" cm="1">
        <f t="array" aca="1" ref="C189" ca="1">IF(ISNUMBER(_xll.VoseSimPercentile(Out_Gap_1,0.87)),_xll.VoseSimPercentile(Out_Gap_1,0.87),NA())</f>
        <v>0.34368560997475583</v>
      </c>
    </row>
    <row r="190" spans="2:3" hidden="1" outlineLevel="1" x14ac:dyDescent="0.45">
      <c r="B190" s="71">
        <v>0.88</v>
      </c>
      <c r="C190" s="70" cm="1">
        <f t="array" aca="1" ref="C190" ca="1">IF(ISNUMBER(_xll.VoseSimPercentile(Out_Gap_1,0.88)),_xll.VoseSimPercentile(Out_Gap_1,0.88),NA())</f>
        <v>0.34636726118164773</v>
      </c>
    </row>
    <row r="191" spans="2:3" hidden="1" outlineLevel="1" x14ac:dyDescent="0.45">
      <c r="B191" s="71">
        <v>0.89</v>
      </c>
      <c r="C191" s="70" cm="1">
        <f t="array" aca="1" ref="C191" ca="1">IF(ISNUMBER(_xll.VoseSimPercentile(Out_Gap_1,0.89)),_xll.VoseSimPercentile(Out_Gap_1,0.89),NA())</f>
        <v>0.34972058212423462</v>
      </c>
    </row>
    <row r="192" spans="2:3" hidden="1" outlineLevel="1" x14ac:dyDescent="0.45">
      <c r="B192" s="71">
        <v>0.9</v>
      </c>
      <c r="C192" s="70" cm="1">
        <f t="array" aca="1" ref="C192" ca="1">IF(ISNUMBER(_xll.VoseSimPercentile(Out_Gap_1,0.9)),_xll.VoseSimPercentile(Out_Gap_1,0.9),NA())</f>
        <v>0.35284826306181571</v>
      </c>
    </row>
    <row r="193" spans="2:7" hidden="1" outlineLevel="1" x14ac:dyDescent="0.45">
      <c r="B193" s="71">
        <v>0.91</v>
      </c>
      <c r="C193" s="70" cm="1">
        <f t="array" aca="1" ref="C193" ca="1">IF(ISNUMBER(_xll.VoseSimPercentile(Out_Gap_1,0.91)),_xll.VoseSimPercentile(Out_Gap_1,0.91),NA())</f>
        <v>0.35602159724677307</v>
      </c>
    </row>
    <row r="194" spans="2:7" hidden="1" outlineLevel="1" x14ac:dyDescent="0.45">
      <c r="B194" s="71">
        <v>0.92</v>
      </c>
      <c r="C194" s="70" cm="1">
        <f t="array" aca="1" ref="C194" ca="1">IF(ISNUMBER(_xll.VoseSimPercentile(Out_Gap_1,0.92)),_xll.VoseSimPercentile(Out_Gap_1,0.92),NA())</f>
        <v>0.3594889815262583</v>
      </c>
    </row>
    <row r="195" spans="2:7" hidden="1" outlineLevel="1" x14ac:dyDescent="0.45">
      <c r="B195" s="71">
        <v>0.93</v>
      </c>
      <c r="C195" s="70" cm="1">
        <f t="array" aca="1" ref="C195" ca="1">IF(ISNUMBER(_xll.VoseSimPercentile(Out_Gap_1,0.93)),_xll.VoseSimPercentile(Out_Gap_1,0.93),NA())</f>
        <v>0.36349971717012153</v>
      </c>
    </row>
    <row r="196" spans="2:7" hidden="1" outlineLevel="1" x14ac:dyDescent="0.45">
      <c r="B196" s="71">
        <v>0.94</v>
      </c>
      <c r="C196" s="70" cm="1">
        <f t="array" aca="1" ref="C196" ca="1">IF(ISNUMBER(_xll.VoseSimPercentile(Out_Gap_1,0.94)),_xll.VoseSimPercentile(Out_Gap_1,0.94),NA())</f>
        <v>0.36707038505736378</v>
      </c>
    </row>
    <row r="197" spans="2:7" hidden="1" outlineLevel="1" x14ac:dyDescent="0.45">
      <c r="B197" s="71">
        <v>0.95</v>
      </c>
      <c r="C197" s="70" cm="1">
        <f t="array" aca="1" ref="C197" ca="1">IF(ISNUMBER(_xll.VoseSimPercentile(Out_Gap_1,0.95)),_xll.VoseSimPercentile(Out_Gap_1,0.95),NA())</f>
        <v>0.37138883926550648</v>
      </c>
    </row>
    <row r="198" spans="2:7" hidden="1" outlineLevel="1" x14ac:dyDescent="0.45">
      <c r="B198" s="71">
        <v>0.96</v>
      </c>
      <c r="C198" s="70" cm="1">
        <f t="array" aca="1" ref="C198" ca="1">IF(ISNUMBER(_xll.VoseSimPercentile(Out_Gap_1,0.96)),_xll.VoseSimPercentile(Out_Gap_1,0.96),NA())</f>
        <v>0.37706751523791482</v>
      </c>
    </row>
    <row r="199" spans="2:7" hidden="1" outlineLevel="1" x14ac:dyDescent="0.45">
      <c r="B199" s="71">
        <v>0.97</v>
      </c>
      <c r="C199" s="70" cm="1">
        <f t="array" aca="1" ref="C199" ca="1">IF(ISNUMBER(_xll.VoseSimPercentile(Out_Gap_1,0.97)),_xll.VoseSimPercentile(Out_Gap_1,0.97),NA())</f>
        <v>0.3838504371349778</v>
      </c>
    </row>
    <row r="200" spans="2:7" hidden="1" outlineLevel="1" x14ac:dyDescent="0.45">
      <c r="B200" s="71">
        <v>0.98</v>
      </c>
      <c r="C200" s="70" cm="1">
        <f t="array" aca="1" ref="C200" ca="1">IF(ISNUMBER(_xll.VoseSimPercentile(Out_Gap_1,0.98)),_xll.VoseSimPercentile(Out_Gap_1,0.98),NA())</f>
        <v>0.39242169699294394</v>
      </c>
    </row>
    <row r="201" spans="2:7" hidden="1" outlineLevel="1" x14ac:dyDescent="0.45">
      <c r="B201" s="71">
        <v>0.99</v>
      </c>
      <c r="C201" s="70" cm="1">
        <f t="array" aca="1" ref="C201" ca="1">IF(ISNUMBER(_xll.VoseSimPercentile(Out_Gap_1,0.99)),_xll.VoseSimPercentile(Out_Gap_1,0.99),NA())</f>
        <v>0.40663749729555576</v>
      </c>
    </row>
    <row r="202" spans="2:7" hidden="1" outlineLevel="1" x14ac:dyDescent="0.45">
      <c r="B202" s="71">
        <v>0.995</v>
      </c>
      <c r="C202" s="70" cm="1">
        <f t="array" aca="1" ref="C202" ca="1">IF(ISNUMBER(_xll.VoseSimPercentile(Out_Gap_1,0.995)),_xll.VoseSimPercentile(Out_Gap_1,0.995),NA())</f>
        <v>0.41975608231480521</v>
      </c>
    </row>
    <row r="203" spans="2:7" hidden="1" outlineLevel="1" x14ac:dyDescent="0.45"/>
    <row r="204" spans="2:7" ht="18" hidden="1" customHeight="1" outlineLevel="1" x14ac:dyDescent="0.45">
      <c r="B204" s="23" t="s">
        <v>233</v>
      </c>
      <c r="C204" s="24" t="s">
        <v>234</v>
      </c>
      <c r="D204" s="24" t="s">
        <v>235</v>
      </c>
      <c r="E204" s="24" t="s">
        <v>236</v>
      </c>
      <c r="F204" s="24" t="s">
        <v>237</v>
      </c>
      <c r="G204" s="24" t="s">
        <v>238</v>
      </c>
    </row>
    <row r="205" spans="2:7" hidden="1" outlineLevel="1" x14ac:dyDescent="0.45">
      <c r="B205" s="72">
        <v>0</v>
      </c>
      <c r="C205" s="70">
        <f ca="1">IF(ISNUMBER($C$102),$C$102+($C$202-$C$102)*0/24,NA())</f>
        <v>0.14192353517065825</v>
      </c>
      <c r="D205" s="73">
        <f t="shared" ref="D205:D229" ca="1" si="6">IF(ISNUMBER(C205),MATCH(C205,$C$102:$C$202,1),NA())</f>
        <v>1</v>
      </c>
      <c r="E205" s="70">
        <f t="shared" ref="E205:E228" ca="1" si="7">IF(ISNUMBER(C205),(C205+C206)/2,NA())</f>
        <v>0.14771171323616133</v>
      </c>
      <c r="F205" s="71">
        <f t="shared" ref="F205:F228" ca="1" si="8">IF(ISNUMBER(G206),G206-G205,NA())</f>
        <v>4.201480923898872E-3</v>
      </c>
      <c r="G205" s="71" cm="1">
        <f t="array" aca="1" ref="G205" ca="1">IF(ISNUMBER(D205),IF(D205&gt;=101,INDEX($B$102:$B$202,101),INDEX($B$102:$B$202,D205)+(C205-INDEX($C$102:$C$202,D205))/MAX(0.000000000001,INDEX($C$102:$C$202,D205+1)-INDEX($C$102:$C$202,D205))*(INDEX($B$102:$B$202,D205+1)-INDEX($B$102:$B$202,D205))),NA())</f>
        <v>5.0000000000000001E-3</v>
      </c>
    </row>
    <row r="206" spans="2:7" hidden="1" outlineLevel="1" x14ac:dyDescent="0.45">
      <c r="B206" s="72">
        <v>1</v>
      </c>
      <c r="C206" s="70">
        <f ca="1">IF(ISNUMBER($C$102),$C$102+($C$202-$C$102)*1/24,NA())</f>
        <v>0.15349989130166439</v>
      </c>
      <c r="D206" s="73">
        <f t="shared" ca="1" si="6"/>
        <v>1</v>
      </c>
      <c r="E206" s="70">
        <f t="shared" ca="1" si="7"/>
        <v>0.15928806936716744</v>
      </c>
      <c r="F206" s="71">
        <f t="shared" ca="1" si="8"/>
        <v>7.6973618069985129E-3</v>
      </c>
      <c r="G206" s="71" cm="1">
        <f t="array" aca="1" ref="G206" ca="1">IF(ISNUMBER(D206),IF(D206&gt;=101,INDEX($B$102:$B$202,101),INDEX($B$102:$B$202,D206)+(C206-INDEX($C$102:$C$202,D206))/MAX(0.000000000001,INDEX($C$102:$C$202,D206+1)-INDEX($C$102:$C$202,D206))*(INDEX($B$102:$B$202,D206+1)-INDEX($B$102:$B$202,D206))),NA())</f>
        <v>9.2014809238988721E-3</v>
      </c>
    </row>
    <row r="207" spans="2:7" hidden="1" outlineLevel="1" x14ac:dyDescent="0.45">
      <c r="B207" s="72">
        <v>2</v>
      </c>
      <c r="C207" s="70">
        <f ca="1">IF(ISNUMBER($C$102),$C$102+($C$202-$C$102)*2/24,NA())</f>
        <v>0.16507624743267049</v>
      </c>
      <c r="D207" s="73">
        <f t="shared" ca="1" si="6"/>
        <v>2</v>
      </c>
      <c r="E207" s="70">
        <f t="shared" ca="1" si="7"/>
        <v>0.17086442549817354</v>
      </c>
      <c r="F207" s="71">
        <f t="shared" ca="1" si="8"/>
        <v>1.1606591926891691E-2</v>
      </c>
      <c r="G207" s="71" cm="1">
        <f t="array" aca="1" ref="G207" ca="1">IF(ISNUMBER(D207),IF(D207&gt;=101,INDEX($B$102:$B$202,101),INDEX($B$102:$B$202,D207)+(C207-INDEX($C$102:$C$202,D207))/MAX(0.000000000001,INDEX($C$102:$C$202,D207+1)-INDEX($C$102:$C$202,D207))*(INDEX($B$102:$B$202,D207+1)-INDEX($B$102:$B$202,D207))),NA())</f>
        <v>1.6898842730897385E-2</v>
      </c>
    </row>
    <row r="208" spans="2:7" hidden="1" outlineLevel="1" x14ac:dyDescent="0.45">
      <c r="B208" s="72">
        <v>3</v>
      </c>
      <c r="C208" s="70">
        <f ca="1">IF(ISNUMBER($C$102),$C$102+($C$202-$C$102)*3/24,NA())</f>
        <v>0.17665260356367662</v>
      </c>
      <c r="D208" s="73">
        <f t="shared" ca="1" si="6"/>
        <v>3</v>
      </c>
      <c r="E208" s="70">
        <f t="shared" ca="1" si="7"/>
        <v>0.1824407816291797</v>
      </c>
      <c r="F208" s="71">
        <f t="shared" ca="1" si="8"/>
        <v>1.7362987076540999E-2</v>
      </c>
      <c r="G208" s="71" cm="1">
        <f t="array" aca="1" ref="G208" ca="1">IF(ISNUMBER(D208),IF(D208&gt;=101,INDEX($B$102:$B$202,101),INDEX($B$102:$B$202,D208)+(C208-INDEX($C$102:$C$202,D208))/MAX(0.000000000001,INDEX($C$102:$C$202,D208+1)-INDEX($C$102:$C$202,D208))*(INDEX($B$102:$B$202,D208+1)-INDEX($B$102:$B$202,D208))),NA())</f>
        <v>2.8505434657789076E-2</v>
      </c>
    </row>
    <row r="209" spans="2:7" hidden="1" outlineLevel="1" x14ac:dyDescent="0.45">
      <c r="B209" s="72">
        <v>4</v>
      </c>
      <c r="C209" s="70">
        <f ca="1">IF(ISNUMBER($C$102),$C$102+($C$202-$C$102)*4/24,NA())</f>
        <v>0.18822895969468276</v>
      </c>
      <c r="D209" s="73">
        <f t="shared" ca="1" si="6"/>
        <v>5</v>
      </c>
      <c r="E209" s="70">
        <f t="shared" ca="1" si="7"/>
        <v>0.19401713776018581</v>
      </c>
      <c r="F209" s="71">
        <f t="shared" ca="1" si="8"/>
        <v>2.5861106157522615E-2</v>
      </c>
      <c r="G209" s="71" cm="1">
        <f t="array" aca="1" ref="G209" ca="1">IF(ISNUMBER(D209),IF(D209&gt;=101,INDEX($B$102:$B$202,101),INDEX($B$102:$B$202,D209)+(C209-INDEX($C$102:$C$202,D209))/MAX(0.000000000001,INDEX($C$102:$C$202,D209+1)-INDEX($C$102:$C$202,D209))*(INDEX($B$102:$B$202,D209+1)-INDEX($B$102:$B$202,D209))),NA())</f>
        <v>4.5868421734330075E-2</v>
      </c>
    </row>
    <row r="210" spans="2:7" hidden="1" outlineLevel="1" x14ac:dyDescent="0.45">
      <c r="B210" s="72">
        <v>5</v>
      </c>
      <c r="C210" s="70">
        <f ca="1">IF(ISNUMBER($C$102),$C$102+($C$202-$C$102)*5/24,NA())</f>
        <v>0.19980531582568886</v>
      </c>
      <c r="D210" s="73">
        <f t="shared" ca="1" si="6"/>
        <v>8</v>
      </c>
      <c r="E210" s="70">
        <f t="shared" ca="1" si="7"/>
        <v>0.20559349389119191</v>
      </c>
      <c r="F210" s="71">
        <f t="shared" ca="1" si="8"/>
        <v>3.5481651934188854E-2</v>
      </c>
      <c r="G210" s="71" cm="1">
        <f t="array" aca="1" ref="G210" ca="1">IF(ISNUMBER(D210),IF(D210&gt;=101,INDEX($B$102:$B$202,101),INDEX($B$102:$B$202,D210)+(C210-INDEX($C$102:$C$202,D210))/MAX(0.000000000001,INDEX($C$102:$C$202,D210+1)-INDEX($C$102:$C$202,D210))*(INDEX($B$102:$B$202,D210+1)-INDEX($B$102:$B$202,D210))),NA())</f>
        <v>7.172952789185269E-2</v>
      </c>
    </row>
    <row r="211" spans="2:7" hidden="1" outlineLevel="1" x14ac:dyDescent="0.45">
      <c r="B211" s="72">
        <v>6</v>
      </c>
      <c r="C211" s="70">
        <f ca="1">IF(ISNUMBER($C$102),$C$102+($C$202-$C$102)*6/24,NA())</f>
        <v>0.21138167195669499</v>
      </c>
      <c r="D211" s="73">
        <f t="shared" ca="1" si="6"/>
        <v>11</v>
      </c>
      <c r="E211" s="70">
        <f t="shared" ca="1" si="7"/>
        <v>0.21716985002219805</v>
      </c>
      <c r="F211" s="71">
        <f t="shared" ca="1" si="8"/>
        <v>4.8334944794454257E-2</v>
      </c>
      <c r="G211" s="71" cm="1">
        <f t="array" aca="1" ref="G211" ca="1">IF(ISNUMBER(D211),IF(D211&gt;=101,INDEX($B$102:$B$202,101),INDEX($B$102:$B$202,D211)+(C211-INDEX($C$102:$C$202,D211))/MAX(0.000000000001,INDEX($C$102:$C$202,D211+1)-INDEX($C$102:$C$202,D211))*(INDEX($B$102:$B$202,D211+1)-INDEX($B$102:$B$202,D211))),NA())</f>
        <v>0.10721117982604154</v>
      </c>
    </row>
    <row r="212" spans="2:7" hidden="1" outlineLevel="1" x14ac:dyDescent="0.45">
      <c r="B212" s="72">
        <v>7</v>
      </c>
      <c r="C212" s="70">
        <f ca="1">IF(ISNUMBER($C$102),$C$102+($C$202-$C$102)*7/24,NA())</f>
        <v>0.2229580280877011</v>
      </c>
      <c r="D212" s="73">
        <f t="shared" ca="1" si="6"/>
        <v>16</v>
      </c>
      <c r="E212" s="70">
        <f t="shared" ca="1" si="7"/>
        <v>0.22874620615320418</v>
      </c>
      <c r="F212" s="71">
        <f t="shared" ca="1" si="8"/>
        <v>5.2389808501510149E-2</v>
      </c>
      <c r="G212" s="71" cm="1">
        <f t="array" aca="1" ref="G212" ca="1">IF(ISNUMBER(D212),IF(D212&gt;=101,INDEX($B$102:$B$202,101),INDEX($B$102:$B$202,D212)+(C212-INDEX($C$102:$C$202,D212))/MAX(0.000000000001,INDEX($C$102:$C$202,D212+1)-INDEX($C$102:$C$202,D212))*(INDEX($B$102:$B$202,D212+1)-INDEX($B$102:$B$202,D212))),NA())</f>
        <v>0.1555461246204958</v>
      </c>
    </row>
    <row r="213" spans="2:7" hidden="1" outlineLevel="1" x14ac:dyDescent="0.45">
      <c r="B213" s="72">
        <v>8</v>
      </c>
      <c r="C213" s="70">
        <f ca="1">IF(ISNUMBER($C$102),$C$102+($C$202-$C$102)*8/24,NA())</f>
        <v>0.23453438421870726</v>
      </c>
      <c r="D213" s="73">
        <f t="shared" ca="1" si="6"/>
        <v>21</v>
      </c>
      <c r="E213" s="70">
        <f t="shared" ca="1" si="7"/>
        <v>0.24032256228421031</v>
      </c>
      <c r="F213" s="71">
        <f t="shared" ca="1" si="8"/>
        <v>6.6850666606898396E-2</v>
      </c>
      <c r="G213" s="71" cm="1">
        <f t="array" aca="1" ref="G213" ca="1">IF(ISNUMBER(D213),IF(D213&gt;=101,INDEX($B$102:$B$202,101),INDEX($B$102:$B$202,D213)+(C213-INDEX($C$102:$C$202,D213))/MAX(0.000000000001,INDEX($C$102:$C$202,D213+1)-INDEX($C$102:$C$202,D213))*(INDEX($B$102:$B$202,D213+1)-INDEX($B$102:$B$202,D213))),NA())</f>
        <v>0.20793593312200595</v>
      </c>
    </row>
    <row r="214" spans="2:7" hidden="1" outlineLevel="1" x14ac:dyDescent="0.45">
      <c r="B214" s="72">
        <v>9</v>
      </c>
      <c r="C214" s="70">
        <f ca="1">IF(ISNUMBER($C$102),$C$102+($C$202-$C$102)*9/24,NA())</f>
        <v>0.24611074034971336</v>
      </c>
      <c r="D214" s="73">
        <f t="shared" ca="1" si="6"/>
        <v>28</v>
      </c>
      <c r="E214" s="70">
        <f t="shared" ca="1" si="7"/>
        <v>0.25189891841521639</v>
      </c>
      <c r="F214" s="71">
        <f t="shared" ca="1" si="8"/>
        <v>7.2470584549302941E-2</v>
      </c>
      <c r="G214" s="71" cm="1">
        <f t="array" aca="1" ref="G214" ca="1">IF(ISNUMBER(D214),IF(D214&gt;=101,INDEX($B$102:$B$202,101),INDEX($B$102:$B$202,D214)+(C214-INDEX($C$102:$C$202,D214))/MAX(0.000000000001,INDEX($C$102:$C$202,D214+1)-INDEX($C$102:$C$202,D214))*(INDEX($B$102:$B$202,D214+1)-INDEX($B$102:$B$202,D214))),NA())</f>
        <v>0.27478659972890435</v>
      </c>
    </row>
    <row r="215" spans="2:7" hidden="1" outlineLevel="1" x14ac:dyDescent="0.45">
      <c r="B215" s="72">
        <v>10</v>
      </c>
      <c r="C215" s="70">
        <f ca="1">IF(ISNUMBER($C$102),$C$102+($C$202-$C$102)*10/24,NA())</f>
        <v>0.25768709648071947</v>
      </c>
      <c r="D215" s="73">
        <f t="shared" ca="1" si="6"/>
        <v>35</v>
      </c>
      <c r="E215" s="70">
        <f t="shared" ca="1" si="7"/>
        <v>0.26347527454622255</v>
      </c>
      <c r="F215" s="71">
        <f t="shared" ca="1" si="8"/>
        <v>7.8744338172264505E-2</v>
      </c>
      <c r="G215" s="71" cm="1">
        <f t="array" aca="1" ref="G215" ca="1">IF(ISNUMBER(D215),IF(D215&gt;=101,INDEX($B$102:$B$202,101),INDEX($B$102:$B$202,D215)+(C215-INDEX($C$102:$C$202,D215))/MAX(0.000000000001,INDEX($C$102:$C$202,D215+1)-INDEX($C$102:$C$202,D215))*(INDEX($B$102:$B$202,D215+1)-INDEX($B$102:$B$202,D215))),NA())</f>
        <v>0.34725718427820729</v>
      </c>
    </row>
    <row r="216" spans="2:7" hidden="1" outlineLevel="1" x14ac:dyDescent="0.45">
      <c r="B216" s="72">
        <v>11</v>
      </c>
      <c r="C216" s="70">
        <f ca="1">IF(ISNUMBER($C$102),$C$102+($C$202-$C$102)*11/24,NA())</f>
        <v>0.26926345261172557</v>
      </c>
      <c r="D216" s="73">
        <f t="shared" ca="1" si="6"/>
        <v>43</v>
      </c>
      <c r="E216" s="70">
        <f t="shared" ca="1" si="7"/>
        <v>0.27505163067722865</v>
      </c>
      <c r="F216" s="71">
        <f t="shared" ca="1" si="8"/>
        <v>7.832937842107085E-2</v>
      </c>
      <c r="G216" s="71" cm="1">
        <f t="array" aca="1" ref="G216" ca="1">IF(ISNUMBER(D216),IF(D216&gt;=101,INDEX($B$102:$B$202,101),INDEX($B$102:$B$202,D216)+(C216-INDEX($C$102:$C$202,D216))/MAX(0.000000000001,INDEX($C$102:$C$202,D216+1)-INDEX($C$102:$C$202,D216))*(INDEX($B$102:$B$202,D216+1)-INDEX($B$102:$B$202,D216))),NA())</f>
        <v>0.42600152245047179</v>
      </c>
    </row>
    <row r="217" spans="2:7" hidden="1" outlineLevel="1" x14ac:dyDescent="0.45">
      <c r="B217" s="72">
        <v>12</v>
      </c>
      <c r="C217" s="70">
        <f ca="1">IF(ISNUMBER($C$102),$C$102+($C$202-$C$102)*12/24,NA())</f>
        <v>0.28083980874273173</v>
      </c>
      <c r="D217" s="73">
        <f t="shared" ca="1" si="6"/>
        <v>51</v>
      </c>
      <c r="E217" s="70">
        <f t="shared" ca="1" si="7"/>
        <v>0.28662798680823481</v>
      </c>
      <c r="F217" s="71">
        <f t="shared" ca="1" si="8"/>
        <v>8.0273292686651065E-2</v>
      </c>
      <c r="G217" s="71" cm="1">
        <f t="array" aca="1" ref="G217" ca="1">IF(ISNUMBER(D217),IF(D217&gt;=101,INDEX($B$102:$B$202,101),INDEX($B$102:$B$202,D217)+(C217-INDEX($C$102:$C$202,D217))/MAX(0.000000000001,INDEX($C$102:$C$202,D217+1)-INDEX($C$102:$C$202,D217))*(INDEX($B$102:$B$202,D217+1)-INDEX($B$102:$B$202,D217))),NA())</f>
        <v>0.50433090087154264</v>
      </c>
    </row>
    <row r="218" spans="2:7" hidden="1" outlineLevel="1" x14ac:dyDescent="0.45">
      <c r="B218" s="72">
        <v>13</v>
      </c>
      <c r="C218" s="70">
        <f ca="1">IF(ISNUMBER($C$102),$C$102+($C$202-$C$102)*13/24,NA())</f>
        <v>0.29241616487373789</v>
      </c>
      <c r="D218" s="73">
        <f t="shared" ca="1" si="6"/>
        <v>59</v>
      </c>
      <c r="E218" s="70">
        <f t="shared" ca="1" si="7"/>
        <v>0.29820434293924092</v>
      </c>
      <c r="F218" s="71">
        <f t="shared" ca="1" si="8"/>
        <v>7.4058957600207309E-2</v>
      </c>
      <c r="G218" s="71" cm="1">
        <f t="array" aca="1" ref="G218" ca="1">IF(ISNUMBER(D218),IF(D218&gt;=101,INDEX($B$102:$B$202,101),INDEX($B$102:$B$202,D218)+(C218-INDEX($C$102:$C$202,D218))/MAX(0.000000000001,INDEX($C$102:$C$202,D218+1)-INDEX($C$102:$C$202,D218))*(INDEX($B$102:$B$202,D218+1)-INDEX($B$102:$B$202,D218))),NA())</f>
        <v>0.58460419355819371</v>
      </c>
    </row>
    <row r="219" spans="2:7" hidden="1" outlineLevel="1" x14ac:dyDescent="0.45">
      <c r="B219" s="72">
        <v>14</v>
      </c>
      <c r="C219" s="70">
        <f ca="1">IF(ISNUMBER($C$102),$C$102+($C$202-$C$102)*14/24,NA())</f>
        <v>0.30399252100474394</v>
      </c>
      <c r="D219" s="73">
        <f t="shared" ca="1" si="6"/>
        <v>66</v>
      </c>
      <c r="E219" s="70">
        <f t="shared" ca="1" si="7"/>
        <v>0.30978069907024702</v>
      </c>
      <c r="F219" s="71">
        <f t="shared" ca="1" si="8"/>
        <v>7.1406028161414281E-2</v>
      </c>
      <c r="G219" s="71" cm="1">
        <f t="array" aca="1" ref="G219" ca="1">IF(ISNUMBER(D219),IF(D219&gt;=101,INDEX($B$102:$B$202,101),INDEX($B$102:$B$202,D219)+(C219-INDEX($C$102:$C$202,D219))/MAX(0.000000000001,INDEX($C$102:$C$202,D219+1)-INDEX($C$102:$C$202,D219))*(INDEX($B$102:$B$202,D219+1)-INDEX($B$102:$B$202,D219))),NA())</f>
        <v>0.65866315115840102</v>
      </c>
    </row>
    <row r="220" spans="2:7" hidden="1" outlineLevel="1" x14ac:dyDescent="0.45">
      <c r="B220" s="72">
        <v>15</v>
      </c>
      <c r="C220" s="70">
        <f ca="1">IF(ISNUMBER($C$102),$C$102+($C$202-$C$102)*15/24,NA())</f>
        <v>0.3155688771357501</v>
      </c>
      <c r="D220" s="73">
        <f t="shared" ca="1" si="6"/>
        <v>74</v>
      </c>
      <c r="E220" s="70">
        <f t="shared" ca="1" si="7"/>
        <v>0.32135705520125318</v>
      </c>
      <c r="F220" s="71">
        <f t="shared" ca="1" si="8"/>
        <v>6.3442318590107072E-2</v>
      </c>
      <c r="G220" s="71" cm="1">
        <f t="array" aca="1" ref="G220" ca="1">IF(ISNUMBER(D220),IF(D220&gt;=101,INDEX($B$102:$B$202,101),INDEX($B$102:$B$202,D220)+(C220-INDEX($C$102:$C$202,D220))/MAX(0.000000000001,INDEX($C$102:$C$202,D220+1)-INDEX($C$102:$C$202,D220))*(INDEX($B$102:$B$202,D220+1)-INDEX($B$102:$B$202,D220))),NA())</f>
        <v>0.7300691793198153</v>
      </c>
    </row>
    <row r="221" spans="2:7" hidden="1" outlineLevel="1" x14ac:dyDescent="0.45">
      <c r="B221" s="72">
        <v>16</v>
      </c>
      <c r="C221" s="70">
        <f ca="1">IF(ISNUMBER($C$102),$C$102+($C$202-$C$102)*16/24,NA())</f>
        <v>0.32714523326675626</v>
      </c>
      <c r="D221" s="73">
        <f t="shared" ca="1" si="6"/>
        <v>80</v>
      </c>
      <c r="E221" s="70">
        <f t="shared" ca="1" si="7"/>
        <v>0.33293341133225929</v>
      </c>
      <c r="F221" s="71">
        <f t="shared" ca="1" si="8"/>
        <v>5.5590819119938795E-2</v>
      </c>
      <c r="G221" s="71" cm="1">
        <f t="array" aca="1" ref="G221" ca="1">IF(ISNUMBER(D221),IF(D221&gt;=101,INDEX($B$102:$B$202,101),INDEX($B$102:$B$202,D221)+(C221-INDEX($C$102:$C$202,D221))/MAX(0.000000000001,INDEX($C$102:$C$202,D221+1)-INDEX($C$102:$C$202,D221))*(INDEX($B$102:$B$202,D221+1)-INDEX($B$102:$B$202,D221))),NA())</f>
        <v>0.79351149790992237</v>
      </c>
    </row>
    <row r="222" spans="2:7" hidden="1" outlineLevel="1" x14ac:dyDescent="0.45">
      <c r="B222" s="72">
        <v>17</v>
      </c>
      <c r="C222" s="70">
        <f ca="1">IF(ISNUMBER($C$102),$C$102+($C$202-$C$102)*17/24,NA())</f>
        <v>0.33872158939776231</v>
      </c>
      <c r="D222" s="73">
        <f t="shared" ca="1" si="6"/>
        <v>85</v>
      </c>
      <c r="E222" s="70">
        <f t="shared" ca="1" si="7"/>
        <v>0.34450976746326539</v>
      </c>
      <c r="F222" s="71">
        <f t="shared" ca="1" si="8"/>
        <v>4.2743662199018817E-2</v>
      </c>
      <c r="G222" s="71" cm="1">
        <f t="array" aca="1" ref="G222" ca="1">IF(ISNUMBER(D222),IF(D222&gt;=101,INDEX($B$102:$B$202,101),INDEX($B$102:$B$202,D222)+(C222-INDEX($C$102:$C$202,D222))/MAX(0.000000000001,INDEX($C$102:$C$202,D222+1)-INDEX($C$102:$C$202,D222))*(INDEX($B$102:$B$202,D222+1)-INDEX($B$102:$B$202,D222))),NA())</f>
        <v>0.84910231702986116</v>
      </c>
    </row>
    <row r="223" spans="2:7" hidden="1" outlineLevel="1" x14ac:dyDescent="0.45">
      <c r="B223" s="72">
        <v>18</v>
      </c>
      <c r="C223" s="70">
        <f ca="1">IF(ISNUMBER($C$102),$C$102+($C$202-$C$102)*18/24,NA())</f>
        <v>0.35029794552876847</v>
      </c>
      <c r="D223" s="73">
        <f t="shared" ca="1" si="6"/>
        <v>90</v>
      </c>
      <c r="E223" s="70">
        <f t="shared" ca="1" si="7"/>
        <v>0.35608612359427155</v>
      </c>
      <c r="F223" s="71">
        <f t="shared" ca="1" si="8"/>
        <v>3.4101358978678276E-2</v>
      </c>
      <c r="G223" s="71" cm="1">
        <f t="array" aca="1" ref="G223" ca="1">IF(ISNUMBER(D223),IF(D223&gt;=101,INDEX($B$102:$B$202,101),INDEX($B$102:$B$202,D223)+(C223-INDEX($C$102:$C$202,D223))/MAX(0.000000000001,INDEX($C$102:$C$202,D223+1)-INDEX($C$102:$C$202,D223))*(INDEX($B$102:$B$202,D223+1)-INDEX($B$102:$B$202,D223))),NA())</f>
        <v>0.89184597922887998</v>
      </c>
    </row>
    <row r="224" spans="2:7" hidden="1" outlineLevel="1" x14ac:dyDescent="0.45">
      <c r="B224" s="72">
        <v>19</v>
      </c>
      <c r="C224" s="70">
        <f ca="1">IF(ISNUMBER($C$102),$C$102+($C$202-$C$102)*19/24,NA())</f>
        <v>0.36187430165977463</v>
      </c>
      <c r="D224" s="73">
        <f t="shared" ca="1" si="6"/>
        <v>93</v>
      </c>
      <c r="E224" s="70">
        <f t="shared" ca="1" si="7"/>
        <v>0.36766247972527766</v>
      </c>
      <c r="F224" s="71">
        <f t="shared" ca="1" si="8"/>
        <v>2.768347033882157E-2</v>
      </c>
      <c r="G224" s="71" cm="1">
        <f t="array" aca="1" ref="G224" ca="1">IF(ISNUMBER(D224),IF(D224&gt;=101,INDEX($B$102:$B$202,101),INDEX($B$102:$B$202,D224)+(C224-INDEX($C$102:$C$202,D224))/MAX(0.000000000001,INDEX($C$102:$C$202,D224+1)-INDEX($C$102:$C$202,D224))*(INDEX($B$102:$B$202,D224+1)-INDEX($B$102:$B$202,D224))),NA())</f>
        <v>0.92594733820755826</v>
      </c>
    </row>
    <row r="225" spans="2:7" hidden="1" outlineLevel="1" x14ac:dyDescent="0.45">
      <c r="B225" s="72">
        <v>20</v>
      </c>
      <c r="C225" s="70">
        <f ca="1">IF(ISNUMBER($C$102),$C$102+($C$202-$C$102)*20/24,NA())</f>
        <v>0.37345065779078068</v>
      </c>
      <c r="D225" s="73">
        <f t="shared" ca="1" si="6"/>
        <v>96</v>
      </c>
      <c r="E225" s="70">
        <f t="shared" ca="1" si="7"/>
        <v>0.37923883585628376</v>
      </c>
      <c r="F225" s="71">
        <f t="shared" ca="1" si="8"/>
        <v>1.774189139074267E-2</v>
      </c>
      <c r="G225" s="71" cm="1">
        <f t="array" aca="1" ref="G225" ca="1">IF(ISNUMBER(D225),IF(D225&gt;=101,INDEX($B$102:$B$202,101),INDEX($B$102:$B$202,D225)+(C225-INDEX($C$102:$C$202,D225))/MAX(0.000000000001,INDEX($C$102:$C$202,D225+1)-INDEX($C$102:$C$202,D225))*(INDEX($B$102:$B$202,D225+1)-INDEX($B$102:$B$202,D225))),NA())</f>
        <v>0.95363080854637983</v>
      </c>
    </row>
    <row r="226" spans="2:7" hidden="1" outlineLevel="1" x14ac:dyDescent="0.45">
      <c r="B226" s="72">
        <v>21</v>
      </c>
      <c r="C226" s="70">
        <f ca="1">IF(ISNUMBER($C$102),$C$102+($C$202-$C$102)*21/24,NA())</f>
        <v>0.38502701392178684</v>
      </c>
      <c r="D226" s="73">
        <f t="shared" ca="1" si="6"/>
        <v>98</v>
      </c>
      <c r="E226" s="70">
        <f t="shared" ca="1" si="7"/>
        <v>0.39081519198728987</v>
      </c>
      <c r="F226" s="71">
        <f t="shared" ca="1" si="8"/>
        <v>1.1568867171892649E-2</v>
      </c>
      <c r="G226" s="71" cm="1">
        <f t="array" aca="1" ref="G226" ca="1">IF(ISNUMBER(D226),IF(D226&gt;=101,INDEX($B$102:$B$202,101),INDEX($B$102:$B$202,D226)+(C226-INDEX($C$102:$C$202,D226))/MAX(0.000000000001,INDEX($C$102:$C$202,D226+1)-INDEX($C$102:$C$202,D226))*(INDEX($B$102:$B$202,D226+1)-INDEX($B$102:$B$202,D226))),NA())</f>
        <v>0.9713726999371225</v>
      </c>
    </row>
    <row r="227" spans="2:7" hidden="1" outlineLevel="1" x14ac:dyDescent="0.45">
      <c r="B227" s="72">
        <v>22</v>
      </c>
      <c r="C227" s="70">
        <f ca="1">IF(ISNUMBER($C$102),$C$102+($C$202-$C$102)*22/24,NA())</f>
        <v>0.39660337005279295</v>
      </c>
      <c r="D227" s="73">
        <f t="shared" ca="1" si="6"/>
        <v>99</v>
      </c>
      <c r="E227" s="70">
        <f t="shared" ca="1" si="7"/>
        <v>0.40239154811829603</v>
      </c>
      <c r="F227" s="71">
        <f t="shared" ca="1" si="8"/>
        <v>7.6462359528167712E-3</v>
      </c>
      <c r="G227" s="71" cm="1">
        <f t="array" aca="1" ref="G227" ca="1">IF(ISNUMBER(D227),IF(D227&gt;=101,INDEX($B$102:$B$202,101),INDEX($B$102:$B$202,D227)+(C227-INDEX($C$102:$C$202,D227))/MAX(0.000000000001,INDEX($C$102:$C$202,D227+1)-INDEX($C$102:$C$202,D227))*(INDEX($B$102:$B$202,D227+1)-INDEX($B$102:$B$202,D227))),NA())</f>
        <v>0.98294156710901515</v>
      </c>
    </row>
    <row r="228" spans="2:7" hidden="1" outlineLevel="1" x14ac:dyDescent="0.45">
      <c r="B228" s="72">
        <v>23</v>
      </c>
      <c r="C228" s="70">
        <f ca="1">IF(ISNUMBER($C$102),$C$102+($C$202-$C$102)*23/24,NA())</f>
        <v>0.40817972618379911</v>
      </c>
      <c r="D228" s="73">
        <f t="shared" ca="1" si="6"/>
        <v>100</v>
      </c>
      <c r="E228" s="70">
        <f t="shared" ca="1" si="7"/>
        <v>0.41396790424930219</v>
      </c>
      <c r="F228" s="71">
        <f t="shared" ca="1" si="8"/>
        <v>4.4121969381680781E-3</v>
      </c>
      <c r="G228" s="71" cm="1">
        <f t="array" aca="1" ref="G228" ca="1">IF(ISNUMBER(D228),IF(D228&gt;=101,INDEX($B$102:$B$202,101),INDEX($B$102:$B$202,D228)+(C228-INDEX($C$102:$C$202,D228))/MAX(0.000000000001,INDEX($C$102:$C$202,D228+1)-INDEX($C$102:$C$202,D228))*(INDEX($B$102:$B$202,D228+1)-INDEX($B$102:$B$202,D228))),NA())</f>
        <v>0.99058780306183192</v>
      </c>
    </row>
    <row r="229" spans="2:7" hidden="1" outlineLevel="1" x14ac:dyDescent="0.45">
      <c r="B229" s="72">
        <v>24</v>
      </c>
      <c r="C229" s="70">
        <f ca="1">IF(ISNUMBER($C$102),$C$102+($C$202-$C$102)*24/24,NA())</f>
        <v>0.41975608231480521</v>
      </c>
      <c r="D229" s="73">
        <f t="shared" ca="1" si="6"/>
        <v>101</v>
      </c>
      <c r="G229" s="71" cm="1">
        <f t="array" aca="1" ref="G229" ca="1">IF(ISNUMBER(D229),IF(D229&gt;=101,INDEX($B$102:$B$202,101),INDEX($B$102:$B$202,D229)+(C229-INDEX($C$102:$C$202,D229))/MAX(0.000000000001,INDEX($C$102:$C$202,D229+1)-INDEX($C$102:$C$202,D229))*(INDEX($B$102:$B$202,D229+1)-INDEX($B$102:$B$202,D229))),NA())</f>
        <v>0.995</v>
      </c>
    </row>
  </sheetData>
  <mergeCells count="5">
    <mergeCell ref="B42:G42"/>
    <mergeCell ref="B41:G41"/>
    <mergeCell ref="B43:G43"/>
    <mergeCell ref="B18:G18"/>
    <mergeCell ref="B44:G44"/>
  </mergeCells>
  <conditionalFormatting sqref="B7">
    <cfRule type="expression" dxfId="3" priority="2">
      <formula>LEFT($B$7,1)="✗"</formula>
    </cfRule>
  </conditionalFormatting>
  <conditionalFormatting sqref="B6:G6">
    <cfRule type="expression" dxfId="2" priority="1">
      <formula>LEFT($B$6,1)&lt;&gt;"✔"</formula>
    </cfRule>
  </conditionalFormatting>
  <conditionalFormatting sqref="C102:G229">
    <cfRule type="expression" dxfId="1" priority="4">
      <formula>ISNA($C$102)</formula>
    </cfRule>
  </conditionalFormatting>
  <conditionalFormatting sqref="D50:H99">
    <cfRule type="expression" dxfId="0" priority="3">
      <formula>ISNA(D50)</formula>
    </cfRule>
  </conditionalFormatting>
  <hyperlinks>
    <hyperlink ref="B4" location="'Stack-up'!A1" display="◂  Stack-up" xr:uid="{00000000-0004-0000-03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F6DF9-2B46-4794-8D21-7C5809C7A02B}">
  <dimension ref="A1:B1"/>
  <sheetViews>
    <sheetView workbookViewId="0"/>
  </sheetViews>
  <sheetFormatPr defaultRowHeight="14.25" x14ac:dyDescent="0.45"/>
  <sheetData>
    <row r="1" spans="1:2" x14ac:dyDescent="0.45">
      <c r="A1" s="78" t="s">
        <v>239</v>
      </c>
      <c r="B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EFFE6-AC50-491D-866F-7F6D593DCC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6A489-1811-4CCA-9D5D-A8646BDBA167}">
  <dimension ref="B3:B32"/>
  <sheetViews>
    <sheetView workbookViewId="0"/>
  </sheetViews>
  <sheetFormatPr defaultRowHeight="14.25" x14ac:dyDescent="0.45"/>
  <sheetData>
    <row r="3" spans="2:2" x14ac:dyDescent="0.45">
      <c r="B3">
        <v>17</v>
      </c>
    </row>
    <row r="4" spans="2:2" x14ac:dyDescent="0.45">
      <c r="B4">
        <v>61</v>
      </c>
    </row>
    <row r="5" spans="2:2" x14ac:dyDescent="0.45">
      <c r="B5">
        <v>192</v>
      </c>
    </row>
    <row r="6" spans="2:2" x14ac:dyDescent="0.45">
      <c r="B6">
        <v>335</v>
      </c>
    </row>
    <row r="7" spans="2:2" x14ac:dyDescent="0.45">
      <c r="B7">
        <v>453</v>
      </c>
    </row>
    <row r="8" spans="2:2" x14ac:dyDescent="0.45">
      <c r="B8">
        <v>442</v>
      </c>
    </row>
    <row r="9" spans="2:2" x14ac:dyDescent="0.45">
      <c r="B9">
        <v>306</v>
      </c>
    </row>
    <row r="10" spans="2:2" x14ac:dyDescent="0.45">
      <c r="B10">
        <v>141</v>
      </c>
    </row>
    <row r="11" spans="2:2" x14ac:dyDescent="0.45">
      <c r="B11">
        <v>47</v>
      </c>
    </row>
    <row r="12" spans="2:2" x14ac:dyDescent="0.45">
      <c r="B12">
        <v>6</v>
      </c>
    </row>
    <row r="13" spans="2:2" x14ac:dyDescent="0.45">
      <c r="B13">
        <v>9</v>
      </c>
    </row>
    <row r="14" spans="2:2" x14ac:dyDescent="0.45">
      <c r="B14">
        <v>25</v>
      </c>
    </row>
    <row r="15" spans="2:2" x14ac:dyDescent="0.45">
      <c r="B15">
        <v>159</v>
      </c>
    </row>
    <row r="16" spans="2:2" x14ac:dyDescent="0.45">
      <c r="B16">
        <v>382</v>
      </c>
    </row>
    <row r="17" spans="2:2" x14ac:dyDescent="0.45">
      <c r="B17">
        <v>583</v>
      </c>
    </row>
    <row r="18" spans="2:2" x14ac:dyDescent="0.45">
      <c r="B18">
        <v>520</v>
      </c>
    </row>
    <row r="19" spans="2:2" x14ac:dyDescent="0.45">
      <c r="B19">
        <v>232</v>
      </c>
    </row>
    <row r="20" spans="2:2" x14ac:dyDescent="0.45">
      <c r="B20">
        <v>78</v>
      </c>
    </row>
    <row r="21" spans="2:2" x14ac:dyDescent="0.45">
      <c r="B21">
        <v>9</v>
      </c>
    </row>
    <row r="22" spans="2:2" x14ac:dyDescent="0.45">
      <c r="B22">
        <v>3</v>
      </c>
    </row>
    <row r="23" spans="2:2" x14ac:dyDescent="0.45">
      <c r="B23">
        <v>21</v>
      </c>
    </row>
    <row r="24" spans="2:2" x14ac:dyDescent="0.45">
      <c r="B24">
        <v>79</v>
      </c>
    </row>
    <row r="25" spans="2:2" x14ac:dyDescent="0.45">
      <c r="B25">
        <v>195</v>
      </c>
    </row>
    <row r="26" spans="2:2" x14ac:dyDescent="0.45">
      <c r="B26">
        <v>358</v>
      </c>
    </row>
    <row r="27" spans="2:2" x14ac:dyDescent="0.45">
      <c r="B27">
        <v>449</v>
      </c>
    </row>
    <row r="28" spans="2:2" x14ac:dyDescent="0.45">
      <c r="B28">
        <v>438</v>
      </c>
    </row>
    <row r="29" spans="2:2" x14ac:dyDescent="0.45">
      <c r="B29">
        <v>274</v>
      </c>
    </row>
    <row r="30" spans="2:2" x14ac:dyDescent="0.45">
      <c r="B30">
        <v>137</v>
      </c>
    </row>
    <row r="31" spans="2:2" x14ac:dyDescent="0.45">
      <c r="B31">
        <v>36</v>
      </c>
    </row>
    <row r="32" spans="2:2" x14ac:dyDescent="0.45">
      <c r="B32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6B8EE1FB-541F-4B85-B1C5-333BF83CC4A6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49</vt:i4>
      </vt:variant>
    </vt:vector>
  </HeadingPairs>
  <TitlesOfParts>
    <vt:vector size="56" baseType="lpstr">
      <vt:lpstr>About</vt:lpstr>
      <vt:lpstr>Inputs</vt:lpstr>
      <vt:lpstr>Stack-up</vt:lpstr>
      <vt:lpstr>Results</vt:lpstr>
      <vt:lpstr>ModelRiskDSN</vt:lpstr>
      <vt:lpstr>ModelRiskSYS1</vt:lpstr>
      <vt:lpstr>ModelRiskCharts</vt:lpstr>
      <vt:lpstr>Checks</vt:lpstr>
      <vt:lpstr>Gap_1</vt:lpstr>
      <vt:lpstr>Gap_2</vt:lpstr>
      <vt:lpstr>Gap_3</vt:lpstr>
      <vt:lpstr>GapNom</vt:lpstr>
      <vt:lpstr>LSL</vt:lpstr>
      <vt:lpstr>Nom_A</vt:lpstr>
      <vt:lpstr>Nom_B</vt:lpstr>
      <vt:lpstr>Nom_G</vt:lpstr>
      <vt:lpstr>Nom_H</vt:lpstr>
      <vt:lpstr>Nom_S</vt:lpstr>
      <vt:lpstr>Out_Gap_1</vt:lpstr>
      <vt:lpstr>Out_Gap_2</vt:lpstr>
      <vt:lpstr>Out_Gap_3</vt:lpstr>
      <vt:lpstr>Results!Print_Area</vt:lpstr>
      <vt:lpstr>Inputs!Print_Titles</vt:lpstr>
      <vt:lpstr>Results!Print_Titles</vt:lpstr>
      <vt:lpstr>RSS_Cpk</vt:lpstr>
      <vt:lpstr>RSS_Hi</vt:lpstr>
      <vt:lpstr>RSS_Lo</vt:lpstr>
      <vt:lpstr>RSS_PPM</vt:lpstr>
      <vt:lpstr>RSS_SD</vt:lpstr>
      <vt:lpstr>SD_A</vt:lpstr>
      <vt:lpstr>SD_B</vt:lpstr>
      <vt:lpstr>SD_G</vt:lpstr>
      <vt:lpstr>SD_Gap1</vt:lpstr>
      <vt:lpstr>SD_H</vt:lpstr>
      <vt:lpstr>SD_S</vt:lpstr>
      <vt:lpstr>Share_A</vt:lpstr>
      <vt:lpstr>Share_B</vt:lpstr>
      <vt:lpstr>Share_G</vt:lpstr>
      <vt:lpstr>Share_H</vt:lpstr>
      <vt:lpstr>Share_S</vt:lpstr>
      <vt:lpstr>ShiftS</vt:lpstr>
      <vt:lpstr>Sign_A</vt:lpstr>
      <vt:lpstr>Sign_B</vt:lpstr>
      <vt:lpstr>Sign_G</vt:lpstr>
      <vt:lpstr>Sign_H</vt:lpstr>
      <vt:lpstr>Sign_S</vt:lpstr>
      <vt:lpstr>Tol_A</vt:lpstr>
      <vt:lpstr>Tol_B</vt:lpstr>
      <vt:lpstr>Tol_G</vt:lpstr>
      <vt:lpstr>Tol_H</vt:lpstr>
      <vt:lpstr>Tol_S</vt:lpstr>
      <vt:lpstr>TolSigmas</vt:lpstr>
      <vt:lpstr>TolSum</vt:lpstr>
      <vt:lpstr>USL</vt:lpstr>
      <vt:lpstr>WC_Hi</vt:lpstr>
      <vt:lpstr>WC_Lo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MF-02 Tolerance Stack-Up and Process Capability</dc:title>
  <dc:subject>ModelRisk industry example library — Manufacturing</dc:subject>
  <dc:creator>Vose Software</dc:creator>
  <cp:keywords>ModelRisk; Monte Carlo; Manufacturing</cp:keywords>
  <dc:description>A five-part tolerance stack-up: worst case, root-sum-square and Monte Carlo, process capability and where to tighten.</dc:description>
  <cp:lastModifiedBy>Timour Koupeev</cp:lastModifiedBy>
  <cp:lastPrinted>2026-10-05T16:04:28Z</cp:lastPrinted>
  <dcterms:created xsi:type="dcterms:W3CDTF">2026-10-05T15:59:26Z</dcterms:created>
  <dcterms:modified xsi:type="dcterms:W3CDTF">2026-10-05T16:04:31Z</dcterms:modified>
</cp:coreProperties>
</file>