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imourKoupeev\source\repos\ModelRisk-Examples\models\Manufacturing\"/>
    </mc:Choice>
  </mc:AlternateContent>
  <xr:revisionPtr revIDLastSave="0" documentId="8_{3DDC1593-CC87-4104-875F-4BF1E0F0B2D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bout" sheetId="1" r:id="rId1"/>
    <sheet name="Inputs" sheetId="2" r:id="rId2"/>
    <sheet name="Production" sheetId="3" r:id="rId3"/>
    <sheet name="Results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etaA">Production!$D$10</definedName>
    <definedName name="BetaB">Production!$D$11</definedName>
    <definedName name="Checks">Production!$D$56:$D$58</definedName>
    <definedName name="Cost_1">Production!$G$20</definedName>
    <definedName name="Cost_2">Production!$G$21</definedName>
    <definedName name="Cost_3">Production!$G$22</definedName>
    <definedName name="Cost_4">Production!$G$23</definedName>
    <definedName name="Cost_5">Production!$G$24</definedName>
    <definedName name="Cost_6">Production!$G$25</definedName>
    <definedName name="Defects">Inputs!$D$18</definedName>
    <definedName name="DefRate">Production!$D$12</definedName>
    <definedName name="Exact_1">Production!$H$20</definedName>
    <definedName name="Exact_2">Production!$H$21</definedName>
    <definedName name="Exact_3">Production!$H$22</definedName>
    <definedName name="Exact_4">Production!$H$23</definedName>
    <definedName name="Exact_5">Production!$H$24</definedName>
    <definedName name="Exact_6">Production!$H$25</definedName>
    <definedName name="ExactKnown">Production!$D$32</definedName>
    <definedName name="FocusRun">Inputs!$D$24</definedName>
    <definedName name="Good_1">Production!$E$20</definedName>
    <definedName name="Good_2">Production!$E$21</definedName>
    <definedName name="Good_3">Production!$E$22</definedName>
    <definedName name="Good_4">Production!$E$23</definedName>
    <definedName name="Good_5">Production!$E$24</definedName>
    <definedName name="Good_6">Production!$E$25</definedName>
    <definedName name="GoodFocus">Production!$D$30</definedName>
    <definedName name="GoodKnown">Production!$D$31</definedName>
    <definedName name="GoodParts">Production!$E$20:$E$25</definedName>
    <definedName name="Inspected">Inputs!$D$17</definedName>
    <definedName name="Order">Inputs!$D$10</definedName>
    <definedName name="Out_Cost_1">Production!$D$43</definedName>
    <definedName name="Out_Cost_2">Production!$D$44</definedName>
    <definedName name="Out_Cost_3">Production!$D$45</definedName>
    <definedName name="Out_Cost_4">Production!$D$46</definedName>
    <definedName name="Out_Cost_5">Production!$D$47</definedName>
    <definedName name="Out_Cost_6">Production!$D$48</definedName>
    <definedName name="Out_Good">Production!$D$49</definedName>
    <definedName name="Out_GoodKnown">Production!$D$50</definedName>
    <definedName name="Out_Met_1">Production!$D$37</definedName>
    <definedName name="Out_Met_2">Production!$D$38</definedName>
    <definedName name="Out_Met_3">Production!$D$39</definedName>
    <definedName name="Out_Met_4">Production!$D$40</definedName>
    <definedName name="Out_Met_5">Production!$D$41</definedName>
    <definedName name="Out_Met_6">Production!$D$42</definedName>
    <definedName name="Out_MetFocus">Production!$D$51</definedName>
    <definedName name="Out_MetKnown">Production!$D$52</definedName>
    <definedName name="Penalty">Inputs!$D$12</definedName>
    <definedName name="_xlnm.Print_Area" localSheetId="3">Results!$A$1:$R$46</definedName>
    <definedName name="_xlnm.Print_Titles" localSheetId="1">Inputs!$1:$4</definedName>
    <definedName name="_xlnm.Print_Titles" localSheetId="3">Results!$1:$4</definedName>
    <definedName name="RateHi">Production!$D$14</definedName>
    <definedName name="RateLo">Production!$D$13</definedName>
    <definedName name="RateObs">Production!$D$9</definedName>
    <definedName name="Run_1">Production!$B$20</definedName>
    <definedName name="Run_2">Production!$B$21</definedName>
    <definedName name="Run_3">Production!$B$22</definedName>
    <definedName name="Run_4">Production!$B$23</definedName>
    <definedName name="Run_5">Production!$B$24</definedName>
    <definedName name="Run_6">Production!$B$25</definedName>
    <definedName name="RunMin">Inputs!$D$22</definedName>
    <definedName name="RunSizes">Production!$B$20:$B$25</definedName>
    <definedName name="RunStep">Inputs!$D$23</definedName>
    <definedName name="Short_1">Production!$F$20</definedName>
    <definedName name="Short_2">Production!$F$21</definedName>
    <definedName name="Short_3">Production!$F$22</definedName>
    <definedName name="Short_4">Production!$F$23</definedName>
    <definedName name="Short_5">Production!$F$24</definedName>
    <definedName name="Short_6">Production!$F$25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UnitCost">Inputs!$D$11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1" i="4" l="1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B21" i="4"/>
  <c r="D57" i="3"/>
  <c r="D56" i="3"/>
  <c r="B25" i="3"/>
  <c r="C25" i="3" s="1"/>
  <c r="H25" i="3" s="1" a="1"/>
  <c r="H25" i="3" s="1"/>
  <c r="D18" i="4" s="1"/>
  <c r="B109" i="4"/>
  <c r="B24" i="3"/>
  <c r="B17" i="4" s="1"/>
  <c r="B23" i="3"/>
  <c r="B107" i="4"/>
  <c r="B22" i="3"/>
  <c r="B106" i="4" s="1"/>
  <c r="B21" i="3"/>
  <c r="B105" i="4" s="1"/>
  <c r="C21" i="3"/>
  <c r="H21" i="3" a="1"/>
  <c r="H21" i="3" s="1"/>
  <c r="D14" i="4" s="1"/>
  <c r="B20" i="3"/>
  <c r="D11" i="3"/>
  <c r="D10" i="3"/>
  <c r="H20" i="3" s="1" a="1"/>
  <c r="H20" i="3" s="1"/>
  <c r="D13" i="4" s="1"/>
  <c r="D9" i="3"/>
  <c r="D32" i="3"/>
  <c r="D28" i="4"/>
  <c r="B18" i="4"/>
  <c r="B16" i="4"/>
  <c r="C23" i="3"/>
  <c r="B15" i="4"/>
  <c r="B104" i="4"/>
  <c r="C22" i="3"/>
  <c r="H22" i="3" s="1" a="1"/>
  <c r="H22" i="3" s="1"/>
  <c r="D15" i="4" s="1"/>
  <c r="B14" i="4"/>
  <c r="C20" i="3"/>
  <c r="B13" i="4"/>
  <c r="D31" i="3" a="1"/>
  <c r="D14" i="3" a="1"/>
  <c r="D13" i="3" a="1"/>
  <c r="D12" i="3" a="1"/>
  <c r="H23" i="3" l="1" a="1"/>
  <c r="H23" i="3" s="1"/>
  <c r="D16" i="4" s="1"/>
  <c r="B108" i="4"/>
  <c r="D12" i="3"/>
  <c r="D13" i="3"/>
  <c r="D14" i="3"/>
  <c r="D31" i="3"/>
  <c r="D58" i="3"/>
  <c r="B7" i="4" s="1"/>
  <c r="C24" i="3"/>
  <c r="H24" i="3" s="1" a="1"/>
  <c r="H24" i="3" s="1"/>
  <c r="D17" i="4" s="1"/>
  <c r="D23" i="3" a="1"/>
  <c r="D25" i="3" a="1"/>
  <c r="D21" i="3" a="1"/>
  <c r="D20" i="3" a="1"/>
  <c r="D22" i="3" a="1"/>
  <c r="D24" i="3" a="1"/>
  <c r="D24" i="3" l="1"/>
  <c r="D22" i="3"/>
  <c r="D20" i="3"/>
  <c r="D21" i="3"/>
  <c r="D25" i="3"/>
  <c r="D23" i="3"/>
  <c r="D52" i="3" a="1"/>
  <c r="D52" i="3" s="1"/>
  <c r="D50" i="3" a="1"/>
  <c r="D50" i="3" s="1"/>
  <c r="E76" i="4" a="1"/>
  <c r="E99" i="4" a="1"/>
  <c r="E74" i="4" a="1"/>
  <c r="E65" i="4" a="1"/>
  <c r="E56" i="4" a="1"/>
  <c r="E61" i="4" a="1"/>
  <c r="E100" i="4" a="1"/>
  <c r="E84" i="4" a="1"/>
  <c r="E68" i="4" a="1"/>
  <c r="E52" i="4" a="1"/>
  <c r="E91" i="4" a="1"/>
  <c r="E75" i="4" a="1"/>
  <c r="E59" i="4" a="1"/>
  <c r="E92" i="4" a="1"/>
  <c r="E24" i="4" a="1"/>
  <c r="E97" i="4" a="1"/>
  <c r="E88" i="4" a="1"/>
  <c r="E63" i="4" a="1"/>
  <c r="E70" i="4" a="1"/>
  <c r="E77" i="4" a="1"/>
  <c r="E57" i="4" a="1"/>
  <c r="E67" i="4" a="1"/>
  <c r="E90" i="4" a="1"/>
  <c r="E81" i="4" a="1"/>
  <c r="E95" i="4" a="1"/>
  <c r="E86" i="4" a="1"/>
  <c r="E93" i="4" a="1"/>
  <c r="E82" i="4" a="1"/>
  <c r="G24" i="4" a="1"/>
  <c r="E73" i="4" a="1"/>
  <c r="E96" i="4" a="1"/>
  <c r="E80" i="4" a="1"/>
  <c r="E64" i="4" a="1"/>
  <c r="F24" i="4" a="1"/>
  <c r="E87" i="4" a="1"/>
  <c r="E71" i="4" a="1"/>
  <c r="E55" i="4" a="1"/>
  <c r="E60" i="4" a="1"/>
  <c r="E83" i="4" a="1"/>
  <c r="E58" i="4" a="1"/>
  <c r="D24" i="4" a="1"/>
  <c r="E72" i="4" a="1"/>
  <c r="E79" i="4" a="1"/>
  <c r="E54" i="4" a="1"/>
  <c r="E98" i="4" a="1"/>
  <c r="E66" i="4" a="1"/>
  <c r="E89" i="4" a="1"/>
  <c r="E94" i="4" a="1"/>
  <c r="E78" i="4" a="1"/>
  <c r="E62" i="4" a="1"/>
  <c r="E101" i="4" a="1"/>
  <c r="E85" i="4" a="1"/>
  <c r="E69" i="4" a="1"/>
  <c r="E53" i="4" a="1"/>
  <c r="D27" i="4" a="1"/>
  <c r="D27" i="4" l="1"/>
  <c r="E53" i="4"/>
  <c r="E69" i="4"/>
  <c r="E85" i="4"/>
  <c r="E101" i="4"/>
  <c r="E62" i="4"/>
  <c r="E78" i="4"/>
  <c r="E94" i="4"/>
  <c r="E89" i="4"/>
  <c r="E66" i="4"/>
  <c r="E98" i="4"/>
  <c r="E54" i="4"/>
  <c r="E79" i="4"/>
  <c r="E72" i="4"/>
  <c r="D24" i="4"/>
  <c r="E58" i="4"/>
  <c r="E83" i="4"/>
  <c r="E60" i="4"/>
  <c r="E55" i="4"/>
  <c r="E71" i="4"/>
  <c r="E87" i="4"/>
  <c r="F24" i="4"/>
  <c r="E64" i="4"/>
  <c r="E80" i="4"/>
  <c r="E96" i="4"/>
  <c r="E73" i="4"/>
  <c r="G24" i="4"/>
  <c r="E82" i="4"/>
  <c r="E93" i="4"/>
  <c r="E86" i="4"/>
  <c r="E95" i="4"/>
  <c r="E81" i="4"/>
  <c r="E90" i="4"/>
  <c r="E67" i="4"/>
  <c r="E57" i="4"/>
  <c r="E77" i="4"/>
  <c r="E70" i="4"/>
  <c r="E63" i="4"/>
  <c r="E88" i="4"/>
  <c r="E97" i="4"/>
  <c r="E24" i="4"/>
  <c r="E92" i="4"/>
  <c r="E59" i="4"/>
  <c r="E75" i="4"/>
  <c r="E91" i="4"/>
  <c r="E52" i="4"/>
  <c r="E68" i="4"/>
  <c r="E84" i="4"/>
  <c r="E100" i="4"/>
  <c r="E61" i="4"/>
  <c r="E56" i="4"/>
  <c r="E65" i="4"/>
  <c r="E74" i="4"/>
  <c r="E99" i="4"/>
  <c r="E76" i="4"/>
  <c r="E23" i="3"/>
  <c r="F23" i="3"/>
  <c r="F25" i="3"/>
  <c r="E25" i="3"/>
  <c r="E22" i="3"/>
  <c r="F22" i="3"/>
  <c r="F21" i="3"/>
  <c r="E21" i="3"/>
  <c r="D30" i="3" s="1"/>
  <c r="F20" i="3"/>
  <c r="E20" i="3"/>
  <c r="F24" i="3"/>
  <c r="E24" i="3"/>
  <c r="D49" i="3" l="1" a="1"/>
  <c r="D49" i="3" s="1"/>
  <c r="D51" i="3" a="1"/>
  <c r="D51" i="3" s="1"/>
  <c r="D38" i="3" a="1"/>
  <c r="D38" i="3" s="1"/>
  <c r="G21" i="3"/>
  <c r="D39" i="3" a="1"/>
  <c r="D39" i="3" s="1"/>
  <c r="G22" i="3"/>
  <c r="D41" i="3" a="1"/>
  <c r="D41" i="3" s="1"/>
  <c r="G24" i="3"/>
  <c r="D42" i="3" a="1"/>
  <c r="D42" i="3" s="1"/>
  <c r="G25" i="3"/>
  <c r="G23" i="3"/>
  <c r="D40" i="3" a="1"/>
  <c r="D40" i="3" s="1"/>
  <c r="G20" i="3"/>
  <c r="D37" i="3" a="1"/>
  <c r="D37" i="3" s="1"/>
  <c r="F23" i="4" a="1"/>
  <c r="D71" i="4" a="1"/>
  <c r="D73" i="4" a="1"/>
  <c r="E23" i="4" a="1"/>
  <c r="D23" i="4" a="1"/>
  <c r="B6" i="4" a="1"/>
  <c r="D62" i="4" a="1"/>
  <c r="D94" i="4" a="1"/>
  <c r="D60" i="4" a="1"/>
  <c r="D55" i="4" a="1"/>
  <c r="D77" i="4" a="1"/>
  <c r="D91" i="4" a="1"/>
  <c r="D67" i="4" a="1"/>
  <c r="D86" i="4" a="1"/>
  <c r="D100" i="4" a="1"/>
  <c r="D65" i="4" a="1"/>
  <c r="D64" i="4" a="1"/>
  <c r="D80" i="4" a="1"/>
  <c r="D53" i="4" a="1"/>
  <c r="D58" i="4" a="1"/>
  <c r="D83" i="4" a="1"/>
  <c r="D70" i="4" a="1"/>
  <c r="D75" i="4" a="1"/>
  <c r="D66" i="4" a="1"/>
  <c r="D82" i="4" a="1"/>
  <c r="D97" i="4" a="1"/>
  <c r="D61" i="4" a="1"/>
  <c r="D78" i="4" a="1"/>
  <c r="D76" i="4" a="1"/>
  <c r="D95" i="4" a="1"/>
  <c r="G23" i="4" a="1"/>
  <c r="D90" i="4" a="1"/>
  <c r="D74" i="4" a="1"/>
  <c r="D56" i="4" a="1"/>
  <c r="D87" i="4" a="1"/>
  <c r="D69" i="4" a="1"/>
  <c r="D63" i="4" a="1"/>
  <c r="D52" i="4" a="1"/>
  <c r="D84" i="4" a="1"/>
  <c r="D101" i="4" a="1"/>
  <c r="D98" i="4" a="1"/>
  <c r="D93" i="4" a="1"/>
  <c r="D57" i="4" a="1"/>
  <c r="D96" i="4" a="1"/>
  <c r="D85" i="4" a="1"/>
  <c r="D89" i="4" a="1"/>
  <c r="D92" i="4" a="1"/>
  <c r="D59" i="4" a="1"/>
  <c r="D68" i="4" a="1"/>
  <c r="D88" i="4" a="1"/>
  <c r="D72" i="4" a="1"/>
  <c r="D54" i="4" a="1"/>
  <c r="D79" i="4" a="1"/>
  <c r="D99" i="4" a="1"/>
  <c r="D81" i="4" a="1"/>
  <c r="C18" i="4" a="1"/>
  <c r="C13" i="4" a="1"/>
  <c r="D26" i="4" a="1"/>
  <c r="C109" i="4" a="1"/>
  <c r="C15" i="4" a="1"/>
  <c r="C108" i="4" a="1"/>
  <c r="C14" i="4" a="1"/>
  <c r="C107" i="4" a="1"/>
  <c r="C104" i="4" a="1"/>
  <c r="C106" i="4" a="1"/>
  <c r="C17" i="4" a="1"/>
  <c r="C105" i="4" a="1"/>
  <c r="C16" i="4" a="1"/>
  <c r="C16" i="4" l="1"/>
  <c r="C105" i="4"/>
  <c r="C17" i="4"/>
  <c r="C106" i="4"/>
  <c r="C104" i="4"/>
  <c r="C107" i="4"/>
  <c r="C14" i="4"/>
  <c r="C108" i="4"/>
  <c r="C15" i="4"/>
  <c r="C109" i="4"/>
  <c r="D26" i="4"/>
  <c r="C13" i="4"/>
  <c r="C18" i="4"/>
  <c r="D81" i="4"/>
  <c r="D99" i="4"/>
  <c r="D79" i="4"/>
  <c r="D54" i="4"/>
  <c r="D72" i="4"/>
  <c r="D88" i="4"/>
  <c r="D68" i="4"/>
  <c r="D59" i="4"/>
  <c r="D92" i="4"/>
  <c r="D89" i="4"/>
  <c r="D85" i="4"/>
  <c r="D96" i="4"/>
  <c r="D57" i="4"/>
  <c r="D93" i="4"/>
  <c r="D98" i="4"/>
  <c r="D101" i="4"/>
  <c r="D84" i="4"/>
  <c r="D52" i="4"/>
  <c r="D63" i="4"/>
  <c r="D69" i="4"/>
  <c r="D87" i="4"/>
  <c r="D56" i="4"/>
  <c r="D74" i="4"/>
  <c r="D90" i="4"/>
  <c r="G23" i="4"/>
  <c r="D95" i="4"/>
  <c r="D76" i="4"/>
  <c r="D78" i="4"/>
  <c r="D61" i="4"/>
  <c r="D97" i="4"/>
  <c r="D82" i="4"/>
  <c r="D66" i="4"/>
  <c r="D75" i="4"/>
  <c r="D70" i="4"/>
  <c r="D83" i="4"/>
  <c r="D58" i="4"/>
  <c r="D53" i="4"/>
  <c r="D80" i="4"/>
  <c r="D64" i="4"/>
  <c r="D65" i="4"/>
  <c r="D100" i="4"/>
  <c r="D86" i="4"/>
  <c r="D67" i="4"/>
  <c r="D91" i="4"/>
  <c r="D77" i="4"/>
  <c r="D55" i="4"/>
  <c r="D60" i="4"/>
  <c r="D94" i="4"/>
  <c r="D62" i="4"/>
  <c r="B6" i="4"/>
  <c r="D23" i="4"/>
  <c r="E23" i="4"/>
  <c r="D73" i="4"/>
  <c r="D71" i="4"/>
  <c r="F23" i="4"/>
  <c r="D44" i="3" a="1"/>
  <c r="D44" i="3" s="1"/>
  <c r="D45" i="3" a="1"/>
  <c r="D45" i="3" s="1"/>
  <c r="D43" i="3" a="1"/>
  <c r="D43" i="3" s="1"/>
  <c r="D46" i="3" a="1"/>
  <c r="D46" i="3" s="1"/>
  <c r="D47" i="3" a="1"/>
  <c r="D47" i="3" s="1"/>
  <c r="D48" i="3" a="1"/>
  <c r="D48" i="3" s="1"/>
  <c r="F17" i="4" a="1"/>
  <c r="E17" i="4" a="1"/>
  <c r="E16" i="4" a="1"/>
  <c r="F16" i="4" a="1"/>
  <c r="E18" i="4" a="1"/>
  <c r="F18" i="4" a="1"/>
  <c r="F13" i="4" a="1"/>
  <c r="E13" i="4" a="1"/>
  <c r="F14" i="4" a="1"/>
  <c r="E14" i="4" a="1"/>
  <c r="F15" i="4" a="1"/>
  <c r="E15" i="4" a="1"/>
  <c r="E15" i="4" l="1"/>
  <c r="F15" i="4"/>
  <c r="E14" i="4"/>
  <c r="F14" i="4"/>
  <c r="E13" i="4"/>
  <c r="F13" i="4"/>
  <c r="F18" i="4"/>
  <c r="E18" i="4"/>
  <c r="G18" i="4" s="1"/>
  <c r="F16" i="4"/>
  <c r="E16" i="4"/>
  <c r="E17" i="4"/>
  <c r="F17" i="4"/>
  <c r="G13" i="4" l="1"/>
  <c r="G17" i="4"/>
  <c r="G14" i="4"/>
  <c r="G16" i="4"/>
  <c r="G1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<sst xmlns="http://schemas.openxmlformats.org/spreadsheetml/2006/main" count="295" uniqueCount="229">
  <si>
    <t>Production Yield and Scrap</t>
  </si>
  <si>
    <t>ModelRisk example  ·  Manufacturing  ·  MF-01</t>
  </si>
  <si>
    <t>How many parts must we make to deliver 4,800 good ones?  An uncertain defect rate, and the run size that pays.</t>
  </si>
  <si>
    <t>Next:  Inputs  ▸</t>
  </si>
  <si>
    <t>Model card</t>
  </si>
  <si>
    <t>Industry</t>
  </si>
  <si>
    <t>Manufacturing</t>
  </si>
  <si>
    <t>Difficulty</t>
  </si>
  <si>
    <t>★☆☆☆☆   A defect rate known only from a sample, a Binomial number of defects, and the run size that meets an order.</t>
  </si>
  <si>
    <t>Business question</t>
  </si>
  <si>
    <t>A plant must deliver 4,800 good parts of a precision component. Inspection of the last 400 parts found 12 defective. How many good parts will a run of 5,000 produce, how likely is it to meet the order, and what run size gives the lowest expected cost once the price of falling short is counted?</t>
  </si>
  <si>
    <t>Who it is for</t>
  </si>
  <si>
    <t>Production planners, quality engineers, operations managers; a first ModelRisk model.</t>
  </si>
  <si>
    <t>Main outputs</t>
  </si>
  <si>
    <t>The chance of meeting the order and the expected cost for six run sizes, simulated and exact · the number of good parts from the run looked at in detail (5,000 as shipped), with the defect rate uncertain and as if it were known.</t>
  </si>
  <si>
    <t>ModelRisk techniques</t>
  </si>
  <si>
    <t>The defect rate as a Beta distribution from inspection data (VoseBeta) · defects in a run as a Binomial (VoseBinomial) · the exact chance from the Beta-Binomial (VoseBetaBinomialProb) · six run sizes compared in one simulation.</t>
  </si>
  <si>
    <t>File</t>
  </si>
  <si>
    <t>MF-01 Production yield and scrap  ·  Version 1.0  ·  October 2026  ·  built with ModelRisk 10</t>
  </si>
  <si>
    <t>The business question</t>
  </si>
  <si>
    <t>A plant makes precision parts in runs. The current order is for 4,800 good parts; every part costs US$40 to make whether it turns out good or not, and every part short costs US$250 — an express re-run and a penalty in the contract. The last batch was inspected part by part: 12 of 400 were defective, so the defect rate is about 3% — but only about: 400 parts cannot pin it down. Within a run, defects also occur at random. The planner wants the run size that balances the cost of making too many parts against the cost of making too few.</t>
  </si>
  <si>
    <t>How the model works</t>
  </si>
  <si>
    <t>Three sheets after this one, read from left to right. Each one feeds the next.</t>
  </si>
  <si>
    <t>1  Inputs</t>
  </si>
  <si>
    <t>The parts ordered, the cost of a part and of a part short; the parts inspected and the defects found; the smallest run size and the step between the sizes compared; the run size to look at in detail.</t>
  </si>
  <si>
    <t>2  Production</t>
  </si>
  <si>
    <t>The defect rate is Beta(defects + 1, good parts + 1): what 400 inspected parts say about it. Each run size gets a Binomial number of defects at that rate; the good parts, the shortfall and the cost follow. The exact chance of meeting the order comes from the Beta-Binomial distribution.</t>
  </si>
  <si>
    <t>3  Results</t>
  </si>
  <si>
    <t>For each run size, the chance of meeting the order and the expected cost, charted; the good parts from the run looked at in detail, with the defect rate uncertain and as if it were known.</t>
  </si>
  <si>
    <t>How to use it</t>
  </si>
  <si>
    <t>Step 1</t>
  </si>
  <si>
    <t>Enter the order, the cost of a part and the cost of a part short.</t>
  </si>
  <si>
    <t>Step 2</t>
  </si>
  <si>
    <t>Enter how many parts were inspected and how many were defective.</t>
  </si>
  <si>
    <t>Step 3</t>
  </si>
  <si>
    <t>Run a simulation from the ModelRisk ribbon (10,000 samples with a fixed seed are set).</t>
  </si>
  <si>
    <t>Step 4</t>
  </si>
  <si>
    <t>Choose the run size with the lowest expected cost, and check its chance of meeting the order.</t>
  </si>
  <si>
    <t>Workbook map</t>
  </si>
  <si>
    <t>Inputs</t>
  </si>
  <si>
    <t>Order, costs, inspection data, run sizes.</t>
  </si>
  <si>
    <t>Production</t>
  </si>
  <si>
    <t>Defect rate; each run size's defects, good parts and cost; outputs and checks.</t>
  </si>
  <si>
    <t>Results</t>
  </si>
  <si>
    <t>Chance of meeting the order and expected cost by run size; good parts.</t>
  </si>
  <si>
    <t>Colour key</t>
  </si>
  <si>
    <t>Input</t>
  </si>
  <si>
    <t>An assumption you may change. Only these cells are inputs.</t>
  </si>
  <si>
    <t>Uncertain variable</t>
  </si>
  <si>
    <t>A ModelRisk distribution: a new random value is drawn at every recalculation (F9) and every simulation sample.</t>
  </si>
  <si>
    <t>Calculation</t>
  </si>
  <si>
    <t>A formula. Do not overwrite.</t>
  </si>
  <si>
    <t>Key output</t>
  </si>
  <si>
    <t>Marked with VoseOutput; its full distribution is recorded when you simulate.</t>
  </si>
  <si>
    <t>Simulation result</t>
  </si>
  <si>
    <t>A VoseSim… function: a statistic of the last simulation, filled in automatically.</t>
  </si>
  <si>
    <t>Units and conventions</t>
  </si>
  <si>
    <t>Money</t>
  </si>
  <si>
    <t>US$; totals in US$ thousand.</t>
  </si>
  <si>
    <t>Defect rate</t>
  </si>
  <si>
    <t>The share of parts that come out defective.</t>
  </si>
  <si>
    <t>Run size</t>
  </si>
  <si>
    <t>The number of parts started; good parts = run size − defects.</t>
  </si>
  <si>
    <t>Key assumptions and limitations</t>
  </si>
  <si>
    <t>Defects</t>
  </si>
  <si>
    <t>Each part is defective independently, at the same rate within a run.</t>
  </si>
  <si>
    <t>Rate</t>
  </si>
  <si>
    <t>The inspected batch represents the process; nothing has changed since.</t>
  </si>
  <si>
    <t>Costs</t>
  </si>
  <si>
    <t>Every part made costs the same; surplus good parts have no value; every part short costs the same.</t>
  </si>
  <si>
    <t>Data</t>
  </si>
  <si>
    <t>The plant and all figures are invented for this example.</t>
  </si>
  <si>
    <t>ModelRisk functions used</t>
  </si>
  <si>
    <t>VoseBeta</t>
  </si>
  <si>
    <t>The uncertain defect rate, from the number of defects in a sample.</t>
  </si>
  <si>
    <t>VoseBinomial</t>
  </si>
  <si>
    <t>The number of defective parts in a run.</t>
  </si>
  <si>
    <t>VoseBetaBinomialProb</t>
  </si>
  <si>
    <t>The exact chance of at most so many defects when the rate itself is uncertain.</t>
  </si>
  <si>
    <t>VoseSimMean, VoseSimPercentile</t>
  </si>
  <si>
    <t>Statistics of the simulation on the Results sheet.</t>
  </si>
  <si>
    <t>Further reading</t>
  </si>
  <si>
    <t>Uncertainty and variability</t>
  </si>
  <si>
    <t>Vose, D. (2008). Risk Analysis: A Quantitative Guide, 3rd edition. Wiley — the Beta distribution for a probability and the Binomial process.</t>
  </si>
  <si>
    <t>Statistical quality control</t>
  </si>
  <si>
    <t>Montgomery, D. C. (2019). Introduction to Statistical Quality Control, 8th edition. Wiley.</t>
  </si>
  <si>
    <t>© 2026 Vose Software   ·   www.vosesoftware.com   ·   An illustrative example: the figures are invented for teaching and do not describe a real company, project or asset.</t>
  </si>
  <si>
    <t>INPUTS   ·   Every assumption the model uses, with its uncertainty and its basis. Change only the yellow cells.</t>
  </si>
  <si>
    <t>◂  About</t>
  </si>
  <si>
    <t>Next:  Production  ▸</t>
  </si>
  <si>
    <t>How to read this sheet:  yellow cells are inputs.</t>
  </si>
  <si>
    <t>1   The order</t>
  </si>
  <si>
    <t>Assumption</t>
  </si>
  <si>
    <t>Unit</t>
  </si>
  <si>
    <t>Value in model</t>
  </si>
  <si>
    <t>Uncertainty</t>
  </si>
  <si>
    <t>Basis / source (illustrative)</t>
  </si>
  <si>
    <t>Good parts ordered</t>
  </si>
  <si>
    <t>parts</t>
  </si>
  <si>
    <t>Fixed</t>
  </si>
  <si>
    <t>Due at the end of the month.</t>
  </si>
  <si>
    <t>Cost to make one part</t>
  </si>
  <si>
    <t>US$</t>
  </si>
  <si>
    <t>Material, machine time and labour; good or not.</t>
  </si>
  <si>
    <t>Cost of each part short</t>
  </si>
  <si>
    <t>US$ a part</t>
  </si>
  <si>
    <t>An express re-run and the contract's penalty.</t>
  </si>
  <si>
    <t>2   Inspection data</t>
  </si>
  <si>
    <t>The last batch, inspected part by part.</t>
  </si>
  <si>
    <t>Parts inspected</t>
  </si>
  <si>
    <t>Defective parts found</t>
  </si>
  <si>
    <t>3   Run sizes to compare</t>
  </si>
  <si>
    <t>Smallest run size</t>
  </si>
  <si>
    <t>Six sizes are compared.</t>
  </si>
  <si>
    <t>Step between run sizes</t>
  </si>
  <si>
    <t>Run size looked at in detail</t>
  </si>
  <si>
    <t>One of the six: its good parts with the rate uncertain and known.</t>
  </si>
  <si>
    <t>PRODUCTION   ·   The uncertain defect rate, and each run size's defects, good parts and cost.</t>
  </si>
  <si>
    <t>◂  Inputs</t>
  </si>
  <si>
    <t>Next:  Results  ▸</t>
  </si>
  <si>
    <t>1   The defect rate</t>
  </si>
  <si>
    <t>What 400 inspected parts can tell about the process.</t>
  </si>
  <si>
    <t>Quantity</t>
  </si>
  <si>
    <t>Value</t>
  </si>
  <si>
    <t>How it is calculated</t>
  </si>
  <si>
    <t>Defect rate in the inspected batch</t>
  </si>
  <si>
    <t>Defects found ÷ parts inspected</t>
  </si>
  <si>
    <t>Beta α</t>
  </si>
  <si>
    <t>Defects + 1</t>
  </si>
  <si>
    <t>Beta β</t>
  </si>
  <si>
    <t>Good parts + 1</t>
  </si>
  <si>
    <t>Defect rate of the process</t>
  </si>
  <si>
    <t>VoseBeta(α, β): plausible rates, given the inspection</t>
  </si>
  <si>
    <t xml:space="preserve">   5th percentile</t>
  </si>
  <si>
    <t>The rate could plausibly be this low …</t>
  </si>
  <si>
    <t xml:space="preserve">   95th percentile</t>
  </si>
  <si>
    <t>… or this high</t>
  </si>
  <si>
    <t>2   Each run size</t>
  </si>
  <si>
    <t>Defects drawn at this iteration's rate (VoseBinomial); press F9 for another.</t>
  </si>
  <si>
    <t>Defective</t>
  </si>
  <si>
    <t>Good</t>
  </si>
  <si>
    <t>Short</t>
  </si>
  <si>
    <t>Cost</t>
  </si>
  <si>
    <t>Exact chance</t>
  </si>
  <si>
    <t>allowed</t>
  </si>
  <si>
    <t>US$ thousand</t>
  </si>
  <si>
    <t>of meeting it</t>
  </si>
  <si>
    <t>Defects allowed: run size − order, the most that still meet it</t>
  </si>
  <si>
    <t>Defective: VoseBinomial(run size, defect rate)</t>
  </si>
  <si>
    <t>Short: the defects beyond those allowed</t>
  </si>
  <si>
    <t>Cost: run size × cost of a part + parts short × cost of a part short</t>
  </si>
  <si>
    <t>Exact chance: P(defective ≤ allowed), VoseBetaBinomialProb</t>
  </si>
  <si>
    <t>3   The run looked at in detail</t>
  </si>
  <si>
    <t>The run size on the Inputs sheet: its good parts with the rate uncertain, and as if the rate were known exactly (chance variation only).</t>
  </si>
  <si>
    <t>Good parts, rate uncertain</t>
  </si>
  <si>
    <t>Its row of the table above</t>
  </si>
  <si>
    <t>Good parts, rate known</t>
  </si>
  <si>
    <t>VoseBinomial(run size, inspected rate)</t>
  </si>
  <si>
    <t>Exact chance of meeting the order, rate known</t>
  </si>
  <si>
    <t>Binomial distribution, Excel's BINOM.DIST</t>
  </si>
  <si>
    <t>4   Value in this iteration</t>
  </si>
  <si>
    <t>Key outputs, recorded by ModelRisk at every sample (VoseOutput). Their statistics appear on the Results sheet.</t>
  </si>
  <si>
    <t>Output</t>
  </si>
  <si>
    <t>Meaning</t>
  </si>
  <si>
    <t>Order met?  run 1  (1 = yes)</t>
  </si>
  <si>
    <t>1 / 0</t>
  </si>
  <si>
    <t>Order met?  run 2  (1 = yes)</t>
  </si>
  <si>
    <t>Order met?  run 3  (1 = yes)</t>
  </si>
  <si>
    <t>Order met?  run 4  (1 = yes)</t>
  </si>
  <si>
    <t>Order met?  run 5  (1 = yes)</t>
  </si>
  <si>
    <t>Order met?  run 6  (1 = yes)</t>
  </si>
  <si>
    <t>Cost: run 1</t>
  </si>
  <si>
    <t>Cost: run 2</t>
  </si>
  <si>
    <t>Cost: run 3</t>
  </si>
  <si>
    <t>Cost: run 4</t>
  </si>
  <si>
    <t>Cost: run 5</t>
  </si>
  <si>
    <t>Cost: run 6</t>
  </si>
  <si>
    <t>Good parts: the run in detail</t>
  </si>
  <si>
    <t>Defect rate uncertain</t>
  </si>
  <si>
    <t>Good parts: the run in detail, rate known</t>
  </si>
  <si>
    <t>Defect rate known exactly</t>
  </si>
  <si>
    <t>Order met?  the run in detail  (1 = yes)</t>
  </si>
  <si>
    <t>Order met?  rate known  (1 = yes)</t>
  </si>
  <si>
    <t>5   Model checks</t>
  </si>
  <si>
    <t>Should all read OK. A CHECK means an input has been set outside the range the model is built for.</t>
  </si>
  <si>
    <t>The defects found are no more than the parts inspected</t>
  </si>
  <si>
    <t>The smallest run is at least the order</t>
  </si>
  <si>
    <t>The run in detail is one of the six run sizes</t>
  </si>
  <si>
    <t>RESULTS   ·   Filled in automatically from the last simulation. Run a simulation after changing any input.</t>
  </si>
  <si>
    <t>◂  Production</t>
  </si>
  <si>
    <t>1   Which run size?</t>
  </si>
  <si>
    <t>Expected cost by run size</t>
  </si>
  <si>
    <t>The chance of meeting the order, and the expected cost of making the parts and of any shortfall.</t>
  </si>
  <si>
    <t>Run size  (parts)</t>
  </si>
  <si>
    <t>Chance of</t>
  </si>
  <si>
    <t>Exact</t>
  </si>
  <si>
    <t>Expected</t>
  </si>
  <si>
    <t>95th pct</t>
  </si>
  <si>
    <t>Lowest</t>
  </si>
  <si>
    <t>meeting it</t>
  </si>
  <si>
    <t>chance</t>
  </si>
  <si>
    <t>cost, US$k</t>
  </si>
  <si>
    <t>cost</t>
  </si>
  <si>
    <t>2   How many good parts?</t>
  </si>
  <si>
    <t>Measure</t>
  </si>
  <si>
    <t>5th pct</t>
  </si>
  <si>
    <t>Median</t>
  </si>
  <si>
    <t>Mean</t>
  </si>
  <si>
    <t>Good parts, defect rate uncertain</t>
  </si>
  <si>
    <t>Good parts, defect rate known</t>
  </si>
  <si>
    <t>Good parts from the run in detail — cumulative probability</t>
  </si>
  <si>
    <t>Chance of meeting the order, rate uncertain</t>
  </si>
  <si>
    <t>Chance of meeting the order, rate known</t>
  </si>
  <si>
    <t>Exact, rate known  (BINOM.DIST)</t>
  </si>
  <si>
    <t>3   How to read these results</t>
  </si>
  <si>
    <t>•  The inspection found 3% defective, but 400 parts cannot pin the rate down: it could plausibly be anywhere from about 2% to 5%. That uncertainty, more than the randomness within a run, decides whether the order is met.</t>
  </si>
  <si>
    <t>•  Treating the 3% as exact, a run of 5,000 looks certain to meet the order. With the rate as uncertain as the data say, the chance is about 81%: the same run, very different confidence. Ask how a rate was estimated before trusting a plan built on it.</t>
  </si>
  <si>
    <t>•  Every part costs US$40 to make and every part short US$250. The expected cost is lowest for a run of 5,000 (about US$201,500), which meets the order about four times in five. A run of 5,050 costs only about US$800 more on average and meets it 96% of the time — cheap insurance against the penalty.</t>
  </si>
  <si>
    <t>•  Inspecting more parts narrows the rate's range and lets the run size come closer to the order: try 1,200 parts inspected with 36 defects on the Inputs sheet.</t>
  </si>
  <si>
    <t>•  The simulated chances agree with the exact Beta-Binomial values on the Production sheet — a quick check that is available for simple models like this one.</t>
  </si>
  <si>
    <t>Chart data</t>
  </si>
  <si>
    <t>Statistics of the last simulation behind the charts and the ranking above. Grouped: click + in the left margin to show them.</t>
  </si>
  <si>
    <t>Cumulative probability</t>
  </si>
  <si>
    <t>Exceedance</t>
  </si>
  <si>
    <t>Out_Good</t>
  </si>
  <si>
    <t>Out_GoodKnown</t>
  </si>
  <si>
    <t>Period</t>
  </si>
  <si>
    <t>Expected cost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</si>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</sst>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&quot;–&quot;_)"/>
    <numFmt numFmtId="165" formatCode="#,##0.0_);\(#,##0.0\);&quot;–&quot;_)"/>
    <numFmt numFmtId="166" formatCode="0.0%"/>
    <numFmt numFmtId="167" formatCode="0.0%;\-0.0%;0.0%;&quot;–&quot;"/>
    <numFmt numFmtId="168" formatCode="#,##0.0_);\(#,##0.0\);&quot;–&quot;_);&quot;–&quot;"/>
    <numFmt numFmtId="169" formatCode="#,##0_);\(#,##0\);&quot;–&quot;_);&quot;–&quot;"/>
  </numFmts>
  <fonts count="23" x14ac:knownFonts="1">
    <font>
      <sz val="11"/>
      <color theme="1"/>
      <name val="Calibri"/>
      <family val="2"/>
      <scheme val="minor"/>
    </font>
    <font>
      <sz val="10"/>
      <color rgb="FF0E4F92"/>
      <name val="Calibri"/>
    </font>
    <font>
      <sz val="10"/>
      <color rgb="FF9A3412"/>
      <name val="Calibri"/>
    </font>
    <font>
      <sz val="10"/>
      <color rgb="FF0F2A47"/>
      <name val="Calibri"/>
    </font>
    <font>
      <b/>
      <sz val="10"/>
      <color rgb="FF14532D"/>
      <name val="Calibri"/>
    </font>
    <font>
      <b/>
      <sz val="16"/>
      <color rgb="FFFFFFFF"/>
      <name val="Calibri"/>
    </font>
    <font>
      <sz val="10"/>
      <color rgb="FFD6E2F0"/>
      <name val="Calibri"/>
    </font>
    <font>
      <sz val="9"/>
      <color rgb="FFD6E2F0"/>
      <name val="Calibri"/>
    </font>
    <font>
      <u/>
      <sz val="9"/>
      <color rgb="FF0E4F92"/>
      <name val="Calibri"/>
    </font>
    <font>
      <b/>
      <sz val="20"/>
      <color rgb="FFFFFFFF"/>
      <name val="Calibri"/>
    </font>
    <font>
      <b/>
      <sz val="12"/>
      <color rgb="FF0E4F92"/>
      <name val="Calibri"/>
    </font>
    <font>
      <b/>
      <sz val="10"/>
      <color rgb="FF3F5876"/>
      <name val="Calibri"/>
    </font>
    <font>
      <b/>
      <sz val="10"/>
      <color rgb="FF0F2A47"/>
      <name val="Calibri"/>
    </font>
    <font>
      <i/>
      <sz val="9"/>
      <color rgb="FF3F5876"/>
      <name val="Calibri"/>
    </font>
    <font>
      <u/>
      <sz val="10"/>
      <color rgb="FF0E4F92"/>
      <name val="Calibri"/>
    </font>
    <font>
      <b/>
      <sz val="10"/>
      <color rgb="FF0E4F92"/>
      <name val="Calibri"/>
    </font>
    <font>
      <i/>
      <sz val="9"/>
      <color rgb="FF8AA0BA"/>
      <name val="Calibri"/>
    </font>
    <font>
      <b/>
      <sz val="9"/>
      <color rgb="FF3F5876"/>
      <name val="Calibri"/>
    </font>
    <font>
      <sz val="9"/>
      <color rgb="FF3F5876"/>
      <name val="Calibri"/>
    </font>
    <font>
      <sz val="8"/>
      <color rgb="FF3F5876"/>
      <name val="Calibri"/>
    </font>
    <font>
      <b/>
      <sz val="10"/>
      <color rgb="FF15803D"/>
      <name val="Calibri"/>
    </font>
    <font>
      <sz val="10"/>
      <color rgb="FF3F5876"/>
      <name val="Calibri"/>
    </font>
    <font>
      <b/>
      <sz val="11"/>
      <color rgb="FF0E4F9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8EEF7"/>
        <bgColor rgb="FFE8EEF7"/>
      </patternFill>
    </fill>
    <fill>
      <patternFill patternType="solid">
        <fgColor rgb="FF0E4F92"/>
        <bgColor rgb="FF0E4F92"/>
      </patternFill>
    </fill>
    <fill>
      <patternFill patternType="solid">
        <fgColor rgb="FFEEF1F5"/>
        <bgColor rgb="FFEEF1F5"/>
      </patternFill>
    </fill>
  </fills>
  <borders count="11">
    <border>
      <left/>
      <right/>
      <top/>
      <bottom/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C6D1DF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C6D1DF"/>
      </bottom>
      <diagonal/>
    </border>
    <border>
      <left/>
      <right/>
      <top/>
      <bottom style="medium">
        <color rgb="FF0E4F92"/>
      </bottom>
      <diagonal/>
    </border>
    <border>
      <left/>
      <right/>
      <top/>
      <bottom style="thin">
        <color rgb="FFE4E9F0"/>
      </bottom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E4E9F0"/>
      </bottom>
      <diagonal/>
    </border>
    <border>
      <left/>
      <right/>
      <top/>
      <bottom style="thin">
        <color rgb="FFE4E9F0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4E9F0"/>
      </bottom>
      <diagonal/>
    </border>
    <border>
      <left/>
      <right/>
      <top style="thin">
        <color rgb="FFC6D1DF"/>
      </top>
      <bottom style="thin">
        <color rgb="FFC6D1D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6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0" fontId="3" fillId="0" borderId="8" xfId="3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10" fontId="2" fillId="3" borderId="7" xfId="2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164" fontId="3" fillId="0" borderId="8" xfId="3" applyNumberFormat="1" applyBorder="1" applyAlignment="1">
      <alignment horizontal="left" vertical="center" indent="1"/>
    </xf>
    <xf numFmtId="164" fontId="2" fillId="3" borderId="7" xfId="2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165" fontId="4" fillId="4" borderId="9" xfId="4" applyNumberFormat="1" applyBorder="1">
      <alignment horizontal="right" vertical="center"/>
    </xf>
    <xf numFmtId="164" fontId="4" fillId="4" borderId="9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2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7" fontId="1" fillId="5" borderId="7" xfId="5" applyNumberFormat="1" applyBorder="1">
      <alignment horizontal="right" vertical="center"/>
    </xf>
    <xf numFmtId="168" fontId="1" fillId="5" borderId="7" xfId="5" applyNumberFormat="1" applyBorder="1">
      <alignment horizontal="right" vertical="center"/>
    </xf>
    <xf numFmtId="0" fontId="1" fillId="5" borderId="7" xfId="5" applyBorder="1">
      <alignment horizontal="right" vertical="center"/>
    </xf>
    <xf numFmtId="169" fontId="1" fillId="5" borderId="7" xfId="5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21" fillId="0" borderId="6" xfId="0" applyFont="1" applyBorder="1" applyAlignment="1">
      <alignment horizontal="left" vertical="center" indent="1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3" fontId="21" fillId="0" borderId="0" xfId="0" applyNumberFormat="1" applyFont="1" applyAlignment="1">
      <alignment horizontal="left" vertical="center" indent="1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Vose Calculation" xfId="3" xr:uid="{00000000-0005-0000-0000-000003000000}"/>
    <cellStyle name="Vose Input" xfId="1" xr:uid="{00000000-0005-0000-0000-000001000000}"/>
    <cellStyle name="Vose Output" xfId="4" xr:uid="{00000000-0005-0000-0000-000004000000}"/>
    <cellStyle name="Vose Sim Result" xfId="5" xr:uid="{00000000-0005-0000-0000-000005000000}"/>
    <cellStyle name="Vose Uncertain" xfId="2" xr:uid="{00000000-0005-0000-0000-000002000000}"/>
  </cellStyles>
  <dxfs count="11"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15803D"/>
      </font>
    </dxf>
    <dxf>
      <font>
        <color rgb="FF8AA0BA"/>
      </font>
    </dxf>
    <dxf>
      <font>
        <color rgb="FF8AA0BA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Expected cost</c:v>
          </c:tx>
          <c:spPr>
            <a:ln w="25400">
              <a:solidFill>
                <a:srgbClr val="0E4F92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E4F92"/>
              </a:solidFill>
              <a:ln>
                <a:solidFill>
                  <a:srgbClr val="0E4F92"/>
                </a:solidFill>
                <a:prstDash val="solid"/>
              </a:ln>
            </c:spPr>
          </c:marker>
          <c:cat>
            <c:numRef>
              <c:f>Results!$B$104:$B$109</c:f>
              <c:numCache>
                <c:formatCode>#,##0</c:formatCode>
                <c:ptCount val="6"/>
                <c:pt idx="0">
                  <c:v>4950</c:v>
                </c:pt>
                <c:pt idx="1">
                  <c:v>5000</c:v>
                </c:pt>
                <c:pt idx="2">
                  <c:v>5050</c:v>
                </c:pt>
                <c:pt idx="3">
                  <c:v>5100</c:v>
                </c:pt>
                <c:pt idx="4">
                  <c:v>5150</c:v>
                </c:pt>
                <c:pt idx="5">
                  <c:v>5200</c:v>
                </c:pt>
              </c:numCache>
            </c:numRef>
          </c:cat>
          <c:val>
            <c:numRef>
              <c:f>Results!$C$104:$C$109</c:f>
              <c:numCache>
                <c:formatCode>#,##0.00</c:formatCode>
                <c:ptCount val="6"/>
                <c:pt idx="0">
                  <c:v>203.77226361318066</c:v>
                </c:pt>
                <c:pt idx="1">
                  <c:v>201.51497574878744</c:v>
                </c:pt>
                <c:pt idx="2">
                  <c:v>202.2643632181609</c:v>
                </c:pt>
                <c:pt idx="3">
                  <c:v>204.03840192009599</c:v>
                </c:pt>
                <c:pt idx="4">
                  <c:v>206.00425021251061</c:v>
                </c:pt>
                <c:pt idx="5">
                  <c:v>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E0-4890-895E-B8090DCB1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US$ thousand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Rate uncertain</c:v>
          </c:tx>
          <c:spPr>
            <a:ln w="25400">
              <a:solidFill>
                <a:srgbClr val="0E4F92"/>
              </a:solidFill>
              <a:prstDash val="solid"/>
            </a:ln>
          </c:spPr>
          <c:marker>
            <c:symbol val="none"/>
          </c:marker>
          <c:xVal>
            <c:numRef>
              <c:f>Results!$D$52:$D$101</c:f>
              <c:numCache>
                <c:formatCode>#,##0.00</c:formatCode>
                <c:ptCount val="50"/>
                <c:pt idx="0">
                  <c:v>4718</c:v>
                </c:pt>
                <c:pt idx="1">
                  <c:v>4743</c:v>
                </c:pt>
                <c:pt idx="2">
                  <c:v>4756</c:v>
                </c:pt>
                <c:pt idx="3">
                  <c:v>4766</c:v>
                </c:pt>
                <c:pt idx="4">
                  <c:v>4773</c:v>
                </c:pt>
                <c:pt idx="5">
                  <c:v>4780</c:v>
                </c:pt>
                <c:pt idx="6">
                  <c:v>4785</c:v>
                </c:pt>
                <c:pt idx="7">
                  <c:v>4791</c:v>
                </c:pt>
                <c:pt idx="8">
                  <c:v>4795</c:v>
                </c:pt>
                <c:pt idx="9">
                  <c:v>4799</c:v>
                </c:pt>
                <c:pt idx="10">
                  <c:v>4803</c:v>
                </c:pt>
                <c:pt idx="11">
                  <c:v>4806</c:v>
                </c:pt>
                <c:pt idx="12">
                  <c:v>4810</c:v>
                </c:pt>
                <c:pt idx="13">
                  <c:v>4813</c:v>
                </c:pt>
                <c:pt idx="14">
                  <c:v>4816</c:v>
                </c:pt>
                <c:pt idx="15">
                  <c:v>4819</c:v>
                </c:pt>
                <c:pt idx="16">
                  <c:v>4822</c:v>
                </c:pt>
                <c:pt idx="17">
                  <c:v>4824</c:v>
                </c:pt>
                <c:pt idx="18">
                  <c:v>4827</c:v>
                </c:pt>
                <c:pt idx="19">
                  <c:v>4829</c:v>
                </c:pt>
                <c:pt idx="20">
                  <c:v>4831</c:v>
                </c:pt>
                <c:pt idx="21">
                  <c:v>4834</c:v>
                </c:pt>
                <c:pt idx="22">
                  <c:v>4836</c:v>
                </c:pt>
                <c:pt idx="23">
                  <c:v>4838</c:v>
                </c:pt>
                <c:pt idx="24">
                  <c:v>4841</c:v>
                </c:pt>
                <c:pt idx="25">
                  <c:v>4843</c:v>
                </c:pt>
                <c:pt idx="26">
                  <c:v>4845</c:v>
                </c:pt>
                <c:pt idx="27">
                  <c:v>4848</c:v>
                </c:pt>
                <c:pt idx="28">
                  <c:v>4850</c:v>
                </c:pt>
                <c:pt idx="29">
                  <c:v>4852</c:v>
                </c:pt>
                <c:pt idx="30">
                  <c:v>4854</c:v>
                </c:pt>
                <c:pt idx="31">
                  <c:v>4856</c:v>
                </c:pt>
                <c:pt idx="32">
                  <c:v>4859</c:v>
                </c:pt>
                <c:pt idx="33">
                  <c:v>4861</c:v>
                </c:pt>
                <c:pt idx="34">
                  <c:v>4864</c:v>
                </c:pt>
                <c:pt idx="35">
                  <c:v>4866</c:v>
                </c:pt>
                <c:pt idx="36">
                  <c:v>4868</c:v>
                </c:pt>
                <c:pt idx="37">
                  <c:v>4871</c:v>
                </c:pt>
                <c:pt idx="38">
                  <c:v>4873</c:v>
                </c:pt>
                <c:pt idx="39">
                  <c:v>4876</c:v>
                </c:pt>
                <c:pt idx="40">
                  <c:v>4879</c:v>
                </c:pt>
                <c:pt idx="41">
                  <c:v>4882</c:v>
                </c:pt>
                <c:pt idx="42">
                  <c:v>4885</c:v>
                </c:pt>
                <c:pt idx="43">
                  <c:v>4888</c:v>
                </c:pt>
                <c:pt idx="44">
                  <c:v>4892</c:v>
                </c:pt>
                <c:pt idx="45">
                  <c:v>4896</c:v>
                </c:pt>
                <c:pt idx="46">
                  <c:v>4901</c:v>
                </c:pt>
                <c:pt idx="47">
                  <c:v>4907</c:v>
                </c:pt>
                <c:pt idx="48">
                  <c:v>4914</c:v>
                </c:pt>
                <c:pt idx="49">
                  <c:v>4928</c:v>
                </c:pt>
              </c:numCache>
            </c:numRef>
          </c:xVal>
          <c:yVal>
            <c:numRef>
              <c:f>Results!$B$52:$B$101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743-4482-8FCF-C6A82EC4F155}"/>
            </c:ext>
          </c:extLst>
        </c:ser>
        <c:ser>
          <c:idx val="1"/>
          <c:order val="1"/>
          <c:tx>
            <c:v>Rate known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Results!$E$52:$E$101</c:f>
              <c:numCache>
                <c:formatCode>#,##0.00</c:formatCode>
                <c:ptCount val="50"/>
                <c:pt idx="0">
                  <c:v>4820</c:v>
                </c:pt>
                <c:pt idx="1">
                  <c:v>4826</c:v>
                </c:pt>
                <c:pt idx="2">
                  <c:v>4829</c:v>
                </c:pt>
                <c:pt idx="3">
                  <c:v>4832</c:v>
                </c:pt>
                <c:pt idx="4">
                  <c:v>4833</c:v>
                </c:pt>
                <c:pt idx="5">
                  <c:v>4835</c:v>
                </c:pt>
                <c:pt idx="6">
                  <c:v>4836</c:v>
                </c:pt>
                <c:pt idx="7">
                  <c:v>4837</c:v>
                </c:pt>
                <c:pt idx="8">
                  <c:v>4838</c:v>
                </c:pt>
                <c:pt idx="9">
                  <c:v>4839</c:v>
                </c:pt>
                <c:pt idx="10">
                  <c:v>4840</c:v>
                </c:pt>
                <c:pt idx="11">
                  <c:v>4841</c:v>
                </c:pt>
                <c:pt idx="12">
                  <c:v>4842</c:v>
                </c:pt>
                <c:pt idx="13">
                  <c:v>4843</c:v>
                </c:pt>
                <c:pt idx="14">
                  <c:v>4843</c:v>
                </c:pt>
                <c:pt idx="15">
                  <c:v>4844</c:v>
                </c:pt>
                <c:pt idx="16">
                  <c:v>4845</c:v>
                </c:pt>
                <c:pt idx="17">
                  <c:v>4845</c:v>
                </c:pt>
                <c:pt idx="18">
                  <c:v>4846</c:v>
                </c:pt>
                <c:pt idx="19">
                  <c:v>4847</c:v>
                </c:pt>
                <c:pt idx="20">
                  <c:v>4847</c:v>
                </c:pt>
                <c:pt idx="21">
                  <c:v>4848</c:v>
                </c:pt>
                <c:pt idx="22">
                  <c:v>4849</c:v>
                </c:pt>
                <c:pt idx="23">
                  <c:v>4849</c:v>
                </c:pt>
                <c:pt idx="24">
                  <c:v>4850</c:v>
                </c:pt>
                <c:pt idx="25">
                  <c:v>4850</c:v>
                </c:pt>
                <c:pt idx="26">
                  <c:v>4851</c:v>
                </c:pt>
                <c:pt idx="27">
                  <c:v>4852</c:v>
                </c:pt>
                <c:pt idx="28">
                  <c:v>4852</c:v>
                </c:pt>
                <c:pt idx="29">
                  <c:v>4853</c:v>
                </c:pt>
                <c:pt idx="30">
                  <c:v>4853</c:v>
                </c:pt>
                <c:pt idx="31">
                  <c:v>4854</c:v>
                </c:pt>
                <c:pt idx="32">
                  <c:v>4855</c:v>
                </c:pt>
                <c:pt idx="33">
                  <c:v>4855</c:v>
                </c:pt>
                <c:pt idx="34">
                  <c:v>4856</c:v>
                </c:pt>
                <c:pt idx="35">
                  <c:v>4857</c:v>
                </c:pt>
                <c:pt idx="36">
                  <c:v>4857</c:v>
                </c:pt>
                <c:pt idx="37">
                  <c:v>4858</c:v>
                </c:pt>
                <c:pt idx="38">
                  <c:v>4859</c:v>
                </c:pt>
                <c:pt idx="39">
                  <c:v>4860</c:v>
                </c:pt>
                <c:pt idx="40">
                  <c:v>4861</c:v>
                </c:pt>
                <c:pt idx="41">
                  <c:v>4861</c:v>
                </c:pt>
                <c:pt idx="42">
                  <c:v>4862</c:v>
                </c:pt>
                <c:pt idx="43">
                  <c:v>4864</c:v>
                </c:pt>
                <c:pt idx="44">
                  <c:v>4865</c:v>
                </c:pt>
                <c:pt idx="45">
                  <c:v>4866</c:v>
                </c:pt>
                <c:pt idx="46">
                  <c:v>4868</c:v>
                </c:pt>
                <c:pt idx="47">
                  <c:v>4870</c:v>
                </c:pt>
                <c:pt idx="48">
                  <c:v>4872</c:v>
                </c:pt>
                <c:pt idx="49">
                  <c:v>4877</c:v>
                </c:pt>
              </c:numCache>
            </c:numRef>
          </c:xVal>
          <c:yVal>
            <c:numRef>
              <c:f>Results!$B$52:$B$101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743-4482-8FCF-C6A82EC4F1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parts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Cumulative 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F92"/>
    <pageSetUpPr fitToPage="1"/>
  </sheetPr>
  <dimension ref="A1:D71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44" customHeight="1" x14ac:dyDescent="0.45">
      <c r="B16" s="63" t="s">
        <v>20</v>
      </c>
      <c r="C16" s="62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ht="12" customHeight="1" x14ac:dyDescent="0.45"/>
    <row r="55" spans="2:3" ht="22.05" customHeight="1" x14ac:dyDescent="0.5">
      <c r="B55" s="7" t="s">
        <v>63</v>
      </c>
      <c r="C55" s="8"/>
    </row>
    <row r="56" spans="2:3" x14ac:dyDescent="0.45">
      <c r="B56" s="9" t="s">
        <v>64</v>
      </c>
      <c r="C56" s="10" t="s">
        <v>65</v>
      </c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ht="12" customHeight="1" x14ac:dyDescent="0.45"/>
    <row r="61" spans="2:3" ht="22.05" customHeight="1" x14ac:dyDescent="0.5">
      <c r="B61" s="7" t="s">
        <v>72</v>
      </c>
      <c r="C61" s="8"/>
    </row>
    <row r="62" spans="2:3" x14ac:dyDescent="0.45">
      <c r="B62" s="20" t="s">
        <v>73</v>
      </c>
      <c r="C62" s="10" t="s">
        <v>74</v>
      </c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ht="26.25" x14ac:dyDescent="0.45">
      <c r="B65" s="20" t="s">
        <v>79</v>
      </c>
      <c r="C65" s="10" t="s">
        <v>80</v>
      </c>
    </row>
    <row r="66" spans="2:3" ht="12" customHeight="1" x14ac:dyDescent="0.45"/>
    <row r="67" spans="2:3" ht="22.05" customHeight="1" x14ac:dyDescent="0.5">
      <c r="B67" s="7" t="s">
        <v>81</v>
      </c>
      <c r="C67" s="8"/>
    </row>
    <row r="68" spans="2:3" x14ac:dyDescent="0.45">
      <c r="B68" s="9" t="s">
        <v>82</v>
      </c>
      <c r="C68" s="10" t="s">
        <v>83</v>
      </c>
    </row>
    <row r="69" spans="2:3" x14ac:dyDescent="0.45">
      <c r="B69" s="9" t="s">
        <v>84</v>
      </c>
      <c r="C69" s="10" t="s">
        <v>85</v>
      </c>
    </row>
    <row r="70" spans="2:3" ht="16.05" customHeight="1" x14ac:dyDescent="0.45"/>
    <row r="71" spans="2:3" x14ac:dyDescent="0.45">
      <c r="B71" s="61" t="s">
        <v>86</v>
      </c>
      <c r="C71" s="62"/>
    </row>
  </sheetData>
  <mergeCells count="2">
    <mergeCell ref="B71:C71"/>
    <mergeCell ref="B16:C16"/>
  </mergeCells>
  <hyperlinks>
    <hyperlink ref="D4" location="'Inputs'!A1" display="Next:  Inputs  ▸" xr:uid="{00000000-0004-0000-0000-000000000000}"/>
    <hyperlink ref="B39" location="'Inputs'!A1" display="Inputs" xr:uid="{00000000-0004-0000-0000-000001000000}"/>
    <hyperlink ref="B40" location="'Production'!A1" display="Production" xr:uid="{00000000-0004-0000-0000-000002000000}"/>
    <hyperlink ref="B41" location="'Results'!A1" display="Results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25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87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88</v>
      </c>
      <c r="C4" s="5"/>
      <c r="D4" s="5"/>
      <c r="E4" s="5"/>
      <c r="F4" s="5"/>
      <c r="G4" s="5"/>
      <c r="H4" s="5"/>
      <c r="I4" s="5"/>
      <c r="J4" s="6" t="s">
        <v>89</v>
      </c>
    </row>
    <row r="5" spans="1:10" ht="8" customHeight="1" x14ac:dyDescent="0.45"/>
    <row r="6" spans="1:10" ht="20" customHeight="1" x14ac:dyDescent="0.45">
      <c r="B6" s="64" t="s">
        <v>90</v>
      </c>
      <c r="C6" s="62"/>
      <c r="D6" s="62"/>
      <c r="E6" s="62"/>
      <c r="F6" s="62"/>
      <c r="G6" s="62"/>
      <c r="H6" s="62"/>
      <c r="I6" s="62"/>
      <c r="J6" s="62"/>
    </row>
    <row r="7" spans="1:10" ht="6" customHeight="1" x14ac:dyDescent="0.45"/>
    <row r="8" spans="1:10" ht="22.05" customHeight="1" x14ac:dyDescent="0.5">
      <c r="B8" s="7" t="s">
        <v>91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23" t="s">
        <v>92</v>
      </c>
      <c r="C9" s="23" t="s">
        <v>93</v>
      </c>
      <c r="D9" s="24" t="s">
        <v>94</v>
      </c>
      <c r="E9" s="23" t="s">
        <v>95</v>
      </c>
      <c r="F9" s="5"/>
      <c r="G9" s="5"/>
      <c r="H9" s="5"/>
      <c r="I9" s="5"/>
      <c r="J9" s="23" t="s">
        <v>96</v>
      </c>
    </row>
    <row r="10" spans="1:10" x14ac:dyDescent="0.45">
      <c r="B10" s="25" t="s">
        <v>97</v>
      </c>
      <c r="C10" s="26" t="s">
        <v>98</v>
      </c>
      <c r="D10" s="27">
        <v>4800</v>
      </c>
      <c r="E10" s="26" t="s">
        <v>99</v>
      </c>
      <c r="F10" s="28"/>
      <c r="G10" s="28"/>
      <c r="H10" s="28"/>
      <c r="I10" s="28"/>
      <c r="J10" s="29" t="s">
        <v>100</v>
      </c>
    </row>
    <row r="11" spans="1:10" x14ac:dyDescent="0.45">
      <c r="B11" s="25" t="s">
        <v>101</v>
      </c>
      <c r="C11" s="26" t="s">
        <v>102</v>
      </c>
      <c r="D11" s="27">
        <v>40</v>
      </c>
      <c r="E11" s="26" t="s">
        <v>99</v>
      </c>
      <c r="F11" s="28"/>
      <c r="G11" s="28"/>
      <c r="H11" s="28"/>
      <c r="I11" s="28"/>
      <c r="J11" s="29" t="s">
        <v>103</v>
      </c>
    </row>
    <row r="12" spans="1:10" x14ac:dyDescent="0.45">
      <c r="B12" s="25" t="s">
        <v>104</v>
      </c>
      <c r="C12" s="26" t="s">
        <v>105</v>
      </c>
      <c r="D12" s="27">
        <v>250</v>
      </c>
      <c r="E12" s="26" t="s">
        <v>99</v>
      </c>
      <c r="F12" s="28"/>
      <c r="G12" s="28"/>
      <c r="H12" s="28"/>
      <c r="I12" s="28"/>
      <c r="J12" s="29" t="s">
        <v>106</v>
      </c>
    </row>
    <row r="13" spans="1:10" ht="8" customHeight="1" x14ac:dyDescent="0.45"/>
    <row r="14" spans="1:10" ht="22.05" customHeight="1" x14ac:dyDescent="0.5">
      <c r="B14" s="7" t="s">
        <v>107</v>
      </c>
      <c r="C14" s="8"/>
      <c r="D14" s="8"/>
      <c r="E14" s="8"/>
      <c r="F14" s="8"/>
      <c r="G14" s="8"/>
      <c r="H14" s="8"/>
      <c r="I14" s="8"/>
      <c r="J14" s="8"/>
    </row>
    <row r="15" spans="1:10" ht="18" customHeight="1" x14ac:dyDescent="0.45">
      <c r="B15" s="13" t="s">
        <v>108</v>
      </c>
    </row>
    <row r="16" spans="1:10" ht="18" customHeight="1" x14ac:dyDescent="0.45">
      <c r="B16" s="23" t="s">
        <v>92</v>
      </c>
      <c r="C16" s="23" t="s">
        <v>93</v>
      </c>
      <c r="D16" s="24" t="s">
        <v>94</v>
      </c>
      <c r="E16" s="23" t="s">
        <v>95</v>
      </c>
      <c r="F16" s="5"/>
      <c r="G16" s="5"/>
      <c r="H16" s="5"/>
      <c r="I16" s="5"/>
      <c r="J16" s="23" t="s">
        <v>96</v>
      </c>
    </row>
    <row r="17" spans="2:10" x14ac:dyDescent="0.45">
      <c r="B17" s="25" t="s">
        <v>109</v>
      </c>
      <c r="C17" s="26" t="s">
        <v>98</v>
      </c>
      <c r="D17" s="27">
        <v>400</v>
      </c>
      <c r="E17" s="26" t="s">
        <v>99</v>
      </c>
      <c r="F17" s="28"/>
      <c r="G17" s="28"/>
      <c r="H17" s="28"/>
      <c r="I17" s="28"/>
      <c r="J17" s="29"/>
    </row>
    <row r="18" spans="2:10" x14ac:dyDescent="0.45">
      <c r="B18" s="25" t="s">
        <v>110</v>
      </c>
      <c r="C18" s="26" t="s">
        <v>98</v>
      </c>
      <c r="D18" s="27">
        <v>12</v>
      </c>
      <c r="E18" s="26" t="s">
        <v>99</v>
      </c>
      <c r="F18" s="28"/>
      <c r="G18" s="28"/>
      <c r="H18" s="28"/>
      <c r="I18" s="28"/>
      <c r="J18" s="29"/>
    </row>
    <row r="19" spans="2:10" ht="8" customHeight="1" x14ac:dyDescent="0.45"/>
    <row r="20" spans="2:10" ht="22.05" customHeight="1" x14ac:dyDescent="0.5">
      <c r="B20" s="7" t="s">
        <v>111</v>
      </c>
      <c r="C20" s="8"/>
      <c r="D20" s="8"/>
      <c r="E20" s="8"/>
      <c r="F20" s="8"/>
      <c r="G20" s="8"/>
      <c r="H20" s="8"/>
      <c r="I20" s="8"/>
      <c r="J20" s="8"/>
    </row>
    <row r="21" spans="2:10" ht="18" customHeight="1" x14ac:dyDescent="0.45">
      <c r="B21" s="23" t="s">
        <v>92</v>
      </c>
      <c r="C21" s="23" t="s">
        <v>93</v>
      </c>
      <c r="D21" s="24" t="s">
        <v>94</v>
      </c>
      <c r="E21" s="23" t="s">
        <v>95</v>
      </c>
      <c r="F21" s="5"/>
      <c r="G21" s="5"/>
      <c r="H21" s="5"/>
      <c r="I21" s="5"/>
      <c r="J21" s="23" t="s">
        <v>96</v>
      </c>
    </row>
    <row r="22" spans="2:10" x14ac:dyDescent="0.45">
      <c r="B22" s="25" t="s">
        <v>112</v>
      </c>
      <c r="C22" s="26" t="s">
        <v>98</v>
      </c>
      <c r="D22" s="27">
        <v>4950</v>
      </c>
      <c r="E22" s="26" t="s">
        <v>99</v>
      </c>
      <c r="F22" s="28"/>
      <c r="G22" s="28"/>
      <c r="H22" s="28"/>
      <c r="I22" s="28"/>
      <c r="J22" s="29" t="s">
        <v>113</v>
      </c>
    </row>
    <row r="23" spans="2:10" x14ac:dyDescent="0.45">
      <c r="B23" s="25" t="s">
        <v>114</v>
      </c>
      <c r="C23" s="26" t="s">
        <v>98</v>
      </c>
      <c r="D23" s="27">
        <v>50</v>
      </c>
      <c r="E23" s="26" t="s">
        <v>99</v>
      </c>
      <c r="F23" s="28"/>
      <c r="G23" s="28"/>
      <c r="H23" s="28"/>
      <c r="I23" s="28"/>
      <c r="J23" s="29"/>
    </row>
    <row r="24" spans="2:10" x14ac:dyDescent="0.45">
      <c r="B24" s="25" t="s">
        <v>115</v>
      </c>
      <c r="C24" s="26" t="s">
        <v>98</v>
      </c>
      <c r="D24" s="27">
        <v>5000</v>
      </c>
      <c r="E24" s="26" t="s">
        <v>99</v>
      </c>
      <c r="F24" s="28"/>
      <c r="G24" s="28"/>
      <c r="H24" s="28"/>
      <c r="I24" s="28"/>
      <c r="J24" s="29" t="s">
        <v>116</v>
      </c>
    </row>
    <row r="25" spans="2:10" ht="8" customHeight="1" x14ac:dyDescent="0.45"/>
  </sheetData>
  <mergeCells count="1">
    <mergeCell ref="B6:J6"/>
  </mergeCells>
  <dataValidations count="2">
    <dataValidation type="decimal" operator="greaterThan" showErrorMessage="1" errorTitle="Positive value" error="Enter a value greater than zero." sqref="D22:D24 D17 D10:D12" xr:uid="{00000000-0002-0000-0100-000000000000}">
      <formula1>0</formula1>
    </dataValidation>
    <dataValidation type="decimal" showErrorMessage="1" errorTitle="Value" error="Enter a value of zero or more." sqref="D18" xr:uid="{00000000-0002-0000-0100-000004000000}">
      <formula1>0</formula1>
      <formula2>1000000000000</formula2>
    </dataValidation>
  </dataValidations>
  <hyperlinks>
    <hyperlink ref="B4" location="'About'!A1" display="◂  About" xr:uid="{00000000-0004-0000-0100-000000000000}"/>
    <hyperlink ref="J4" location="'Production'!A1" display="Next:  Production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J59"/>
  <sheetViews>
    <sheetView showGridLines="0" workbookViewId="0"/>
  </sheetViews>
  <sheetFormatPr defaultRowHeight="14.25" x14ac:dyDescent="0.45"/>
  <cols>
    <col min="1" max="1" width="2" customWidth="1"/>
    <col min="2" max="2" width="40" customWidth="1"/>
    <col min="3" max="8" width="12" customWidth="1"/>
    <col min="9" max="9" width="3" customWidth="1"/>
    <col min="10" max="10" width="52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117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118</v>
      </c>
      <c r="C4" s="5"/>
      <c r="D4" s="5"/>
      <c r="E4" s="5"/>
      <c r="F4" s="5"/>
      <c r="G4" s="5"/>
      <c r="H4" s="5"/>
      <c r="I4" s="5"/>
      <c r="J4" s="6" t="s">
        <v>119</v>
      </c>
    </row>
    <row r="5" spans="1:10" ht="8" customHeight="1" x14ac:dyDescent="0.45"/>
    <row r="6" spans="1:10" ht="22.05" customHeight="1" x14ac:dyDescent="0.5">
      <c r="B6" s="7" t="s">
        <v>120</v>
      </c>
      <c r="C6" s="8"/>
      <c r="D6" s="8"/>
      <c r="E6" s="8"/>
      <c r="F6" s="8"/>
      <c r="G6" s="8"/>
      <c r="H6" s="8"/>
      <c r="I6" s="8"/>
      <c r="J6" s="8"/>
    </row>
    <row r="7" spans="1:10" ht="18" customHeight="1" x14ac:dyDescent="0.45">
      <c r="B7" s="13" t="s">
        <v>121</v>
      </c>
    </row>
    <row r="8" spans="1:10" ht="18" customHeight="1" x14ac:dyDescent="0.45">
      <c r="B8" s="30" t="s">
        <v>122</v>
      </c>
      <c r="C8" s="30" t="s">
        <v>93</v>
      </c>
      <c r="D8" s="31" t="s">
        <v>123</v>
      </c>
      <c r="E8" s="5"/>
      <c r="F8" s="5"/>
      <c r="G8" s="5"/>
      <c r="H8" s="5"/>
      <c r="I8" s="5"/>
      <c r="J8" s="30" t="s">
        <v>124</v>
      </c>
    </row>
    <row r="9" spans="1:10" x14ac:dyDescent="0.45">
      <c r="B9" s="25" t="s">
        <v>125</v>
      </c>
      <c r="C9" s="26"/>
      <c r="D9" s="32">
        <f>Defects/Inspected</f>
        <v>0.03</v>
      </c>
      <c r="E9" s="28"/>
      <c r="F9" s="28"/>
      <c r="G9" s="28"/>
      <c r="H9" s="28"/>
      <c r="I9" s="28"/>
      <c r="J9" s="26" t="s">
        <v>126</v>
      </c>
    </row>
    <row r="10" spans="1:10" x14ac:dyDescent="0.45">
      <c r="B10" s="25" t="s">
        <v>127</v>
      </c>
      <c r="C10" s="26"/>
      <c r="D10" s="33">
        <f>Defects+1</f>
        <v>13</v>
      </c>
      <c r="E10" s="28"/>
      <c r="F10" s="28"/>
      <c r="G10" s="28"/>
      <c r="H10" s="28"/>
      <c r="I10" s="28"/>
      <c r="J10" s="26" t="s">
        <v>128</v>
      </c>
    </row>
    <row r="11" spans="1:10" x14ac:dyDescent="0.45">
      <c r="B11" s="25" t="s">
        <v>129</v>
      </c>
      <c r="C11" s="26"/>
      <c r="D11" s="33">
        <f>Inspected-Defects+1</f>
        <v>389</v>
      </c>
      <c r="E11" s="28"/>
      <c r="F11" s="28"/>
      <c r="G11" s="28"/>
      <c r="H11" s="28"/>
      <c r="I11" s="28"/>
      <c r="J11" s="26" t="s">
        <v>130</v>
      </c>
    </row>
    <row r="12" spans="1:10" x14ac:dyDescent="0.45">
      <c r="B12" s="25" t="s">
        <v>131</v>
      </c>
      <c r="C12" s="26"/>
      <c r="D12" s="34" cm="1">
        <f t="array" aca="1" ref="D12" ca="1">_xll.VoseInput("Defect rate")+_xll.VoseBeta(BetaA,BetaB)</f>
        <v>3.2943067410302951E-2</v>
      </c>
      <c r="E12" s="28"/>
      <c r="F12" s="28"/>
      <c r="G12" s="28"/>
      <c r="H12" s="28"/>
      <c r="I12" s="28"/>
      <c r="J12" s="26" t="s">
        <v>132</v>
      </c>
    </row>
    <row r="13" spans="1:10" x14ac:dyDescent="0.45">
      <c r="B13" s="25" t="s">
        <v>133</v>
      </c>
      <c r="C13" s="26"/>
      <c r="D13" s="32" cm="1">
        <f t="array" ref="D13">_xll.VosePercentile(_xll.VoseBetaObject(BetaA,BetaB),0.05)</f>
        <v>1.9280350024583229E-2</v>
      </c>
      <c r="E13" s="28"/>
      <c r="F13" s="28"/>
      <c r="G13" s="28"/>
      <c r="H13" s="28"/>
      <c r="I13" s="28"/>
      <c r="J13" s="26" t="s">
        <v>134</v>
      </c>
    </row>
    <row r="14" spans="1:10" x14ac:dyDescent="0.45">
      <c r="B14" s="25" t="s">
        <v>135</v>
      </c>
      <c r="C14" s="26"/>
      <c r="D14" s="32" cm="1">
        <f t="array" ref="D14">_xll.VosePercentile(_xll.VoseBetaObject(BetaA,BetaB),0.95)</f>
        <v>4.8034962871072007E-2</v>
      </c>
      <c r="E14" s="28"/>
      <c r="F14" s="28"/>
      <c r="G14" s="28"/>
      <c r="H14" s="28"/>
      <c r="I14" s="28"/>
      <c r="J14" s="26" t="s">
        <v>136</v>
      </c>
    </row>
    <row r="15" spans="1:10" ht="8" customHeight="1" x14ac:dyDescent="0.45"/>
    <row r="16" spans="1:10" ht="22.05" customHeight="1" x14ac:dyDescent="0.5">
      <c r="B16" s="7" t="s">
        <v>137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138</v>
      </c>
    </row>
    <row r="18" spans="2:10" ht="18" customHeight="1" x14ac:dyDescent="0.45">
      <c r="B18" s="35" t="s">
        <v>61</v>
      </c>
      <c r="C18" s="36" t="s">
        <v>64</v>
      </c>
      <c r="D18" s="36" t="s">
        <v>139</v>
      </c>
      <c r="E18" s="36" t="s">
        <v>140</v>
      </c>
      <c r="F18" s="36" t="s">
        <v>141</v>
      </c>
      <c r="G18" s="36" t="s">
        <v>142</v>
      </c>
      <c r="H18" s="36" t="s">
        <v>143</v>
      </c>
      <c r="I18" s="5"/>
      <c r="J18" s="30"/>
    </row>
    <row r="19" spans="2:10" x14ac:dyDescent="0.45">
      <c r="B19" s="37" t="s">
        <v>98</v>
      </c>
      <c r="C19" s="37" t="s">
        <v>144</v>
      </c>
      <c r="D19" s="37" t="s">
        <v>98</v>
      </c>
      <c r="E19" s="37" t="s">
        <v>98</v>
      </c>
      <c r="F19" s="37" t="s">
        <v>98</v>
      </c>
      <c r="G19" s="37" t="s">
        <v>145</v>
      </c>
      <c r="H19" s="37" t="s">
        <v>146</v>
      </c>
    </row>
    <row r="20" spans="2:10" x14ac:dyDescent="0.45">
      <c r="B20" s="38">
        <f>RunMin+0*RunStep</f>
        <v>4950</v>
      </c>
      <c r="C20" s="33">
        <f t="shared" ref="C20:C25" si="0">B20-Order</f>
        <v>150</v>
      </c>
      <c r="D20" s="39" cm="1">
        <f t="array" aca="1" ref="D20" ca="1">_xll.VoseBinomial(B20,DefRate)</f>
        <v>172</v>
      </c>
      <c r="E20" s="33">
        <f t="shared" ref="E20:E25" ca="1" si="1">B20-D20</f>
        <v>4778</v>
      </c>
      <c r="F20" s="33">
        <f t="shared" ref="F20:F25" ca="1" si="2">MAX(0,D20-C20)</f>
        <v>22</v>
      </c>
      <c r="G20" s="40">
        <f t="shared" ref="G20:G25" ca="1" si="3">(B20*UnitCost+F20*Penalty)/1000</f>
        <v>203.5</v>
      </c>
      <c r="H20" s="41" cm="1">
        <f t="array" ref="H20">IF(C20&lt;0,0,_xll.VoseBetaBinomialProb(C20,B20,BetaA,BetaB,TRUE))</f>
        <v>0.4497894573303326</v>
      </c>
      <c r="I20" s="28"/>
      <c r="J20" s="26" t="s">
        <v>147</v>
      </c>
    </row>
    <row r="21" spans="2:10" x14ac:dyDescent="0.45">
      <c r="B21" s="38">
        <f>RunMin+1*RunStep</f>
        <v>5000</v>
      </c>
      <c r="C21" s="33">
        <f t="shared" si="0"/>
        <v>200</v>
      </c>
      <c r="D21" s="39" cm="1">
        <f t="array" aca="1" ref="D21" ca="1">_xll.VoseBinomial(B21,DefRate)</f>
        <v>151</v>
      </c>
      <c r="E21" s="33">
        <f t="shared" ca="1" si="1"/>
        <v>4849</v>
      </c>
      <c r="F21" s="33">
        <f t="shared" ca="1" si="2"/>
        <v>0</v>
      </c>
      <c r="G21" s="40">
        <f t="shared" ca="1" si="3"/>
        <v>200</v>
      </c>
      <c r="H21" s="41" cm="1">
        <f t="array" ref="H21">IF(C21&lt;0,0,_xll.VoseBetaBinomialProb(C21,B21,BetaA,BetaB,TRUE))</f>
        <v>0.80972523422176179</v>
      </c>
      <c r="I21" s="28"/>
      <c r="J21" s="26" t="s">
        <v>148</v>
      </c>
    </row>
    <row r="22" spans="2:10" x14ac:dyDescent="0.45">
      <c r="B22" s="38">
        <f>RunMin+2*RunStep</f>
        <v>5050</v>
      </c>
      <c r="C22" s="33">
        <f t="shared" si="0"/>
        <v>250</v>
      </c>
      <c r="D22" s="39" cm="1">
        <f t="array" aca="1" ref="D22" ca="1">_xll.VoseBinomial(B22,DefRate)</f>
        <v>160</v>
      </c>
      <c r="E22" s="33">
        <f t="shared" ca="1" si="1"/>
        <v>4890</v>
      </c>
      <c r="F22" s="33">
        <f t="shared" ca="1" si="2"/>
        <v>0</v>
      </c>
      <c r="G22" s="40">
        <f t="shared" ca="1" si="3"/>
        <v>202</v>
      </c>
      <c r="H22" s="41" cm="1">
        <f t="array" ref="H22">IF(C22&lt;0,0,_xll.VoseBetaBinomialProb(C22,B22,BetaA,BetaB,TRUE))</f>
        <v>0.95777914875627179</v>
      </c>
      <c r="I22" s="28"/>
      <c r="J22" s="26" t="s">
        <v>149</v>
      </c>
    </row>
    <row r="23" spans="2:10" x14ac:dyDescent="0.45">
      <c r="B23" s="38">
        <f>RunMin+3*RunStep</f>
        <v>5100</v>
      </c>
      <c r="C23" s="33">
        <f t="shared" si="0"/>
        <v>300</v>
      </c>
      <c r="D23" s="39" cm="1">
        <f t="array" aca="1" ref="D23" ca="1">_xll.VoseBinomial(B23,DefRate)</f>
        <v>179</v>
      </c>
      <c r="E23" s="33">
        <f t="shared" ca="1" si="1"/>
        <v>4921</v>
      </c>
      <c r="F23" s="33">
        <f t="shared" ca="1" si="2"/>
        <v>0</v>
      </c>
      <c r="G23" s="40">
        <f t="shared" ca="1" si="3"/>
        <v>204</v>
      </c>
      <c r="H23" s="41" cm="1">
        <f t="array" ref="H23">IF(C23&lt;0,0,_xll.VoseBetaBinomialProb(C23,B23,BetaA,BetaB,TRUE))</f>
        <v>0.99321445784453311</v>
      </c>
      <c r="I23" s="28"/>
      <c r="J23" s="26" t="s">
        <v>150</v>
      </c>
    </row>
    <row r="24" spans="2:10" x14ac:dyDescent="0.45">
      <c r="B24" s="38">
        <f>RunMin+4*RunStep</f>
        <v>5150</v>
      </c>
      <c r="C24" s="33">
        <f t="shared" si="0"/>
        <v>350</v>
      </c>
      <c r="D24" s="39" cm="1">
        <f t="array" aca="1" ref="D24" ca="1">_xll.VoseBinomial(B24,DefRate)</f>
        <v>168</v>
      </c>
      <c r="E24" s="33">
        <f t="shared" ca="1" si="1"/>
        <v>4982</v>
      </c>
      <c r="F24" s="33">
        <f t="shared" ca="1" si="2"/>
        <v>0</v>
      </c>
      <c r="G24" s="40">
        <f t="shared" ca="1" si="3"/>
        <v>206</v>
      </c>
      <c r="H24" s="41" cm="1">
        <f t="array" ref="H24">IF(C24&lt;0,0,_xll.VoseBetaBinomialProb(C24,B24,BetaA,BetaB,TRUE))</f>
        <v>0.99913675338501018</v>
      </c>
      <c r="I24" s="28"/>
      <c r="J24" s="26" t="s">
        <v>151</v>
      </c>
    </row>
    <row r="25" spans="2:10" x14ac:dyDescent="0.45">
      <c r="B25" s="38">
        <f>RunMin+5*RunStep</f>
        <v>5200</v>
      </c>
      <c r="C25" s="33">
        <f t="shared" si="0"/>
        <v>400</v>
      </c>
      <c r="D25" s="39" cm="1">
        <f t="array" aca="1" ref="D25" ca="1">_xll.VoseBinomial(B25,DefRate)</f>
        <v>168</v>
      </c>
      <c r="E25" s="33">
        <f t="shared" ca="1" si="1"/>
        <v>5032</v>
      </c>
      <c r="F25" s="33">
        <f t="shared" ca="1" si="2"/>
        <v>0</v>
      </c>
      <c r="G25" s="40">
        <f t="shared" ca="1" si="3"/>
        <v>208</v>
      </c>
      <c r="H25" s="41" cm="1">
        <f t="array" ref="H25">IF(C25&lt;0,0,_xll.VoseBetaBinomialProb(C25,B25,BetaA,BetaB,TRUE))</f>
        <v>0.99990754642559543</v>
      </c>
      <c r="I25" s="28"/>
      <c r="J25" s="28"/>
    </row>
    <row r="26" spans="2:10" ht="8" customHeight="1" x14ac:dyDescent="0.45"/>
    <row r="27" spans="2:10" ht="22.05" customHeight="1" x14ac:dyDescent="0.5">
      <c r="B27" s="7" t="s">
        <v>152</v>
      </c>
      <c r="C27" s="8"/>
      <c r="D27" s="8"/>
      <c r="E27" s="8"/>
      <c r="F27" s="8"/>
      <c r="G27" s="8"/>
      <c r="H27" s="8"/>
      <c r="I27" s="8"/>
      <c r="J27" s="8"/>
    </row>
    <row r="28" spans="2:10" ht="18" customHeight="1" x14ac:dyDescent="0.45">
      <c r="B28" s="13" t="s">
        <v>153</v>
      </c>
    </row>
    <row r="29" spans="2:10" ht="18" customHeight="1" x14ac:dyDescent="0.45">
      <c r="B29" s="30" t="s">
        <v>122</v>
      </c>
      <c r="C29" s="30" t="s">
        <v>93</v>
      </c>
      <c r="D29" s="31" t="s">
        <v>123</v>
      </c>
      <c r="E29" s="5"/>
      <c r="F29" s="5"/>
      <c r="G29" s="5"/>
      <c r="H29" s="5"/>
      <c r="I29" s="5"/>
      <c r="J29" s="30" t="s">
        <v>124</v>
      </c>
    </row>
    <row r="30" spans="2:10" x14ac:dyDescent="0.45">
      <c r="B30" s="25" t="s">
        <v>154</v>
      </c>
      <c r="C30" s="26" t="s">
        <v>98</v>
      </c>
      <c r="D30" s="33">
        <f ca="1">INDEX(GoodParts,MATCH(FocusRun,RunSizes,0))</f>
        <v>4849</v>
      </c>
      <c r="E30" s="28"/>
      <c r="F30" s="28"/>
      <c r="G30" s="28"/>
      <c r="H30" s="28"/>
      <c r="I30" s="28"/>
      <c r="J30" s="26" t="s">
        <v>155</v>
      </c>
    </row>
    <row r="31" spans="2:10" x14ac:dyDescent="0.45">
      <c r="B31" s="25" t="s">
        <v>156</v>
      </c>
      <c r="C31" s="26" t="s">
        <v>98</v>
      </c>
      <c r="D31" s="39" cm="1">
        <f t="array" aca="1" ref="D31" ca="1">FocusRun-_xll.VoseBinomial(FocusRun,RateObs)</f>
        <v>4846</v>
      </c>
      <c r="E31" s="28"/>
      <c r="F31" s="28"/>
      <c r="G31" s="28"/>
      <c r="H31" s="28"/>
      <c r="I31" s="28"/>
      <c r="J31" s="26" t="s">
        <v>157</v>
      </c>
    </row>
    <row r="32" spans="2:10" x14ac:dyDescent="0.45">
      <c r="B32" s="25" t="s">
        <v>158</v>
      </c>
      <c r="C32" s="26"/>
      <c r="D32" s="41">
        <f>_xlfn.BINOM.DIST(FocusRun-Order,FocusRun,RateObs,TRUE)</f>
        <v>0.99996812308980665</v>
      </c>
      <c r="E32" s="28"/>
      <c r="F32" s="28"/>
      <c r="G32" s="28"/>
      <c r="H32" s="28"/>
      <c r="I32" s="28"/>
      <c r="J32" s="26" t="s">
        <v>159</v>
      </c>
    </row>
    <row r="33" spans="2:10" ht="8" customHeight="1" x14ac:dyDescent="0.45"/>
    <row r="34" spans="2:10" ht="22.05" customHeight="1" x14ac:dyDescent="0.5">
      <c r="B34" s="7" t="s">
        <v>160</v>
      </c>
      <c r="C34" s="8"/>
      <c r="D34" s="8"/>
      <c r="E34" s="8"/>
      <c r="F34" s="8"/>
      <c r="G34" s="8"/>
      <c r="H34" s="8"/>
      <c r="I34" s="8"/>
      <c r="J34" s="8"/>
    </row>
    <row r="35" spans="2:10" ht="18" customHeight="1" x14ac:dyDescent="0.45">
      <c r="B35" s="13" t="s">
        <v>161</v>
      </c>
    </row>
    <row r="36" spans="2:10" ht="18" customHeight="1" x14ac:dyDescent="0.45">
      <c r="B36" s="30" t="s">
        <v>162</v>
      </c>
      <c r="C36" s="30" t="s">
        <v>93</v>
      </c>
      <c r="D36" s="31" t="s">
        <v>123</v>
      </c>
      <c r="E36" s="5"/>
      <c r="F36" s="5"/>
      <c r="G36" s="5"/>
      <c r="H36" s="5"/>
      <c r="I36" s="5"/>
      <c r="J36" s="30" t="s">
        <v>163</v>
      </c>
    </row>
    <row r="37" spans="2:10" x14ac:dyDescent="0.45">
      <c r="B37" s="25" t="s">
        <v>164</v>
      </c>
      <c r="C37" s="26" t="s">
        <v>165</v>
      </c>
      <c r="D37" s="42" cm="1">
        <f t="array" aca="1" ref="D37" ca="1">_xll.VoseOutput("Order met, run 1","1 = yes")+IF(Short_1=0,1,0)</f>
        <v>0</v>
      </c>
      <c r="E37" s="28"/>
      <c r="F37" s="28"/>
      <c r="G37" s="28"/>
      <c r="H37" s="28"/>
      <c r="I37" s="28"/>
      <c r="J37" s="26"/>
    </row>
    <row r="38" spans="2:10" x14ac:dyDescent="0.45">
      <c r="B38" s="25" t="s">
        <v>166</v>
      </c>
      <c r="C38" s="26" t="s">
        <v>165</v>
      </c>
      <c r="D38" s="42" cm="1">
        <f t="array" aca="1" ref="D38" ca="1">_xll.VoseOutput("Order met, run 2","1 = yes")+IF(Short_2=0,1,0)</f>
        <v>1</v>
      </c>
      <c r="E38" s="28"/>
      <c r="F38" s="28"/>
      <c r="G38" s="28"/>
      <c r="H38" s="28"/>
      <c r="I38" s="28"/>
      <c r="J38" s="26"/>
    </row>
    <row r="39" spans="2:10" x14ac:dyDescent="0.45">
      <c r="B39" s="25" t="s">
        <v>167</v>
      </c>
      <c r="C39" s="26" t="s">
        <v>165</v>
      </c>
      <c r="D39" s="42" cm="1">
        <f t="array" aca="1" ref="D39" ca="1">_xll.VoseOutput("Order met, run 3","1 = yes")+IF(Short_3=0,1,0)</f>
        <v>1</v>
      </c>
      <c r="E39" s="28"/>
      <c r="F39" s="28"/>
      <c r="G39" s="28"/>
      <c r="H39" s="28"/>
      <c r="I39" s="28"/>
      <c r="J39" s="26"/>
    </row>
    <row r="40" spans="2:10" x14ac:dyDescent="0.45">
      <c r="B40" s="25" t="s">
        <v>168</v>
      </c>
      <c r="C40" s="26" t="s">
        <v>165</v>
      </c>
      <c r="D40" s="42" cm="1">
        <f t="array" aca="1" ref="D40" ca="1">_xll.VoseOutput("Order met, run 4","1 = yes")+IF(Short_4=0,1,0)</f>
        <v>1</v>
      </c>
      <c r="E40" s="28"/>
      <c r="F40" s="28"/>
      <c r="G40" s="28"/>
      <c r="H40" s="28"/>
      <c r="I40" s="28"/>
      <c r="J40" s="26"/>
    </row>
    <row r="41" spans="2:10" x14ac:dyDescent="0.45">
      <c r="B41" s="25" t="s">
        <v>169</v>
      </c>
      <c r="C41" s="26" t="s">
        <v>165</v>
      </c>
      <c r="D41" s="42" cm="1">
        <f t="array" aca="1" ref="D41" ca="1">_xll.VoseOutput("Order met, run 5","1 = yes")+IF(Short_5=0,1,0)</f>
        <v>1</v>
      </c>
      <c r="E41" s="28"/>
      <c r="F41" s="28"/>
      <c r="G41" s="28"/>
      <c r="H41" s="28"/>
      <c r="I41" s="28"/>
      <c r="J41" s="26"/>
    </row>
    <row r="42" spans="2:10" x14ac:dyDescent="0.45">
      <c r="B42" s="25" t="s">
        <v>170</v>
      </c>
      <c r="C42" s="26" t="s">
        <v>165</v>
      </c>
      <c r="D42" s="42" cm="1">
        <f t="array" aca="1" ref="D42" ca="1">_xll.VoseOutput("Order met, run 6","1 = yes")+IF(Short_6=0,1,0)</f>
        <v>1</v>
      </c>
      <c r="E42" s="28"/>
      <c r="F42" s="28"/>
      <c r="G42" s="28"/>
      <c r="H42" s="28"/>
      <c r="I42" s="28"/>
      <c r="J42" s="26"/>
    </row>
    <row r="43" spans="2:10" x14ac:dyDescent="0.45">
      <c r="B43" s="25" t="s">
        <v>171</v>
      </c>
      <c r="C43" s="26" t="s">
        <v>145</v>
      </c>
      <c r="D43" s="43" cm="1">
        <f t="array" aca="1" ref="D43" ca="1">_xll.VoseOutput("Cost, run 1","US$ thousand")+Cost_1</f>
        <v>203.5</v>
      </c>
      <c r="E43" s="28"/>
      <c r="F43" s="28"/>
      <c r="G43" s="28"/>
      <c r="H43" s="28"/>
      <c r="I43" s="28"/>
      <c r="J43" s="26"/>
    </row>
    <row r="44" spans="2:10" x14ac:dyDescent="0.45">
      <c r="B44" s="25" t="s">
        <v>172</v>
      </c>
      <c r="C44" s="26" t="s">
        <v>145</v>
      </c>
      <c r="D44" s="43" cm="1">
        <f t="array" aca="1" ref="D44" ca="1">_xll.VoseOutput("Cost, run 2","US$ thousand")+Cost_2</f>
        <v>200</v>
      </c>
      <c r="E44" s="28"/>
      <c r="F44" s="28"/>
      <c r="G44" s="28"/>
      <c r="H44" s="28"/>
      <c r="I44" s="28"/>
      <c r="J44" s="26"/>
    </row>
    <row r="45" spans="2:10" x14ac:dyDescent="0.45">
      <c r="B45" s="25" t="s">
        <v>173</v>
      </c>
      <c r="C45" s="26" t="s">
        <v>145</v>
      </c>
      <c r="D45" s="43" cm="1">
        <f t="array" aca="1" ref="D45" ca="1">_xll.VoseOutput("Cost, run 3","US$ thousand")+Cost_3</f>
        <v>202</v>
      </c>
      <c r="E45" s="28"/>
      <c r="F45" s="28"/>
      <c r="G45" s="28"/>
      <c r="H45" s="28"/>
      <c r="I45" s="28"/>
      <c r="J45" s="26"/>
    </row>
    <row r="46" spans="2:10" x14ac:dyDescent="0.45">
      <c r="B46" s="25" t="s">
        <v>174</v>
      </c>
      <c r="C46" s="26" t="s">
        <v>145</v>
      </c>
      <c r="D46" s="43" cm="1">
        <f t="array" aca="1" ref="D46" ca="1">_xll.VoseOutput("Cost, run 4","US$ thousand")+Cost_4</f>
        <v>204</v>
      </c>
      <c r="E46" s="28"/>
      <c r="F46" s="28"/>
      <c r="G46" s="28"/>
      <c r="H46" s="28"/>
      <c r="I46" s="28"/>
      <c r="J46" s="26"/>
    </row>
    <row r="47" spans="2:10" x14ac:dyDescent="0.45">
      <c r="B47" s="25" t="s">
        <v>175</v>
      </c>
      <c r="C47" s="26" t="s">
        <v>145</v>
      </c>
      <c r="D47" s="43" cm="1">
        <f t="array" aca="1" ref="D47" ca="1">_xll.VoseOutput("Cost, run 5","US$ thousand")+Cost_5</f>
        <v>206</v>
      </c>
      <c r="E47" s="28"/>
      <c r="F47" s="28"/>
      <c r="G47" s="28"/>
      <c r="H47" s="28"/>
      <c r="I47" s="28"/>
      <c r="J47" s="26"/>
    </row>
    <row r="48" spans="2:10" x14ac:dyDescent="0.45">
      <c r="B48" s="25" t="s">
        <v>176</v>
      </c>
      <c r="C48" s="26" t="s">
        <v>145</v>
      </c>
      <c r="D48" s="43" cm="1">
        <f t="array" aca="1" ref="D48" ca="1">_xll.VoseOutput("Cost, run 6","US$ thousand")+Cost_6</f>
        <v>208</v>
      </c>
      <c r="E48" s="28"/>
      <c r="F48" s="28"/>
      <c r="G48" s="28"/>
      <c r="H48" s="28"/>
      <c r="I48" s="28"/>
      <c r="J48" s="26"/>
    </row>
    <row r="49" spans="2:10" x14ac:dyDescent="0.45">
      <c r="B49" s="25" t="s">
        <v>177</v>
      </c>
      <c r="C49" s="26" t="s">
        <v>98</v>
      </c>
      <c r="D49" s="44" cm="1">
        <f t="array" aca="1" ref="D49" ca="1">_xll.VoseOutput("Good parts, rate uncertain","parts")+GoodFocus</f>
        <v>4849</v>
      </c>
      <c r="E49" s="28"/>
      <c r="F49" s="28"/>
      <c r="G49" s="28"/>
      <c r="H49" s="28"/>
      <c r="I49" s="28"/>
      <c r="J49" s="26" t="s">
        <v>178</v>
      </c>
    </row>
    <row r="50" spans="2:10" x14ac:dyDescent="0.45">
      <c r="B50" s="25" t="s">
        <v>179</v>
      </c>
      <c r="C50" s="26" t="s">
        <v>98</v>
      </c>
      <c r="D50" s="44" cm="1">
        <f t="array" aca="1" ref="D50" ca="1">_xll.VoseOutput("Good parts, rate known","parts")+GoodKnown</f>
        <v>4846</v>
      </c>
      <c r="E50" s="28"/>
      <c r="F50" s="28"/>
      <c r="G50" s="28"/>
      <c r="H50" s="28"/>
      <c r="I50" s="28"/>
      <c r="J50" s="26" t="s">
        <v>180</v>
      </c>
    </row>
    <row r="51" spans="2:10" x14ac:dyDescent="0.45">
      <c r="B51" s="25" t="s">
        <v>181</v>
      </c>
      <c r="C51" s="26" t="s">
        <v>165</v>
      </c>
      <c r="D51" s="42" cm="1">
        <f t="array" aca="1" ref="D51" ca="1">_xll.VoseOutput("Order met, run in detail","1 = yes")+IF(GoodFocus&gt;=Order,1,0)</f>
        <v>1</v>
      </c>
      <c r="E51" s="28"/>
      <c r="F51" s="28"/>
      <c r="G51" s="28"/>
      <c r="H51" s="28"/>
      <c r="I51" s="28"/>
      <c r="J51" s="26"/>
    </row>
    <row r="52" spans="2:10" x14ac:dyDescent="0.45">
      <c r="B52" s="25" t="s">
        <v>182</v>
      </c>
      <c r="C52" s="26" t="s">
        <v>165</v>
      </c>
      <c r="D52" s="42" cm="1">
        <f t="array" aca="1" ref="D52" ca="1">_xll.VoseOutput("Order met, rate known","1 = yes")+IF(GoodKnown&gt;=Order,1,0)</f>
        <v>1</v>
      </c>
      <c r="E52" s="28"/>
      <c r="F52" s="28"/>
      <c r="G52" s="28"/>
      <c r="H52" s="28"/>
      <c r="I52" s="28"/>
      <c r="J52" s="26"/>
    </row>
    <row r="53" spans="2:10" ht="8" customHeight="1" x14ac:dyDescent="0.45"/>
    <row r="54" spans="2:10" ht="22.05" customHeight="1" x14ac:dyDescent="0.5">
      <c r="B54" s="7" t="s">
        <v>183</v>
      </c>
      <c r="C54" s="8"/>
      <c r="D54" s="8"/>
      <c r="E54" s="8"/>
      <c r="F54" s="8"/>
      <c r="G54" s="8"/>
      <c r="H54" s="8"/>
      <c r="I54" s="8"/>
      <c r="J54" s="8"/>
    </row>
    <row r="55" spans="2:10" ht="18" customHeight="1" x14ac:dyDescent="0.45">
      <c r="B55" s="13" t="s">
        <v>184</v>
      </c>
    </row>
    <row r="56" spans="2:10" x14ac:dyDescent="0.45">
      <c r="B56" s="25" t="s">
        <v>185</v>
      </c>
      <c r="C56" s="28"/>
      <c r="D56" s="45" t="str">
        <f>IF(Defects&lt;=Inspected,"OK","CHECK")</f>
        <v>OK</v>
      </c>
      <c r="E56" s="28"/>
      <c r="F56" s="28"/>
      <c r="G56" s="28"/>
      <c r="H56" s="28"/>
      <c r="I56" s="28"/>
      <c r="J56" s="28"/>
    </row>
    <row r="57" spans="2:10" x14ac:dyDescent="0.45">
      <c r="B57" s="25" t="s">
        <v>186</v>
      </c>
      <c r="C57" s="28"/>
      <c r="D57" s="45" t="str">
        <f>IF(RunMin&gt;=Order,"OK","CHECK")</f>
        <v>OK</v>
      </c>
      <c r="E57" s="28"/>
      <c r="F57" s="28"/>
      <c r="G57" s="28"/>
      <c r="H57" s="28"/>
      <c r="I57" s="28"/>
      <c r="J57" s="28"/>
    </row>
    <row r="58" spans="2:10" x14ac:dyDescent="0.45">
      <c r="B58" s="25" t="s">
        <v>187</v>
      </c>
      <c r="C58" s="28"/>
      <c r="D58" s="45" t="str">
        <f>IF(COUNTIF(RunSizes,FocusRun)=1,"OK","CHECK")</f>
        <v>OK</v>
      </c>
      <c r="E58" s="28"/>
      <c r="F58" s="28"/>
      <c r="G58" s="28"/>
      <c r="H58" s="28"/>
      <c r="I58" s="28"/>
      <c r="J58" s="28"/>
    </row>
    <row r="59" spans="2:10" ht="14" customHeight="1" x14ac:dyDescent="0.45"/>
  </sheetData>
  <conditionalFormatting sqref="D56:D58">
    <cfRule type="expression" dxfId="10" priority="1">
      <formula>D56="CHECK"</formula>
    </cfRule>
  </conditionalFormatting>
  <hyperlinks>
    <hyperlink ref="B4" location="'Inputs'!A1" display="◂  Inputs" xr:uid="{00000000-0004-0000-0200-000000000000}"/>
    <hyperlink ref="J4" location="'Results'!A1" display="Next:  Results  ▸" xr:uid="{00000000-0004-0000-0200-000001000000}"/>
  </hyperlinks>
  <printOptions horizontalCentered="1"/>
  <pageMargins left="0.4" right="0.4" top="0.5" bottom="0.6" header="0.25" footer="0.25"/>
  <pageSetup paperSize="9" scale="82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09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188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189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6" t="str" cm="1">
        <f t="array" aca="1" ref="B6" ca="1">IF(ISNUMBER(_xll.VoseSimMean(Out_Good)),"✔  Showing results of the last simulation run in this Excel session. Re-run the simulation after changing any input.","▶  No simulation results yet. On the ModelRisk ribbon, start a simulation — this sheet then fills in automatically.")</f>
        <v>✔  Showing results of the last simulation run in this Excel session. Re-run the simulation after changing any input.</v>
      </c>
      <c r="C6" s="47"/>
      <c r="D6" s="47"/>
      <c r="E6" s="47"/>
      <c r="F6" s="47"/>
      <c r="G6" s="47"/>
    </row>
    <row r="7" spans="1:18" x14ac:dyDescent="0.45">
      <c r="B7" s="48" t="str">
        <f>IF(COUNTIF(Checks,"CHECK")=0,"✔  All model checks read OK.","✗  "&amp;COUNTIF(Checks,"CHECK")&amp;" model check(s) read CHECK: see Model checks at the end of the calculation sheet.")</f>
        <v>✔  All model checks read OK.</v>
      </c>
    </row>
    <row r="8" spans="1:18" ht="8" customHeight="1" x14ac:dyDescent="0.45"/>
    <row r="9" spans="1:18" ht="22.05" customHeight="1" x14ac:dyDescent="0.5">
      <c r="B9" s="7" t="s">
        <v>190</v>
      </c>
      <c r="C9" s="8"/>
      <c r="D9" s="8"/>
      <c r="E9" s="8"/>
      <c r="F9" s="8"/>
      <c r="G9" s="8"/>
      <c r="I9" s="49" t="s">
        <v>191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192</v>
      </c>
    </row>
    <row r="11" spans="1:18" ht="18" customHeight="1" x14ac:dyDescent="0.45">
      <c r="B11" s="50" t="s">
        <v>193</v>
      </c>
      <c r="C11" s="51" t="s">
        <v>194</v>
      </c>
      <c r="D11" s="51" t="s">
        <v>195</v>
      </c>
      <c r="E11" s="51" t="s">
        <v>196</v>
      </c>
      <c r="F11" s="51" t="s">
        <v>197</v>
      </c>
      <c r="G11" s="51" t="s">
        <v>198</v>
      </c>
    </row>
    <row r="12" spans="1:18" x14ac:dyDescent="0.45">
      <c r="B12" s="37"/>
      <c r="C12" s="37" t="s">
        <v>199</v>
      </c>
      <c r="D12" s="37" t="s">
        <v>200</v>
      </c>
      <c r="E12" s="37" t="s">
        <v>201</v>
      </c>
      <c r="F12" s="37" t="s">
        <v>201</v>
      </c>
      <c r="G12" s="37" t="s">
        <v>202</v>
      </c>
    </row>
    <row r="13" spans="1:18" x14ac:dyDescent="0.45">
      <c r="B13" s="38">
        <f>Run_1</f>
        <v>4950</v>
      </c>
      <c r="C13" s="52" cm="1">
        <f t="array" aca="1" ref="C13" ca="1">_xll.VoseSimMean(Out_Met_1)</f>
        <v>0.44950000000000001</v>
      </c>
      <c r="D13" s="41">
        <f>Exact_1</f>
        <v>0.4497894573303326</v>
      </c>
      <c r="E13" s="53" cm="1">
        <f t="array" aca="1" ref="E13" ca="1">_xll.VoseSimMean(Out_Cost_1)</f>
        <v>203.77222499999999</v>
      </c>
      <c r="F13" s="53" cm="1">
        <f t="array" aca="1" ref="F13" ca="1">_xll.VoseSimPercentile(Out_Cost_1,0.95)</f>
        <v>220.75</v>
      </c>
      <c r="G13" s="54" t="str">
        <f t="shared" ref="G13:G18" ca="1" si="0">IF(ISNUMBER(E13),IF(E13=MIN($E$13:$E$18),"✔  lowest",""),"–")</f>
        <v/>
      </c>
    </row>
    <row r="14" spans="1:18" x14ac:dyDescent="0.45">
      <c r="B14" s="38">
        <f>Run_2</f>
        <v>5000</v>
      </c>
      <c r="C14" s="52" cm="1">
        <f t="array" aca="1" ref="C14" ca="1">_xll.VoseSimMean(Out_Met_2)</f>
        <v>0.80820000000000003</v>
      </c>
      <c r="D14" s="41">
        <f>Exact_2</f>
        <v>0.80972523422176179</v>
      </c>
      <c r="E14" s="53" cm="1">
        <f t="array" aca="1" ref="E14" ca="1">_xll.VoseSimMean(Out_Cost_2)</f>
        <v>201.51490000000001</v>
      </c>
      <c r="F14" s="53" cm="1">
        <f t="array" aca="1" ref="F14" ca="1">_xll.VoseSimPercentile(Out_Cost_2,0.95)</f>
        <v>211</v>
      </c>
      <c r="G14" s="54" t="str">
        <f t="shared" ca="1" si="0"/>
        <v>✔  lowest</v>
      </c>
    </row>
    <row r="15" spans="1:18" x14ac:dyDescent="0.45">
      <c r="B15" s="38">
        <f>Run_3</f>
        <v>5050</v>
      </c>
      <c r="C15" s="52" cm="1">
        <f t="array" aca="1" ref="C15" ca="1">_xll.VoseSimMean(Out_Met_3)</f>
        <v>0.95779999999999998</v>
      </c>
      <c r="D15" s="41">
        <f>Exact_3</f>
        <v>0.95777914875627179</v>
      </c>
      <c r="E15" s="53" cm="1">
        <f t="array" aca="1" ref="E15" ca="1">_xll.VoseSimMean(Out_Cost_3)</f>
        <v>202.26435000000001</v>
      </c>
      <c r="F15" s="53" cm="1">
        <f t="array" aca="1" ref="F15" ca="1">_xll.VoseSimPercentile(Out_Cost_3,0.95)</f>
        <v>202</v>
      </c>
      <c r="G15" s="54" t="str">
        <f t="shared" ca="1" si="0"/>
        <v/>
      </c>
    </row>
    <row r="16" spans="1:18" x14ac:dyDescent="0.45">
      <c r="B16" s="38">
        <f>Run_4</f>
        <v>5100</v>
      </c>
      <c r="C16" s="52" cm="1">
        <f t="array" aca="1" ref="C16" ca="1">_xll.VoseSimMean(Out_Met_4)</f>
        <v>0.99309999999999998</v>
      </c>
      <c r="D16" s="41">
        <f>Exact_4</f>
        <v>0.99321445784453311</v>
      </c>
      <c r="E16" s="53" cm="1">
        <f t="array" aca="1" ref="E16" ca="1">_xll.VoseSimMean(Out_Cost_4)</f>
        <v>204.0384</v>
      </c>
      <c r="F16" s="53" cm="1">
        <f t="array" aca="1" ref="F16" ca="1">_xll.VoseSimPercentile(Out_Cost_4,0.95)</f>
        <v>204</v>
      </c>
      <c r="G16" s="54" t="str">
        <f t="shared" ca="1" si="0"/>
        <v/>
      </c>
    </row>
    <row r="17" spans="2:18" x14ac:dyDescent="0.45">
      <c r="B17" s="38">
        <f>Run_5</f>
        <v>5150</v>
      </c>
      <c r="C17" s="52" cm="1">
        <f t="array" aca="1" ref="C17" ca="1">_xll.VoseSimMean(Out_Met_5)</f>
        <v>0.99919999999999998</v>
      </c>
      <c r="D17" s="41">
        <f>Exact_5</f>
        <v>0.99913675338501018</v>
      </c>
      <c r="E17" s="53" cm="1">
        <f t="array" aca="1" ref="E17" ca="1">_xll.VoseSimMean(Out_Cost_5)</f>
        <v>206.00425000000001</v>
      </c>
      <c r="F17" s="53" cm="1">
        <f t="array" aca="1" ref="F17" ca="1">_xll.VoseSimPercentile(Out_Cost_5,0.95)</f>
        <v>206</v>
      </c>
      <c r="G17" s="54" t="str">
        <f t="shared" ca="1" si="0"/>
        <v/>
      </c>
    </row>
    <row r="18" spans="2:18" x14ac:dyDescent="0.45">
      <c r="B18" s="38">
        <f>Run_6</f>
        <v>5200</v>
      </c>
      <c r="C18" s="52" cm="1">
        <f t="array" aca="1" ref="C18" ca="1">_xll.VoseSimMean(Out_Met_6)</f>
        <v>1</v>
      </c>
      <c r="D18" s="41">
        <f>Exact_6</f>
        <v>0.99990754642559543</v>
      </c>
      <c r="E18" s="53" cm="1">
        <f t="array" aca="1" ref="E18" ca="1">_xll.VoseSimMean(Out_Cost_6)</f>
        <v>208</v>
      </c>
      <c r="F18" s="53" cm="1">
        <f t="array" aca="1" ref="F18" ca="1">_xll.VoseSimPercentile(Out_Cost_6,0.95)</f>
        <v>208</v>
      </c>
      <c r="G18" s="54" t="str">
        <f t="shared" ca="1" si="0"/>
        <v/>
      </c>
    </row>
    <row r="19" spans="2:18" ht="8" customHeight="1" x14ac:dyDescent="0.45"/>
    <row r="20" spans="2:18" ht="22.05" customHeight="1" x14ac:dyDescent="0.5">
      <c r="B20" s="7" t="s">
        <v>203</v>
      </c>
      <c r="C20" s="8"/>
      <c r="D20" s="8"/>
      <c r="E20" s="8"/>
      <c r="F20" s="8"/>
      <c r="G20" s="8"/>
    </row>
    <row r="21" spans="2:18" ht="18" customHeight="1" x14ac:dyDescent="0.45">
      <c r="B21" s="13" t="str">
        <f>"A run of "&amp;TEXT(FocusRun,"#,##0")&amp;" parts (Inputs sheet): the defect rate uncertain, and as if it were known exactly."</f>
        <v>A run of 5,000 parts (Inputs sheet): the defect rate uncertain, and as if it were known exactly.</v>
      </c>
    </row>
    <row r="22" spans="2:18" ht="18" customHeight="1" x14ac:dyDescent="0.45">
      <c r="B22" s="23" t="s">
        <v>204</v>
      </c>
      <c r="C22" s="23" t="s">
        <v>93</v>
      </c>
      <c r="D22" s="24" t="s">
        <v>205</v>
      </c>
      <c r="E22" s="24" t="s">
        <v>206</v>
      </c>
      <c r="F22" s="24" t="s">
        <v>197</v>
      </c>
      <c r="G22" s="24" t="s">
        <v>207</v>
      </c>
    </row>
    <row r="23" spans="2:18" x14ac:dyDescent="0.45">
      <c r="B23" s="25" t="s">
        <v>208</v>
      </c>
      <c r="C23" s="26" t="s">
        <v>98</v>
      </c>
      <c r="D23" s="55" cm="1">
        <f t="array" aca="1" ref="D23" ca="1">_xll.VoseSimPercentile(Out_Good,0.05)</f>
        <v>4756</v>
      </c>
      <c r="E23" s="55" cm="1">
        <f t="array" aca="1" ref="E23" ca="1">_xll.VoseSimPercentile(Out_Good,0.5)</f>
        <v>4842</v>
      </c>
      <c r="F23" s="55" cm="1">
        <f t="array" aca="1" ref="F23" ca="1">_xll.VoseSimPercentile(Out_Good,0.95)</f>
        <v>4907</v>
      </c>
      <c r="G23" s="55" cm="1">
        <f t="array" aca="1" ref="G23" ca="1">_xll.VoseSimMean(Out_Good)</f>
        <v>4838.0974999999999</v>
      </c>
    </row>
    <row r="24" spans="2:18" x14ac:dyDescent="0.45">
      <c r="B24" s="25" t="s">
        <v>209</v>
      </c>
      <c r="C24" s="26" t="s">
        <v>98</v>
      </c>
      <c r="D24" s="55" cm="1">
        <f t="array" aca="1" ref="D24" ca="1">_xll.VoseSimPercentile(Out_GoodKnown,0.05)</f>
        <v>4829</v>
      </c>
      <c r="E24" s="55" cm="1">
        <f t="array" aca="1" ref="E24" ca="1">_xll.VoseSimPercentile(Out_GoodKnown,0.5)</f>
        <v>4850</v>
      </c>
      <c r="F24" s="55" cm="1">
        <f t="array" aca="1" ref="F24" ca="1">_xll.VoseSimPercentile(Out_GoodKnown,0.95)</f>
        <v>4870</v>
      </c>
      <c r="G24" s="55" cm="1">
        <f t="array" aca="1" ref="G24" ca="1">_xll.VoseSimMean(Out_GoodKnown)</f>
        <v>4849.8761000000004</v>
      </c>
    </row>
    <row r="25" spans="2:18" ht="18" customHeight="1" x14ac:dyDescent="0.45">
      <c r="B25" s="23" t="s">
        <v>204</v>
      </c>
      <c r="C25" s="23" t="s">
        <v>93</v>
      </c>
      <c r="D25" s="24" t="s">
        <v>123</v>
      </c>
      <c r="E25" s="5"/>
      <c r="F25" s="5"/>
      <c r="G25" s="5"/>
      <c r="I25" s="49" t="s">
        <v>210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x14ac:dyDescent="0.45">
      <c r="B26" s="56" t="s">
        <v>211</v>
      </c>
      <c r="C26" s="26"/>
      <c r="D26" s="52" cm="1">
        <f t="array" aca="1" ref="D26" ca="1">_xll.VoseSimMean(Out_MetFocus)</f>
        <v>0.80820000000000003</v>
      </c>
      <c r="E26" s="28"/>
      <c r="F26" s="28"/>
      <c r="G26" s="28"/>
    </row>
    <row r="27" spans="2:18" x14ac:dyDescent="0.45">
      <c r="B27" s="25" t="s">
        <v>212</v>
      </c>
      <c r="C27" s="26"/>
      <c r="D27" s="52" cm="1">
        <f t="array" aca="1" ref="D27" ca="1">_xll.VoseSimMean(Out_MetKnown)</f>
        <v>1</v>
      </c>
      <c r="E27" s="28"/>
      <c r="F27" s="28"/>
      <c r="G27" s="28"/>
    </row>
    <row r="28" spans="2:18" x14ac:dyDescent="0.45">
      <c r="B28" s="57" t="s">
        <v>213</v>
      </c>
      <c r="C28" s="26"/>
      <c r="D28" s="41">
        <f>ExactKnown</f>
        <v>0.99996812308980665</v>
      </c>
      <c r="E28" s="28"/>
      <c r="F28" s="28"/>
      <c r="G28" s="28"/>
    </row>
    <row r="29" spans="2:18" ht="8" customHeight="1" x14ac:dyDescent="0.45"/>
    <row r="41" spans="2:7" ht="22.05" customHeight="1" x14ac:dyDescent="0.5">
      <c r="B41" s="7" t="s">
        <v>214</v>
      </c>
      <c r="C41" s="8"/>
      <c r="D41" s="8"/>
      <c r="E41" s="8"/>
      <c r="F41" s="8"/>
      <c r="G41" s="8"/>
    </row>
    <row r="42" spans="2:7" ht="32" customHeight="1" x14ac:dyDescent="0.45">
      <c r="B42" s="63" t="s">
        <v>215</v>
      </c>
      <c r="C42" s="62"/>
      <c r="D42" s="62"/>
      <c r="E42" s="62"/>
      <c r="F42" s="62"/>
      <c r="G42" s="62"/>
    </row>
    <row r="43" spans="2:7" ht="32" customHeight="1" x14ac:dyDescent="0.45">
      <c r="B43" s="63" t="s">
        <v>216</v>
      </c>
      <c r="C43" s="62"/>
      <c r="D43" s="62"/>
      <c r="E43" s="62"/>
      <c r="F43" s="62"/>
      <c r="G43" s="62"/>
    </row>
    <row r="44" spans="2:7" ht="45" customHeight="1" x14ac:dyDescent="0.45">
      <c r="B44" s="63" t="s">
        <v>217</v>
      </c>
      <c r="C44" s="62"/>
      <c r="D44" s="62"/>
      <c r="E44" s="62"/>
      <c r="F44" s="62"/>
      <c r="G44" s="62"/>
    </row>
    <row r="45" spans="2:7" ht="32" customHeight="1" x14ac:dyDescent="0.45">
      <c r="B45" s="63" t="s">
        <v>218</v>
      </c>
      <c r="C45" s="62"/>
      <c r="D45" s="62"/>
      <c r="E45" s="62"/>
      <c r="F45" s="62"/>
      <c r="G45" s="62"/>
    </row>
    <row r="46" spans="2:7" ht="32" customHeight="1" x14ac:dyDescent="0.45">
      <c r="B46" s="63" t="s">
        <v>219</v>
      </c>
      <c r="C46" s="62"/>
      <c r="D46" s="62"/>
      <c r="E46" s="62"/>
      <c r="F46" s="62"/>
      <c r="G46" s="62"/>
    </row>
    <row r="47" spans="2:7" ht="14" customHeight="1" x14ac:dyDescent="0.45"/>
    <row r="48" spans="2:7" ht="14" customHeight="1" x14ac:dyDescent="0.45"/>
    <row r="49" spans="2:7" ht="22.05" customHeight="1" x14ac:dyDescent="0.5">
      <c r="B49" s="7" t="s">
        <v>220</v>
      </c>
      <c r="C49" s="8"/>
      <c r="D49" s="8"/>
      <c r="E49" s="8"/>
      <c r="F49" s="8"/>
      <c r="G49" s="8"/>
    </row>
    <row r="50" spans="2:7" ht="18" customHeight="1" x14ac:dyDescent="0.45">
      <c r="B50" s="13" t="s">
        <v>221</v>
      </c>
    </row>
    <row r="51" spans="2:7" ht="28.05" hidden="1" customHeight="1" outlineLevel="1" x14ac:dyDescent="0.45">
      <c r="B51" s="24" t="s">
        <v>222</v>
      </c>
      <c r="C51" s="24" t="s">
        <v>223</v>
      </c>
      <c r="D51" s="24" t="s">
        <v>224</v>
      </c>
      <c r="E51" s="24" t="s">
        <v>225</v>
      </c>
      <c r="F51" s="5"/>
      <c r="G51" s="5"/>
    </row>
    <row r="52" spans="2:7" hidden="1" outlineLevel="1" x14ac:dyDescent="0.45">
      <c r="B52" s="58">
        <v>0.01</v>
      </c>
      <c r="C52" s="58">
        <f t="shared" ref="C52:C83" si="1">1-B52</f>
        <v>0.99</v>
      </c>
      <c r="D52" s="59" cm="1">
        <f t="array" aca="1" ref="D52" ca="1">IF(ISNUMBER(_xll.VoseSimPercentile(Out_Good,$B52)),_xll.VoseSimPercentile(Out_Good,$B52),NA())</f>
        <v>4718</v>
      </c>
      <c r="E52" s="59" cm="1">
        <f t="array" aca="1" ref="E52" ca="1">IF(ISNUMBER(_xll.VoseSimPercentile(Out_GoodKnown,$B52)),_xll.VoseSimPercentile(Out_GoodKnown,$B52),NA())</f>
        <v>4820</v>
      </c>
    </row>
    <row r="53" spans="2:7" hidden="1" outlineLevel="1" x14ac:dyDescent="0.45">
      <c r="B53" s="58">
        <v>0.03</v>
      </c>
      <c r="C53" s="58">
        <f t="shared" si="1"/>
        <v>0.97</v>
      </c>
      <c r="D53" s="59" cm="1">
        <f t="array" aca="1" ref="D53" ca="1">IF(ISNUMBER(_xll.VoseSimPercentile(Out_Good,$B53)),_xll.VoseSimPercentile(Out_Good,$B53),NA())</f>
        <v>4743</v>
      </c>
      <c r="E53" s="59" cm="1">
        <f t="array" aca="1" ref="E53" ca="1">IF(ISNUMBER(_xll.VoseSimPercentile(Out_GoodKnown,$B53)),_xll.VoseSimPercentile(Out_GoodKnown,$B53),NA())</f>
        <v>4826</v>
      </c>
    </row>
    <row r="54" spans="2:7" hidden="1" outlineLevel="1" x14ac:dyDescent="0.45">
      <c r="B54" s="58">
        <v>0.05</v>
      </c>
      <c r="C54" s="58">
        <f t="shared" si="1"/>
        <v>0.95</v>
      </c>
      <c r="D54" s="59" cm="1">
        <f t="array" aca="1" ref="D54" ca="1">IF(ISNUMBER(_xll.VoseSimPercentile(Out_Good,$B54)),_xll.VoseSimPercentile(Out_Good,$B54),NA())</f>
        <v>4756</v>
      </c>
      <c r="E54" s="59" cm="1">
        <f t="array" aca="1" ref="E54" ca="1">IF(ISNUMBER(_xll.VoseSimPercentile(Out_GoodKnown,$B54)),_xll.VoseSimPercentile(Out_GoodKnown,$B54),NA())</f>
        <v>4829</v>
      </c>
    </row>
    <row r="55" spans="2:7" hidden="1" outlineLevel="1" x14ac:dyDescent="0.45">
      <c r="B55" s="58">
        <v>7.0000000000000007E-2</v>
      </c>
      <c r="C55" s="58">
        <f t="shared" si="1"/>
        <v>0.92999999999999994</v>
      </c>
      <c r="D55" s="59" cm="1">
        <f t="array" aca="1" ref="D55" ca="1">IF(ISNUMBER(_xll.VoseSimPercentile(Out_Good,$B55)),_xll.VoseSimPercentile(Out_Good,$B55),NA())</f>
        <v>4766</v>
      </c>
      <c r="E55" s="59" cm="1">
        <f t="array" aca="1" ref="E55" ca="1">IF(ISNUMBER(_xll.VoseSimPercentile(Out_GoodKnown,$B55)),_xll.VoseSimPercentile(Out_GoodKnown,$B55),NA())</f>
        <v>4832</v>
      </c>
    </row>
    <row r="56" spans="2:7" hidden="1" outlineLevel="1" x14ac:dyDescent="0.45">
      <c r="B56" s="58">
        <v>0.09</v>
      </c>
      <c r="C56" s="58">
        <f t="shared" si="1"/>
        <v>0.91</v>
      </c>
      <c r="D56" s="59" cm="1">
        <f t="array" aca="1" ref="D56" ca="1">IF(ISNUMBER(_xll.VoseSimPercentile(Out_Good,$B56)),_xll.VoseSimPercentile(Out_Good,$B56),NA())</f>
        <v>4773</v>
      </c>
      <c r="E56" s="59" cm="1">
        <f t="array" aca="1" ref="E56" ca="1">IF(ISNUMBER(_xll.VoseSimPercentile(Out_GoodKnown,$B56)),_xll.VoseSimPercentile(Out_GoodKnown,$B56),NA())</f>
        <v>4833</v>
      </c>
    </row>
    <row r="57" spans="2:7" hidden="1" outlineLevel="1" x14ac:dyDescent="0.45">
      <c r="B57" s="58">
        <v>0.11</v>
      </c>
      <c r="C57" s="58">
        <f t="shared" si="1"/>
        <v>0.89</v>
      </c>
      <c r="D57" s="59" cm="1">
        <f t="array" aca="1" ref="D57" ca="1">IF(ISNUMBER(_xll.VoseSimPercentile(Out_Good,$B57)),_xll.VoseSimPercentile(Out_Good,$B57),NA())</f>
        <v>4780</v>
      </c>
      <c r="E57" s="59" cm="1">
        <f t="array" aca="1" ref="E57" ca="1">IF(ISNUMBER(_xll.VoseSimPercentile(Out_GoodKnown,$B57)),_xll.VoseSimPercentile(Out_GoodKnown,$B57),NA())</f>
        <v>4835</v>
      </c>
    </row>
    <row r="58" spans="2:7" hidden="1" outlineLevel="1" x14ac:dyDescent="0.45">
      <c r="B58" s="58">
        <v>0.13</v>
      </c>
      <c r="C58" s="58">
        <f t="shared" si="1"/>
        <v>0.87</v>
      </c>
      <c r="D58" s="59" cm="1">
        <f t="array" aca="1" ref="D58" ca="1">IF(ISNUMBER(_xll.VoseSimPercentile(Out_Good,$B58)),_xll.VoseSimPercentile(Out_Good,$B58),NA())</f>
        <v>4785</v>
      </c>
      <c r="E58" s="59" cm="1">
        <f t="array" aca="1" ref="E58" ca="1">IF(ISNUMBER(_xll.VoseSimPercentile(Out_GoodKnown,$B58)),_xll.VoseSimPercentile(Out_GoodKnown,$B58),NA())</f>
        <v>4836</v>
      </c>
    </row>
    <row r="59" spans="2:7" hidden="1" outlineLevel="1" x14ac:dyDescent="0.45">
      <c r="B59" s="58">
        <v>0.15</v>
      </c>
      <c r="C59" s="58">
        <f t="shared" si="1"/>
        <v>0.85</v>
      </c>
      <c r="D59" s="59" cm="1">
        <f t="array" aca="1" ref="D59" ca="1">IF(ISNUMBER(_xll.VoseSimPercentile(Out_Good,$B59)),_xll.VoseSimPercentile(Out_Good,$B59),NA())</f>
        <v>4791</v>
      </c>
      <c r="E59" s="59" cm="1">
        <f t="array" aca="1" ref="E59" ca="1">IF(ISNUMBER(_xll.VoseSimPercentile(Out_GoodKnown,$B59)),_xll.VoseSimPercentile(Out_GoodKnown,$B59),NA())</f>
        <v>4837</v>
      </c>
    </row>
    <row r="60" spans="2:7" hidden="1" outlineLevel="1" x14ac:dyDescent="0.45">
      <c r="B60" s="58">
        <v>0.17</v>
      </c>
      <c r="C60" s="58">
        <f t="shared" si="1"/>
        <v>0.83</v>
      </c>
      <c r="D60" s="59" cm="1">
        <f t="array" aca="1" ref="D60" ca="1">IF(ISNUMBER(_xll.VoseSimPercentile(Out_Good,$B60)),_xll.VoseSimPercentile(Out_Good,$B60),NA())</f>
        <v>4795</v>
      </c>
      <c r="E60" s="59" cm="1">
        <f t="array" aca="1" ref="E60" ca="1">IF(ISNUMBER(_xll.VoseSimPercentile(Out_GoodKnown,$B60)),_xll.VoseSimPercentile(Out_GoodKnown,$B60),NA())</f>
        <v>4838</v>
      </c>
    </row>
    <row r="61" spans="2:7" hidden="1" outlineLevel="1" x14ac:dyDescent="0.45">
      <c r="B61" s="58">
        <v>0.19</v>
      </c>
      <c r="C61" s="58">
        <f t="shared" si="1"/>
        <v>0.81</v>
      </c>
      <c r="D61" s="59" cm="1">
        <f t="array" aca="1" ref="D61" ca="1">IF(ISNUMBER(_xll.VoseSimPercentile(Out_Good,$B61)),_xll.VoseSimPercentile(Out_Good,$B61),NA())</f>
        <v>4799</v>
      </c>
      <c r="E61" s="59" cm="1">
        <f t="array" aca="1" ref="E61" ca="1">IF(ISNUMBER(_xll.VoseSimPercentile(Out_GoodKnown,$B61)),_xll.VoseSimPercentile(Out_GoodKnown,$B61),NA())</f>
        <v>4839</v>
      </c>
    </row>
    <row r="62" spans="2:7" hidden="1" outlineLevel="1" x14ac:dyDescent="0.45">
      <c r="B62" s="58">
        <v>0.21</v>
      </c>
      <c r="C62" s="58">
        <f t="shared" si="1"/>
        <v>0.79</v>
      </c>
      <c r="D62" s="59" cm="1">
        <f t="array" aca="1" ref="D62" ca="1">IF(ISNUMBER(_xll.VoseSimPercentile(Out_Good,$B62)),_xll.VoseSimPercentile(Out_Good,$B62),NA())</f>
        <v>4803</v>
      </c>
      <c r="E62" s="59" cm="1">
        <f t="array" aca="1" ref="E62" ca="1">IF(ISNUMBER(_xll.VoseSimPercentile(Out_GoodKnown,$B62)),_xll.VoseSimPercentile(Out_GoodKnown,$B62),NA())</f>
        <v>4840</v>
      </c>
    </row>
    <row r="63" spans="2:7" hidden="1" outlineLevel="1" x14ac:dyDescent="0.45">
      <c r="B63" s="58">
        <v>0.23</v>
      </c>
      <c r="C63" s="58">
        <f t="shared" si="1"/>
        <v>0.77</v>
      </c>
      <c r="D63" s="59" cm="1">
        <f t="array" aca="1" ref="D63" ca="1">IF(ISNUMBER(_xll.VoseSimPercentile(Out_Good,$B63)),_xll.VoseSimPercentile(Out_Good,$B63),NA())</f>
        <v>4806</v>
      </c>
      <c r="E63" s="59" cm="1">
        <f t="array" aca="1" ref="E63" ca="1">IF(ISNUMBER(_xll.VoseSimPercentile(Out_GoodKnown,$B63)),_xll.VoseSimPercentile(Out_GoodKnown,$B63),NA())</f>
        <v>4841</v>
      </c>
    </row>
    <row r="64" spans="2:7" hidden="1" outlineLevel="1" x14ac:dyDescent="0.45">
      <c r="B64" s="58">
        <v>0.25</v>
      </c>
      <c r="C64" s="58">
        <f t="shared" si="1"/>
        <v>0.75</v>
      </c>
      <c r="D64" s="59" cm="1">
        <f t="array" aca="1" ref="D64" ca="1">IF(ISNUMBER(_xll.VoseSimPercentile(Out_Good,$B64)),_xll.VoseSimPercentile(Out_Good,$B64),NA())</f>
        <v>4810</v>
      </c>
      <c r="E64" s="59" cm="1">
        <f t="array" aca="1" ref="E64" ca="1">IF(ISNUMBER(_xll.VoseSimPercentile(Out_GoodKnown,$B64)),_xll.VoseSimPercentile(Out_GoodKnown,$B64),NA())</f>
        <v>4842</v>
      </c>
    </row>
    <row r="65" spans="2:5" hidden="1" outlineLevel="1" x14ac:dyDescent="0.45">
      <c r="B65" s="58">
        <v>0.27</v>
      </c>
      <c r="C65" s="58">
        <f t="shared" si="1"/>
        <v>0.73</v>
      </c>
      <c r="D65" s="59" cm="1">
        <f t="array" aca="1" ref="D65" ca="1">IF(ISNUMBER(_xll.VoseSimPercentile(Out_Good,$B65)),_xll.VoseSimPercentile(Out_Good,$B65),NA())</f>
        <v>4813</v>
      </c>
      <c r="E65" s="59" cm="1">
        <f t="array" aca="1" ref="E65" ca="1">IF(ISNUMBER(_xll.VoseSimPercentile(Out_GoodKnown,$B65)),_xll.VoseSimPercentile(Out_GoodKnown,$B65),NA())</f>
        <v>4843</v>
      </c>
    </row>
    <row r="66" spans="2:5" hidden="1" outlineLevel="1" x14ac:dyDescent="0.45">
      <c r="B66" s="58">
        <v>0.28999999999999998</v>
      </c>
      <c r="C66" s="58">
        <f t="shared" si="1"/>
        <v>0.71</v>
      </c>
      <c r="D66" s="59" cm="1">
        <f t="array" aca="1" ref="D66" ca="1">IF(ISNUMBER(_xll.VoseSimPercentile(Out_Good,$B66)),_xll.VoseSimPercentile(Out_Good,$B66),NA())</f>
        <v>4816</v>
      </c>
      <c r="E66" s="59" cm="1">
        <f t="array" aca="1" ref="E66" ca="1">IF(ISNUMBER(_xll.VoseSimPercentile(Out_GoodKnown,$B66)),_xll.VoseSimPercentile(Out_GoodKnown,$B66),NA())</f>
        <v>4843</v>
      </c>
    </row>
    <row r="67" spans="2:5" hidden="1" outlineLevel="1" x14ac:dyDescent="0.45">
      <c r="B67" s="58">
        <v>0.31</v>
      </c>
      <c r="C67" s="58">
        <f t="shared" si="1"/>
        <v>0.69</v>
      </c>
      <c r="D67" s="59" cm="1">
        <f t="array" aca="1" ref="D67" ca="1">IF(ISNUMBER(_xll.VoseSimPercentile(Out_Good,$B67)),_xll.VoseSimPercentile(Out_Good,$B67),NA())</f>
        <v>4819</v>
      </c>
      <c r="E67" s="59" cm="1">
        <f t="array" aca="1" ref="E67" ca="1">IF(ISNUMBER(_xll.VoseSimPercentile(Out_GoodKnown,$B67)),_xll.VoseSimPercentile(Out_GoodKnown,$B67),NA())</f>
        <v>4844</v>
      </c>
    </row>
    <row r="68" spans="2:5" hidden="1" outlineLevel="1" x14ac:dyDescent="0.45">
      <c r="B68" s="58">
        <v>0.33</v>
      </c>
      <c r="C68" s="58">
        <f t="shared" si="1"/>
        <v>0.66999999999999993</v>
      </c>
      <c r="D68" s="59" cm="1">
        <f t="array" aca="1" ref="D68" ca="1">IF(ISNUMBER(_xll.VoseSimPercentile(Out_Good,$B68)),_xll.VoseSimPercentile(Out_Good,$B68),NA())</f>
        <v>4822</v>
      </c>
      <c r="E68" s="59" cm="1">
        <f t="array" aca="1" ref="E68" ca="1">IF(ISNUMBER(_xll.VoseSimPercentile(Out_GoodKnown,$B68)),_xll.VoseSimPercentile(Out_GoodKnown,$B68),NA())</f>
        <v>4845</v>
      </c>
    </row>
    <row r="69" spans="2:5" hidden="1" outlineLevel="1" x14ac:dyDescent="0.45">
      <c r="B69" s="58">
        <v>0.35</v>
      </c>
      <c r="C69" s="58">
        <f t="shared" si="1"/>
        <v>0.65</v>
      </c>
      <c r="D69" s="59" cm="1">
        <f t="array" aca="1" ref="D69" ca="1">IF(ISNUMBER(_xll.VoseSimPercentile(Out_Good,$B69)),_xll.VoseSimPercentile(Out_Good,$B69),NA())</f>
        <v>4824</v>
      </c>
      <c r="E69" s="59" cm="1">
        <f t="array" aca="1" ref="E69" ca="1">IF(ISNUMBER(_xll.VoseSimPercentile(Out_GoodKnown,$B69)),_xll.VoseSimPercentile(Out_GoodKnown,$B69),NA())</f>
        <v>4845</v>
      </c>
    </row>
    <row r="70" spans="2:5" hidden="1" outlineLevel="1" x14ac:dyDescent="0.45">
      <c r="B70" s="58">
        <v>0.37</v>
      </c>
      <c r="C70" s="58">
        <f t="shared" si="1"/>
        <v>0.63</v>
      </c>
      <c r="D70" s="59" cm="1">
        <f t="array" aca="1" ref="D70" ca="1">IF(ISNUMBER(_xll.VoseSimPercentile(Out_Good,$B70)),_xll.VoseSimPercentile(Out_Good,$B70),NA())</f>
        <v>4827</v>
      </c>
      <c r="E70" s="59" cm="1">
        <f t="array" aca="1" ref="E70" ca="1">IF(ISNUMBER(_xll.VoseSimPercentile(Out_GoodKnown,$B70)),_xll.VoseSimPercentile(Out_GoodKnown,$B70),NA())</f>
        <v>4846</v>
      </c>
    </row>
    <row r="71" spans="2:5" hidden="1" outlineLevel="1" x14ac:dyDescent="0.45">
      <c r="B71" s="58">
        <v>0.39</v>
      </c>
      <c r="C71" s="58">
        <f t="shared" si="1"/>
        <v>0.61</v>
      </c>
      <c r="D71" s="59" cm="1">
        <f t="array" aca="1" ref="D71" ca="1">IF(ISNUMBER(_xll.VoseSimPercentile(Out_Good,$B71)),_xll.VoseSimPercentile(Out_Good,$B71),NA())</f>
        <v>4829</v>
      </c>
      <c r="E71" s="59" cm="1">
        <f t="array" aca="1" ref="E71" ca="1">IF(ISNUMBER(_xll.VoseSimPercentile(Out_GoodKnown,$B71)),_xll.VoseSimPercentile(Out_GoodKnown,$B71),NA())</f>
        <v>4847</v>
      </c>
    </row>
    <row r="72" spans="2:5" hidden="1" outlineLevel="1" x14ac:dyDescent="0.45">
      <c r="B72" s="58">
        <v>0.41</v>
      </c>
      <c r="C72" s="58">
        <f t="shared" si="1"/>
        <v>0.59000000000000008</v>
      </c>
      <c r="D72" s="59" cm="1">
        <f t="array" aca="1" ref="D72" ca="1">IF(ISNUMBER(_xll.VoseSimPercentile(Out_Good,$B72)),_xll.VoseSimPercentile(Out_Good,$B72),NA())</f>
        <v>4831</v>
      </c>
      <c r="E72" s="59" cm="1">
        <f t="array" aca="1" ref="E72" ca="1">IF(ISNUMBER(_xll.VoseSimPercentile(Out_GoodKnown,$B72)),_xll.VoseSimPercentile(Out_GoodKnown,$B72),NA())</f>
        <v>4847</v>
      </c>
    </row>
    <row r="73" spans="2:5" hidden="1" outlineLevel="1" x14ac:dyDescent="0.45">
      <c r="B73" s="58">
        <v>0.43</v>
      </c>
      <c r="C73" s="58">
        <f t="shared" si="1"/>
        <v>0.57000000000000006</v>
      </c>
      <c r="D73" s="59" cm="1">
        <f t="array" aca="1" ref="D73" ca="1">IF(ISNUMBER(_xll.VoseSimPercentile(Out_Good,$B73)),_xll.VoseSimPercentile(Out_Good,$B73),NA())</f>
        <v>4834</v>
      </c>
      <c r="E73" s="59" cm="1">
        <f t="array" aca="1" ref="E73" ca="1">IF(ISNUMBER(_xll.VoseSimPercentile(Out_GoodKnown,$B73)),_xll.VoseSimPercentile(Out_GoodKnown,$B73),NA())</f>
        <v>4848</v>
      </c>
    </row>
    <row r="74" spans="2:5" hidden="1" outlineLevel="1" x14ac:dyDescent="0.45">
      <c r="B74" s="58">
        <v>0.45</v>
      </c>
      <c r="C74" s="58">
        <f t="shared" si="1"/>
        <v>0.55000000000000004</v>
      </c>
      <c r="D74" s="59" cm="1">
        <f t="array" aca="1" ref="D74" ca="1">IF(ISNUMBER(_xll.VoseSimPercentile(Out_Good,$B74)),_xll.VoseSimPercentile(Out_Good,$B74),NA())</f>
        <v>4836</v>
      </c>
      <c r="E74" s="59" cm="1">
        <f t="array" aca="1" ref="E74" ca="1">IF(ISNUMBER(_xll.VoseSimPercentile(Out_GoodKnown,$B74)),_xll.VoseSimPercentile(Out_GoodKnown,$B74),NA())</f>
        <v>4849</v>
      </c>
    </row>
    <row r="75" spans="2:5" hidden="1" outlineLevel="1" x14ac:dyDescent="0.45">
      <c r="B75" s="58">
        <v>0.47</v>
      </c>
      <c r="C75" s="58">
        <f t="shared" si="1"/>
        <v>0.53</v>
      </c>
      <c r="D75" s="59" cm="1">
        <f t="array" aca="1" ref="D75" ca="1">IF(ISNUMBER(_xll.VoseSimPercentile(Out_Good,$B75)),_xll.VoseSimPercentile(Out_Good,$B75),NA())</f>
        <v>4838</v>
      </c>
      <c r="E75" s="59" cm="1">
        <f t="array" aca="1" ref="E75" ca="1">IF(ISNUMBER(_xll.VoseSimPercentile(Out_GoodKnown,$B75)),_xll.VoseSimPercentile(Out_GoodKnown,$B75),NA())</f>
        <v>4849</v>
      </c>
    </row>
    <row r="76" spans="2:5" hidden="1" outlineLevel="1" x14ac:dyDescent="0.45">
      <c r="B76" s="58">
        <v>0.49</v>
      </c>
      <c r="C76" s="58">
        <f t="shared" si="1"/>
        <v>0.51</v>
      </c>
      <c r="D76" s="59" cm="1">
        <f t="array" aca="1" ref="D76" ca="1">IF(ISNUMBER(_xll.VoseSimPercentile(Out_Good,$B76)),_xll.VoseSimPercentile(Out_Good,$B76),NA())</f>
        <v>4841</v>
      </c>
      <c r="E76" s="59" cm="1">
        <f t="array" aca="1" ref="E76" ca="1">IF(ISNUMBER(_xll.VoseSimPercentile(Out_GoodKnown,$B76)),_xll.VoseSimPercentile(Out_GoodKnown,$B76),NA())</f>
        <v>4850</v>
      </c>
    </row>
    <row r="77" spans="2:5" hidden="1" outlineLevel="1" x14ac:dyDescent="0.45">
      <c r="B77" s="58">
        <v>0.51</v>
      </c>
      <c r="C77" s="58">
        <f t="shared" si="1"/>
        <v>0.49</v>
      </c>
      <c r="D77" s="59" cm="1">
        <f t="array" aca="1" ref="D77" ca="1">IF(ISNUMBER(_xll.VoseSimPercentile(Out_Good,$B77)),_xll.VoseSimPercentile(Out_Good,$B77),NA())</f>
        <v>4843</v>
      </c>
      <c r="E77" s="59" cm="1">
        <f t="array" aca="1" ref="E77" ca="1">IF(ISNUMBER(_xll.VoseSimPercentile(Out_GoodKnown,$B77)),_xll.VoseSimPercentile(Out_GoodKnown,$B77),NA())</f>
        <v>4850</v>
      </c>
    </row>
    <row r="78" spans="2:5" hidden="1" outlineLevel="1" x14ac:dyDescent="0.45">
      <c r="B78" s="58">
        <v>0.53</v>
      </c>
      <c r="C78" s="58">
        <f t="shared" si="1"/>
        <v>0.47</v>
      </c>
      <c r="D78" s="59" cm="1">
        <f t="array" aca="1" ref="D78" ca="1">IF(ISNUMBER(_xll.VoseSimPercentile(Out_Good,$B78)),_xll.VoseSimPercentile(Out_Good,$B78),NA())</f>
        <v>4845</v>
      </c>
      <c r="E78" s="59" cm="1">
        <f t="array" aca="1" ref="E78" ca="1">IF(ISNUMBER(_xll.VoseSimPercentile(Out_GoodKnown,$B78)),_xll.VoseSimPercentile(Out_GoodKnown,$B78),NA())</f>
        <v>4851</v>
      </c>
    </row>
    <row r="79" spans="2:5" hidden="1" outlineLevel="1" x14ac:dyDescent="0.45">
      <c r="B79" s="58">
        <v>0.55000000000000004</v>
      </c>
      <c r="C79" s="58">
        <f t="shared" si="1"/>
        <v>0.44999999999999996</v>
      </c>
      <c r="D79" s="59" cm="1">
        <f t="array" aca="1" ref="D79" ca="1">IF(ISNUMBER(_xll.VoseSimPercentile(Out_Good,$B79)),_xll.VoseSimPercentile(Out_Good,$B79),NA())</f>
        <v>4848</v>
      </c>
      <c r="E79" s="59" cm="1">
        <f t="array" aca="1" ref="E79" ca="1">IF(ISNUMBER(_xll.VoseSimPercentile(Out_GoodKnown,$B79)),_xll.VoseSimPercentile(Out_GoodKnown,$B79),NA())</f>
        <v>4852</v>
      </c>
    </row>
    <row r="80" spans="2:5" hidden="1" outlineLevel="1" x14ac:dyDescent="0.45">
      <c r="B80" s="58">
        <v>0.56999999999999995</v>
      </c>
      <c r="C80" s="58">
        <f t="shared" si="1"/>
        <v>0.43000000000000005</v>
      </c>
      <c r="D80" s="59" cm="1">
        <f t="array" aca="1" ref="D80" ca="1">IF(ISNUMBER(_xll.VoseSimPercentile(Out_Good,$B80)),_xll.VoseSimPercentile(Out_Good,$B80),NA())</f>
        <v>4850</v>
      </c>
      <c r="E80" s="59" cm="1">
        <f t="array" aca="1" ref="E80" ca="1">IF(ISNUMBER(_xll.VoseSimPercentile(Out_GoodKnown,$B80)),_xll.VoseSimPercentile(Out_GoodKnown,$B80),NA())</f>
        <v>4852</v>
      </c>
    </row>
    <row r="81" spans="2:5" hidden="1" outlineLevel="1" x14ac:dyDescent="0.45">
      <c r="B81" s="58">
        <v>0.59</v>
      </c>
      <c r="C81" s="58">
        <f t="shared" si="1"/>
        <v>0.41000000000000003</v>
      </c>
      <c r="D81" s="59" cm="1">
        <f t="array" aca="1" ref="D81" ca="1">IF(ISNUMBER(_xll.VoseSimPercentile(Out_Good,$B81)),_xll.VoseSimPercentile(Out_Good,$B81),NA())</f>
        <v>4852</v>
      </c>
      <c r="E81" s="59" cm="1">
        <f t="array" aca="1" ref="E81" ca="1">IF(ISNUMBER(_xll.VoseSimPercentile(Out_GoodKnown,$B81)),_xll.VoseSimPercentile(Out_GoodKnown,$B81),NA())</f>
        <v>4853</v>
      </c>
    </row>
    <row r="82" spans="2:5" hidden="1" outlineLevel="1" x14ac:dyDescent="0.45">
      <c r="B82" s="58">
        <v>0.61</v>
      </c>
      <c r="C82" s="58">
        <f t="shared" si="1"/>
        <v>0.39</v>
      </c>
      <c r="D82" s="59" cm="1">
        <f t="array" aca="1" ref="D82" ca="1">IF(ISNUMBER(_xll.VoseSimPercentile(Out_Good,$B82)),_xll.VoseSimPercentile(Out_Good,$B82),NA())</f>
        <v>4854</v>
      </c>
      <c r="E82" s="59" cm="1">
        <f t="array" aca="1" ref="E82" ca="1">IF(ISNUMBER(_xll.VoseSimPercentile(Out_GoodKnown,$B82)),_xll.VoseSimPercentile(Out_GoodKnown,$B82),NA())</f>
        <v>4853</v>
      </c>
    </row>
    <row r="83" spans="2:5" hidden="1" outlineLevel="1" x14ac:dyDescent="0.45">
      <c r="B83" s="58">
        <v>0.63</v>
      </c>
      <c r="C83" s="58">
        <f t="shared" si="1"/>
        <v>0.37</v>
      </c>
      <c r="D83" s="59" cm="1">
        <f t="array" aca="1" ref="D83" ca="1">IF(ISNUMBER(_xll.VoseSimPercentile(Out_Good,$B83)),_xll.VoseSimPercentile(Out_Good,$B83),NA())</f>
        <v>4856</v>
      </c>
      <c r="E83" s="59" cm="1">
        <f t="array" aca="1" ref="E83" ca="1">IF(ISNUMBER(_xll.VoseSimPercentile(Out_GoodKnown,$B83)),_xll.VoseSimPercentile(Out_GoodKnown,$B83),NA())</f>
        <v>4854</v>
      </c>
    </row>
    <row r="84" spans="2:5" hidden="1" outlineLevel="1" x14ac:dyDescent="0.45">
      <c r="B84" s="58">
        <v>0.65</v>
      </c>
      <c r="C84" s="58">
        <f t="shared" ref="C84:C115" si="2">1-B84</f>
        <v>0.35</v>
      </c>
      <c r="D84" s="59" cm="1">
        <f t="array" aca="1" ref="D84" ca="1">IF(ISNUMBER(_xll.VoseSimPercentile(Out_Good,$B84)),_xll.VoseSimPercentile(Out_Good,$B84),NA())</f>
        <v>4859</v>
      </c>
      <c r="E84" s="59" cm="1">
        <f t="array" aca="1" ref="E84" ca="1">IF(ISNUMBER(_xll.VoseSimPercentile(Out_GoodKnown,$B84)),_xll.VoseSimPercentile(Out_GoodKnown,$B84),NA())</f>
        <v>4855</v>
      </c>
    </row>
    <row r="85" spans="2:5" hidden="1" outlineLevel="1" x14ac:dyDescent="0.45">
      <c r="B85" s="58">
        <v>0.67</v>
      </c>
      <c r="C85" s="58">
        <f t="shared" si="2"/>
        <v>0.32999999999999996</v>
      </c>
      <c r="D85" s="59" cm="1">
        <f t="array" aca="1" ref="D85" ca="1">IF(ISNUMBER(_xll.VoseSimPercentile(Out_Good,$B85)),_xll.VoseSimPercentile(Out_Good,$B85),NA())</f>
        <v>4861</v>
      </c>
      <c r="E85" s="59" cm="1">
        <f t="array" aca="1" ref="E85" ca="1">IF(ISNUMBER(_xll.VoseSimPercentile(Out_GoodKnown,$B85)),_xll.VoseSimPercentile(Out_GoodKnown,$B85),NA())</f>
        <v>4855</v>
      </c>
    </row>
    <row r="86" spans="2:5" hidden="1" outlineLevel="1" x14ac:dyDescent="0.45">
      <c r="B86" s="58">
        <v>0.69</v>
      </c>
      <c r="C86" s="58">
        <f t="shared" si="2"/>
        <v>0.31000000000000005</v>
      </c>
      <c r="D86" s="59" cm="1">
        <f t="array" aca="1" ref="D86" ca="1">IF(ISNUMBER(_xll.VoseSimPercentile(Out_Good,$B86)),_xll.VoseSimPercentile(Out_Good,$B86),NA())</f>
        <v>4864</v>
      </c>
      <c r="E86" s="59" cm="1">
        <f t="array" aca="1" ref="E86" ca="1">IF(ISNUMBER(_xll.VoseSimPercentile(Out_GoodKnown,$B86)),_xll.VoseSimPercentile(Out_GoodKnown,$B86),NA())</f>
        <v>4856</v>
      </c>
    </row>
    <row r="87" spans="2:5" hidden="1" outlineLevel="1" x14ac:dyDescent="0.45">
      <c r="B87" s="58">
        <v>0.71</v>
      </c>
      <c r="C87" s="58">
        <f t="shared" si="2"/>
        <v>0.29000000000000004</v>
      </c>
      <c r="D87" s="59" cm="1">
        <f t="array" aca="1" ref="D87" ca="1">IF(ISNUMBER(_xll.VoseSimPercentile(Out_Good,$B87)),_xll.VoseSimPercentile(Out_Good,$B87),NA())</f>
        <v>4866</v>
      </c>
      <c r="E87" s="59" cm="1">
        <f t="array" aca="1" ref="E87" ca="1">IF(ISNUMBER(_xll.VoseSimPercentile(Out_GoodKnown,$B87)),_xll.VoseSimPercentile(Out_GoodKnown,$B87),NA())</f>
        <v>4857</v>
      </c>
    </row>
    <row r="88" spans="2:5" hidden="1" outlineLevel="1" x14ac:dyDescent="0.45">
      <c r="B88" s="58">
        <v>0.73</v>
      </c>
      <c r="C88" s="58">
        <f t="shared" si="2"/>
        <v>0.27</v>
      </c>
      <c r="D88" s="59" cm="1">
        <f t="array" aca="1" ref="D88" ca="1">IF(ISNUMBER(_xll.VoseSimPercentile(Out_Good,$B88)),_xll.VoseSimPercentile(Out_Good,$B88),NA())</f>
        <v>4868</v>
      </c>
      <c r="E88" s="59" cm="1">
        <f t="array" aca="1" ref="E88" ca="1">IF(ISNUMBER(_xll.VoseSimPercentile(Out_GoodKnown,$B88)),_xll.VoseSimPercentile(Out_GoodKnown,$B88),NA())</f>
        <v>4857</v>
      </c>
    </row>
    <row r="89" spans="2:5" hidden="1" outlineLevel="1" x14ac:dyDescent="0.45">
      <c r="B89" s="58">
        <v>0.75</v>
      </c>
      <c r="C89" s="58">
        <f t="shared" si="2"/>
        <v>0.25</v>
      </c>
      <c r="D89" s="59" cm="1">
        <f t="array" aca="1" ref="D89" ca="1">IF(ISNUMBER(_xll.VoseSimPercentile(Out_Good,$B89)),_xll.VoseSimPercentile(Out_Good,$B89),NA())</f>
        <v>4871</v>
      </c>
      <c r="E89" s="59" cm="1">
        <f t="array" aca="1" ref="E89" ca="1">IF(ISNUMBER(_xll.VoseSimPercentile(Out_GoodKnown,$B89)),_xll.VoseSimPercentile(Out_GoodKnown,$B89),NA())</f>
        <v>4858</v>
      </c>
    </row>
    <row r="90" spans="2:5" hidden="1" outlineLevel="1" x14ac:dyDescent="0.45">
      <c r="B90" s="58">
        <v>0.77</v>
      </c>
      <c r="C90" s="58">
        <f t="shared" si="2"/>
        <v>0.22999999999999998</v>
      </c>
      <c r="D90" s="59" cm="1">
        <f t="array" aca="1" ref="D90" ca="1">IF(ISNUMBER(_xll.VoseSimPercentile(Out_Good,$B90)),_xll.VoseSimPercentile(Out_Good,$B90),NA())</f>
        <v>4873</v>
      </c>
      <c r="E90" s="59" cm="1">
        <f t="array" aca="1" ref="E90" ca="1">IF(ISNUMBER(_xll.VoseSimPercentile(Out_GoodKnown,$B90)),_xll.VoseSimPercentile(Out_GoodKnown,$B90),NA())</f>
        <v>4859</v>
      </c>
    </row>
    <row r="91" spans="2:5" hidden="1" outlineLevel="1" x14ac:dyDescent="0.45">
      <c r="B91" s="58">
        <v>0.79</v>
      </c>
      <c r="C91" s="58">
        <f t="shared" si="2"/>
        <v>0.20999999999999996</v>
      </c>
      <c r="D91" s="59" cm="1">
        <f t="array" aca="1" ref="D91" ca="1">IF(ISNUMBER(_xll.VoseSimPercentile(Out_Good,$B91)),_xll.VoseSimPercentile(Out_Good,$B91),NA())</f>
        <v>4876</v>
      </c>
      <c r="E91" s="59" cm="1">
        <f t="array" aca="1" ref="E91" ca="1">IF(ISNUMBER(_xll.VoseSimPercentile(Out_GoodKnown,$B91)),_xll.VoseSimPercentile(Out_GoodKnown,$B91),NA())</f>
        <v>4860</v>
      </c>
    </row>
    <row r="92" spans="2:5" hidden="1" outlineLevel="1" x14ac:dyDescent="0.45">
      <c r="B92" s="58">
        <v>0.81</v>
      </c>
      <c r="C92" s="58">
        <f t="shared" si="2"/>
        <v>0.18999999999999995</v>
      </c>
      <c r="D92" s="59" cm="1">
        <f t="array" aca="1" ref="D92" ca="1">IF(ISNUMBER(_xll.VoseSimPercentile(Out_Good,$B92)),_xll.VoseSimPercentile(Out_Good,$B92),NA())</f>
        <v>4879</v>
      </c>
      <c r="E92" s="59" cm="1">
        <f t="array" aca="1" ref="E92" ca="1">IF(ISNUMBER(_xll.VoseSimPercentile(Out_GoodKnown,$B92)),_xll.VoseSimPercentile(Out_GoodKnown,$B92),NA())</f>
        <v>4861</v>
      </c>
    </row>
    <row r="93" spans="2:5" hidden="1" outlineLevel="1" x14ac:dyDescent="0.45">
      <c r="B93" s="58">
        <v>0.83</v>
      </c>
      <c r="C93" s="58">
        <f t="shared" si="2"/>
        <v>0.17000000000000004</v>
      </c>
      <c r="D93" s="59" cm="1">
        <f t="array" aca="1" ref="D93" ca="1">IF(ISNUMBER(_xll.VoseSimPercentile(Out_Good,$B93)),_xll.VoseSimPercentile(Out_Good,$B93),NA())</f>
        <v>4882</v>
      </c>
      <c r="E93" s="59" cm="1">
        <f t="array" aca="1" ref="E93" ca="1">IF(ISNUMBER(_xll.VoseSimPercentile(Out_GoodKnown,$B93)),_xll.VoseSimPercentile(Out_GoodKnown,$B93),NA())</f>
        <v>4861</v>
      </c>
    </row>
    <row r="94" spans="2:5" hidden="1" outlineLevel="1" x14ac:dyDescent="0.45">
      <c r="B94" s="58">
        <v>0.85</v>
      </c>
      <c r="C94" s="58">
        <f t="shared" si="2"/>
        <v>0.15000000000000002</v>
      </c>
      <c r="D94" s="59" cm="1">
        <f t="array" aca="1" ref="D94" ca="1">IF(ISNUMBER(_xll.VoseSimPercentile(Out_Good,$B94)),_xll.VoseSimPercentile(Out_Good,$B94),NA())</f>
        <v>4885</v>
      </c>
      <c r="E94" s="59" cm="1">
        <f t="array" aca="1" ref="E94" ca="1">IF(ISNUMBER(_xll.VoseSimPercentile(Out_GoodKnown,$B94)),_xll.VoseSimPercentile(Out_GoodKnown,$B94),NA())</f>
        <v>4862</v>
      </c>
    </row>
    <row r="95" spans="2:5" hidden="1" outlineLevel="1" x14ac:dyDescent="0.45">
      <c r="B95" s="58">
        <v>0.87</v>
      </c>
      <c r="C95" s="58">
        <f t="shared" si="2"/>
        <v>0.13</v>
      </c>
      <c r="D95" s="59" cm="1">
        <f t="array" aca="1" ref="D95" ca="1">IF(ISNUMBER(_xll.VoseSimPercentile(Out_Good,$B95)),_xll.VoseSimPercentile(Out_Good,$B95),NA())</f>
        <v>4888</v>
      </c>
      <c r="E95" s="59" cm="1">
        <f t="array" aca="1" ref="E95" ca="1">IF(ISNUMBER(_xll.VoseSimPercentile(Out_GoodKnown,$B95)),_xll.VoseSimPercentile(Out_GoodKnown,$B95),NA())</f>
        <v>4864</v>
      </c>
    </row>
    <row r="96" spans="2:5" hidden="1" outlineLevel="1" x14ac:dyDescent="0.45">
      <c r="B96" s="58">
        <v>0.89</v>
      </c>
      <c r="C96" s="58">
        <f t="shared" si="2"/>
        <v>0.10999999999999999</v>
      </c>
      <c r="D96" s="59" cm="1">
        <f t="array" aca="1" ref="D96" ca="1">IF(ISNUMBER(_xll.VoseSimPercentile(Out_Good,$B96)),_xll.VoseSimPercentile(Out_Good,$B96),NA())</f>
        <v>4892</v>
      </c>
      <c r="E96" s="59" cm="1">
        <f t="array" aca="1" ref="E96" ca="1">IF(ISNUMBER(_xll.VoseSimPercentile(Out_GoodKnown,$B96)),_xll.VoseSimPercentile(Out_GoodKnown,$B96),NA())</f>
        <v>4865</v>
      </c>
    </row>
    <row r="97" spans="2:7" hidden="1" outlineLevel="1" x14ac:dyDescent="0.45">
      <c r="B97" s="58">
        <v>0.91</v>
      </c>
      <c r="C97" s="58">
        <f t="shared" si="2"/>
        <v>8.9999999999999969E-2</v>
      </c>
      <c r="D97" s="59" cm="1">
        <f t="array" aca="1" ref="D97" ca="1">IF(ISNUMBER(_xll.VoseSimPercentile(Out_Good,$B97)),_xll.VoseSimPercentile(Out_Good,$B97),NA())</f>
        <v>4896</v>
      </c>
      <c r="E97" s="59" cm="1">
        <f t="array" aca="1" ref="E97" ca="1">IF(ISNUMBER(_xll.VoseSimPercentile(Out_GoodKnown,$B97)),_xll.VoseSimPercentile(Out_GoodKnown,$B97),NA())</f>
        <v>4866</v>
      </c>
    </row>
    <row r="98" spans="2:7" hidden="1" outlineLevel="1" x14ac:dyDescent="0.45">
      <c r="B98" s="58">
        <v>0.93</v>
      </c>
      <c r="C98" s="58">
        <f t="shared" si="2"/>
        <v>6.9999999999999951E-2</v>
      </c>
      <c r="D98" s="59" cm="1">
        <f t="array" aca="1" ref="D98" ca="1">IF(ISNUMBER(_xll.VoseSimPercentile(Out_Good,$B98)),_xll.VoseSimPercentile(Out_Good,$B98),NA())</f>
        <v>4901</v>
      </c>
      <c r="E98" s="59" cm="1">
        <f t="array" aca="1" ref="E98" ca="1">IF(ISNUMBER(_xll.VoseSimPercentile(Out_GoodKnown,$B98)),_xll.VoseSimPercentile(Out_GoodKnown,$B98),NA())</f>
        <v>4868</v>
      </c>
    </row>
    <row r="99" spans="2:7" hidden="1" outlineLevel="1" x14ac:dyDescent="0.45">
      <c r="B99" s="58">
        <v>0.95</v>
      </c>
      <c r="C99" s="58">
        <f t="shared" si="2"/>
        <v>5.0000000000000044E-2</v>
      </c>
      <c r="D99" s="59" cm="1">
        <f t="array" aca="1" ref="D99" ca="1">IF(ISNUMBER(_xll.VoseSimPercentile(Out_Good,$B99)),_xll.VoseSimPercentile(Out_Good,$B99),NA())</f>
        <v>4907</v>
      </c>
      <c r="E99" s="59" cm="1">
        <f t="array" aca="1" ref="E99" ca="1">IF(ISNUMBER(_xll.VoseSimPercentile(Out_GoodKnown,$B99)),_xll.VoseSimPercentile(Out_GoodKnown,$B99),NA())</f>
        <v>4870</v>
      </c>
    </row>
    <row r="100" spans="2:7" hidden="1" outlineLevel="1" x14ac:dyDescent="0.45">
      <c r="B100" s="58">
        <v>0.97</v>
      </c>
      <c r="C100" s="58">
        <f t="shared" si="2"/>
        <v>3.0000000000000027E-2</v>
      </c>
      <c r="D100" s="59" cm="1">
        <f t="array" aca="1" ref="D100" ca="1">IF(ISNUMBER(_xll.VoseSimPercentile(Out_Good,$B100)),_xll.VoseSimPercentile(Out_Good,$B100),NA())</f>
        <v>4914</v>
      </c>
      <c r="E100" s="59" cm="1">
        <f t="array" aca="1" ref="E100" ca="1">IF(ISNUMBER(_xll.VoseSimPercentile(Out_GoodKnown,$B100)),_xll.VoseSimPercentile(Out_GoodKnown,$B100),NA())</f>
        <v>4872</v>
      </c>
    </row>
    <row r="101" spans="2:7" hidden="1" outlineLevel="1" x14ac:dyDescent="0.45">
      <c r="B101" s="58">
        <v>0.99</v>
      </c>
      <c r="C101" s="58">
        <f t="shared" si="2"/>
        <v>1.0000000000000009E-2</v>
      </c>
      <c r="D101" s="59" cm="1">
        <f t="array" aca="1" ref="D101" ca="1">IF(ISNUMBER(_xll.VoseSimPercentile(Out_Good,$B101)),_xll.VoseSimPercentile(Out_Good,$B101),NA())</f>
        <v>4928</v>
      </c>
      <c r="E101" s="59" cm="1">
        <f t="array" aca="1" ref="E101" ca="1">IF(ISNUMBER(_xll.VoseSimPercentile(Out_GoodKnown,$B101)),_xll.VoseSimPercentile(Out_GoodKnown,$B101),NA())</f>
        <v>4877</v>
      </c>
    </row>
    <row r="102" spans="2:7" hidden="1" outlineLevel="1" x14ac:dyDescent="0.45"/>
    <row r="103" spans="2:7" ht="28.05" hidden="1" customHeight="1" outlineLevel="1" x14ac:dyDescent="0.45">
      <c r="B103" s="23" t="s">
        <v>226</v>
      </c>
      <c r="C103" s="24" t="s">
        <v>227</v>
      </c>
      <c r="D103" s="5"/>
      <c r="E103" s="5"/>
      <c r="F103" s="5"/>
      <c r="G103" s="5"/>
    </row>
    <row r="104" spans="2:7" hidden="1" outlineLevel="1" x14ac:dyDescent="0.45">
      <c r="B104" s="60">
        <f>Production!B20</f>
        <v>4950</v>
      </c>
      <c r="C104" s="59" cm="1">
        <f t="array" aca="1" ref="C104" ca="1">IF(ISNUMBER(_xll.VoseSimMean(Production!G20)),_xll.VoseSimMean(Production!G20),NA())</f>
        <v>203.77226361318066</v>
      </c>
    </row>
    <row r="105" spans="2:7" hidden="1" outlineLevel="1" x14ac:dyDescent="0.45">
      <c r="B105" s="60">
        <f>Production!B21</f>
        <v>5000</v>
      </c>
      <c r="C105" s="59" cm="1">
        <f t="array" aca="1" ref="C105" ca="1">IF(ISNUMBER(_xll.VoseSimMean(Production!G21)),_xll.VoseSimMean(Production!G21),NA())</f>
        <v>201.51497574878744</v>
      </c>
    </row>
    <row r="106" spans="2:7" hidden="1" outlineLevel="1" x14ac:dyDescent="0.45">
      <c r="B106" s="60">
        <f>Production!B22</f>
        <v>5050</v>
      </c>
      <c r="C106" s="59" cm="1">
        <f t="array" aca="1" ref="C106" ca="1">IF(ISNUMBER(_xll.VoseSimMean(Production!G22)),_xll.VoseSimMean(Production!G22),NA())</f>
        <v>202.2643632181609</v>
      </c>
    </row>
    <row r="107" spans="2:7" hidden="1" outlineLevel="1" x14ac:dyDescent="0.45">
      <c r="B107" s="60">
        <f>Production!B23</f>
        <v>5100</v>
      </c>
      <c r="C107" s="59" cm="1">
        <f t="array" aca="1" ref="C107" ca="1">IF(ISNUMBER(_xll.VoseSimMean(Production!G23)),_xll.VoseSimMean(Production!G23),NA())</f>
        <v>204.03840192009599</v>
      </c>
    </row>
    <row r="108" spans="2:7" hidden="1" outlineLevel="1" x14ac:dyDescent="0.45">
      <c r="B108" s="60">
        <f>Production!B24</f>
        <v>5150</v>
      </c>
      <c r="C108" s="59" cm="1">
        <f t="array" aca="1" ref="C108" ca="1">IF(ISNUMBER(_xll.VoseSimMean(Production!G24)),_xll.VoseSimMean(Production!G24),NA())</f>
        <v>206.00425021251061</v>
      </c>
    </row>
    <row r="109" spans="2:7" hidden="1" outlineLevel="1" x14ac:dyDescent="0.45">
      <c r="B109" s="60">
        <f>Production!B25</f>
        <v>5200</v>
      </c>
      <c r="C109" s="59" cm="1">
        <f t="array" aca="1" ref="C109" ca="1">IF(ISNUMBER(_xll.VoseSimMean(Production!G25)),_xll.VoseSimMean(Production!G25),NA())</f>
        <v>208</v>
      </c>
    </row>
  </sheetData>
  <mergeCells count="5">
    <mergeCell ref="B42:G42"/>
    <mergeCell ref="B46:G46"/>
    <mergeCell ref="B45:G45"/>
    <mergeCell ref="B43:G43"/>
    <mergeCell ref="B44:G44"/>
  </mergeCells>
  <conditionalFormatting sqref="B7">
    <cfRule type="expression" dxfId="9" priority="2">
      <formula>LEFT($B$7,1)="✗"</formula>
    </cfRule>
  </conditionalFormatting>
  <conditionalFormatting sqref="B6:G6">
    <cfRule type="expression" dxfId="8" priority="1">
      <formula>LEFT($B$6,1)&lt;&gt;"✔"</formula>
    </cfRule>
  </conditionalFormatting>
  <conditionalFormatting sqref="C104:C109">
    <cfRule type="expression" dxfId="7" priority="10">
      <formula>ISNA(C104)</formula>
    </cfRule>
  </conditionalFormatting>
  <conditionalFormatting sqref="D52:E101">
    <cfRule type="expression" dxfId="6" priority="9">
      <formula>ISNA(D52)</formula>
    </cfRule>
  </conditionalFormatting>
  <conditionalFormatting sqref="G13">
    <cfRule type="expression" dxfId="5" priority="3">
      <formula>LEFT($G$13,1)="✔"</formula>
    </cfRule>
  </conditionalFormatting>
  <conditionalFormatting sqref="G14">
    <cfRule type="expression" dxfId="4" priority="4">
      <formula>LEFT($G$14,1)="✔"</formula>
    </cfRule>
  </conditionalFormatting>
  <conditionalFormatting sqref="G15">
    <cfRule type="expression" dxfId="3" priority="5">
      <formula>LEFT($G$15,1)="✔"</formula>
    </cfRule>
  </conditionalFormatting>
  <conditionalFormatting sqref="G16">
    <cfRule type="expression" dxfId="2" priority="6">
      <formula>LEFT($G$16,1)="✔"</formula>
    </cfRule>
  </conditionalFormatting>
  <conditionalFormatting sqref="G17">
    <cfRule type="expression" dxfId="1" priority="7">
      <formula>LEFT($G$17,1)="✔"</formula>
    </cfRule>
  </conditionalFormatting>
  <conditionalFormatting sqref="G18">
    <cfRule type="expression" dxfId="0" priority="8">
      <formula>LEFT($G$18,1)="✔"</formula>
    </cfRule>
  </conditionalFormatting>
  <hyperlinks>
    <hyperlink ref="B4" location="'Production'!A1" display="◂  Production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073FC-7199-4D32-BCAF-3867A4BE6CD9}">
  <dimension ref="A1:B1"/>
  <sheetViews>
    <sheetView workbookViewId="0"/>
  </sheetViews>
  <sheetFormatPr defaultRowHeight="14.25" x14ac:dyDescent="0.45"/>
  <sheetData>
    <row r="1" spans="1:2" x14ac:dyDescent="0.45">
      <c r="A1" s="65" t="s">
        <v>228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6949-0531-44C8-84A7-7A8EF69D95CF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D841-9ABA-4471-A2A6-B92CEF2E72FB}">
  <dimension ref="B3:B172"/>
  <sheetViews>
    <sheetView workbookViewId="0"/>
  </sheetViews>
  <sheetFormatPr defaultRowHeight="14.25" x14ac:dyDescent="0.45"/>
  <sheetData>
    <row r="3" spans="2:2" x14ac:dyDescent="0.45">
      <c r="B3">
        <v>28</v>
      </c>
    </row>
    <row r="4" spans="2:2" x14ac:dyDescent="0.45">
      <c r="B4">
        <v>201</v>
      </c>
    </row>
    <row r="5" spans="2:2" x14ac:dyDescent="0.45">
      <c r="B5">
        <v>520</v>
      </c>
    </row>
    <row r="6" spans="2:2" x14ac:dyDescent="0.45">
      <c r="B6">
        <v>589</v>
      </c>
    </row>
    <row r="7" spans="2:2" x14ac:dyDescent="0.45">
      <c r="B7">
        <v>396</v>
      </c>
    </row>
    <row r="8" spans="2:2" x14ac:dyDescent="0.45">
      <c r="B8">
        <v>184</v>
      </c>
    </row>
    <row r="9" spans="2:2" x14ac:dyDescent="0.45">
      <c r="B9">
        <v>69</v>
      </c>
    </row>
    <row r="10" spans="2:2" x14ac:dyDescent="0.45">
      <c r="B10">
        <v>8</v>
      </c>
    </row>
    <row r="11" spans="2:2" x14ac:dyDescent="0.45">
      <c r="B11">
        <v>3</v>
      </c>
    </row>
    <row r="12" spans="2:2" x14ac:dyDescent="0.45">
      <c r="B12">
        <v>2</v>
      </c>
    </row>
    <row r="13" spans="2:2" x14ac:dyDescent="0.45">
      <c r="B13">
        <v>1112</v>
      </c>
    </row>
    <row r="14" spans="2:2" x14ac:dyDescent="0.45">
      <c r="B14">
        <v>0</v>
      </c>
    </row>
    <row r="15" spans="2:2" x14ac:dyDescent="0.45">
      <c r="B15">
        <v>0</v>
      </c>
    </row>
    <row r="16" spans="2:2" x14ac:dyDescent="0.45">
      <c r="B16">
        <v>0</v>
      </c>
    </row>
    <row r="17" spans="2:2" x14ac:dyDescent="0.45">
      <c r="B17">
        <v>0</v>
      </c>
    </row>
    <row r="18" spans="2:2" x14ac:dyDescent="0.45">
      <c r="B18">
        <v>0</v>
      </c>
    </row>
    <row r="19" spans="2:2" x14ac:dyDescent="0.45">
      <c r="B19">
        <v>0</v>
      </c>
    </row>
    <row r="20" spans="2:2" x14ac:dyDescent="0.45">
      <c r="B20">
        <v>0</v>
      </c>
    </row>
    <row r="21" spans="2:2" x14ac:dyDescent="0.45">
      <c r="B21">
        <v>0</v>
      </c>
    </row>
    <row r="22" spans="2:2" x14ac:dyDescent="0.45">
      <c r="B22">
        <v>888</v>
      </c>
    </row>
    <row r="23" spans="2:2" x14ac:dyDescent="0.45">
      <c r="B23">
        <v>399</v>
      </c>
    </row>
    <row r="24" spans="2:2" x14ac:dyDescent="0.45">
      <c r="B24">
        <v>0</v>
      </c>
    </row>
    <row r="25" spans="2:2" x14ac:dyDescent="0.45">
      <c r="B25">
        <v>0</v>
      </c>
    </row>
    <row r="26" spans="2:2" x14ac:dyDescent="0.45">
      <c r="B26">
        <v>0</v>
      </c>
    </row>
    <row r="27" spans="2:2" x14ac:dyDescent="0.45">
      <c r="B27">
        <v>0</v>
      </c>
    </row>
    <row r="28" spans="2:2" x14ac:dyDescent="0.45">
      <c r="B28">
        <v>0</v>
      </c>
    </row>
    <row r="29" spans="2:2" x14ac:dyDescent="0.45">
      <c r="B29">
        <v>0</v>
      </c>
    </row>
    <row r="30" spans="2:2" x14ac:dyDescent="0.45">
      <c r="B30">
        <v>0</v>
      </c>
    </row>
    <row r="31" spans="2:2" x14ac:dyDescent="0.45">
      <c r="B31">
        <v>0</v>
      </c>
    </row>
    <row r="32" spans="2:2" x14ac:dyDescent="0.45">
      <c r="B32">
        <v>1601</v>
      </c>
    </row>
    <row r="33" spans="2:2" x14ac:dyDescent="0.45">
      <c r="B33">
        <v>88</v>
      </c>
    </row>
    <row r="34" spans="2:2" x14ac:dyDescent="0.45">
      <c r="B34">
        <v>0</v>
      </c>
    </row>
    <row r="35" spans="2:2" x14ac:dyDescent="0.45">
      <c r="B35">
        <v>0</v>
      </c>
    </row>
    <row r="36" spans="2:2" x14ac:dyDescent="0.45">
      <c r="B36">
        <v>0</v>
      </c>
    </row>
    <row r="37" spans="2:2" x14ac:dyDescent="0.45">
      <c r="B37">
        <v>0</v>
      </c>
    </row>
    <row r="38" spans="2:2" x14ac:dyDescent="0.45">
      <c r="B38">
        <v>0</v>
      </c>
    </row>
    <row r="39" spans="2:2" x14ac:dyDescent="0.45">
      <c r="B39">
        <v>0</v>
      </c>
    </row>
    <row r="40" spans="2:2" x14ac:dyDescent="0.45">
      <c r="B40">
        <v>0</v>
      </c>
    </row>
    <row r="41" spans="2:2" x14ac:dyDescent="0.45">
      <c r="B41">
        <v>0</v>
      </c>
    </row>
    <row r="42" spans="2:2" x14ac:dyDescent="0.45">
      <c r="B42">
        <v>1912</v>
      </c>
    </row>
    <row r="43" spans="2:2" x14ac:dyDescent="0.45">
      <c r="B43">
        <v>12</v>
      </c>
    </row>
    <row r="44" spans="2:2" x14ac:dyDescent="0.45">
      <c r="B44">
        <v>0</v>
      </c>
    </row>
    <row r="45" spans="2:2" x14ac:dyDescent="0.45">
      <c r="B45">
        <v>0</v>
      </c>
    </row>
    <row r="46" spans="2:2" x14ac:dyDescent="0.45">
      <c r="B46">
        <v>0</v>
      </c>
    </row>
    <row r="47" spans="2:2" x14ac:dyDescent="0.45">
      <c r="B47">
        <v>0</v>
      </c>
    </row>
    <row r="48" spans="2:2" x14ac:dyDescent="0.45">
      <c r="B48">
        <v>0</v>
      </c>
    </row>
    <row r="49" spans="2:2" x14ac:dyDescent="0.45">
      <c r="B49">
        <v>0</v>
      </c>
    </row>
    <row r="50" spans="2:2" x14ac:dyDescent="0.45">
      <c r="B50">
        <v>0</v>
      </c>
    </row>
    <row r="51" spans="2:2" x14ac:dyDescent="0.45">
      <c r="B51">
        <v>0</v>
      </c>
    </row>
    <row r="52" spans="2:2" x14ac:dyDescent="0.45">
      <c r="B52">
        <v>1988</v>
      </c>
    </row>
    <row r="53" spans="2:2" x14ac:dyDescent="0.45">
      <c r="B53">
        <v>3</v>
      </c>
    </row>
    <row r="54" spans="2:2" x14ac:dyDescent="0.45">
      <c r="B54">
        <v>0</v>
      </c>
    </row>
    <row r="55" spans="2:2" x14ac:dyDescent="0.45">
      <c r="B55">
        <v>0</v>
      </c>
    </row>
    <row r="56" spans="2:2" x14ac:dyDescent="0.45">
      <c r="B56">
        <v>0</v>
      </c>
    </row>
    <row r="57" spans="2:2" x14ac:dyDescent="0.45">
      <c r="B57">
        <v>0</v>
      </c>
    </row>
    <row r="58" spans="2:2" x14ac:dyDescent="0.45">
      <c r="B58">
        <v>0</v>
      </c>
    </row>
    <row r="59" spans="2:2" x14ac:dyDescent="0.45">
      <c r="B59">
        <v>0</v>
      </c>
    </row>
    <row r="60" spans="2:2" x14ac:dyDescent="0.45">
      <c r="B60">
        <v>0</v>
      </c>
    </row>
    <row r="61" spans="2:2" x14ac:dyDescent="0.45">
      <c r="B61">
        <v>0</v>
      </c>
    </row>
    <row r="62" spans="2:2" x14ac:dyDescent="0.45">
      <c r="B62">
        <v>1997</v>
      </c>
    </row>
    <row r="63" spans="2:2" x14ac:dyDescent="0.45">
      <c r="B63">
        <v>0</v>
      </c>
    </row>
    <row r="64" spans="2:2" x14ac:dyDescent="0.45">
      <c r="B64">
        <v>0</v>
      </c>
    </row>
    <row r="65" spans="2:2" x14ac:dyDescent="0.45">
      <c r="B65">
        <v>0</v>
      </c>
    </row>
    <row r="66" spans="2:2" x14ac:dyDescent="0.45">
      <c r="B66">
        <v>0</v>
      </c>
    </row>
    <row r="67" spans="2:2" x14ac:dyDescent="0.45">
      <c r="B67">
        <v>0</v>
      </c>
    </row>
    <row r="68" spans="2:2" x14ac:dyDescent="0.45">
      <c r="B68">
        <v>2000</v>
      </c>
    </row>
    <row r="69" spans="2:2" x14ac:dyDescent="0.45">
      <c r="B69">
        <v>0</v>
      </c>
    </row>
    <row r="70" spans="2:2" x14ac:dyDescent="0.45">
      <c r="B70">
        <v>0</v>
      </c>
    </row>
    <row r="71" spans="2:2" x14ac:dyDescent="0.45">
      <c r="B71">
        <v>0</v>
      </c>
    </row>
    <row r="72" spans="2:2" x14ac:dyDescent="0.45">
      <c r="B72">
        <v>0</v>
      </c>
    </row>
    <row r="73" spans="2:2" x14ac:dyDescent="0.45">
      <c r="B73">
        <v>1262</v>
      </c>
    </row>
    <row r="74" spans="2:2" x14ac:dyDescent="0.45">
      <c r="B74">
        <v>338</v>
      </c>
    </row>
    <row r="75" spans="2:2" x14ac:dyDescent="0.45">
      <c r="B75">
        <v>200</v>
      </c>
    </row>
    <row r="76" spans="2:2" x14ac:dyDescent="0.45">
      <c r="B76">
        <v>111</v>
      </c>
    </row>
    <row r="77" spans="2:2" x14ac:dyDescent="0.45">
      <c r="B77">
        <v>61</v>
      </c>
    </row>
    <row r="78" spans="2:2" x14ac:dyDescent="0.45">
      <c r="B78">
        <v>16</v>
      </c>
    </row>
    <row r="79" spans="2:2" x14ac:dyDescent="0.45">
      <c r="B79">
        <v>6</v>
      </c>
    </row>
    <row r="80" spans="2:2" x14ac:dyDescent="0.45">
      <c r="B80">
        <v>3</v>
      </c>
    </row>
    <row r="81" spans="2:2" x14ac:dyDescent="0.45">
      <c r="B81">
        <v>1</v>
      </c>
    </row>
    <row r="82" spans="2:2" x14ac:dyDescent="0.45">
      <c r="B82">
        <v>2</v>
      </c>
    </row>
    <row r="83" spans="2:2" x14ac:dyDescent="0.45">
      <c r="B83">
        <v>1772</v>
      </c>
    </row>
    <row r="84" spans="2:2" x14ac:dyDescent="0.45">
      <c r="B84">
        <v>104</v>
      </c>
    </row>
    <row r="85" spans="2:2" x14ac:dyDescent="0.45">
      <c r="B85">
        <v>65</v>
      </c>
    </row>
    <row r="86" spans="2:2" x14ac:dyDescent="0.45">
      <c r="B86">
        <v>39</v>
      </c>
    </row>
    <row r="87" spans="2:2" x14ac:dyDescent="0.45">
      <c r="B87">
        <v>10</v>
      </c>
    </row>
    <row r="88" spans="2:2" x14ac:dyDescent="0.45">
      <c r="B88">
        <v>6</v>
      </c>
    </row>
    <row r="89" spans="2:2" x14ac:dyDescent="0.45">
      <c r="B89">
        <v>2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2</v>
      </c>
    </row>
    <row r="93" spans="2:2" x14ac:dyDescent="0.45">
      <c r="B93">
        <v>1944</v>
      </c>
    </row>
    <row r="94" spans="2:2" x14ac:dyDescent="0.45">
      <c r="B94">
        <v>26</v>
      </c>
    </row>
    <row r="95" spans="2:2" x14ac:dyDescent="0.45">
      <c r="B95">
        <v>12</v>
      </c>
    </row>
    <row r="96" spans="2:2" x14ac:dyDescent="0.45">
      <c r="B96">
        <v>7</v>
      </c>
    </row>
    <row r="97" spans="2:2" x14ac:dyDescent="0.45">
      <c r="B97">
        <v>4</v>
      </c>
    </row>
    <row r="98" spans="2:2" x14ac:dyDescent="0.45">
      <c r="B98">
        <v>1</v>
      </c>
    </row>
    <row r="99" spans="2:2" x14ac:dyDescent="0.45">
      <c r="B99">
        <v>2</v>
      </c>
    </row>
    <row r="100" spans="2:2" x14ac:dyDescent="0.45">
      <c r="B100">
        <v>0</v>
      </c>
    </row>
    <row r="101" spans="2:2" x14ac:dyDescent="0.45">
      <c r="B101">
        <v>2</v>
      </c>
    </row>
    <row r="102" spans="2:2" x14ac:dyDescent="0.45">
      <c r="B102">
        <v>2</v>
      </c>
    </row>
    <row r="103" spans="2:2" x14ac:dyDescent="0.45">
      <c r="B103">
        <v>1992</v>
      </c>
    </row>
    <row r="104" spans="2:2" x14ac:dyDescent="0.45">
      <c r="B104">
        <v>4</v>
      </c>
    </row>
    <row r="105" spans="2:2" x14ac:dyDescent="0.45">
      <c r="B105">
        <v>1</v>
      </c>
    </row>
    <row r="106" spans="2:2" x14ac:dyDescent="0.45">
      <c r="B106">
        <v>0</v>
      </c>
    </row>
    <row r="107" spans="2:2" x14ac:dyDescent="0.45">
      <c r="B107">
        <v>1</v>
      </c>
    </row>
    <row r="108" spans="2:2" x14ac:dyDescent="0.45">
      <c r="B108">
        <v>0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2</v>
      </c>
    </row>
    <row r="113" spans="2:2" x14ac:dyDescent="0.45">
      <c r="B113">
        <v>1998</v>
      </c>
    </row>
    <row r="114" spans="2:2" x14ac:dyDescent="0.45">
      <c r="B114">
        <v>0</v>
      </c>
    </row>
    <row r="115" spans="2:2" x14ac:dyDescent="0.45">
      <c r="B115">
        <v>0</v>
      </c>
    </row>
    <row r="116" spans="2:2" x14ac:dyDescent="0.45">
      <c r="B116">
        <v>0</v>
      </c>
    </row>
    <row r="117" spans="2:2" x14ac:dyDescent="0.45">
      <c r="B117">
        <v>0</v>
      </c>
    </row>
    <row r="118" spans="2:2" x14ac:dyDescent="0.45">
      <c r="B118">
        <v>0</v>
      </c>
    </row>
    <row r="119" spans="2:2" x14ac:dyDescent="0.45">
      <c r="B119">
        <v>0</v>
      </c>
    </row>
    <row r="120" spans="2:2" x14ac:dyDescent="0.45">
      <c r="B120">
        <v>0</v>
      </c>
    </row>
    <row r="121" spans="2:2" x14ac:dyDescent="0.45">
      <c r="B121">
        <v>0</v>
      </c>
    </row>
    <row r="122" spans="2:2" x14ac:dyDescent="0.45">
      <c r="B122">
        <v>2</v>
      </c>
    </row>
    <row r="123" spans="2:2" x14ac:dyDescent="0.45">
      <c r="B123">
        <v>0</v>
      </c>
    </row>
    <row r="124" spans="2:2" x14ac:dyDescent="0.45">
      <c r="B124">
        <v>0</v>
      </c>
    </row>
    <row r="125" spans="2:2" x14ac:dyDescent="0.45">
      <c r="B125">
        <v>0</v>
      </c>
    </row>
    <row r="126" spans="2:2" x14ac:dyDescent="0.45">
      <c r="B126">
        <v>0</v>
      </c>
    </row>
    <row r="127" spans="2:2" x14ac:dyDescent="0.45">
      <c r="B127">
        <v>0</v>
      </c>
    </row>
    <row r="128" spans="2:2" x14ac:dyDescent="0.45">
      <c r="B128">
        <v>2000</v>
      </c>
    </row>
    <row r="129" spans="2:2" x14ac:dyDescent="0.45">
      <c r="B129">
        <v>0</v>
      </c>
    </row>
    <row r="130" spans="2:2" x14ac:dyDescent="0.45">
      <c r="B130">
        <v>0</v>
      </c>
    </row>
    <row r="131" spans="2:2" x14ac:dyDescent="0.45">
      <c r="B131">
        <v>0</v>
      </c>
    </row>
    <row r="132" spans="2:2" x14ac:dyDescent="0.45">
      <c r="B132">
        <v>0</v>
      </c>
    </row>
    <row r="133" spans="2:2" x14ac:dyDescent="0.45">
      <c r="B133">
        <v>2</v>
      </c>
    </row>
    <row r="134" spans="2:2" x14ac:dyDescent="0.45">
      <c r="B134">
        <v>1</v>
      </c>
    </row>
    <row r="135" spans="2:2" x14ac:dyDescent="0.45">
      <c r="B135">
        <v>11</v>
      </c>
    </row>
    <row r="136" spans="2:2" x14ac:dyDescent="0.45">
      <c r="B136">
        <v>60</v>
      </c>
    </row>
    <row r="137" spans="2:2" x14ac:dyDescent="0.45">
      <c r="B137">
        <v>175</v>
      </c>
    </row>
    <row r="138" spans="2:2" x14ac:dyDescent="0.45">
      <c r="B138">
        <v>396</v>
      </c>
    </row>
    <row r="139" spans="2:2" x14ac:dyDescent="0.45">
      <c r="B139">
        <v>567</v>
      </c>
    </row>
    <row r="140" spans="2:2" x14ac:dyDescent="0.45">
      <c r="B140">
        <v>538</v>
      </c>
    </row>
    <row r="141" spans="2:2" x14ac:dyDescent="0.45">
      <c r="B141">
        <v>218</v>
      </c>
    </row>
    <row r="142" spans="2:2" x14ac:dyDescent="0.45">
      <c r="B142">
        <v>32</v>
      </c>
    </row>
    <row r="143" spans="2:2" x14ac:dyDescent="0.45">
      <c r="B143">
        <v>8</v>
      </c>
    </row>
    <row r="144" spans="2:2" x14ac:dyDescent="0.45">
      <c r="B144">
        <v>26</v>
      </c>
    </row>
    <row r="145" spans="2:2" x14ac:dyDescent="0.45">
      <c r="B145">
        <v>108</v>
      </c>
    </row>
    <row r="146" spans="2:2" x14ac:dyDescent="0.45">
      <c r="B146">
        <v>289</v>
      </c>
    </row>
    <row r="147" spans="2:2" x14ac:dyDescent="0.45">
      <c r="B147">
        <v>569</v>
      </c>
    </row>
    <row r="148" spans="2:2" x14ac:dyDescent="0.45">
      <c r="B148">
        <v>560</v>
      </c>
    </row>
    <row r="149" spans="2:2" x14ac:dyDescent="0.45">
      <c r="B149">
        <v>308</v>
      </c>
    </row>
    <row r="150" spans="2:2" x14ac:dyDescent="0.45">
      <c r="B150">
        <v>112</v>
      </c>
    </row>
    <row r="151" spans="2:2" x14ac:dyDescent="0.45">
      <c r="B151">
        <v>18</v>
      </c>
    </row>
    <row r="152" spans="2:2" x14ac:dyDescent="0.45">
      <c r="B152">
        <v>2</v>
      </c>
    </row>
    <row r="153" spans="2:2" x14ac:dyDescent="0.45">
      <c r="B153">
        <v>399</v>
      </c>
    </row>
    <row r="154" spans="2:2" x14ac:dyDescent="0.45">
      <c r="B154">
        <v>0</v>
      </c>
    </row>
    <row r="155" spans="2:2" x14ac:dyDescent="0.45">
      <c r="B155">
        <v>0</v>
      </c>
    </row>
    <row r="156" spans="2:2" x14ac:dyDescent="0.45">
      <c r="B156">
        <v>0</v>
      </c>
    </row>
    <row r="157" spans="2:2" x14ac:dyDescent="0.45">
      <c r="B157">
        <v>0</v>
      </c>
    </row>
    <row r="158" spans="2:2" x14ac:dyDescent="0.45">
      <c r="B158">
        <v>0</v>
      </c>
    </row>
    <row r="159" spans="2:2" x14ac:dyDescent="0.45">
      <c r="B159">
        <v>0</v>
      </c>
    </row>
    <row r="160" spans="2:2" x14ac:dyDescent="0.45">
      <c r="B160">
        <v>0</v>
      </c>
    </row>
    <row r="161" spans="2:2" x14ac:dyDescent="0.45">
      <c r="B161">
        <v>0</v>
      </c>
    </row>
    <row r="162" spans="2:2" x14ac:dyDescent="0.45">
      <c r="B162">
        <v>1601</v>
      </c>
    </row>
    <row r="163" spans="2:2" x14ac:dyDescent="0.45">
      <c r="B163">
        <v>0</v>
      </c>
    </row>
    <row r="164" spans="2:2" x14ac:dyDescent="0.45">
      <c r="B164">
        <v>0</v>
      </c>
    </row>
    <row r="165" spans="2:2" x14ac:dyDescent="0.45">
      <c r="B165">
        <v>0</v>
      </c>
    </row>
    <row r="166" spans="2:2" x14ac:dyDescent="0.45">
      <c r="B166">
        <v>0</v>
      </c>
    </row>
    <row r="167" spans="2:2" x14ac:dyDescent="0.45">
      <c r="B167">
        <v>0</v>
      </c>
    </row>
    <row r="168" spans="2:2" x14ac:dyDescent="0.45">
      <c r="B168">
        <v>2000</v>
      </c>
    </row>
    <row r="169" spans="2:2" x14ac:dyDescent="0.45">
      <c r="B169">
        <v>0</v>
      </c>
    </row>
    <row r="170" spans="2:2" x14ac:dyDescent="0.45">
      <c r="B170">
        <v>0</v>
      </c>
    </row>
    <row r="171" spans="2:2" x14ac:dyDescent="0.45">
      <c r="B171">
        <v>0</v>
      </c>
    </row>
    <row r="172" spans="2:2" x14ac:dyDescent="0.45">
      <c r="B17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2D4EDA5F-C7CF-43E6-A968-3D3043B6828D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69</vt:i4>
      </vt:variant>
    </vt:vector>
  </HeadingPairs>
  <TitlesOfParts>
    <vt:vector size="76" baseType="lpstr">
      <vt:lpstr>About</vt:lpstr>
      <vt:lpstr>Inputs</vt:lpstr>
      <vt:lpstr>Production</vt:lpstr>
      <vt:lpstr>Results</vt:lpstr>
      <vt:lpstr>ModelRiskDSN</vt:lpstr>
      <vt:lpstr>ModelRiskSYS1</vt:lpstr>
      <vt:lpstr>ModelRiskCharts</vt:lpstr>
      <vt:lpstr>BetaA</vt:lpstr>
      <vt:lpstr>BetaB</vt:lpstr>
      <vt:lpstr>Checks</vt:lpstr>
      <vt:lpstr>Cost_1</vt:lpstr>
      <vt:lpstr>Cost_2</vt:lpstr>
      <vt:lpstr>Cost_3</vt:lpstr>
      <vt:lpstr>Cost_4</vt:lpstr>
      <vt:lpstr>Cost_5</vt:lpstr>
      <vt:lpstr>Cost_6</vt:lpstr>
      <vt:lpstr>Defects</vt:lpstr>
      <vt:lpstr>DefRate</vt:lpstr>
      <vt:lpstr>Exact_1</vt:lpstr>
      <vt:lpstr>Exact_2</vt:lpstr>
      <vt:lpstr>Exact_3</vt:lpstr>
      <vt:lpstr>Exact_4</vt:lpstr>
      <vt:lpstr>Exact_5</vt:lpstr>
      <vt:lpstr>Exact_6</vt:lpstr>
      <vt:lpstr>ExactKnown</vt:lpstr>
      <vt:lpstr>FocusRun</vt:lpstr>
      <vt:lpstr>Good_1</vt:lpstr>
      <vt:lpstr>Good_2</vt:lpstr>
      <vt:lpstr>Good_3</vt:lpstr>
      <vt:lpstr>Good_4</vt:lpstr>
      <vt:lpstr>Good_5</vt:lpstr>
      <vt:lpstr>Good_6</vt:lpstr>
      <vt:lpstr>GoodFocus</vt:lpstr>
      <vt:lpstr>GoodKnown</vt:lpstr>
      <vt:lpstr>GoodParts</vt:lpstr>
      <vt:lpstr>Inspected</vt:lpstr>
      <vt:lpstr>Order</vt:lpstr>
      <vt:lpstr>Out_Cost_1</vt:lpstr>
      <vt:lpstr>Out_Cost_2</vt:lpstr>
      <vt:lpstr>Out_Cost_3</vt:lpstr>
      <vt:lpstr>Out_Cost_4</vt:lpstr>
      <vt:lpstr>Out_Cost_5</vt:lpstr>
      <vt:lpstr>Out_Cost_6</vt:lpstr>
      <vt:lpstr>Out_Good</vt:lpstr>
      <vt:lpstr>Out_GoodKnown</vt:lpstr>
      <vt:lpstr>Out_Met_1</vt:lpstr>
      <vt:lpstr>Out_Met_2</vt:lpstr>
      <vt:lpstr>Out_Met_3</vt:lpstr>
      <vt:lpstr>Out_Met_4</vt:lpstr>
      <vt:lpstr>Out_Met_5</vt:lpstr>
      <vt:lpstr>Out_Met_6</vt:lpstr>
      <vt:lpstr>Out_MetFocus</vt:lpstr>
      <vt:lpstr>Out_MetKnown</vt:lpstr>
      <vt:lpstr>Penalty</vt:lpstr>
      <vt:lpstr>Results!Print_Area</vt:lpstr>
      <vt:lpstr>Inputs!Print_Titles</vt:lpstr>
      <vt:lpstr>Results!Print_Titles</vt:lpstr>
      <vt:lpstr>RateHi</vt:lpstr>
      <vt:lpstr>RateLo</vt:lpstr>
      <vt:lpstr>RateObs</vt:lpstr>
      <vt:lpstr>Run_1</vt:lpstr>
      <vt:lpstr>Run_2</vt:lpstr>
      <vt:lpstr>Run_3</vt:lpstr>
      <vt:lpstr>Run_4</vt:lpstr>
      <vt:lpstr>Run_5</vt:lpstr>
      <vt:lpstr>Run_6</vt:lpstr>
      <vt:lpstr>RunMin</vt:lpstr>
      <vt:lpstr>RunSizes</vt:lpstr>
      <vt:lpstr>RunStep</vt:lpstr>
      <vt:lpstr>Short_1</vt:lpstr>
      <vt:lpstr>Short_2</vt:lpstr>
      <vt:lpstr>Short_3</vt:lpstr>
      <vt:lpstr>Short_4</vt:lpstr>
      <vt:lpstr>Short_5</vt:lpstr>
      <vt:lpstr>Short_6</vt:lpstr>
      <vt:lpstr>UnitCost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MF-01 Production Yield and Scrap</dc:title>
  <dc:subject>ModelRisk industry example library — Manufacturing</dc:subject>
  <dc:creator>Vose Software</dc:creator>
  <cp:keywords>ModelRisk; Monte Carlo; Manufacturing</cp:keywords>
  <dc:description>An uncertain defect rate from 400 inspected parts, Binomial defects, and the run size that meets an order at the lowest expected cost.</dc:description>
  <cp:lastModifiedBy>Timour Koupeev</cp:lastModifiedBy>
  <cp:lastPrinted>2026-10-05T15:57:08Z</cp:lastPrinted>
  <dcterms:created xsi:type="dcterms:W3CDTF">2026-10-05T15:52:28Z</dcterms:created>
  <dcterms:modified xsi:type="dcterms:W3CDTF">2026-10-05T15:57:09Z</dcterms:modified>
</cp:coreProperties>
</file>