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9757701F-56B6-46E4-904A-CDF49F671F8B}" xr6:coauthVersionLast="47" xr6:coauthVersionMax="47" xr10:uidLastSave="{00000000-0000-0000-0000-000000000000}"/>
  <bookViews>
    <workbookView xWindow="-98" yWindow="-98" windowWidth="21795" windowHeight="12975" firstSheet="2" activeTab="2" xr2:uid="{F397E538-DBD3-4444-8BAE-6C3C86867134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_MC_Calc!$A$1:$EK$1</definedName>
    <definedName name="FriendlyMerger15bCost">MC_Tree_1!$C$7</definedName>
    <definedName name="HostileTakeover2bPremiumCost">MC_Tree_1!$C$6</definedName>
    <definedName name="IncreaseBidTo25bCost">MC_Tree_1!$C$9</definedName>
    <definedName name="MC_BD_D_hostile_blocked_C_rebid" localSheetId="3">MC_Tree_1!$E$64</definedName>
    <definedName name="MC_BD_D_hostile_blocked_T_hostile_walkaway" localSheetId="3">MC_Tree_1!$E$70</definedName>
    <definedName name="MC_BD_D_minority_strategy_C_minority_active" localSheetId="3">MC_Tree_1!$E$112</definedName>
    <definedName name="MC_BD_D_minority_strategy_C_minority_passive" localSheetId="3">MC_Tree_1!$E$122</definedName>
    <definedName name="MC_BD_D_root_C_reg_friendly" localSheetId="3">MC_Tree_1!$C$100</definedName>
    <definedName name="MC_BD_D_root_C_reg_hostile" localSheetId="3">MC_Tree_1!$C$46</definedName>
    <definedName name="MC_BD_D_root_C_reg_minority" localSheetId="3">MC_Tree_1!$C$128</definedName>
    <definedName name="MC_BD_D_root_T_no_deal" localSheetId="3">MC_Tree_1!$C$132</definedName>
    <definedName name="MC_BP_C_integ_hostile_neg_T_hostile_neg_fail" localSheetId="3">MC_Tree_1!$F$44</definedName>
    <definedName name="MC_BP_C_integ_hostile_neg_T_hostile_neg_full" localSheetId="3">MC_Tree_1!$F$38</definedName>
    <definedName name="MC_BP_C_integ_hostile_neg_T_hostile_neg_part" localSheetId="3">MC_Tree_1!$F$42</definedName>
    <definedName name="MC_BP_C_integ_hostile_neut_T_hostile_neut_fail" localSheetId="3">MC_Tree_1!$F$36</definedName>
    <definedName name="MC_BP_C_integ_hostile_neut_T_hostile_neut_full" localSheetId="3">MC_Tree_1!$F$30</definedName>
    <definedName name="MC_BP_C_integ_hostile_neut_T_hostile_neut_part" localSheetId="3">MC_Tree_1!$F$34</definedName>
    <definedName name="MC_BP_C_integ_hostile_pos_T_hostile_pos_fail" localSheetId="3">MC_Tree_1!$F$26</definedName>
    <definedName name="MC_BP_C_integ_hostile_pos_T_hostile_pos_full" localSheetId="3">MC_Tree_1!$F$20</definedName>
    <definedName name="MC_BP_C_integ_hostile_pos_T_hostile_pos_part" localSheetId="3">MC_Tree_1!$F$24</definedName>
    <definedName name="MC_BP_C_integ_rebid_T_rebid_fail" localSheetId="3">MC_Tree_1!$G$62</definedName>
    <definedName name="MC_BP_C_integ_rebid_T_rebid_full" localSheetId="3">MC_Tree_1!$G$56</definedName>
    <definedName name="MC_BP_C_integ_rebid_T_rebid_part" localSheetId="3">MC_Tree_1!$G$60</definedName>
    <definedName name="MC_BP_C_market_hostile_C_integ_hostile_neg" localSheetId="3">MC_Tree_1!$E$40</definedName>
    <definedName name="MC_BP_C_market_hostile_C_integ_hostile_neut" localSheetId="3">MC_Tree_1!$E$32</definedName>
    <definedName name="MC_BP_C_market_hostile_C_integ_hostile_pos" localSheetId="3">MC_Tree_1!$E$22</definedName>
    <definedName name="MC_BP_C_market_hostile_cond_T_hostile_cond_neg" localSheetId="3">MC_Tree_1!$E$54</definedName>
    <definedName name="MC_BP_C_market_hostile_cond_T_hostile_cond_neut" localSheetId="3">MC_Tree_1!$E$52</definedName>
    <definedName name="MC_BP_C_market_hostile_cond_T_hostile_cond_pos" localSheetId="3">MC_Tree_1!$E$48</definedName>
    <definedName name="MC_BP_C_minority_active_T_min_active_conflict" localSheetId="3">MC_Tree_1!$F$116</definedName>
    <definedName name="MC_BP_C_minority_active_T_min_active_mod" localSheetId="3">MC_Tree_1!$F$114</definedName>
    <definedName name="MC_BP_C_minority_active_T_min_active_success" localSheetId="3">MC_Tree_1!$F$110</definedName>
    <definedName name="MC_BP_C_minority_passive_T_min_passive_down" localSheetId="3">MC_Tree_1!$F$126</definedName>
    <definedName name="MC_BP_C_minority_passive_T_min_passive_flat" localSheetId="3">MC_Tree_1!$F$124</definedName>
    <definedName name="MC_BP_C_minority_passive_T_min_passive_up" localSheetId="3">MC_Tree_1!$F$120</definedName>
    <definedName name="MC_BP_C_mkt_fr_below_T_fr_below_bear" localSheetId="3">MC_Tree_1!$F$98</definedName>
    <definedName name="MC_BP_C_mkt_fr_below_T_fr_below_bull" localSheetId="3">MC_Tree_1!$F$92</definedName>
    <definedName name="MC_BP_C_mkt_fr_below_T_fr_below_flat" localSheetId="3">MC_Tree_1!$F$96</definedName>
    <definedName name="MC_BP_C_mkt_fr_exceed_T_fr_exceed_bear" localSheetId="3">MC_Tree_1!$F$80</definedName>
    <definedName name="MC_BP_C_mkt_fr_exceed_T_fr_exceed_bull" localSheetId="3">MC_Tree_1!$F$74</definedName>
    <definedName name="MC_BP_C_mkt_fr_exceed_T_fr_exceed_flat" localSheetId="3">MC_Tree_1!$F$78</definedName>
    <definedName name="MC_BP_C_mkt_fr_meet_T_fr_meet_bear" localSheetId="3">MC_Tree_1!$F$90</definedName>
    <definedName name="MC_BP_C_mkt_fr_meet_T_fr_meet_bull" localSheetId="3">MC_Tree_1!$F$84</definedName>
    <definedName name="MC_BP_C_mkt_fr_meet_T_fr_meet_flat" localSheetId="3">MC_Tree_1!$F$88</definedName>
    <definedName name="MC_BP_C_rebid_C_integ_rebid" localSheetId="3">MC_Tree_1!$F$58</definedName>
    <definedName name="MC_BP_C_rebid_T_rebid_rejected" localSheetId="3">MC_Tree_1!$F$66</definedName>
    <definedName name="MC_BP_C_reg_friendly_C_synergy_friendly" localSheetId="3">MC_Tree_1!$D$82</definedName>
    <definedName name="MC_BP_C_reg_friendly_C_synergy_friendly_cond" localSheetId="3">MC_Tree_1!$D$104</definedName>
    <definedName name="MC_BP_C_reg_friendly_T_friendly_blocked" localSheetId="3">MC_Tree_1!$D$108</definedName>
    <definedName name="MC_BP_C_reg_hostile_C_market_hostile" localSheetId="3">MC_Tree_1!$D$28</definedName>
    <definedName name="MC_BP_C_reg_hostile_C_market_hostile_cond" localSheetId="3">MC_Tree_1!$D$50</definedName>
    <definedName name="MC_BP_C_reg_hostile_D_hostile_blocked" localSheetId="3">MC_Tree_1!$D$68</definedName>
    <definedName name="MC_BP_C_reg_minority_D_minority_strategy" localSheetId="3">MC_Tree_1!$D$118</definedName>
    <definedName name="MC_BP_C_reg_minority_T_minority_blocked" localSheetId="3">MC_Tree_1!$D$130</definedName>
    <definedName name="MC_BP_C_synergy_friendly_C_mkt_fr_below" localSheetId="3">MC_Tree_1!$E$94</definedName>
    <definedName name="MC_BP_C_synergy_friendly_C_mkt_fr_exceed" localSheetId="3">MC_Tree_1!$E$76</definedName>
    <definedName name="MC_BP_C_synergy_friendly_C_mkt_fr_meet" localSheetId="3">MC_Tree_1!$E$86</definedName>
    <definedName name="MC_BP_C_synergy_friendly_cond_T_fr_cond_below" localSheetId="3">MC_Tree_1!$E$106</definedName>
    <definedName name="MC_BP_C_synergy_friendly_cond_T_fr_cond_meet" localSheetId="3">MC_Tree_1!$E$102</definedName>
    <definedName name="MC_BV_C_integ_hostile_neg_T_hostile_neg_fail" localSheetId="3">MC_Tree_1!$F$45</definedName>
    <definedName name="MC_BV_C_integ_hostile_neg_T_hostile_neg_full" localSheetId="3">MC_Tree_1!$F$39</definedName>
    <definedName name="MC_BV_C_integ_hostile_neg_T_hostile_neg_part" localSheetId="3">MC_Tree_1!$F$43</definedName>
    <definedName name="MC_BV_C_integ_hostile_neut_T_hostile_neut_fail" localSheetId="3">MC_Tree_1!$F$37</definedName>
    <definedName name="MC_BV_C_integ_hostile_neut_T_hostile_neut_full" localSheetId="3">MC_Tree_1!$F$31</definedName>
    <definedName name="MC_BV_C_integ_hostile_neut_T_hostile_neut_part" localSheetId="3">MC_Tree_1!$F$35</definedName>
    <definedName name="MC_BV_C_integ_hostile_pos_T_hostile_pos_fail" localSheetId="3">MC_Tree_1!$F$27</definedName>
    <definedName name="MC_BV_C_integ_hostile_pos_T_hostile_pos_full" localSheetId="3">MC_Tree_1!$F$21</definedName>
    <definedName name="MC_BV_C_integ_hostile_pos_T_hostile_pos_part" localSheetId="3">MC_Tree_1!$F$25</definedName>
    <definedName name="MC_BV_C_integ_rebid_T_rebid_fail" localSheetId="3">MC_Tree_1!$G$63</definedName>
    <definedName name="MC_BV_C_integ_rebid_T_rebid_full" localSheetId="3">MC_Tree_1!$G$57</definedName>
    <definedName name="MC_BV_C_integ_rebid_T_rebid_part" localSheetId="3">MC_Tree_1!$G$61</definedName>
    <definedName name="MC_BV_C_market_hostile_C_integ_hostile_neg" localSheetId="3">MC_Tree_1!$E$41</definedName>
    <definedName name="MC_BV_C_market_hostile_C_integ_hostile_neut" localSheetId="3">MC_Tree_1!$E$33</definedName>
    <definedName name="MC_BV_C_market_hostile_C_integ_hostile_pos" localSheetId="3">MC_Tree_1!$E$23</definedName>
    <definedName name="MC_BV_C_market_hostile_cond_T_hostile_cond_neg" localSheetId="3">MC_Tree_1!$E$55</definedName>
    <definedName name="MC_BV_C_market_hostile_cond_T_hostile_cond_neut" localSheetId="3">MC_Tree_1!$E$53</definedName>
    <definedName name="MC_BV_C_market_hostile_cond_T_hostile_cond_pos" localSheetId="3">MC_Tree_1!$E$49</definedName>
    <definedName name="MC_BV_C_minority_active_T_min_active_conflict" localSheetId="3">MC_Tree_1!$F$117</definedName>
    <definedName name="MC_BV_C_minority_active_T_min_active_mod" localSheetId="3">MC_Tree_1!$F$115</definedName>
    <definedName name="MC_BV_C_minority_active_T_min_active_success" localSheetId="3">MC_Tree_1!$F$111</definedName>
    <definedName name="MC_BV_C_minority_passive_T_min_passive_down" localSheetId="3">MC_Tree_1!$F$127</definedName>
    <definedName name="MC_BV_C_minority_passive_T_min_passive_flat" localSheetId="3">MC_Tree_1!$F$125</definedName>
    <definedName name="MC_BV_C_minority_passive_T_min_passive_up" localSheetId="3">MC_Tree_1!$F$121</definedName>
    <definedName name="MC_BV_C_mkt_fr_below_T_fr_below_bear" localSheetId="3">MC_Tree_1!$F$99</definedName>
    <definedName name="MC_BV_C_mkt_fr_below_T_fr_below_bull" localSheetId="3">MC_Tree_1!$F$93</definedName>
    <definedName name="MC_BV_C_mkt_fr_below_T_fr_below_flat" localSheetId="3">MC_Tree_1!$F$97</definedName>
    <definedName name="MC_BV_C_mkt_fr_exceed_T_fr_exceed_bear" localSheetId="3">MC_Tree_1!$F$81</definedName>
    <definedName name="MC_BV_C_mkt_fr_exceed_T_fr_exceed_bull" localSheetId="3">MC_Tree_1!$F$75</definedName>
    <definedName name="MC_BV_C_mkt_fr_exceed_T_fr_exceed_flat" localSheetId="3">MC_Tree_1!$F$79</definedName>
    <definedName name="MC_BV_C_mkt_fr_meet_T_fr_meet_bear" localSheetId="3">MC_Tree_1!$F$91</definedName>
    <definedName name="MC_BV_C_mkt_fr_meet_T_fr_meet_bull" localSheetId="3">MC_Tree_1!$F$85</definedName>
    <definedName name="MC_BV_C_mkt_fr_meet_T_fr_meet_flat" localSheetId="3">MC_Tree_1!$F$89</definedName>
    <definedName name="MC_BV_C_rebid_C_integ_rebid" localSheetId="3">MC_Tree_1!$F$59</definedName>
    <definedName name="MC_BV_C_rebid_T_rebid_rejected" localSheetId="3">MC_Tree_1!$F$67</definedName>
    <definedName name="MC_BV_C_reg_friendly_C_synergy_friendly" localSheetId="3">MC_Tree_1!$D$83</definedName>
    <definedName name="MC_BV_C_reg_friendly_C_synergy_friendly_cond" localSheetId="3">MC_Tree_1!$D$105</definedName>
    <definedName name="MC_BV_C_reg_friendly_T_friendly_blocked" localSheetId="3">MC_Tree_1!$D$109</definedName>
    <definedName name="MC_BV_C_reg_hostile_C_market_hostile" localSheetId="3">MC_Tree_1!$D$29</definedName>
    <definedName name="MC_BV_C_reg_hostile_C_market_hostile_cond" localSheetId="3">MC_Tree_1!$D$51</definedName>
    <definedName name="MC_BV_C_reg_hostile_D_hostile_blocked" localSheetId="3">MC_Tree_1!$D$69</definedName>
    <definedName name="MC_BV_C_reg_minority_D_minority_strategy" localSheetId="3">MC_Tree_1!$D$119</definedName>
    <definedName name="MC_BV_C_reg_minority_T_minority_blocked" localSheetId="3">MC_Tree_1!$D$131</definedName>
    <definedName name="MC_BV_C_synergy_friendly_C_mkt_fr_below" localSheetId="3">MC_Tree_1!$E$95</definedName>
    <definedName name="MC_BV_C_synergy_friendly_C_mkt_fr_exceed" localSheetId="3">MC_Tree_1!$E$77</definedName>
    <definedName name="MC_BV_C_synergy_friendly_C_mkt_fr_meet" localSheetId="3">MC_Tree_1!$E$87</definedName>
    <definedName name="MC_BV_C_synergy_friendly_cond_T_fr_cond_below" localSheetId="3">MC_Tree_1!$E$107</definedName>
    <definedName name="MC_BV_C_synergy_friendly_cond_T_fr_cond_meet" localSheetId="3">MC_Tree_1!$E$103</definedName>
    <definedName name="MC_BV_D_hostile_blocked_C_rebid" localSheetId="3">MC_Tree_1!$E$65</definedName>
    <definedName name="MC_BV_D_hostile_blocked_T_hostile_walkaway" localSheetId="3">MC_Tree_1!$E$71</definedName>
    <definedName name="MC_BV_D_minority_strategy_C_minority_active" localSheetId="3">MC_Tree_1!$E$113</definedName>
    <definedName name="MC_BV_D_minority_strategy_C_minority_passive" localSheetId="3">MC_Tree_1!$E$123</definedName>
    <definedName name="MC_BV_D_root_C_reg_friendly" localSheetId="3">MC_Tree_1!$C$101</definedName>
    <definedName name="MC_BV_D_root_C_reg_hostile" localSheetId="3">MC_Tree_1!$C$47</definedName>
    <definedName name="MC_BV_D_root_C_reg_minority" localSheetId="3">MC_Tree_1!$C$129</definedName>
    <definedName name="MC_BV_D_root_T_no_deal" localSheetId="3">MC_Tree_1!$C$133</definedName>
    <definedName name="MC_N_C_integ_hostile_neg" localSheetId="3">MC_Tree_1!$F$40</definedName>
    <definedName name="MC_N_C_integ_hostile_neut" localSheetId="3">MC_Tree_1!$F$32</definedName>
    <definedName name="MC_N_C_integ_hostile_pos" localSheetId="3">MC_Tree_1!$F$22</definedName>
    <definedName name="MC_N_C_integ_rebid" localSheetId="3">MC_Tree_1!$G$58</definedName>
    <definedName name="MC_N_C_market_hostile" localSheetId="3">MC_Tree_1!$E$28</definedName>
    <definedName name="MC_N_C_market_hostile_cond" localSheetId="3">MC_Tree_1!$E$50</definedName>
    <definedName name="MC_N_C_minority_active" localSheetId="3">MC_Tree_1!$F$112</definedName>
    <definedName name="MC_N_C_minority_passive" localSheetId="3">MC_Tree_1!$F$122</definedName>
    <definedName name="MC_N_C_mkt_fr_below" localSheetId="3">MC_Tree_1!$F$94</definedName>
    <definedName name="MC_N_C_mkt_fr_exceed" localSheetId="3">MC_Tree_1!$F$76</definedName>
    <definedName name="MC_N_C_mkt_fr_meet" localSheetId="3">MC_Tree_1!$F$86</definedName>
    <definedName name="MC_N_C_rebid" localSheetId="3">MC_Tree_1!$F$64</definedName>
    <definedName name="MC_N_C_reg_friendly" localSheetId="3">MC_Tree_1!$D$100</definedName>
    <definedName name="MC_N_C_reg_hostile" localSheetId="3">MC_Tree_1!$D$46</definedName>
    <definedName name="MC_N_C_reg_minority" localSheetId="3">MC_Tree_1!$D$128</definedName>
    <definedName name="MC_N_C_synergy_friendly" localSheetId="3">MC_Tree_1!$E$82</definedName>
    <definedName name="MC_N_C_synergy_friendly_cond" localSheetId="3">MC_Tree_1!$E$104</definedName>
    <definedName name="MC_N_D_hostile_blocked" localSheetId="3">MC_Tree_1!$E$68</definedName>
    <definedName name="MC_N_D_minority_strategy" localSheetId="3">MC_Tree_1!$E$118</definedName>
    <definedName name="MC_N_D_root" localSheetId="3">MC_Tree_1!$C$72</definedName>
    <definedName name="MC_NP_T_fr_below_bear" localSheetId="3">MC_Tree_1!$G$98</definedName>
    <definedName name="MC_NP_T_fr_below_bull" localSheetId="3">MC_Tree_1!$G$92</definedName>
    <definedName name="MC_NP_T_fr_below_flat" localSheetId="3">MC_Tree_1!$G$96</definedName>
    <definedName name="MC_NP_T_fr_cond_below" localSheetId="3">MC_Tree_1!$F$106</definedName>
    <definedName name="MC_NP_T_fr_cond_meet" localSheetId="3">MC_Tree_1!$F$102</definedName>
    <definedName name="MC_NP_T_fr_exceed_bear" localSheetId="3">MC_Tree_1!$G$80</definedName>
    <definedName name="MC_NP_T_fr_exceed_bull" localSheetId="3">MC_Tree_1!$G$74</definedName>
    <definedName name="MC_NP_T_fr_exceed_flat" localSheetId="3">MC_Tree_1!$G$78</definedName>
    <definedName name="MC_NP_T_fr_meet_bear" localSheetId="3">MC_Tree_1!$G$90</definedName>
    <definedName name="MC_NP_T_fr_meet_bull" localSheetId="3">MC_Tree_1!$G$84</definedName>
    <definedName name="MC_NP_T_fr_meet_flat" localSheetId="3">MC_Tree_1!$G$88</definedName>
    <definedName name="MC_NP_T_friendly_blocked" localSheetId="3">MC_Tree_1!$E$108</definedName>
    <definedName name="MC_NP_T_hostile_cond_neg" localSheetId="3">MC_Tree_1!$F$54</definedName>
    <definedName name="MC_NP_T_hostile_cond_neut" localSheetId="3">MC_Tree_1!$F$52</definedName>
    <definedName name="MC_NP_T_hostile_cond_pos" localSheetId="3">MC_Tree_1!$F$48</definedName>
    <definedName name="MC_NP_T_hostile_neg_fail" localSheetId="3">MC_Tree_1!$G$44</definedName>
    <definedName name="MC_NP_T_hostile_neg_full" localSheetId="3">MC_Tree_1!$G$38</definedName>
    <definedName name="MC_NP_T_hostile_neg_part" localSheetId="3">MC_Tree_1!$G$42</definedName>
    <definedName name="MC_NP_T_hostile_neut_fail" localSheetId="3">MC_Tree_1!$G$36</definedName>
    <definedName name="MC_NP_T_hostile_neut_full" localSheetId="3">MC_Tree_1!$G$30</definedName>
    <definedName name="MC_NP_T_hostile_neut_part" localSheetId="3">MC_Tree_1!$G$34</definedName>
    <definedName name="MC_NP_T_hostile_pos_fail" localSheetId="3">MC_Tree_1!$G$26</definedName>
    <definedName name="MC_NP_T_hostile_pos_full" localSheetId="3">MC_Tree_1!$G$20</definedName>
    <definedName name="MC_NP_T_hostile_pos_part" localSheetId="3">MC_Tree_1!$G$24</definedName>
    <definedName name="MC_NP_T_hostile_walkaway" localSheetId="3">MC_Tree_1!$F$70</definedName>
    <definedName name="MC_NP_T_min_active_conflict" localSheetId="3">MC_Tree_1!$G$116</definedName>
    <definedName name="MC_NP_T_min_active_mod" localSheetId="3">MC_Tree_1!$G$114</definedName>
    <definedName name="MC_NP_T_min_active_success" localSheetId="3">MC_Tree_1!$G$110</definedName>
    <definedName name="MC_NP_T_min_passive_down" localSheetId="3">MC_Tree_1!$G$126</definedName>
    <definedName name="MC_NP_T_min_passive_flat" localSheetId="3">MC_Tree_1!$G$124</definedName>
    <definedName name="MC_NP_T_min_passive_up" localSheetId="3">MC_Tree_1!$G$120</definedName>
    <definedName name="MC_NP_T_minority_blocked" localSheetId="3">MC_Tree_1!$E$130</definedName>
    <definedName name="MC_NP_T_no_deal" localSheetId="3">MC_Tree_1!$D$132</definedName>
    <definedName name="MC_NP_T_rebid_fail" localSheetId="3">MC_Tree_1!$H$62</definedName>
    <definedName name="MC_NP_T_rebid_full" localSheetId="3">MC_Tree_1!$H$56</definedName>
    <definedName name="MC_NP_T_rebid_part" localSheetId="3">MC_Tree_1!$H$60</definedName>
    <definedName name="MC_NP_T_rebid_rejected" localSheetId="3">MC_Tree_1!$G$66</definedName>
    <definedName name="MC_V_C_integ_hostile_neg" localSheetId="3">MC_Tree_1!$F$41</definedName>
    <definedName name="MC_V_C_integ_hostile_neut" localSheetId="3">MC_Tree_1!$F$33</definedName>
    <definedName name="MC_V_C_integ_hostile_pos" localSheetId="3">MC_Tree_1!$F$23</definedName>
    <definedName name="MC_V_C_integ_rebid" localSheetId="3">MC_Tree_1!$G$59</definedName>
    <definedName name="MC_V_C_market_hostile" localSheetId="3">MC_Tree_1!$E$29</definedName>
    <definedName name="MC_V_C_market_hostile_cond" localSheetId="3">MC_Tree_1!$E$51</definedName>
    <definedName name="MC_V_C_minority_active" localSheetId="3">MC_Tree_1!$F$113</definedName>
    <definedName name="MC_V_C_minority_passive" localSheetId="3">MC_Tree_1!$F$123</definedName>
    <definedName name="MC_V_C_mkt_fr_below" localSheetId="3">MC_Tree_1!$F$95</definedName>
    <definedName name="MC_V_C_mkt_fr_exceed" localSheetId="3">MC_Tree_1!$F$77</definedName>
    <definedName name="MC_V_C_mkt_fr_meet" localSheetId="3">MC_Tree_1!$F$87</definedName>
    <definedName name="MC_V_C_rebid" localSheetId="3">MC_Tree_1!$F$65</definedName>
    <definedName name="MC_V_C_reg_friendly" localSheetId="3">MC_Tree_1!$D$101</definedName>
    <definedName name="MC_V_C_reg_hostile" localSheetId="3">MC_Tree_1!$D$47</definedName>
    <definedName name="MC_V_C_reg_minority" localSheetId="3">MC_Tree_1!$D$129</definedName>
    <definedName name="MC_V_C_synergy_friendly" localSheetId="3">MC_Tree_1!$E$83</definedName>
    <definedName name="MC_V_C_synergy_friendly_cond" localSheetId="3">MC_Tree_1!$E$105</definedName>
    <definedName name="MC_V_D_hostile_blocked" localSheetId="3">MC_Tree_1!$E$69</definedName>
    <definedName name="MC_V_D_minority_strategy" localSheetId="3">MC_Tree_1!$E$119</definedName>
    <definedName name="MC_V_D_root" localSheetId="3">MC_Tree_1!$C$73</definedName>
    <definedName name="MC_V_T_fr_below_bear" localSheetId="3">MC_Tree_1!$G$99</definedName>
    <definedName name="MC_V_T_fr_below_bull" localSheetId="3">MC_Tree_1!$G$93</definedName>
    <definedName name="MC_V_T_fr_below_flat" localSheetId="3">MC_Tree_1!$G$97</definedName>
    <definedName name="MC_V_T_fr_cond_below" localSheetId="3">MC_Tree_1!$F$107</definedName>
    <definedName name="MC_V_T_fr_cond_meet" localSheetId="3">MC_Tree_1!$F$103</definedName>
    <definedName name="MC_V_T_fr_exceed_bear" localSheetId="3">MC_Tree_1!$G$81</definedName>
    <definedName name="MC_V_T_fr_exceed_bull" localSheetId="3">MC_Tree_1!$G$75</definedName>
    <definedName name="MC_V_T_fr_exceed_flat" localSheetId="3">MC_Tree_1!$G$79</definedName>
    <definedName name="MC_V_T_fr_meet_bear" localSheetId="3">MC_Tree_1!$G$91</definedName>
    <definedName name="MC_V_T_fr_meet_bull" localSheetId="3">MC_Tree_1!$G$85</definedName>
    <definedName name="MC_V_T_fr_meet_flat" localSheetId="3">MC_Tree_1!$G$89</definedName>
    <definedName name="MC_V_T_friendly_blocked" localSheetId="3">MC_Tree_1!$E$109</definedName>
    <definedName name="MC_V_T_hostile_cond_neg" localSheetId="3">MC_Tree_1!$F$55</definedName>
    <definedName name="MC_V_T_hostile_cond_neut" localSheetId="3">MC_Tree_1!$F$53</definedName>
    <definedName name="MC_V_T_hostile_cond_pos" localSheetId="3">MC_Tree_1!$F$49</definedName>
    <definedName name="MC_V_T_hostile_neg_fail" localSheetId="3">MC_Tree_1!$G$45</definedName>
    <definedName name="MC_V_T_hostile_neg_full" localSheetId="3">MC_Tree_1!$G$39</definedName>
    <definedName name="MC_V_T_hostile_neg_part" localSheetId="3">MC_Tree_1!$G$43</definedName>
    <definedName name="MC_V_T_hostile_neut_fail" localSheetId="3">MC_Tree_1!$G$37</definedName>
    <definedName name="MC_V_T_hostile_neut_full" localSheetId="3">MC_Tree_1!$G$31</definedName>
    <definedName name="MC_V_T_hostile_neut_part" localSheetId="3">MC_Tree_1!$G$35</definedName>
    <definedName name="MC_V_T_hostile_pos_fail" localSheetId="3">MC_Tree_1!$G$27</definedName>
    <definedName name="MC_V_T_hostile_pos_full" localSheetId="3">MC_Tree_1!$G$21</definedName>
    <definedName name="MC_V_T_hostile_pos_part" localSheetId="3">MC_Tree_1!$G$25</definedName>
    <definedName name="MC_V_T_hostile_walkaway" localSheetId="3">MC_Tree_1!$F$71</definedName>
    <definedName name="MC_V_T_min_active_conflict" localSheetId="3">MC_Tree_1!$G$117</definedName>
    <definedName name="MC_V_T_min_active_mod" localSheetId="3">MC_Tree_1!$G$115</definedName>
    <definedName name="MC_V_T_min_active_success" localSheetId="3">MC_Tree_1!$G$111</definedName>
    <definedName name="MC_V_T_min_passive_down" localSheetId="3">MC_Tree_1!$G$127</definedName>
    <definedName name="MC_V_T_min_passive_flat" localSheetId="3">MC_Tree_1!$G$125</definedName>
    <definedName name="MC_V_T_min_passive_up" localSheetId="3">MC_Tree_1!$G$121</definedName>
    <definedName name="MC_V_T_minority_blocked" localSheetId="3">MC_Tree_1!$E$131</definedName>
    <definedName name="MC_V_T_no_deal" localSheetId="3">MC_Tree_1!$D$133</definedName>
    <definedName name="MC_V_T_rebid_fail" localSheetId="3">MC_Tree_1!$H$63</definedName>
    <definedName name="MC_V_T_rebid_full" localSheetId="3">MC_Tree_1!$H$57</definedName>
    <definedName name="MC_V_T_rebid_part" localSheetId="3">MC_Tree_1!$H$61</definedName>
    <definedName name="MC_V_T_rebid_rejected" localSheetId="3">MC_Tree_1!$G$67</definedName>
    <definedName name="MinorityStake30600mCost">MC_Tree_1!$C$8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9" i="3" l="1"/>
  <c r="C47" i="3"/>
  <c r="C101" i="3"/>
  <c r="E65" i="3"/>
  <c r="CS1" i="4" s="1"/>
  <c r="CZ1" i="4"/>
  <c r="CY1" i="4"/>
  <c r="CX1" i="4"/>
  <c r="CW1" i="4"/>
  <c r="CV1" i="4"/>
  <c r="CU1" i="4"/>
  <c r="CT1" i="4"/>
  <c r="CR1" i="4"/>
  <c r="CQ1" i="4"/>
  <c r="CP1" i="4"/>
  <c r="CO1" i="4"/>
  <c r="CN1" i="4"/>
  <c r="CM1" i="4"/>
  <c r="CL1" i="4"/>
  <c r="CK1" i="4"/>
  <c r="CJ1" i="4"/>
  <c r="CI1" i="4"/>
  <c r="CH1" i="4"/>
  <c r="CG1" i="4"/>
  <c r="CF1" i="4"/>
  <c r="CE1" i="4"/>
  <c r="CD1" i="4"/>
  <c r="CC1" i="4"/>
  <c r="CB1" i="4"/>
  <c r="CA1" i="4"/>
  <c r="BZ1" i="4"/>
  <c r="BY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29" i="3"/>
  <c r="E119" i="3"/>
  <c r="E109" i="3"/>
  <c r="G99" i="3"/>
  <c r="G90" i="3"/>
  <c r="G80" i="3"/>
  <c r="F70" i="3"/>
  <c r="H60" i="3"/>
  <c r="E51" i="3"/>
  <c r="F41" i="3"/>
  <c r="G31" i="3"/>
  <c r="G21" i="3"/>
  <c r="C100" i="3"/>
  <c r="E122" i="3"/>
  <c r="G125" i="3"/>
  <c r="F87" i="3"/>
  <c r="G66" i="3"/>
  <c r="G37" i="3"/>
  <c r="E112" i="3"/>
  <c r="D133" i="3"/>
  <c r="G114" i="3"/>
  <c r="E105" i="3"/>
  <c r="G85" i="3"/>
  <c r="F65" i="3"/>
  <c r="G45" i="3"/>
  <c r="G26" i="3"/>
  <c r="E70" i="3"/>
  <c r="F123" i="3"/>
  <c r="F103" i="3"/>
  <c r="G84" i="3"/>
  <c r="H63" i="3"/>
  <c r="G44" i="3"/>
  <c r="G25" i="3"/>
  <c r="E131" i="3"/>
  <c r="G111" i="3"/>
  <c r="F102" i="3"/>
  <c r="G92" i="3"/>
  <c r="C73" i="3"/>
  <c r="F53" i="3"/>
  <c r="G34" i="3"/>
  <c r="C132" i="3"/>
  <c r="E130" i="3"/>
  <c r="G110" i="3"/>
  <c r="D101" i="3"/>
  <c r="G81" i="3"/>
  <c r="H61" i="3"/>
  <c r="G42" i="3"/>
  <c r="F23" i="3"/>
  <c r="G127" i="3"/>
  <c r="G117" i="3"/>
  <c r="E108" i="3"/>
  <c r="G98" i="3"/>
  <c r="G89" i="3"/>
  <c r="G79" i="3"/>
  <c r="E69" i="3"/>
  <c r="G59" i="3"/>
  <c r="F49" i="3"/>
  <c r="G39" i="3"/>
  <c r="G30" i="3"/>
  <c r="G20" i="3"/>
  <c r="C46" i="3"/>
  <c r="G126" i="3"/>
  <c r="G116" i="3"/>
  <c r="F107" i="3"/>
  <c r="G97" i="3"/>
  <c r="G88" i="3"/>
  <c r="G78" i="3"/>
  <c r="G67" i="3"/>
  <c r="H57" i="3"/>
  <c r="F48" i="3"/>
  <c r="G38" i="3"/>
  <c r="E29" i="3"/>
  <c r="G115" i="3"/>
  <c r="F106" i="3"/>
  <c r="G96" i="3"/>
  <c r="F77" i="3"/>
  <c r="H56" i="3"/>
  <c r="D47" i="3"/>
  <c r="G27" i="3"/>
  <c r="G124" i="3"/>
  <c r="F95" i="3"/>
  <c r="G75" i="3"/>
  <c r="F55" i="3"/>
  <c r="G36" i="3"/>
  <c r="D132" i="3"/>
  <c r="F113" i="3"/>
  <c r="G93" i="3"/>
  <c r="G74" i="3"/>
  <c r="F54" i="3"/>
  <c r="G35" i="3"/>
  <c r="E64" i="3"/>
  <c r="G121" i="3"/>
  <c r="E83" i="3"/>
  <c r="H62" i="3"/>
  <c r="G43" i="3"/>
  <c r="G24" i="3"/>
  <c r="G120" i="3"/>
  <c r="G91" i="3"/>
  <c r="F71" i="3"/>
  <c r="F52" i="3"/>
  <c r="F33" i="3"/>
  <c r="C128" i="3"/>
</calcChain>
</file>

<file path=xl/sharedStrings.xml><?xml version="1.0" encoding="utf-8"?>
<sst xmlns="http://schemas.openxmlformats.org/spreadsheetml/2006/main" count="97" uniqueCount="91">
  <si>
    <t>{"_v":2,"trees":{"MC_Tree_1":"{\r\n  \"RootId\": \"D_root\",\r\n  \"Nodes\": {\r\n    \"D_root\": {\r\n      \"type\": \"decision\",\r\n      \"id\": \"D_root\",\r\n      \"name\": \"M\u0026A Strategy\",\r\n      \"options\": [\r\n        {\r\n          \"name\": \"Hostile Takeover ($2B Premium)\",\r\n          \"childId\": \"C_reg_hostile\",\r\n          \"value\": -2000000000\r\n        },\r\n        {\r\n          \"name\": \"Friendly Merger ($1.5B)\",\r\n          \"childId\": \"C_reg_friendly\",\r\n          \"value\": -1500000000\r\n        },\r\n        {\r\n          \"name\": \"Minority Stake 30% ($600M)\",\r\n          \"childId\": \"C_reg_minority\",\r\n          \"value\": -600000000\r\n        },\r\n        {\r\n          \"name\": \"Don\u0027t Acquire\",\r\n          \"childId\": \"T_no_deal\"\r\n        }\r\n      ]\r\n    },\r\n    \"C_reg_hostile\": {\r\n      \"type\": \"chance\",\r\n      \"id\": \"C_reg_hostile\",\r\n      \"name\": \"Regulatory Approval (Hostile)\",\r\n      \"branches\": [\r\n        {\r\n          \"name\": \"Approved\",\r\n          \"probability\": 0.45,\r\n          \"childId\": \"C_market_hostile\"\r\n        },\r\n        {\r\n          \"name\": \"Conditional Approval\",\r\n          \"probability\": 0.25,\r\n          \"childId\": \"C_market_hostile_cond\",\r\n          \"value\": -200000000\r\n        },\r\n        {\r\n          \"name\": \"Blocked\",\r\n          \"probability\": 0.3,\r\n          \"childId\": \"D_hostile_blocked\"\r\n        }\r\n      ]\r\n    },\r\n    \"C_market_hostile\": {\r\n      \"type\": \"chance\",\r\n      \"id\": \"C_market_hostile\",\r\n      \"name\": \"Market Reaction (Hostile)\",\r\n      \"branches\": [\r\n        {\r\n          \"name\": \"Positive Reaction\",\r\n          \"probability\": 0.3,\r\n          \"childId\": \"C_integ_hostile_pos\"\r\n        },\r\n        {\r\n          \"name\": \"Neutral\",\r\n          \"probability\": 0.4,\r\n          \"childId\": \"C_integ_hostile_neut\"\r\n        },\r\n        {\r\n          \"name\": \"Negative Reaction\",\r\n          \"probability\": 0.3,\r\n          \"childId\": \"C_integ_hostile_neg\"\r\n        }\r\n      ]\r\n    },\r\n    \"C_integ_hostile_pos\": {\r\n      \"type\": \"chance\",\r\n      \"id\": \"C_integ_hostile_pos\",\r\n      \"name\": \"Integration (Positive Mkt)\",\r\n      \"branches\": [\r\n        {\r\n          \"name\": \"Full Synergy Realized\",\r\n          \"probability\": 0.35,\r\n          \"childId\": \"T_hostile_pos_full\",\r\n          \"value\": 5000000000\r\n        },\r\n        {\r\n          \"name\": \"Partial Synergy\",\r\n          \"probability\": 0.45,\r\n          \"childId\": \"T_hostile_pos_part\",\r\n          \"value\": 3500000000\r\n        },\r\n        {\r\n          \"name\": \"Integration Fails\",\r\n          \"probability\": 0.2,\r\n          \"childId\": \"T_hostile_pos_fail\",\r\n          \"value\": 1200000000\r\n        }\r\n      ]\r\n    },\r\n    \"T_hostile_pos_full\": {\r\n      \"type\": \"terminal\",\r\n      \"id\": \"T_hostile_pos_full\",\r\n      \"name\": \"Hostile+Pos Mkt+Full Synergy\",\r\n      \"value\": 0\r\n    },\r\n    \"T_hostile_pos_part\": {\r\n      \"type\": \"terminal\",\r\n      \"id\": \"T_hostile_pos_part\",\r\n      \"name\": \"Hostile+Pos Mkt+Partial Synergy\",\r\n      \"value\": 0\r\n    },\r\n    \"T_hostile_pos_fail\": {\r\n      \"type\": \"terminal\",\r\n      \"id\": \"T_hostile_pos_fail\",\r\n      \"name\": \"Hostile+Pos Mkt+Integ Fail\",\r\n      \"value\": 0\r\n    },\r\n    \"C_integ_hostile_neut\": {\r\n      \"type\": \"chance\",\r\n      \"id\": \"C_integ_hostile_neut\",\r\n      \"name\": \"Integration (Neutral Mkt)\",\r\n      \"branches\": [\r\n        {\r\n          \"name\": \"Full Synergy Realized\",\r\n          \"probability\": 0.3,\r\n          \"childId\": \"T_hostile_neut_full\",\r\n          \"value\": 4200000000\r\n        },\r\n        {\r\n          \"name\": \"Partial Synergy\",\r\n          \"probability\": 0.45,\r\n          \"childId\": \"T_hostile_neut_part\",\r\n          \"value\": 2800000000\r\n        },\r\n        {\r\n          \"name\": \"Integration Fails\",\r\n          \"probability\": 0.25,\r\n          \"childId\": \"T_hostile_neut_fail\",\r\n          \"value\": 800000000\r\n        }\r\n      ]\r\n    },\r\n    \"T_hostile_neut_full\": {\r\n      \"type\": \"terminal\",\r\n      \"id\": \"T_hostile_neut_full\",\r\n      \"name\": \"Hostile+Neutral+Full Synergy\",\r\n      \"value\": 0\r\n    },\r\n    \"T_hostile_neut_part\": {\r\n      \"type\": \"terminal\",\r\n      \"id\": \"T_hostile_neut_part\",\r\n      \"name\": \"Hostile+Neutral+Partial Synergy\",\r\n      \"value\": 0\r\n    },\r\n    \"T_hostile_neut_fail\": {\r\n      \"type\": \"terminal\",\r\n      \"id\": \"T_hostile_neut_fail\",\r\n      \"name\": \"Hostile+Neutral+Integ Fail\",\r\n      \"value\": 0\r\n    },\r\n    \"C_integ_hostile_neg\": {\r\n      \"type\": \"chance\",\r\n      \"id\": \"C_integ_hostile_neg\",\r\n      \"name\": \"Integration (Negative Mkt)\",\r\n      \"branches\": [\r\n        {\r\n          \"name\": \"Full Synergy Realized\",\r\n          \"probability\": 0.2,\r\n          \"childId\": \"T_hostile_neg_full\",\r\n          \"value\": 3200000000\r\n        },\r\n        {\r\n          \"name\": \"Partial Synergy\",\r\n          \"probability\": 0.4,\r\n          \"childId\": \"T_hostile_neg_part\",\r\n          \"value\": 1800000000\r\n        },\r\n        {\r\n          \"name\": \"Integration Fails\",\r\n          \"probability\": 0.4,\r\n          \"childId\": \"T_hostile_neg_fail\",\r\n          \"value\": 400000000\r\n        }\r\n      ]\r\n    },\r\n    \"T_hostile_neg_full\": {\r\n      \"type\": \"terminal\",\r\n      \"id\": \"T_hostile_neg_full\",\r\n      \"name\": \"Hostile+Neg Mkt+Full Synergy\",\r\n      \"value\": 0\r\n    },\r\n    \"T_hostile_neg_part\": {\r\n      \"type\": \"terminal\",\r\n      \"id\": \"T_hostile_neg_part\",\r\n      \"name\": \"Hostile+Neg Mkt+Partial Synergy\",\r\n      \"value\": 0\r\n    },\r\n    \"T_hostile_neg_fail\": {\r\n      \"type\": \"terminal\",\r\n      \"id\": \"T_hostile_neg_fail\",\r\n      \"name\": \"Hostile+Neg Mkt+Integ Fail\",\r\n      \"value\": 0\r\n    },\r\n    \"C_market_hostile_cond\": {\r\n      \"type\": \"chance\",\r\n      \"id\": \"C_market_hostile_cond\",\r\n      \"name\": \"Market Reaction (Conditional)\",\r\n      \"branches\": [\r\n        {\r\n          \"name\": \"Positive Reaction\",\r\n          \"probability\": 0.25,\r\n          \"childId\": \"T_hostile_cond_pos\",\r\n          \"value\": 3800000000\r\n        },\r\n        {\r\n          \"name\": \"Neutral\",\r\n          \"probability\": 0.45,\r\n          \"childId\": \"T_hostile_cond_neut\",\r\n          \"value\": 2600000000\r\n        },\r\n        {\r\n          \"name\": \"Negative Reaction\",\r\n          \"probability\": 0.3,\r\n          \"childId\": \"T_hostile_cond_neg\",\r\n          \"value\": 1400000000\r\n        }\r\n      ]\r\n    },\r\n    \"T_hostile_cond_pos\": {\r\n      \"type\": \"terminal\",\r\n      \"id\": \"T_hostile_cond_pos\",\r\n      \"name\": \"Hostile Cond+Positive Mkt\",\r\n      \"value\": 0\r\n    },\r\n    \"T_hostile_cond_neut\": {\r\n      \"type\": \"terminal\",\r\n      \"id\": \"T_hostile_cond_neut\",\r\n      \"name\": \"Hostile Cond+Neutral Mkt\",\r\n      \"value\": 0\r\n    },\r\n    \"T_hostile_cond_neg\": {\r\n      \"type\": \"terminal\",\r\n      \"id\": \"T_hostile_cond_neg\",\r\n      \"name\": \"Hostile Cond+Negative Mkt\",\r\n      \"value\": 0\r\n    },\r\n    \"D_hostile_blocked\": {\r\n      \"type\": \"decision\",\r\n      \"id\": \"D_hostile_blocked\",\r\n      \"name\": \"Hostile Bid Blocked\",\r\n      \"options\": [\r\n        {\r\n          \"name\": \"Increase Bid to $2.5B\",\r\n          \"childId\": \"C_rebid\",\r\n          \"value\": -500000000\r\n        },\r\n        {\r\n          \"name\": \"Walk Away\",\r\n          \"childId\": \"T_hostile_walkaway\"\r\n        }\r\n      ]\r\n    },\r\n    \"C_rebid\": {\r\n      \"type\": \"chance\",\r\n      \"id\": \"C_rebid\",\r\n      \"name\": \"Increased Bid Outcome\",\r\n      \"branches\": [\r\n        {\r\n          \"name\": \"Accepted + Approved\",\r\n          \"probability\": 0.4,\r\n          \"childId\": \"C_integ_rebid\"\r\n        },\r\n        {\r\n          \"name\": \"Still Rejected\",\r\n          \"probability\": 0.6,\r\n          \"childId\": \"T_rebid_rejected\"\r\n        }\r\n      ]\r\n    },\r\n    \"C_integ_rebid\": {\r\n      \"type\": \"chance\",\r\n      \"id\": \"C_integ_rebid\",\r\n      \"name\": \"Integration (After Rebid)\",\r\n      \"branches\": [\r\n        {\r\n          \"name\": \"Full Synergy\",\r\n          \"probability\": 0.25,\r\n          \"childId\": \"T_rebid_full\",\r\n          \"value\": 4500000000\r\n        },\r\n        {\r\n          \"name\": \"Partial Synergy\",\r\n          \"probability\": 0.45,\r\n          \"childId\": \"T_rebid_part\",\r\n          \"value\": 2800000000\r\n        },\r\n        {\r\n          \"name\": \"Integration Fails\",\r\n          \"probability\": 0.3,\r\n          \"childId\": \"T_rebid_fail\",\r\n          \"value\": 600000000\r\n        }\r\n      ]\r\n    },\r\n    \"T_rebid_full\": {\r\n      \"type\": \"terminal\",\r\n      \"id\": \"T_rebid_full\",\r\n      \"name\": \"Rebid+Full Synergy\",\r\n      \"value\": 0\r\n    },\r\n    \"T_rebid_part\": {\r\n      \"type\": \"terminal\",\r\n      \"id\": \"T_rebid_part\",\r\n      \"name\": \"Rebid+Partial Synergy\",\r\n      \"value\": 0\r\n    },\r\n    \"T_rebid_fail\": {\r\n      \"type\": \"terminal\",\r\n      \"id\": \"T_rebid_fail\",\r\n      \"name\": \"Rebid+Integration Fails\",\r\n      \"value\": 0\r\n    },\r\n    \"T_rebid_rejected\": {\r\n      \"type\": \"terminal\",\r\n      \"id\": \"T_rebid_rejected\",\r\n      \"name\": \"Rebid Rejected - Walk Away\",\r\n      \"value\": 0\r\n    },\r\n    \"T_hostile_walkaway\": {\r\n      \"type\": \"terminal\",\r\n      \"id\": \"T_hostile_walkaway\",\r\n      \"name\": \"Hostile Blocked - Walk Away\",\r\n      \"value\": 0\r\n    },\r\n    \"C_reg_friendly\": {\r\n      \"type\": \"chance\",\r\n      \"id\": \"C_reg_friendly\",\r\n      \"name\": \"Regulatory Approval (Friendly)\",\r\n      \"branches\": [\r\n        {\r\n          \"name\": \"Approved\",\r\n          \"probability\": 0.65,\r\n          \"childId\": \"C_synergy_friendly\"\r\n        },\r\n        {\r\n          \"name\": \"Conditional Approval\",\r\n          \"probability\": 0.25,\r\n          \"childId\": \"C_synergy_friendly_cond\",\r\n          \"value\": -100000000\r\n        },\r\n        {\r\n          \"name\": \"Blocked\",\r\n          \"probability\": 0.1,\r\n          \"childId\": \"T_friendly_blocked\"\r\n        }\r\n      ]\r\n    },\r\n    \"C_synergy_friendly\": {\r\n      \"type\": \"chance\",\r\n      \"id\": \"C_synergy_friendly\",\r\n      \"name\": \"Synergy Realization (Friendly)\",\r\n      \"branches\": [\r\n        {\r\n          \"name\": \"Exceeds Expectations\",\r\n          \"probability\": 0.25,\r\n          \"childId\": \"C_mkt_fr_exceed\"\r\n        },\r\n        {\r\n          \"name\": \"Meets Expectations\",\r\n          \"probability\": 0.45,\r\n          \"childId\": \"C_mkt_fr_meet\"\r\n        },\r\n        {\r\n          \"name\": \"Below Expectations\",\r\n          \"probability\": 0.3,\r\n          \"childId\": \"C_mkt_fr_below\"\r\n        }\r\n      ]\r\n    },\r\n    \"C_mkt_fr_exceed\": {\r\n      \"type\": \"chance\",\r\n      \"id\": \"C_mkt_fr_exceed\",\r\n      \"name\": \"Market Reaction (Exceeds)\",\r\n      \"branches\": [\r\n        {\r\n          \"name\": \"Bull Market\",\r\n          \"probability\": 0.35,\r\n          \"childId\": \"T_fr_exceed_bull\",\r\n          \"value\": 4800000000\r\n        },\r\n        {\r\n          \"name\": \"Flat Market\",\r\n          \"probability\": 0.4,\r\n          \"childId\": \"T_fr_exceed_flat\",\r\n          \"value\": 3800000000\r\n        },\r\n        {\r\n          \"name\": \"Bear Market\",\r\n          \"probability\": 0.25,\r\n          \"childId\": \"T_fr_exceed_bear\",\r\n          \"value\": 2800000000\r\n        }\r\n      ]\r\n    },\r\n    \"T_fr_exceed_bull\": {\r\n      \"type\": \"terminal\",\r\n      \"id\": \"T_fr_exceed_bull\",\r\n      \"name\": \"Friendly+Exceed+Bull\",\r\n      \"value\": 0\r\n    },\r\n    \"T_fr_exceed_flat\": {\r\n      \"type\": \"terminal\",\r\n      \"id\": \"T_fr_exceed_flat\",\r\n      \"name\": \"Friendly+Exceed+Flat\",\r\n      \"value\": 0\r\n    },\r\n    \"T_fr_exceed_bear\": {\r\n      \"type\": \"terminal\",\r\n      \"id\": \"T_fr_exceed_bear\",\r\n      \"name\": \"Friendly+Exceed+Bear\",\r\n      \"value\": 0\r\n    },\r\n    \"C_mkt_fr_meet\": {\r\n      \"type\": \"chance\",\r\n      \"id\": \"C_mkt_fr_meet\",\r\n      \"name\": \"Market Reaction (Meets)\",\r\n      \"branches\": [\r\n        {\r\n          \"name\": \"Bull Market\",\r\n          \"probability\": 0.35,\r\n          \"childId\": \"T_fr_meet_bull\",\r\n          \"value\": 3500000000\r\n        },\r\n        {\r\n          \"name\": \"Flat Market\",\r\n          \"probability\": 0.4,\r\n          \"childId\": \"T_fr_meet_flat\",\r\n          \"value\": 2700000000\r\n        },\r\n        {\r\n          \"name\": \"Bear Market\",\r\n          \"probability\": 0.25,\r\n          \"childId\": \"T_fr_meet_bear\",\r\n          \"value\": 1800000000\r\n        }\r\n      ]\r\n    },\r\n    \"T_fr_meet_bull\": {\r\n      \"type\": \"terminal\",\r\n      \"id\": \"T_fr_meet_bull\",\r\n      \"name\": \"Friendly+Meet+Bull\",\r\n      \"value\": 0\r\n    },\r\n    \"T_fr_meet_flat\": {\r\n      \"type\": \"terminal\",\r\n      \"id\": \"T_fr_meet_flat\",\r\n      \"name\": \"Friendly+Meet+Flat\",\r\n      \"value\": 0\r\n    },\r\n    \"T_fr_meet_bear\": {\r\n      \"type\": \"terminal\",\r\n      \"id\": \"T_fr_meet_bear\",\r\n      \"name\": \"Friendly+Meet+Bear\",\r\n      \"value\": 0\r\n    },\r\n    \"C_mkt_fr_below\": {\r\n      \"type\": \"chance\",\r\n      \"id\": \"C_mkt_fr_below\",\r\n      \"name\": \"Market Reaction (Below)\",\r\n      \"branches\": [\r\n        {\r\n          \"name\": \"Bull Market\",\r\n          \"probability\": 0.35,\r\n          \"childId\": \"T_fr_below_bull\",\r\n          \"value\": 2200000000\r\n        },\r\n        {\r\n          \"name\": \"Flat Market\",\r\n          \"probability\": 0.4,\r\n          \"childId\": \"T_fr_below_flat\",\r\n          \"value\": 1400000000\r\n        },\r\n        {\r\n          \"name\": \"Bear Market\",\r\n          \"probability\": 0.25,\r\n          \"childId\": \"T_fr_below_bear\",\r\n          \"value\": 600000000\r\n        }\r\n      ]\r\n    },\r\n    \"T_fr_below_bull\": {\r\n      \"type\": \"terminal\",\r\n      \"id\": \"T_fr_below_bull\",\r\n      \"name\": \"Friendly+Below+Bull\",\r\n      \"value\": 0\r\n    },\r\n    \"T_fr_below_flat\": {\r\n      \"type\": \"terminal\",\r\n      \"id\": \"T_fr_below_flat\",\r\n      \"name\": \"Friendly+Below+Flat\",\r\n      \"value\": 0\r\n    },\r\n    \"T_fr_below_bear\": {\r\n      \"type\": \"terminal\",\r\n      \"id\": \"T_fr_below_bear\",\r\n      \"name\": \"Friendly+Below+Bear\",\r\n      \"value\": 0\r\n    },\r\n    \"C_synergy_friendly_cond\": {\r\n      \"type\": \"chance\",\r\n      \"id\": \"C_synergy_friendly_cond\",\r\n      \"name\": \"Synergy (Conditional Approval)\",\r\n      \"branches\": [\r\n        {\r\n          \"name\": \"Meets Expectations\",\r\n          \"probability\": 0.4,\r\n          \"childId\": \"T_fr_cond_meet\",\r\n          \"value\": 2800000000\r\n        },\r\n        {\r\n          \"name\": \"Below Expectations\",\r\n          \"probability\": 0.6,\r\n          \"childId\": \"T_fr_cond_below\",\r\n          \"value\": 1200000000\r\n        }\r\n      ]\r\n    },\r\n    \"T_fr_cond_meet\": {\r\n      \"type\": \"terminal\",\r\n      \"id\": \"T_fr_cond_meet\",\r\n      \"name\": \"Friendly Cond+Meets Exp\",\r\n      \"value\": 0\r\n    },\r\n    \"T_fr_cond_below\": {\r\n      \"type\": \"terminal\",\r\n      \"id\": \"T_fr_cond_below\",\r\n      \"name\": \"Friendly Cond+Below Exp\",\r\n      \"value\": 0\r\n    },\r\n    \"T_friendly_blocked\": {\r\n      \"type\": \"terminal\",\r\n      \"id\": \"T_friendly_blocked\",\r\n      \"name\": \"Friendly Merger Blocked\",\r\n      \"value\": 0\r\n    },\r\n    \"C_reg_minority\": {\r\n      \"type\": \"chance\",\r\n      \"id\": \"C_reg_minority\",\r\n      \"name\": \"Regulatory Approval (Minority)\",\r\n      \"branches\": [\r\n        {\r\n          \"name\": \"Approved\",\r\n          \"probability\": 0.9,\r\n          \"childId\": \"D_minority_strategy\"\r\n        },\r\n        {\r\n          \"name\": \"Blocked\",\r\n          \"probability\": 0.1,\r\n          \"childId\": \"T_minority_blocked\"\r\n        }\r\n      ]\r\n    },\r\n    \"D_minority_strategy\": {\r\n      \"type\": \"decision\",\r\n      \"id\": \"D_minority_strategy\",\r\n      \"name\": \"Minority Stake Strategy\",\r\n      \"options\": [\r\n        {\r\n          \"name\": \"Active Board Involvement\",\r\n          \"childId\": \"C_minority_active\"\r\n        },\r\n        {\r\n          \"name\": \"Passive Financial Investment\",\r\n          \"childId\": \"C_minority_passive\"\r\n        }\r\n      ]\r\n    },\r\n    \"C_minority_active\": {\r\n      \"type\": \"chance\",\r\n      \"id\": \"C_minority_active\",\r\n      \"name\": \"Active Involvement Outcome\",\r\n      \"branches\": [\r\n        {\r\n          \"name\": \"Value Creation Success\",\r\n          \"probability\": 0.35,\r\n          \"childId\": \"T_min_active_success\",\r\n          \"value\": 1400000000\r\n        },\r\n        {\r\n          \"name\": \"Moderate Improvement\",\r\n          \"probability\": 0.4,\r\n          \"childId\": \"T_min_active_mod\",\r\n          \"value\": 900000000\r\n        },\r\n        {\r\n          \"name\": \"Board Conflicts\",\r\n          \"probability\": 0.25,\r\n          \"childId\": \"T_min_active_conflict\",\r\n          \"value\": 400000000\r\n        }\r\n      ]\r\n    },\r\n    \"T_min_active_success\": {\r\n      \"type\": \"terminal\",\r\n      \"id\": \"T_min_active_success\",\r\n      \"name\": \"Active Minority: Value Created\",\r\n      \"value\": 0\r\n    },\r\n    \"T_min_active_mod\": {\r\n      \"type\": \"terminal\",\r\n      \"id\": \"T_min_active_mod\",\r\n      \"name\": \"Active Minority: Moderate\",\r\n      \"value\": 0\r\n    },\r\n    \"T_min_active_conflict\": {\r\n      \"type\": \"terminal\",\r\n      \"id\": \"T_min_active_conflict\",\r\n      \"name\": \"Active Minority: Conflicts\",\r\n      \"value\": 0\r\n    },\r\n    \"C_minority_passive\": {\r\n      \"type\": \"chance\",\r\n      \"id\": \"C_minority_passive\",\r\n      \"name\": \"Passive Investment Outcome\",\r\n      \"branches\": [\r\n        {\r\n          \"name\": \"Target Appreciates\",\r\n          \"probability\": 0.4,\r\n          \"childId\": \"T_min_passive_up\",\r\n          \"value\": 1100000000\r\n        },\r\n        {\r\n          \"name\": \"Flat Performance\",\r\n          \"probability\": 0.35,\r\n          \"childId\": \"T_min_passive_flat\",\r\n          \"value\": 650000000\r\n        },\r\n        {\r\n          \"name\": \"Target Declines\",\r\n          \"probability\": 0.25,\r\n          \"childId\": \"T_min_passive_down\",\r\n          \"value\": 300000000\r\n        }\r\n      ]\r\n    },\r\n    \"T_min_passive_up\": {\r\n      \"type\": \"terminal\",\r\n      \"id\": \"T_min_passive_up\",\r\n      \"name\": \"Passive Minority: Appreciates\",\r\n      \"value\": 0\r\n    },\r\n    \"T_min_passive_flat\": {\r\n      \"type\": \"terminal\",\r\n      \"id\": \"T_min_passive_flat\",\r\n      \"name\": \"Passive Minority: Flat\",\r\n      \"value\": 0\r\n    },\r\n    \"T_min_passive_down\": {\r\n      \"type\": \"terminal\",\r\n      \"id\": \"T_min_passive_down\",\r\n      \"name\": \"Passive Minority: Declines\",\r\n      \"value\": 0\r\n    },\r\n    \"T_minority_blocked\": {\r\n      \"type\": \"terminal\",\r\n      \"id\": \"T_minority_blocked\",\r\n      \"name\": \"Minority Stake Blocked\",\r\n      \"value\": 0\r\n    },\r\n    \"T_no_deal\": {\r\n      \"type\": \"terminal\",\r\n      \"id\": \"T_no_deal\",\r\n      \"name\": \"No Acquisition\",\r\n      \"value\": 0\r\n    }\r\n  },\r\n  \"Settings\": {\r\n    \"ModelName\": \"M\u0026A Acquisition Decision\",\r\n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\"MC_BV_D_root_C_reg_hostile\": \"=-HostileTakeover2bPremiumCost\",\r\n      \"MC_BV_D_root_C_reg_friendly\": \"=-FriendlyMerger15bCost\",\r\n      \"MC_BV_D_root_C_reg_minority\": \"=-MinorityStake30600mCost\",\r\n      \"MC_BV_D_hostile_blocked_C_rebid\": \"=-IncreaseBidTo25bCost\"\r\n  }\r\n}"}}</t>
  </si>
  <si>
    <t>Integration (Positive Mkt)</t>
  </si>
  <si>
    <t>Market Reaction (Hostile)</t>
  </si>
  <si>
    <t>Integration (Neutral Mkt)</t>
  </si>
  <si>
    <t>Integration (Negative Mkt)</t>
  </si>
  <si>
    <t>Regulatory Approval (Hostile)</t>
  </si>
  <si>
    <t>Market Reaction (Conditional)</t>
  </si>
  <si>
    <t>Integration (After Rebid)</t>
  </si>
  <si>
    <t>Increased Bid Outcome</t>
  </si>
  <si>
    <t>Hostile Bid Blocked</t>
  </si>
  <si>
    <t>M&amp;A Strategy</t>
  </si>
  <si>
    <t>Market Reaction (Exceeds)</t>
  </si>
  <si>
    <t>Synergy Realization (Friendly)</t>
  </si>
  <si>
    <t>Market Reaction (Meets)</t>
  </si>
  <si>
    <t>Market Reaction (Below)</t>
  </si>
  <si>
    <t>Regulatory Approval (Friendly)</t>
  </si>
  <si>
    <t>Synergy (Conditional Approval)</t>
  </si>
  <si>
    <t>Active Involvement Outcome</t>
  </si>
  <si>
    <t>Minority Stake Strategy</t>
  </si>
  <si>
    <t>Passive Investment Outcome</t>
  </si>
  <si>
    <t>Regulatory Approval (Minority)</t>
  </si>
  <si>
    <t>M&amp;A Acquisition Decision — Control Panel</t>
  </si>
  <si>
    <t>Adjust parameters below to update the decision tree instantly</t>
  </si>
  <si>
    <t>Parameter</t>
  </si>
  <si>
    <t>Value</t>
  </si>
  <si>
    <t>Units</t>
  </si>
  <si>
    <t>Notes</t>
  </si>
  <si>
    <t>Hostile Takeover ($2B Premium)</t>
  </si>
  <si>
    <t>$</t>
  </si>
  <si>
    <t>Investment for Regulatory Approval (Hostile) path</t>
  </si>
  <si>
    <t>Friendly Merger ($1.5B)</t>
  </si>
  <si>
    <t>Investment for Regulatory Approval (Friendly) path</t>
  </si>
  <si>
    <t>Minority Stake 30% ($600M)</t>
  </si>
  <si>
    <t>Investment for Regulatory Approval (Minority) path</t>
  </si>
  <si>
    <t>Increase Bid to $2.5B</t>
  </si>
  <si>
    <t>Investment for Increased Bid Outcome path</t>
  </si>
  <si>
    <t>M&amp;A Acquisition Decision</t>
  </si>
  <si>
    <t>ModelChoice Example Model</t>
  </si>
  <si>
    <t>Background</t>
  </si>
  <si>
    <t>A large diversified corporation is evaluating the acquisition of a target</t>
  </si>
  <si>
    <t>company in an adjacent market segment. The target has strong market position</t>
  </si>
  <si>
    <t>but faces operational challenges. The acquirer must choose between several</t>
  </si>
  <si>
    <t>approaches, each with different risk/reward profiles and regulatory hurdles.</t>
  </si>
  <si>
    <t>Option 1: Hostile Takeover ($2B Premium Bid)</t>
  </si>
  <si>
    <t>Launch an unsolicited bid at a significant premium to market price. Higher</t>
  </si>
  <si>
    <t>cost but forces the issue. Risk of regulatory scrutiny, hostile management,</t>
  </si>
  <si>
    <t>and culture clash during integration. If blocked, decide whether to increase</t>
  </si>
  <si>
    <t>the bid to $2.5B or walk away.</t>
  </si>
  <si>
    <t>Option 2: Friendly Merger ($1.5B Negotiated)</t>
  </si>
  <si>
    <t>Negotiate a mutually agreed merger at a lower price. Better regulatory</t>
  </si>
  <si>
    <t>outlook (65% approval vs 45% for hostile) and smoother integration, but</t>
  </si>
  <si>
    <t>still uncertain synergy realization and market conditions.</t>
  </si>
  <si>
    <t>Option 3: Minority Stake 30% ($600M)</t>
  </si>
  <si>
    <t>Acquire a 30% minority stake as a strategic investment. Very high regulatory</t>
  </si>
  <si>
    <t>approval probability (90%). Choose between active board involvement or</t>
  </si>
  <si>
    <t>passive financial investment. Lower risk but limited upside.</t>
  </si>
  <si>
    <t>Option 4: Don't Acquire</t>
  </si>
  <si>
    <t>Pass on the opportunity. No cost, no risk, no upside.</t>
  </si>
  <si>
    <t>Decision Objective</t>
  </si>
  <si>
    <t>Maximize expected NPV of the combined entity. Key uncertainties include</t>
  </si>
  <si>
    <t>regulatory approval, integration success, synergy realization, and market</t>
  </si>
  <si>
    <t>reaction to the deal announcement.</t>
  </si>
  <si>
    <t>Key Assumptions</t>
  </si>
  <si>
    <t>Hostile Bid Premium</t>
  </si>
  <si>
    <t>Significant premium to force acceptance</t>
  </si>
  <si>
    <t>Friendly Merger Price</t>
  </si>
  <si>
    <t>Negotiated deal with board approval</t>
  </si>
  <si>
    <t>Minority Stake (30%)</t>
  </si>
  <si>
    <t>Strategic investment, no control premium</t>
  </si>
  <si>
    <t>Hostile Regulatory Approval</t>
  </si>
  <si>
    <t>Antitrust concerns with hostile approach</t>
  </si>
  <si>
    <t>Friendly Regulatory Approval</t>
  </si>
  <si>
    <t>Better optics for negotiated deal</t>
  </si>
  <si>
    <t>Minority Regulatory Approval</t>
  </si>
  <si>
    <t>No control change, minimal scrutiny</t>
  </si>
  <si>
    <t>Full Synergy NPV (Hostile)</t>
  </si>
  <si>
    <t>$5.0B</t>
  </si>
  <si>
    <t>Maximum combined entity value</t>
  </si>
  <si>
    <t>Integration Failure Risk</t>
  </si>
  <si>
    <t>20-40%</t>
  </si>
  <si>
    <t>Higher for hostile, lower for friendly</t>
  </si>
  <si>
    <t>Rebid Cost (If Blocked)</t>
  </si>
  <si>
    <t>$500M additional</t>
  </si>
  <si>
    <t>Increases bid from $2B to $2.5B</t>
  </si>
  <si>
    <t>Value Range</t>
  </si>
  <si>
    <t>$0 - $5B</t>
  </si>
  <si>
    <t>NPV of combined entity post-deal</t>
  </si>
  <si>
    <t>Suggested Analyses</t>
  </si>
  <si>
    <t>▶ Strategy Table - Compare hostile vs friendly vs minority approaches</t>
  </si>
  <si>
    <t>▶ Sensitivity Analysis - How do regulatory approval rates affect EV?</t>
  </si>
  <si>
    <t>▶ Risk Profile - Visualize downside risk of each acquisition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</si>
</sst>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72</xdr:row>
      <xdr:rowOff>0</xdr:rowOff>
    </xdr:from>
    <xdr:to>
      <xdr:col>2</xdr:col>
      <xdr:colOff>9525</xdr:colOff>
      <xdr:row>72</xdr:row>
      <xdr:rowOff>0</xdr:rowOff>
    </xdr:to>
    <xdr:cxnSp macro="">
      <xdr:nvCxnSpPr>
        <xdr:cNvPr id="188" name="MC_Entry">
          <a:extLst>
            <a:ext uri="{FF2B5EF4-FFF2-40B4-BE49-F238E27FC236}">
              <a16:creationId xmlns:a16="http://schemas.microsoft.com/office/drawing/2014/main" id="{3BB2EF22-FCB9-13E4-B297-EF8DFFC68D34}"/>
            </a:ext>
          </a:extLst>
        </xdr:cNvPr>
        <xdr:cNvCxnSpPr/>
      </xdr:nvCxnSpPr>
      <xdr:spPr>
        <a:xfrm>
          <a:off x="665163" y="13658850"/>
          <a:ext cx="186848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71</xdr:row>
      <xdr:rowOff>99250</xdr:rowOff>
    </xdr:from>
    <xdr:ext cx="1245790" cy="182550"/>
    <xdr:sp macro="_xll.MC_OnTreeNameClick" textlink="">
      <xdr:nvSpPr>
        <xdr:cNvPr id="189" name="MC_TreeName">
          <a:extLst>
            <a:ext uri="{FF2B5EF4-FFF2-40B4-BE49-F238E27FC236}">
              <a16:creationId xmlns:a16="http://schemas.microsoft.com/office/drawing/2014/main" id="{9B23E2A5-1AAD-C8DF-DF66-584E1909F013}"/>
            </a:ext>
          </a:extLst>
        </xdr:cNvPr>
        <xdr:cNvSpPr txBox="1"/>
      </xdr:nvSpPr>
      <xdr:spPr>
        <a:xfrm>
          <a:off x="665163" y="13567600"/>
          <a:ext cx="12457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M&amp;A Acquisition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84205</xdr:colOff>
      <xdr:row>45</xdr:row>
      <xdr:rowOff>184150</xdr:rowOff>
    </xdr:from>
    <xdr:to>
      <xdr:col>3</xdr:col>
      <xdr:colOff>47626</xdr:colOff>
      <xdr:row>72</xdr:row>
      <xdr:rowOff>215</xdr:rowOff>
    </xdr:to>
    <xdr:sp macro="" textlink="">
      <xdr:nvSpPr>
        <xdr:cNvPr id="190" name="MC_BR_D_root_C_reg_hostile">
          <a:extLst>
            <a:ext uri="{FF2B5EF4-FFF2-40B4-BE49-F238E27FC236}">
              <a16:creationId xmlns:a16="http://schemas.microsoft.com/office/drawing/2014/main" id="{57E95DF6-EBF5-BE9D-B0A3-36133B62170F}"/>
            </a:ext>
          </a:extLst>
        </xdr:cNvPr>
        <xdr:cNvSpPr/>
      </xdr:nvSpPr>
      <xdr:spPr>
        <a:xfrm>
          <a:off x="2608330" y="8699500"/>
          <a:ext cx="2844734" cy="4959565"/>
        </a:xfrm>
        <a:custGeom>
          <a:avLst/>
          <a:gdLst/>
          <a:ahLst/>
          <a:cxnLst/>
          <a:rect l="0" t="0" r="0" b="0"/>
          <a:pathLst>
            <a:path w="2844734" h="4959565">
              <a:moveTo>
                <a:pt x="0" y="4959136"/>
              </a:moveTo>
              <a:lnTo>
                <a:pt x="166624" y="6137"/>
              </a:lnTo>
              <a:lnTo>
                <a:pt x="172970" y="0"/>
              </a:lnTo>
              <a:lnTo>
                <a:pt x="2844733" y="0"/>
              </a:lnTo>
              <a:lnTo>
                <a:pt x="2844733" y="12700"/>
              </a:lnTo>
              <a:lnTo>
                <a:pt x="172970" y="12700"/>
              </a:lnTo>
              <a:lnTo>
                <a:pt x="179316" y="6563"/>
              </a:lnTo>
              <a:lnTo>
                <a:pt x="12692" y="495956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45</xdr:row>
      <xdr:rowOff>99251</xdr:rowOff>
    </xdr:from>
    <xdr:ext cx="1543564" cy="182550"/>
    <xdr:sp macro="_xll.MC_OnBranchLabelClick" textlink="">
      <xdr:nvSpPr>
        <xdr:cNvPr id="191" name="MC_BN_D_root_C_reg_hostile">
          <a:extLst>
            <a:ext uri="{FF2B5EF4-FFF2-40B4-BE49-F238E27FC236}">
              <a16:creationId xmlns:a16="http://schemas.microsoft.com/office/drawing/2014/main" id="{DA946F10-34D3-8BF2-F31E-98385D5AA0D0}"/>
            </a:ext>
          </a:extLst>
        </xdr:cNvPr>
        <xdr:cNvSpPr txBox="1"/>
      </xdr:nvSpPr>
      <xdr:spPr>
        <a:xfrm>
          <a:off x="2810510" y="8614601"/>
          <a:ext cx="15435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Hostile Takeover ($2B Premium)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74684</xdr:colOff>
      <xdr:row>71</xdr:row>
      <xdr:rowOff>190004</xdr:rowOff>
    </xdr:from>
    <xdr:to>
      <xdr:col>3</xdr:col>
      <xdr:colOff>47626</xdr:colOff>
      <xdr:row>100</xdr:row>
      <xdr:rowOff>15876</xdr:rowOff>
    </xdr:to>
    <xdr:sp macro="" textlink="">
      <xdr:nvSpPr>
        <xdr:cNvPr id="192" name="MC_BR_D_root_C_reg_friendly">
          <a:extLst>
            <a:ext uri="{FF2B5EF4-FFF2-40B4-BE49-F238E27FC236}">
              <a16:creationId xmlns:a16="http://schemas.microsoft.com/office/drawing/2014/main" id="{FE184BCD-4717-5648-A9A4-866C04478813}"/>
            </a:ext>
          </a:extLst>
        </xdr:cNvPr>
        <xdr:cNvSpPr/>
      </xdr:nvSpPr>
      <xdr:spPr>
        <a:xfrm>
          <a:off x="2598809" y="13658354"/>
          <a:ext cx="2854255" cy="5350372"/>
        </a:xfrm>
        <a:custGeom>
          <a:avLst/>
          <a:gdLst/>
          <a:ahLst/>
          <a:cxnLst/>
          <a:rect l="0" t="0" r="0" b="0"/>
          <a:pathLst>
            <a:path w="2854255" h="5350372">
              <a:moveTo>
                <a:pt x="31734" y="0"/>
              </a:moveTo>
              <a:lnTo>
                <a:pt x="198358" y="5334000"/>
              </a:lnTo>
              <a:lnTo>
                <a:pt x="182491" y="5318621"/>
              </a:lnTo>
              <a:lnTo>
                <a:pt x="2854254" y="5318621"/>
              </a:lnTo>
              <a:lnTo>
                <a:pt x="2854254" y="5350371"/>
              </a:lnTo>
              <a:lnTo>
                <a:pt x="182491" y="5350371"/>
              </a:lnTo>
              <a:lnTo>
                <a:pt x="166624" y="5334992"/>
              </a:lnTo>
              <a:lnTo>
                <a:pt x="0" y="99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99</xdr:row>
      <xdr:rowOff>99250</xdr:rowOff>
    </xdr:from>
    <xdr:ext cx="1138838" cy="182550"/>
    <xdr:sp macro="_xll.MC_OnBranchLabelClick" textlink="">
      <xdr:nvSpPr>
        <xdr:cNvPr id="193" name="MC_BN_D_root_C_reg_friendly">
          <a:extLst>
            <a:ext uri="{FF2B5EF4-FFF2-40B4-BE49-F238E27FC236}">
              <a16:creationId xmlns:a16="http://schemas.microsoft.com/office/drawing/2014/main" id="{54B756BC-0EF5-19A7-E189-C12AF633493F}"/>
            </a:ext>
          </a:extLst>
        </xdr:cNvPr>
        <xdr:cNvSpPr txBox="1"/>
      </xdr:nvSpPr>
      <xdr:spPr>
        <a:xfrm>
          <a:off x="2810510" y="18901600"/>
          <a:ext cx="11388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Friendly Merger ($1.5B)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71</xdr:row>
      <xdr:rowOff>190401</xdr:rowOff>
    </xdr:from>
    <xdr:to>
      <xdr:col>3</xdr:col>
      <xdr:colOff>47626</xdr:colOff>
      <xdr:row>128</xdr:row>
      <xdr:rowOff>6351</xdr:rowOff>
    </xdr:to>
    <xdr:sp macro="" textlink="">
      <xdr:nvSpPr>
        <xdr:cNvPr id="194" name="MC_BR_D_root_C_reg_minority">
          <a:extLst>
            <a:ext uri="{FF2B5EF4-FFF2-40B4-BE49-F238E27FC236}">
              <a16:creationId xmlns:a16="http://schemas.microsoft.com/office/drawing/2014/main" id="{52FA248E-EBA6-5424-8C6D-B49B02FF85EB}"/>
            </a:ext>
          </a:extLst>
        </xdr:cNvPr>
        <xdr:cNvSpPr/>
      </xdr:nvSpPr>
      <xdr:spPr>
        <a:xfrm>
          <a:off x="2608327" y="13658751"/>
          <a:ext cx="2844737" cy="10674450"/>
        </a:xfrm>
        <a:custGeom>
          <a:avLst/>
          <a:gdLst/>
          <a:ahLst/>
          <a:cxnLst/>
          <a:rect l="0" t="0" r="0" b="0"/>
          <a:pathLst>
            <a:path w="2844737" h="10674450">
              <a:moveTo>
                <a:pt x="12698" y="0"/>
              </a:moveTo>
              <a:lnTo>
                <a:pt x="179322" y="10668000"/>
              </a:lnTo>
              <a:lnTo>
                <a:pt x="172973" y="10661749"/>
              </a:lnTo>
              <a:lnTo>
                <a:pt x="2844736" y="10661749"/>
              </a:lnTo>
              <a:lnTo>
                <a:pt x="2844736" y="10674449"/>
              </a:lnTo>
              <a:lnTo>
                <a:pt x="172973" y="10674449"/>
              </a:lnTo>
              <a:lnTo>
                <a:pt x="166624" y="10668198"/>
              </a:lnTo>
              <a:lnTo>
                <a:pt x="0" y="19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127</xdr:row>
      <xdr:rowOff>99250</xdr:rowOff>
    </xdr:from>
    <xdr:ext cx="1349985" cy="182550"/>
    <xdr:sp macro="_xll.MC_OnBranchLabelClick" textlink="">
      <xdr:nvSpPr>
        <xdr:cNvPr id="195" name="MC_BN_D_root_C_reg_minority">
          <a:extLst>
            <a:ext uri="{FF2B5EF4-FFF2-40B4-BE49-F238E27FC236}">
              <a16:creationId xmlns:a16="http://schemas.microsoft.com/office/drawing/2014/main" id="{5A70EF53-7C5E-9F3F-1207-067DD2AAE1C5}"/>
            </a:ext>
          </a:extLst>
        </xdr:cNvPr>
        <xdr:cNvSpPr txBox="1"/>
      </xdr:nvSpPr>
      <xdr:spPr>
        <a:xfrm>
          <a:off x="2810510" y="24235600"/>
          <a:ext cx="13499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Minority Stake 30% ($600M)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71</xdr:row>
      <xdr:rowOff>190407</xdr:rowOff>
    </xdr:from>
    <xdr:to>
      <xdr:col>3</xdr:col>
      <xdr:colOff>47626</xdr:colOff>
      <xdr:row>132</xdr:row>
      <xdr:rowOff>6351</xdr:rowOff>
    </xdr:to>
    <xdr:sp macro="" textlink="">
      <xdr:nvSpPr>
        <xdr:cNvPr id="196" name="MC_BR_D_root_T_no_deal">
          <a:extLst>
            <a:ext uri="{FF2B5EF4-FFF2-40B4-BE49-F238E27FC236}">
              <a16:creationId xmlns:a16="http://schemas.microsoft.com/office/drawing/2014/main" id="{A3D859AE-CF36-3FB3-870D-EB61EAA7A09C}"/>
            </a:ext>
          </a:extLst>
        </xdr:cNvPr>
        <xdr:cNvSpPr/>
      </xdr:nvSpPr>
      <xdr:spPr>
        <a:xfrm>
          <a:off x="2608327" y="13658757"/>
          <a:ext cx="2844737" cy="11436444"/>
        </a:xfrm>
        <a:custGeom>
          <a:avLst/>
          <a:gdLst/>
          <a:ahLst/>
          <a:cxnLst/>
          <a:rect l="0" t="0" r="0" b="0"/>
          <a:pathLst>
            <a:path w="2844737" h="11436444">
              <a:moveTo>
                <a:pt x="12698" y="0"/>
              </a:moveTo>
              <a:lnTo>
                <a:pt x="179322" y="11430000"/>
              </a:lnTo>
              <a:lnTo>
                <a:pt x="172973" y="11423743"/>
              </a:lnTo>
              <a:lnTo>
                <a:pt x="2844736" y="11423743"/>
              </a:lnTo>
              <a:lnTo>
                <a:pt x="2844736" y="11436443"/>
              </a:lnTo>
              <a:lnTo>
                <a:pt x="172973" y="11436443"/>
              </a:lnTo>
              <a:lnTo>
                <a:pt x="166624" y="11430186"/>
              </a:lnTo>
              <a:lnTo>
                <a:pt x="0" y="18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131</xdr:row>
      <xdr:rowOff>99250</xdr:rowOff>
    </xdr:from>
    <xdr:ext cx="668068" cy="182550"/>
    <xdr:sp macro="_xll.MC_OnBranchLabelClick" textlink="">
      <xdr:nvSpPr>
        <xdr:cNvPr id="197" name="MC_BN_D_root_T_no_deal">
          <a:extLst>
            <a:ext uri="{FF2B5EF4-FFF2-40B4-BE49-F238E27FC236}">
              <a16:creationId xmlns:a16="http://schemas.microsoft.com/office/drawing/2014/main" id="{EFF1A64A-B13F-41AE-EA22-84276B783B0C}"/>
            </a:ext>
          </a:extLst>
        </xdr:cNvPr>
        <xdr:cNvSpPr txBox="1"/>
      </xdr:nvSpPr>
      <xdr:spPr>
        <a:xfrm>
          <a:off x="2810510" y="24997600"/>
          <a:ext cx="6680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Acquire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27</xdr:row>
      <xdr:rowOff>184150</xdr:rowOff>
    </xdr:from>
    <xdr:to>
      <xdr:col>4</xdr:col>
      <xdr:colOff>47626</xdr:colOff>
      <xdr:row>46</xdr:row>
      <xdr:rowOff>310</xdr:rowOff>
    </xdr:to>
    <xdr:sp macro="" textlink="">
      <xdr:nvSpPr>
        <xdr:cNvPr id="198" name="MC_BR_C_reg_hostile_C_market_hostile">
          <a:extLst>
            <a:ext uri="{FF2B5EF4-FFF2-40B4-BE49-F238E27FC236}">
              <a16:creationId xmlns:a16="http://schemas.microsoft.com/office/drawing/2014/main" id="{1F6D4175-1571-8212-9D1E-D0A9B6CEC4B5}"/>
            </a:ext>
          </a:extLst>
        </xdr:cNvPr>
        <xdr:cNvSpPr/>
      </xdr:nvSpPr>
      <xdr:spPr>
        <a:xfrm>
          <a:off x="5489646" y="5270500"/>
          <a:ext cx="2863780" cy="3435660"/>
        </a:xfrm>
        <a:custGeom>
          <a:avLst/>
          <a:gdLst/>
          <a:ahLst/>
          <a:cxnLst/>
          <a:rect l="0" t="0" r="0" b="0"/>
          <a:pathLst>
            <a:path w="2863780" h="3435660">
              <a:moveTo>
                <a:pt x="0" y="3435041"/>
              </a:moveTo>
              <a:lnTo>
                <a:pt x="166624" y="6042"/>
              </a:lnTo>
              <a:lnTo>
                <a:pt x="172967" y="0"/>
              </a:lnTo>
              <a:lnTo>
                <a:pt x="2863779" y="0"/>
              </a:lnTo>
              <a:lnTo>
                <a:pt x="2863779" y="12700"/>
              </a:lnTo>
              <a:lnTo>
                <a:pt x="172967" y="12700"/>
              </a:lnTo>
              <a:lnTo>
                <a:pt x="179309" y="6658"/>
              </a:lnTo>
              <a:lnTo>
                <a:pt x="12685" y="3435659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27</xdr:row>
      <xdr:rowOff>99251</xdr:rowOff>
    </xdr:from>
    <xdr:ext cx="494623" cy="182550"/>
    <xdr:sp macro="_xll.MC_OnBranchLabelClick" textlink="">
      <xdr:nvSpPr>
        <xdr:cNvPr id="199" name="MC_BN_C_reg_hostile_C_market_hostile">
          <a:extLst>
            <a:ext uri="{FF2B5EF4-FFF2-40B4-BE49-F238E27FC236}">
              <a16:creationId xmlns:a16="http://schemas.microsoft.com/office/drawing/2014/main" id="{79DF15B0-D0AA-027A-3236-CF20647A1B27}"/>
            </a:ext>
          </a:extLst>
        </xdr:cNvPr>
        <xdr:cNvSpPr txBox="1"/>
      </xdr:nvSpPr>
      <xdr:spPr>
        <a:xfrm>
          <a:off x="5691822" y="5185601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45</xdr:row>
      <xdr:rowOff>189143</xdr:rowOff>
    </xdr:from>
    <xdr:to>
      <xdr:col>4</xdr:col>
      <xdr:colOff>47626</xdr:colOff>
      <xdr:row>50</xdr:row>
      <xdr:rowOff>6351</xdr:rowOff>
    </xdr:to>
    <xdr:sp macro="" textlink="">
      <xdr:nvSpPr>
        <xdr:cNvPr id="200" name="MC_BR_C_reg_hostile_C_market_hostile_cond">
          <a:extLst>
            <a:ext uri="{FF2B5EF4-FFF2-40B4-BE49-F238E27FC236}">
              <a16:creationId xmlns:a16="http://schemas.microsoft.com/office/drawing/2014/main" id="{FC6DE6EA-1964-EB12-C71B-41B058FCC566}"/>
            </a:ext>
          </a:extLst>
        </xdr:cNvPr>
        <xdr:cNvSpPr/>
      </xdr:nvSpPr>
      <xdr:spPr>
        <a:xfrm>
          <a:off x="5489785" y="8704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1002134" cy="182550"/>
    <xdr:sp macro="_xll.MC_OnBranchLabelClick" textlink="">
      <xdr:nvSpPr>
        <xdr:cNvPr id="201" name="MC_BN_C_reg_hostile_C_market_hostile_cond">
          <a:extLst>
            <a:ext uri="{FF2B5EF4-FFF2-40B4-BE49-F238E27FC236}">
              <a16:creationId xmlns:a16="http://schemas.microsoft.com/office/drawing/2014/main" id="{34C70854-6F10-8AC9-0E77-68EA86947FE4}"/>
            </a:ext>
          </a:extLst>
        </xdr:cNvPr>
        <xdr:cNvSpPr txBox="1"/>
      </xdr:nvSpPr>
      <xdr:spPr>
        <a:xfrm>
          <a:off x="5691822" y="9376601"/>
          <a:ext cx="10021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Conditional Approval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84206</xdr:colOff>
      <xdr:row>45</xdr:row>
      <xdr:rowOff>190248</xdr:rowOff>
    </xdr:from>
    <xdr:to>
      <xdr:col>4</xdr:col>
      <xdr:colOff>47626</xdr:colOff>
      <xdr:row>68</xdr:row>
      <xdr:rowOff>6351</xdr:rowOff>
    </xdr:to>
    <xdr:sp macro="" textlink="">
      <xdr:nvSpPr>
        <xdr:cNvPr id="202" name="MC_BR_C_reg_hostile_D_hostile_blocked">
          <a:extLst>
            <a:ext uri="{FF2B5EF4-FFF2-40B4-BE49-F238E27FC236}">
              <a16:creationId xmlns:a16="http://schemas.microsoft.com/office/drawing/2014/main" id="{40B3DFE1-BFB7-2AE2-76DB-B668D09FE8EC}"/>
            </a:ext>
          </a:extLst>
        </xdr:cNvPr>
        <xdr:cNvSpPr/>
      </xdr:nvSpPr>
      <xdr:spPr>
        <a:xfrm>
          <a:off x="5489644" y="8705598"/>
          <a:ext cx="2863782" cy="4197603"/>
        </a:xfrm>
        <a:custGeom>
          <a:avLst/>
          <a:gdLst/>
          <a:ahLst/>
          <a:cxnLst/>
          <a:rect l="0" t="0" r="0" b="0"/>
          <a:pathLst>
            <a:path w="2863782" h="4197603">
              <a:moveTo>
                <a:pt x="12690" y="0"/>
              </a:moveTo>
              <a:lnTo>
                <a:pt x="179313" y="4191000"/>
              </a:lnTo>
              <a:lnTo>
                <a:pt x="172969" y="4184902"/>
              </a:lnTo>
              <a:lnTo>
                <a:pt x="2863781" y="4184902"/>
              </a:lnTo>
              <a:lnTo>
                <a:pt x="2863781" y="4197602"/>
              </a:lnTo>
              <a:lnTo>
                <a:pt x="172969" y="4197602"/>
              </a:lnTo>
              <a:lnTo>
                <a:pt x="166624" y="4191504"/>
              </a:lnTo>
              <a:lnTo>
                <a:pt x="0" y="50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67</xdr:row>
      <xdr:rowOff>99251</xdr:rowOff>
    </xdr:from>
    <xdr:ext cx="420371" cy="182550"/>
    <xdr:sp macro="_xll.MC_OnBranchLabelClick" textlink="">
      <xdr:nvSpPr>
        <xdr:cNvPr id="203" name="MC_BN_C_reg_hostile_D_hostile_blocked">
          <a:extLst>
            <a:ext uri="{FF2B5EF4-FFF2-40B4-BE49-F238E27FC236}">
              <a16:creationId xmlns:a16="http://schemas.microsoft.com/office/drawing/2014/main" id="{AFC46944-CA22-54AE-33F5-461DD623C18C}"/>
            </a:ext>
          </a:extLst>
        </xdr:cNvPr>
        <xdr:cNvSpPr txBox="1"/>
      </xdr:nvSpPr>
      <xdr:spPr>
        <a:xfrm>
          <a:off x="5691822" y="12805601"/>
          <a:ext cx="4203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Blocked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21</xdr:row>
      <xdr:rowOff>184150</xdr:rowOff>
    </xdr:from>
    <xdr:to>
      <xdr:col>5</xdr:col>
      <xdr:colOff>47626</xdr:colOff>
      <xdr:row>28</xdr:row>
      <xdr:rowOff>917</xdr:rowOff>
    </xdr:to>
    <xdr:sp macro="" textlink="">
      <xdr:nvSpPr>
        <xdr:cNvPr id="204" name="MC_BR_C_market_hostile_C_integ_hostile_pos">
          <a:extLst>
            <a:ext uri="{FF2B5EF4-FFF2-40B4-BE49-F238E27FC236}">
              <a16:creationId xmlns:a16="http://schemas.microsoft.com/office/drawing/2014/main" id="{FE5C041F-79D5-9573-F028-B4E807008664}"/>
            </a:ext>
          </a:extLst>
        </xdr:cNvPr>
        <xdr:cNvSpPr/>
      </xdr:nvSpPr>
      <xdr:spPr>
        <a:xfrm>
          <a:off x="8390068" y="4127500"/>
          <a:ext cx="2863721" cy="1150267"/>
        </a:xfrm>
        <a:custGeom>
          <a:avLst/>
          <a:gdLst/>
          <a:ahLst/>
          <a:cxnLst/>
          <a:rect l="0" t="0" r="0" b="0"/>
          <a:pathLst>
            <a:path w="2863721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863720" y="0"/>
              </a:lnTo>
              <a:lnTo>
                <a:pt x="2863720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21</xdr:row>
      <xdr:rowOff>99251</xdr:rowOff>
    </xdr:from>
    <xdr:ext cx="848053" cy="182550"/>
    <xdr:sp macro="_xll.MC_OnBranchLabelClick" textlink="">
      <xdr:nvSpPr>
        <xdr:cNvPr id="205" name="MC_BN_C_market_hostile_C_integ_hostile_pos">
          <a:extLst>
            <a:ext uri="{FF2B5EF4-FFF2-40B4-BE49-F238E27FC236}">
              <a16:creationId xmlns:a16="http://schemas.microsoft.com/office/drawing/2014/main" id="{9EADDBDF-B100-03F2-C75C-87D99A9AB471}"/>
            </a:ext>
          </a:extLst>
        </xdr:cNvPr>
        <xdr:cNvSpPr txBox="1"/>
      </xdr:nvSpPr>
      <xdr:spPr>
        <a:xfrm>
          <a:off x="8592185" y="4042601"/>
          <a:ext cx="8480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Positive Reaction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27</xdr:row>
      <xdr:rowOff>189143</xdr:rowOff>
    </xdr:from>
    <xdr:to>
      <xdr:col>5</xdr:col>
      <xdr:colOff>47626</xdr:colOff>
      <xdr:row>32</xdr:row>
      <xdr:rowOff>6351</xdr:rowOff>
    </xdr:to>
    <xdr:sp macro="" textlink="">
      <xdr:nvSpPr>
        <xdr:cNvPr id="206" name="MC_BR_C_market_hostile_C_integ_hostile_neut">
          <a:extLst>
            <a:ext uri="{FF2B5EF4-FFF2-40B4-BE49-F238E27FC236}">
              <a16:creationId xmlns:a16="http://schemas.microsoft.com/office/drawing/2014/main" id="{BDEB6591-1C26-9FF4-A254-986C928FBF4E}"/>
            </a:ext>
          </a:extLst>
        </xdr:cNvPr>
        <xdr:cNvSpPr/>
      </xdr:nvSpPr>
      <xdr:spPr>
        <a:xfrm>
          <a:off x="8390148" y="5275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31</xdr:row>
      <xdr:rowOff>99251</xdr:rowOff>
    </xdr:from>
    <xdr:ext cx="386131" cy="182550"/>
    <xdr:sp macro="_xll.MC_OnBranchLabelClick" textlink="">
      <xdr:nvSpPr>
        <xdr:cNvPr id="207" name="MC_BN_C_market_hostile_C_integ_hostile_neut">
          <a:extLst>
            <a:ext uri="{FF2B5EF4-FFF2-40B4-BE49-F238E27FC236}">
              <a16:creationId xmlns:a16="http://schemas.microsoft.com/office/drawing/2014/main" id="{75A725E4-688E-9B82-A36D-4DE57B29C4FC}"/>
            </a:ext>
          </a:extLst>
        </xdr:cNvPr>
        <xdr:cNvSpPr txBox="1"/>
      </xdr:nvSpPr>
      <xdr:spPr>
        <a:xfrm>
          <a:off x="8592185" y="5947601"/>
          <a:ext cx="3861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Neutral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84218</xdr:colOff>
      <xdr:row>27</xdr:row>
      <xdr:rowOff>190038</xdr:rowOff>
    </xdr:from>
    <xdr:to>
      <xdr:col>5</xdr:col>
      <xdr:colOff>47626</xdr:colOff>
      <xdr:row>40</xdr:row>
      <xdr:rowOff>6351</xdr:rowOff>
    </xdr:to>
    <xdr:sp macro="" textlink="">
      <xdr:nvSpPr>
        <xdr:cNvPr id="208" name="MC_BR_C_market_hostile_C_integ_hostile_neg">
          <a:extLst>
            <a:ext uri="{FF2B5EF4-FFF2-40B4-BE49-F238E27FC236}">
              <a16:creationId xmlns:a16="http://schemas.microsoft.com/office/drawing/2014/main" id="{3311BCB0-B6FF-1F4C-F0CB-8FBE7940B4B7}"/>
            </a:ext>
          </a:extLst>
        </xdr:cNvPr>
        <xdr:cNvSpPr/>
      </xdr:nvSpPr>
      <xdr:spPr>
        <a:xfrm>
          <a:off x="8390018" y="5276388"/>
          <a:ext cx="2863771" cy="2292813"/>
        </a:xfrm>
        <a:custGeom>
          <a:avLst/>
          <a:gdLst/>
          <a:ahLst/>
          <a:cxnLst/>
          <a:rect l="0" t="0" r="0" b="0"/>
          <a:pathLst>
            <a:path w="2863771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863770" y="2280112"/>
              </a:lnTo>
              <a:lnTo>
                <a:pt x="2863770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39</xdr:row>
      <xdr:rowOff>99251</xdr:rowOff>
    </xdr:from>
    <xdr:ext cx="893771" cy="182550"/>
    <xdr:sp macro="_xll.MC_OnBranchLabelClick" textlink="">
      <xdr:nvSpPr>
        <xdr:cNvPr id="209" name="MC_BN_C_market_hostile_C_integ_hostile_neg">
          <a:extLst>
            <a:ext uri="{FF2B5EF4-FFF2-40B4-BE49-F238E27FC236}">
              <a16:creationId xmlns:a16="http://schemas.microsoft.com/office/drawing/2014/main" id="{B3E4DA9F-40FF-E702-553C-684EBA17D4B0}"/>
            </a:ext>
          </a:extLst>
        </xdr:cNvPr>
        <xdr:cNvSpPr txBox="1"/>
      </xdr:nvSpPr>
      <xdr:spPr>
        <a:xfrm>
          <a:off x="8592185" y="7471601"/>
          <a:ext cx="8937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Negative Reaction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19</xdr:row>
      <xdr:rowOff>184150</xdr:rowOff>
    </xdr:from>
    <xdr:to>
      <xdr:col>6</xdr:col>
      <xdr:colOff>47626</xdr:colOff>
      <xdr:row>22</xdr:row>
      <xdr:rowOff>2545</xdr:rowOff>
    </xdr:to>
    <xdr:sp macro="" textlink="">
      <xdr:nvSpPr>
        <xdr:cNvPr id="210" name="MC_BR_C_integ_hostile_pos_T_hostile_pos_full">
          <a:extLst>
            <a:ext uri="{FF2B5EF4-FFF2-40B4-BE49-F238E27FC236}">
              <a16:creationId xmlns:a16="http://schemas.microsoft.com/office/drawing/2014/main" id="{B56BE045-3AE7-95CE-0CFF-4317DC9D459C}"/>
            </a:ext>
          </a:extLst>
        </xdr:cNvPr>
        <xdr:cNvSpPr/>
      </xdr:nvSpPr>
      <xdr:spPr>
        <a:xfrm>
          <a:off x="11290895" y="3746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19</xdr:row>
      <xdr:rowOff>99251</xdr:rowOff>
    </xdr:from>
    <xdr:ext cx="1053237" cy="182550"/>
    <xdr:sp macro="_xll.MC_OnBranchLabelClick" textlink="">
      <xdr:nvSpPr>
        <xdr:cNvPr id="211" name="MC_BN_C_integ_hostile_pos_T_hostile_pos_full">
          <a:extLst>
            <a:ext uri="{FF2B5EF4-FFF2-40B4-BE49-F238E27FC236}">
              <a16:creationId xmlns:a16="http://schemas.microsoft.com/office/drawing/2014/main" id="{739B327E-3275-D10D-F239-55B4C4437B45}"/>
            </a:ext>
          </a:extLst>
        </xdr:cNvPr>
        <xdr:cNvSpPr txBox="1"/>
      </xdr:nvSpPr>
      <xdr:spPr>
        <a:xfrm>
          <a:off x="11492547" y="3661601"/>
          <a:ext cx="1053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Synergy Realized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21</xdr:row>
      <xdr:rowOff>187956</xdr:rowOff>
    </xdr:from>
    <xdr:to>
      <xdr:col>6</xdr:col>
      <xdr:colOff>47626</xdr:colOff>
      <xdr:row>24</xdr:row>
      <xdr:rowOff>6351</xdr:rowOff>
    </xdr:to>
    <xdr:sp macro="" textlink="">
      <xdr:nvSpPr>
        <xdr:cNvPr id="212" name="MC_BR_C_integ_hostile_pos_T_hostile_pos_part">
          <a:extLst>
            <a:ext uri="{FF2B5EF4-FFF2-40B4-BE49-F238E27FC236}">
              <a16:creationId xmlns:a16="http://schemas.microsoft.com/office/drawing/2014/main" id="{FA32B0DB-C105-51C8-FE69-886ED91EBA56}"/>
            </a:ext>
          </a:extLst>
        </xdr:cNvPr>
        <xdr:cNvSpPr/>
      </xdr:nvSpPr>
      <xdr:spPr>
        <a:xfrm>
          <a:off x="11290895" y="4131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23</xdr:row>
      <xdr:rowOff>99251</xdr:rowOff>
    </xdr:from>
    <xdr:ext cx="751103" cy="182550"/>
    <xdr:sp macro="_xll.MC_OnBranchLabelClick" textlink="">
      <xdr:nvSpPr>
        <xdr:cNvPr id="213" name="MC_BN_C_integ_hostile_pos_T_hostile_pos_part">
          <a:extLst>
            <a:ext uri="{FF2B5EF4-FFF2-40B4-BE49-F238E27FC236}">
              <a16:creationId xmlns:a16="http://schemas.microsoft.com/office/drawing/2014/main" id="{B512AABB-898C-1C41-0CF9-41301372415A}"/>
            </a:ext>
          </a:extLst>
        </xdr:cNvPr>
        <xdr:cNvSpPr txBox="1"/>
      </xdr:nvSpPr>
      <xdr:spPr>
        <a:xfrm>
          <a:off x="11492547" y="4423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Synergy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21</xdr:row>
      <xdr:rowOff>189143</xdr:rowOff>
    </xdr:from>
    <xdr:to>
      <xdr:col>6</xdr:col>
      <xdr:colOff>47626</xdr:colOff>
      <xdr:row>26</xdr:row>
      <xdr:rowOff>6351</xdr:rowOff>
    </xdr:to>
    <xdr:sp macro="" textlink="">
      <xdr:nvSpPr>
        <xdr:cNvPr id="214" name="MC_BR_C_integ_hostile_pos_T_hostile_pos_fail">
          <a:extLst>
            <a:ext uri="{FF2B5EF4-FFF2-40B4-BE49-F238E27FC236}">
              <a16:creationId xmlns:a16="http://schemas.microsoft.com/office/drawing/2014/main" id="{B9D0CF88-4624-A9E4-F613-E37A3F747F2D}"/>
            </a:ext>
          </a:extLst>
        </xdr:cNvPr>
        <xdr:cNvSpPr/>
      </xdr:nvSpPr>
      <xdr:spPr>
        <a:xfrm>
          <a:off x="11290510" y="4132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25</xdr:row>
      <xdr:rowOff>99251</xdr:rowOff>
    </xdr:from>
    <xdr:ext cx="785408" cy="182550"/>
    <xdr:sp macro="_xll.MC_OnBranchLabelClick" textlink="">
      <xdr:nvSpPr>
        <xdr:cNvPr id="215" name="MC_BN_C_integ_hostile_pos_T_hostile_pos_fail">
          <a:extLst>
            <a:ext uri="{FF2B5EF4-FFF2-40B4-BE49-F238E27FC236}">
              <a16:creationId xmlns:a16="http://schemas.microsoft.com/office/drawing/2014/main" id="{224939AB-FC01-77ED-F5F8-4A571DFAF5C1}"/>
            </a:ext>
          </a:extLst>
        </xdr:cNvPr>
        <xdr:cNvSpPr txBox="1"/>
      </xdr:nvSpPr>
      <xdr:spPr>
        <a:xfrm>
          <a:off x="11492547" y="4804601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Integration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29</xdr:row>
      <xdr:rowOff>184150</xdr:rowOff>
    </xdr:from>
    <xdr:to>
      <xdr:col>6</xdr:col>
      <xdr:colOff>47626</xdr:colOff>
      <xdr:row>32</xdr:row>
      <xdr:rowOff>2545</xdr:rowOff>
    </xdr:to>
    <xdr:sp macro="" textlink="">
      <xdr:nvSpPr>
        <xdr:cNvPr id="216" name="MC_BR_C_integ_hostile_neut_T_hostile_neut_full">
          <a:extLst>
            <a:ext uri="{FF2B5EF4-FFF2-40B4-BE49-F238E27FC236}">
              <a16:creationId xmlns:a16="http://schemas.microsoft.com/office/drawing/2014/main" id="{B66D015E-159D-7E1E-3D54-EFC4775070D2}"/>
            </a:ext>
          </a:extLst>
        </xdr:cNvPr>
        <xdr:cNvSpPr/>
      </xdr:nvSpPr>
      <xdr:spPr>
        <a:xfrm>
          <a:off x="11290895" y="5651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29</xdr:row>
      <xdr:rowOff>99251</xdr:rowOff>
    </xdr:from>
    <xdr:ext cx="1053237" cy="182550"/>
    <xdr:sp macro="_xll.MC_OnBranchLabelClick" textlink="">
      <xdr:nvSpPr>
        <xdr:cNvPr id="217" name="MC_BN_C_integ_hostile_neut_T_hostile_neut_full">
          <a:extLst>
            <a:ext uri="{FF2B5EF4-FFF2-40B4-BE49-F238E27FC236}">
              <a16:creationId xmlns:a16="http://schemas.microsoft.com/office/drawing/2014/main" id="{B5B61A70-F008-A146-8105-9C7B4AD19D7A}"/>
            </a:ext>
          </a:extLst>
        </xdr:cNvPr>
        <xdr:cNvSpPr txBox="1"/>
      </xdr:nvSpPr>
      <xdr:spPr>
        <a:xfrm>
          <a:off x="11492547" y="5566601"/>
          <a:ext cx="1053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Synergy Realized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31</xdr:row>
      <xdr:rowOff>187956</xdr:rowOff>
    </xdr:from>
    <xdr:to>
      <xdr:col>6</xdr:col>
      <xdr:colOff>47626</xdr:colOff>
      <xdr:row>34</xdr:row>
      <xdr:rowOff>6351</xdr:rowOff>
    </xdr:to>
    <xdr:sp macro="" textlink="">
      <xdr:nvSpPr>
        <xdr:cNvPr id="218" name="MC_BR_C_integ_hostile_neut_T_hostile_neut_part">
          <a:extLst>
            <a:ext uri="{FF2B5EF4-FFF2-40B4-BE49-F238E27FC236}">
              <a16:creationId xmlns:a16="http://schemas.microsoft.com/office/drawing/2014/main" id="{0D840C48-5AD7-553A-B400-A5366C594FE1}"/>
            </a:ext>
          </a:extLst>
        </xdr:cNvPr>
        <xdr:cNvSpPr/>
      </xdr:nvSpPr>
      <xdr:spPr>
        <a:xfrm>
          <a:off x="11290895" y="6036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33</xdr:row>
      <xdr:rowOff>99251</xdr:rowOff>
    </xdr:from>
    <xdr:ext cx="751103" cy="182550"/>
    <xdr:sp macro="_xll.MC_OnBranchLabelClick" textlink="">
      <xdr:nvSpPr>
        <xdr:cNvPr id="219" name="MC_BN_C_integ_hostile_neut_T_hostile_neut_part">
          <a:extLst>
            <a:ext uri="{FF2B5EF4-FFF2-40B4-BE49-F238E27FC236}">
              <a16:creationId xmlns:a16="http://schemas.microsoft.com/office/drawing/2014/main" id="{3A892937-7F42-DC72-03C2-5CE687E845AD}"/>
            </a:ext>
          </a:extLst>
        </xdr:cNvPr>
        <xdr:cNvSpPr txBox="1"/>
      </xdr:nvSpPr>
      <xdr:spPr>
        <a:xfrm>
          <a:off x="11492547" y="6328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Synergy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31</xdr:row>
      <xdr:rowOff>189143</xdr:rowOff>
    </xdr:from>
    <xdr:to>
      <xdr:col>6</xdr:col>
      <xdr:colOff>47626</xdr:colOff>
      <xdr:row>36</xdr:row>
      <xdr:rowOff>6351</xdr:rowOff>
    </xdr:to>
    <xdr:sp macro="" textlink="">
      <xdr:nvSpPr>
        <xdr:cNvPr id="220" name="MC_BR_C_integ_hostile_neut_T_hostile_neut_fail">
          <a:extLst>
            <a:ext uri="{FF2B5EF4-FFF2-40B4-BE49-F238E27FC236}">
              <a16:creationId xmlns:a16="http://schemas.microsoft.com/office/drawing/2014/main" id="{9D219100-01EA-47D3-8347-5ADC00BE1BAC}"/>
            </a:ext>
          </a:extLst>
        </xdr:cNvPr>
        <xdr:cNvSpPr/>
      </xdr:nvSpPr>
      <xdr:spPr>
        <a:xfrm>
          <a:off x="11290510" y="6037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35</xdr:row>
      <xdr:rowOff>99251</xdr:rowOff>
    </xdr:from>
    <xdr:ext cx="785408" cy="182550"/>
    <xdr:sp macro="_xll.MC_OnBranchLabelClick" textlink="">
      <xdr:nvSpPr>
        <xdr:cNvPr id="221" name="MC_BN_C_integ_hostile_neut_T_hostile_neut_fail">
          <a:extLst>
            <a:ext uri="{FF2B5EF4-FFF2-40B4-BE49-F238E27FC236}">
              <a16:creationId xmlns:a16="http://schemas.microsoft.com/office/drawing/2014/main" id="{EF9391FB-0B82-C2F8-453F-947D72EC10E0}"/>
            </a:ext>
          </a:extLst>
        </xdr:cNvPr>
        <xdr:cNvSpPr txBox="1"/>
      </xdr:nvSpPr>
      <xdr:spPr>
        <a:xfrm>
          <a:off x="11492547" y="6709601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Integration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222" name="MC_BR_C_integ_hostile_neg_T_hostile_neg_full">
          <a:extLst>
            <a:ext uri="{FF2B5EF4-FFF2-40B4-BE49-F238E27FC236}">
              <a16:creationId xmlns:a16="http://schemas.microsoft.com/office/drawing/2014/main" id="{0552CAC0-76A6-92A4-862C-66970625CF4D}"/>
            </a:ext>
          </a:extLst>
        </xdr:cNvPr>
        <xdr:cNvSpPr/>
      </xdr:nvSpPr>
      <xdr:spPr>
        <a:xfrm>
          <a:off x="11290895" y="7175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1053237" cy="182550"/>
    <xdr:sp macro="_xll.MC_OnBranchLabelClick" textlink="">
      <xdr:nvSpPr>
        <xdr:cNvPr id="223" name="MC_BN_C_integ_hostile_neg_T_hostile_neg_full">
          <a:extLst>
            <a:ext uri="{FF2B5EF4-FFF2-40B4-BE49-F238E27FC236}">
              <a16:creationId xmlns:a16="http://schemas.microsoft.com/office/drawing/2014/main" id="{AF9712C8-AB0D-154F-5E50-89602E4AD704}"/>
            </a:ext>
          </a:extLst>
        </xdr:cNvPr>
        <xdr:cNvSpPr txBox="1"/>
      </xdr:nvSpPr>
      <xdr:spPr>
        <a:xfrm>
          <a:off x="11492547" y="7090601"/>
          <a:ext cx="1053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Synergy Realized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224" name="MC_BR_C_integ_hostile_neg_T_hostile_neg_part">
          <a:extLst>
            <a:ext uri="{FF2B5EF4-FFF2-40B4-BE49-F238E27FC236}">
              <a16:creationId xmlns:a16="http://schemas.microsoft.com/office/drawing/2014/main" id="{9E480F3D-83BD-8EA6-1DD1-8BDCFD62F83A}"/>
            </a:ext>
          </a:extLst>
        </xdr:cNvPr>
        <xdr:cNvSpPr/>
      </xdr:nvSpPr>
      <xdr:spPr>
        <a:xfrm>
          <a:off x="11290895" y="7560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41</xdr:row>
      <xdr:rowOff>99251</xdr:rowOff>
    </xdr:from>
    <xdr:ext cx="751103" cy="182550"/>
    <xdr:sp macro="_xll.MC_OnBranchLabelClick" textlink="">
      <xdr:nvSpPr>
        <xdr:cNvPr id="225" name="MC_BN_C_integ_hostile_neg_T_hostile_neg_part">
          <a:extLst>
            <a:ext uri="{FF2B5EF4-FFF2-40B4-BE49-F238E27FC236}">
              <a16:creationId xmlns:a16="http://schemas.microsoft.com/office/drawing/2014/main" id="{2E0DCC48-D0C8-0579-FD50-F707A09711C3}"/>
            </a:ext>
          </a:extLst>
        </xdr:cNvPr>
        <xdr:cNvSpPr txBox="1"/>
      </xdr:nvSpPr>
      <xdr:spPr>
        <a:xfrm>
          <a:off x="11492547" y="7852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Synergy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39</xdr:row>
      <xdr:rowOff>189143</xdr:rowOff>
    </xdr:from>
    <xdr:to>
      <xdr:col>6</xdr:col>
      <xdr:colOff>47626</xdr:colOff>
      <xdr:row>44</xdr:row>
      <xdr:rowOff>6351</xdr:rowOff>
    </xdr:to>
    <xdr:sp macro="" textlink="">
      <xdr:nvSpPr>
        <xdr:cNvPr id="226" name="MC_BR_C_integ_hostile_neg_T_hostile_neg_fail">
          <a:extLst>
            <a:ext uri="{FF2B5EF4-FFF2-40B4-BE49-F238E27FC236}">
              <a16:creationId xmlns:a16="http://schemas.microsoft.com/office/drawing/2014/main" id="{9FED6259-65FE-618B-C78A-81A1B2731C33}"/>
            </a:ext>
          </a:extLst>
        </xdr:cNvPr>
        <xdr:cNvSpPr/>
      </xdr:nvSpPr>
      <xdr:spPr>
        <a:xfrm>
          <a:off x="11290510" y="7561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785408" cy="182550"/>
    <xdr:sp macro="_xll.MC_OnBranchLabelClick" textlink="">
      <xdr:nvSpPr>
        <xdr:cNvPr id="227" name="MC_BN_C_integ_hostile_neg_T_hostile_neg_fail">
          <a:extLst>
            <a:ext uri="{FF2B5EF4-FFF2-40B4-BE49-F238E27FC236}">
              <a16:creationId xmlns:a16="http://schemas.microsoft.com/office/drawing/2014/main" id="{669E9CB2-4C4C-19BA-C61D-071FBA9C997D}"/>
            </a:ext>
          </a:extLst>
        </xdr:cNvPr>
        <xdr:cNvSpPr txBox="1"/>
      </xdr:nvSpPr>
      <xdr:spPr>
        <a:xfrm>
          <a:off x="11492547" y="8233601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Integration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47</xdr:row>
      <xdr:rowOff>184150</xdr:rowOff>
    </xdr:from>
    <xdr:to>
      <xdr:col>5</xdr:col>
      <xdr:colOff>47626</xdr:colOff>
      <xdr:row>50</xdr:row>
      <xdr:rowOff>2545</xdr:rowOff>
    </xdr:to>
    <xdr:sp macro="" textlink="">
      <xdr:nvSpPr>
        <xdr:cNvPr id="228" name="MC_BR_C_market_hostile_cond_T_hostile_cond_pos">
          <a:extLst>
            <a:ext uri="{FF2B5EF4-FFF2-40B4-BE49-F238E27FC236}">
              <a16:creationId xmlns:a16="http://schemas.microsoft.com/office/drawing/2014/main" id="{82F492C1-7040-FDA2-49D6-6E1C1F0A1FF3}"/>
            </a:ext>
          </a:extLst>
        </xdr:cNvPr>
        <xdr:cNvSpPr/>
      </xdr:nvSpPr>
      <xdr:spPr>
        <a:xfrm>
          <a:off x="8390533" y="9080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47</xdr:row>
      <xdr:rowOff>99251</xdr:rowOff>
    </xdr:from>
    <xdr:ext cx="848053" cy="182550"/>
    <xdr:sp macro="_xll.MC_OnBranchLabelClick" textlink="">
      <xdr:nvSpPr>
        <xdr:cNvPr id="229" name="MC_BN_C_market_hostile_cond_T_hostile_cond_pos">
          <a:extLst>
            <a:ext uri="{FF2B5EF4-FFF2-40B4-BE49-F238E27FC236}">
              <a16:creationId xmlns:a16="http://schemas.microsoft.com/office/drawing/2014/main" id="{9F995D0C-1314-7B1D-FD8F-5A1BD1366E41}"/>
            </a:ext>
          </a:extLst>
        </xdr:cNvPr>
        <xdr:cNvSpPr txBox="1"/>
      </xdr:nvSpPr>
      <xdr:spPr>
        <a:xfrm>
          <a:off x="8592185" y="8995601"/>
          <a:ext cx="8480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Positive Reaction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49</xdr:row>
      <xdr:rowOff>187956</xdr:rowOff>
    </xdr:from>
    <xdr:to>
      <xdr:col>5</xdr:col>
      <xdr:colOff>47626</xdr:colOff>
      <xdr:row>52</xdr:row>
      <xdr:rowOff>6351</xdr:rowOff>
    </xdr:to>
    <xdr:sp macro="" textlink="">
      <xdr:nvSpPr>
        <xdr:cNvPr id="230" name="MC_BR_C_market_hostile_cond_T_hostile_cond_neut">
          <a:extLst>
            <a:ext uri="{FF2B5EF4-FFF2-40B4-BE49-F238E27FC236}">
              <a16:creationId xmlns:a16="http://schemas.microsoft.com/office/drawing/2014/main" id="{911216CC-FA81-2BFB-CFAF-037577E3FD6E}"/>
            </a:ext>
          </a:extLst>
        </xdr:cNvPr>
        <xdr:cNvSpPr/>
      </xdr:nvSpPr>
      <xdr:spPr>
        <a:xfrm>
          <a:off x="8390533" y="9465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51</xdr:row>
      <xdr:rowOff>99251</xdr:rowOff>
    </xdr:from>
    <xdr:ext cx="386131" cy="182550"/>
    <xdr:sp macro="_xll.MC_OnBranchLabelClick" textlink="">
      <xdr:nvSpPr>
        <xdr:cNvPr id="231" name="MC_BN_C_market_hostile_cond_T_hostile_cond_neut">
          <a:extLst>
            <a:ext uri="{FF2B5EF4-FFF2-40B4-BE49-F238E27FC236}">
              <a16:creationId xmlns:a16="http://schemas.microsoft.com/office/drawing/2014/main" id="{E4E9DB0C-0CA6-4AF1-4019-CED9CC5422E4}"/>
            </a:ext>
          </a:extLst>
        </xdr:cNvPr>
        <xdr:cNvSpPr txBox="1"/>
      </xdr:nvSpPr>
      <xdr:spPr>
        <a:xfrm>
          <a:off x="8592185" y="9757601"/>
          <a:ext cx="3861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Neutral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49</xdr:row>
      <xdr:rowOff>189143</xdr:rowOff>
    </xdr:from>
    <xdr:to>
      <xdr:col>5</xdr:col>
      <xdr:colOff>47626</xdr:colOff>
      <xdr:row>54</xdr:row>
      <xdr:rowOff>6351</xdr:rowOff>
    </xdr:to>
    <xdr:sp macro="" textlink="">
      <xdr:nvSpPr>
        <xdr:cNvPr id="232" name="MC_BR_C_market_hostile_cond_T_hostile_cond_neg">
          <a:extLst>
            <a:ext uri="{FF2B5EF4-FFF2-40B4-BE49-F238E27FC236}">
              <a16:creationId xmlns:a16="http://schemas.microsoft.com/office/drawing/2014/main" id="{425423E8-A01E-ECAA-E3B8-F828FCC2CDD0}"/>
            </a:ext>
          </a:extLst>
        </xdr:cNvPr>
        <xdr:cNvSpPr/>
      </xdr:nvSpPr>
      <xdr:spPr>
        <a:xfrm>
          <a:off x="8390148" y="9466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893771" cy="182550"/>
    <xdr:sp macro="_xll.MC_OnBranchLabelClick" textlink="">
      <xdr:nvSpPr>
        <xdr:cNvPr id="233" name="MC_BN_C_market_hostile_cond_T_hostile_cond_neg">
          <a:extLst>
            <a:ext uri="{FF2B5EF4-FFF2-40B4-BE49-F238E27FC236}">
              <a16:creationId xmlns:a16="http://schemas.microsoft.com/office/drawing/2014/main" id="{F28EFBA2-6E8B-75EE-69C1-53D2A58296CA}"/>
            </a:ext>
          </a:extLst>
        </xdr:cNvPr>
        <xdr:cNvSpPr txBox="1"/>
      </xdr:nvSpPr>
      <xdr:spPr>
        <a:xfrm>
          <a:off x="8592185" y="10138601"/>
          <a:ext cx="8937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Negative Reaction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63</xdr:row>
      <xdr:rowOff>184150</xdr:rowOff>
    </xdr:from>
    <xdr:to>
      <xdr:col>5</xdr:col>
      <xdr:colOff>47626</xdr:colOff>
      <xdr:row>68</xdr:row>
      <xdr:rowOff>1358</xdr:rowOff>
    </xdr:to>
    <xdr:sp macro="" textlink="">
      <xdr:nvSpPr>
        <xdr:cNvPr id="234" name="MC_BR_D_hostile_blocked_C_rebid">
          <a:extLst>
            <a:ext uri="{FF2B5EF4-FFF2-40B4-BE49-F238E27FC236}">
              <a16:creationId xmlns:a16="http://schemas.microsoft.com/office/drawing/2014/main" id="{B0459E11-AEC5-AF6F-2C01-D534DD2B9A10}"/>
            </a:ext>
          </a:extLst>
        </xdr:cNvPr>
        <xdr:cNvSpPr/>
      </xdr:nvSpPr>
      <xdr:spPr>
        <a:xfrm>
          <a:off x="8390148" y="12128500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863640" y="0"/>
              </a:lnTo>
              <a:lnTo>
                <a:pt x="2863640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1036566" cy="182550"/>
    <xdr:sp macro="_xll.MC_OnBranchLabelClick" textlink="">
      <xdr:nvSpPr>
        <xdr:cNvPr id="235" name="MC_BN_D_hostile_blocked_C_rebid">
          <a:extLst>
            <a:ext uri="{FF2B5EF4-FFF2-40B4-BE49-F238E27FC236}">
              <a16:creationId xmlns:a16="http://schemas.microsoft.com/office/drawing/2014/main" id="{773CF892-97C9-2A87-1F40-D2227FC100FF}"/>
            </a:ext>
          </a:extLst>
        </xdr:cNvPr>
        <xdr:cNvSpPr txBox="1"/>
      </xdr:nvSpPr>
      <xdr:spPr>
        <a:xfrm>
          <a:off x="8592185" y="12043601"/>
          <a:ext cx="10365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Increase Bid to $2.5B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67</xdr:row>
      <xdr:rowOff>187956</xdr:rowOff>
    </xdr:from>
    <xdr:to>
      <xdr:col>5</xdr:col>
      <xdr:colOff>47626</xdr:colOff>
      <xdr:row>70</xdr:row>
      <xdr:rowOff>6351</xdr:rowOff>
    </xdr:to>
    <xdr:sp macro="" textlink="">
      <xdr:nvSpPr>
        <xdr:cNvPr id="236" name="MC_BR_D_hostile_blocked_T_hostile_walkaway">
          <a:extLst>
            <a:ext uri="{FF2B5EF4-FFF2-40B4-BE49-F238E27FC236}">
              <a16:creationId xmlns:a16="http://schemas.microsoft.com/office/drawing/2014/main" id="{DF84971D-4EFD-CED5-B9B0-18DCDDE31A12}"/>
            </a:ext>
          </a:extLst>
        </xdr:cNvPr>
        <xdr:cNvSpPr/>
      </xdr:nvSpPr>
      <xdr:spPr>
        <a:xfrm>
          <a:off x="8390533" y="12894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562718" cy="182550"/>
    <xdr:sp macro="_xll.MC_OnBranchLabelClick" textlink="">
      <xdr:nvSpPr>
        <xdr:cNvPr id="237" name="MC_BN_D_hostile_blocked_T_hostile_walkaway">
          <a:extLst>
            <a:ext uri="{FF2B5EF4-FFF2-40B4-BE49-F238E27FC236}">
              <a16:creationId xmlns:a16="http://schemas.microsoft.com/office/drawing/2014/main" id="{61F6A8D9-4557-55A4-E2EF-9A27C7F0E44A}"/>
            </a:ext>
          </a:extLst>
        </xdr:cNvPr>
        <xdr:cNvSpPr txBox="1"/>
      </xdr:nvSpPr>
      <xdr:spPr>
        <a:xfrm>
          <a:off x="8592185" y="13186600"/>
          <a:ext cx="5627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Walk Away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84267</xdr:colOff>
      <xdr:row>57</xdr:row>
      <xdr:rowOff>184150</xdr:rowOff>
    </xdr:from>
    <xdr:to>
      <xdr:col>6</xdr:col>
      <xdr:colOff>47626</xdr:colOff>
      <xdr:row>64</xdr:row>
      <xdr:rowOff>917</xdr:rowOff>
    </xdr:to>
    <xdr:sp macro="" textlink="">
      <xdr:nvSpPr>
        <xdr:cNvPr id="238" name="MC_BR_C_rebid_C_integ_rebid">
          <a:extLst>
            <a:ext uri="{FF2B5EF4-FFF2-40B4-BE49-F238E27FC236}">
              <a16:creationId xmlns:a16="http://schemas.microsoft.com/office/drawing/2014/main" id="{6A439939-1588-E6AD-BD73-68A5C5C06A7B}"/>
            </a:ext>
          </a:extLst>
        </xdr:cNvPr>
        <xdr:cNvSpPr/>
      </xdr:nvSpPr>
      <xdr:spPr>
        <a:xfrm>
          <a:off x="11290430" y="10985500"/>
          <a:ext cx="2606546" cy="1150267"/>
        </a:xfrm>
        <a:custGeom>
          <a:avLst/>
          <a:gdLst/>
          <a:ahLst/>
          <a:cxnLst/>
          <a:rect l="0" t="0" r="0" b="0"/>
          <a:pathLst>
            <a:path w="26065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06545" y="0"/>
              </a:lnTo>
              <a:lnTo>
                <a:pt x="26065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57</xdr:row>
      <xdr:rowOff>99251</xdr:rowOff>
    </xdr:from>
    <xdr:ext cx="1039387" cy="182550"/>
    <xdr:sp macro="_xll.MC_OnBranchLabelClick" textlink="">
      <xdr:nvSpPr>
        <xdr:cNvPr id="239" name="MC_BN_C_rebid_C_integ_rebid">
          <a:extLst>
            <a:ext uri="{FF2B5EF4-FFF2-40B4-BE49-F238E27FC236}">
              <a16:creationId xmlns:a16="http://schemas.microsoft.com/office/drawing/2014/main" id="{9705B221-A501-E9CD-8899-D09AA57FB190}"/>
            </a:ext>
          </a:extLst>
        </xdr:cNvPr>
        <xdr:cNvSpPr txBox="1"/>
      </xdr:nvSpPr>
      <xdr:spPr>
        <a:xfrm>
          <a:off x="11492547" y="10900601"/>
          <a:ext cx="10393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Accepted + 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63</xdr:row>
      <xdr:rowOff>187956</xdr:rowOff>
    </xdr:from>
    <xdr:to>
      <xdr:col>6</xdr:col>
      <xdr:colOff>47626</xdr:colOff>
      <xdr:row>66</xdr:row>
      <xdr:rowOff>6351</xdr:rowOff>
    </xdr:to>
    <xdr:sp macro="" textlink="">
      <xdr:nvSpPr>
        <xdr:cNvPr id="240" name="MC_BR_C_rebid_T_rebid_rejected">
          <a:extLst>
            <a:ext uri="{FF2B5EF4-FFF2-40B4-BE49-F238E27FC236}">
              <a16:creationId xmlns:a16="http://schemas.microsoft.com/office/drawing/2014/main" id="{861F4CFE-9B34-9431-1976-F52E90DCE453}"/>
            </a:ext>
          </a:extLst>
        </xdr:cNvPr>
        <xdr:cNvSpPr/>
      </xdr:nvSpPr>
      <xdr:spPr>
        <a:xfrm>
          <a:off x="11290895" y="12132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65</xdr:row>
      <xdr:rowOff>99251</xdr:rowOff>
    </xdr:from>
    <xdr:ext cx="654090" cy="182550"/>
    <xdr:sp macro="_xll.MC_OnBranchLabelClick" textlink="">
      <xdr:nvSpPr>
        <xdr:cNvPr id="241" name="MC_BN_C_rebid_T_rebid_rejected">
          <a:extLst>
            <a:ext uri="{FF2B5EF4-FFF2-40B4-BE49-F238E27FC236}">
              <a16:creationId xmlns:a16="http://schemas.microsoft.com/office/drawing/2014/main" id="{36A2A093-C573-D7A9-D4CA-E7FFFE887F4D}"/>
            </a:ext>
          </a:extLst>
        </xdr:cNvPr>
        <xdr:cNvSpPr txBox="1"/>
      </xdr:nvSpPr>
      <xdr:spPr>
        <a:xfrm>
          <a:off x="11492547" y="12424601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Still Rejected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55</xdr:row>
      <xdr:rowOff>184150</xdr:rowOff>
    </xdr:from>
    <xdr:to>
      <xdr:col>7</xdr:col>
      <xdr:colOff>47626</xdr:colOff>
      <xdr:row>58</xdr:row>
      <xdr:rowOff>2545</xdr:rowOff>
    </xdr:to>
    <xdr:sp macro="" textlink="">
      <xdr:nvSpPr>
        <xdr:cNvPr id="242" name="MC_BR_C_integ_rebid_T_rebid_full">
          <a:extLst>
            <a:ext uri="{FF2B5EF4-FFF2-40B4-BE49-F238E27FC236}">
              <a16:creationId xmlns:a16="http://schemas.microsoft.com/office/drawing/2014/main" id="{070C8B8F-0A43-9251-A82A-8872601B8B49}"/>
            </a:ext>
          </a:extLst>
        </xdr:cNvPr>
        <xdr:cNvSpPr/>
      </xdr:nvSpPr>
      <xdr:spPr>
        <a:xfrm>
          <a:off x="13934083" y="10604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948980" y="0"/>
              </a:lnTo>
              <a:lnTo>
                <a:pt x="29489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55</xdr:row>
      <xdr:rowOff>99251</xdr:rowOff>
    </xdr:from>
    <xdr:ext cx="625556" cy="182550"/>
    <xdr:sp macro="_xll.MC_OnBranchLabelClick" textlink="">
      <xdr:nvSpPr>
        <xdr:cNvPr id="243" name="MC_BN_C_integ_rebid_T_rebid_full">
          <a:extLst>
            <a:ext uri="{FF2B5EF4-FFF2-40B4-BE49-F238E27FC236}">
              <a16:creationId xmlns:a16="http://schemas.microsoft.com/office/drawing/2014/main" id="{6E124A2D-399B-1139-45EE-9A84D73EBC83}"/>
            </a:ext>
          </a:extLst>
        </xdr:cNvPr>
        <xdr:cNvSpPr txBox="1"/>
      </xdr:nvSpPr>
      <xdr:spPr>
        <a:xfrm>
          <a:off x="14135736" y="10519601"/>
          <a:ext cx="62555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Synergy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57</xdr:row>
      <xdr:rowOff>187956</xdr:rowOff>
    </xdr:from>
    <xdr:to>
      <xdr:col>7</xdr:col>
      <xdr:colOff>47626</xdr:colOff>
      <xdr:row>60</xdr:row>
      <xdr:rowOff>6351</xdr:rowOff>
    </xdr:to>
    <xdr:sp macro="" textlink="">
      <xdr:nvSpPr>
        <xdr:cNvPr id="244" name="MC_BR_C_integ_rebid_T_rebid_part">
          <a:extLst>
            <a:ext uri="{FF2B5EF4-FFF2-40B4-BE49-F238E27FC236}">
              <a16:creationId xmlns:a16="http://schemas.microsoft.com/office/drawing/2014/main" id="{08299441-0F2A-B42B-013C-84775422B3AE}"/>
            </a:ext>
          </a:extLst>
        </xdr:cNvPr>
        <xdr:cNvSpPr/>
      </xdr:nvSpPr>
      <xdr:spPr>
        <a:xfrm>
          <a:off x="13934083" y="10989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59</xdr:row>
      <xdr:rowOff>99251</xdr:rowOff>
    </xdr:from>
    <xdr:ext cx="751103" cy="182550"/>
    <xdr:sp macro="_xll.MC_OnBranchLabelClick" textlink="">
      <xdr:nvSpPr>
        <xdr:cNvPr id="245" name="MC_BN_C_integ_rebid_T_rebid_part">
          <a:extLst>
            <a:ext uri="{FF2B5EF4-FFF2-40B4-BE49-F238E27FC236}">
              <a16:creationId xmlns:a16="http://schemas.microsoft.com/office/drawing/2014/main" id="{6798CDC0-8C46-0754-E58A-FC5173CC3D93}"/>
            </a:ext>
          </a:extLst>
        </xdr:cNvPr>
        <xdr:cNvSpPr txBox="1"/>
      </xdr:nvSpPr>
      <xdr:spPr>
        <a:xfrm>
          <a:off x="14135736" y="11281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Synergy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57</xdr:row>
      <xdr:rowOff>189143</xdr:rowOff>
    </xdr:from>
    <xdr:to>
      <xdr:col>7</xdr:col>
      <xdr:colOff>47626</xdr:colOff>
      <xdr:row>62</xdr:row>
      <xdr:rowOff>6351</xdr:rowOff>
    </xdr:to>
    <xdr:sp macro="" textlink="">
      <xdr:nvSpPr>
        <xdr:cNvPr id="246" name="MC_BR_C_integ_rebid_T_rebid_fail">
          <a:extLst>
            <a:ext uri="{FF2B5EF4-FFF2-40B4-BE49-F238E27FC236}">
              <a16:creationId xmlns:a16="http://schemas.microsoft.com/office/drawing/2014/main" id="{0FB62D28-4FA8-616F-E890-64A2A7806B8C}"/>
            </a:ext>
          </a:extLst>
        </xdr:cNvPr>
        <xdr:cNvSpPr/>
      </xdr:nvSpPr>
      <xdr:spPr>
        <a:xfrm>
          <a:off x="13933698" y="10990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6" y="0"/>
              </a:moveTo>
              <a:lnTo>
                <a:pt x="179030" y="762000"/>
              </a:lnTo>
              <a:lnTo>
                <a:pt x="172827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61</xdr:row>
      <xdr:rowOff>99251</xdr:rowOff>
    </xdr:from>
    <xdr:ext cx="785408" cy="182550"/>
    <xdr:sp macro="_xll.MC_OnBranchLabelClick" textlink="">
      <xdr:nvSpPr>
        <xdr:cNvPr id="247" name="MC_BN_C_integ_rebid_T_rebid_fail">
          <a:extLst>
            <a:ext uri="{FF2B5EF4-FFF2-40B4-BE49-F238E27FC236}">
              <a16:creationId xmlns:a16="http://schemas.microsoft.com/office/drawing/2014/main" id="{B1090268-C485-03E6-6842-BEE6915F95A7}"/>
            </a:ext>
          </a:extLst>
        </xdr:cNvPr>
        <xdr:cNvSpPr txBox="1"/>
      </xdr:nvSpPr>
      <xdr:spPr>
        <a:xfrm>
          <a:off x="14135736" y="11662601"/>
          <a:ext cx="7854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Integration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74694</xdr:colOff>
      <xdr:row>81</xdr:row>
      <xdr:rowOff>174625</xdr:rowOff>
    </xdr:from>
    <xdr:to>
      <xdr:col>4</xdr:col>
      <xdr:colOff>47626</xdr:colOff>
      <xdr:row>100</xdr:row>
      <xdr:rowOff>771</xdr:rowOff>
    </xdr:to>
    <xdr:sp macro="" textlink="">
      <xdr:nvSpPr>
        <xdr:cNvPr id="248" name="MC_BR_C_reg_friendly_C_synergy_friendly">
          <a:extLst>
            <a:ext uri="{FF2B5EF4-FFF2-40B4-BE49-F238E27FC236}">
              <a16:creationId xmlns:a16="http://schemas.microsoft.com/office/drawing/2014/main" id="{23A0B09E-1EA2-589A-7BCF-5860F85995EB}"/>
            </a:ext>
          </a:extLst>
        </xdr:cNvPr>
        <xdr:cNvSpPr/>
      </xdr:nvSpPr>
      <xdr:spPr>
        <a:xfrm>
          <a:off x="5480132" y="15547975"/>
          <a:ext cx="2873294" cy="3445646"/>
        </a:xfrm>
        <a:custGeom>
          <a:avLst/>
          <a:gdLst/>
          <a:ahLst/>
          <a:cxnLst/>
          <a:rect l="0" t="0" r="0" b="0"/>
          <a:pathLst>
            <a:path w="2873294" h="3445646">
              <a:moveTo>
                <a:pt x="0" y="3444105"/>
              </a:moveTo>
              <a:lnTo>
                <a:pt x="166624" y="15105"/>
              </a:lnTo>
              <a:lnTo>
                <a:pt x="182481" y="0"/>
              </a:lnTo>
              <a:lnTo>
                <a:pt x="2873293" y="0"/>
              </a:lnTo>
              <a:lnTo>
                <a:pt x="2873293" y="31750"/>
              </a:lnTo>
              <a:lnTo>
                <a:pt x="182481" y="31750"/>
              </a:lnTo>
              <a:lnTo>
                <a:pt x="198337" y="16645"/>
              </a:lnTo>
              <a:lnTo>
                <a:pt x="31713" y="344564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494623" cy="182550"/>
    <xdr:sp macro="_xll.MC_OnBranchLabelClick" textlink="">
      <xdr:nvSpPr>
        <xdr:cNvPr id="249" name="MC_BN_C_reg_friendly_C_synergy_friendly">
          <a:extLst>
            <a:ext uri="{FF2B5EF4-FFF2-40B4-BE49-F238E27FC236}">
              <a16:creationId xmlns:a16="http://schemas.microsoft.com/office/drawing/2014/main" id="{631BE7D1-0686-FDE5-BCAF-F051BA0BCD82}"/>
            </a:ext>
          </a:extLst>
        </xdr:cNvPr>
        <xdr:cNvSpPr txBox="1"/>
      </xdr:nvSpPr>
      <xdr:spPr>
        <a:xfrm>
          <a:off x="5691822" y="15472600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99</xdr:row>
      <xdr:rowOff>187110</xdr:rowOff>
    </xdr:from>
    <xdr:to>
      <xdr:col>4</xdr:col>
      <xdr:colOff>47626</xdr:colOff>
      <xdr:row>104</xdr:row>
      <xdr:rowOff>15876</xdr:rowOff>
    </xdr:to>
    <xdr:sp macro="" textlink="">
      <xdr:nvSpPr>
        <xdr:cNvPr id="250" name="MC_BR_C_reg_friendly_C_synergy_friendly_cond">
          <a:extLst>
            <a:ext uri="{FF2B5EF4-FFF2-40B4-BE49-F238E27FC236}">
              <a16:creationId xmlns:a16="http://schemas.microsoft.com/office/drawing/2014/main" id="{7194C372-FEFE-B656-44D1-16E65C5183D4}"/>
            </a:ext>
          </a:extLst>
        </xdr:cNvPr>
        <xdr:cNvSpPr/>
      </xdr:nvSpPr>
      <xdr:spPr>
        <a:xfrm>
          <a:off x="5480480" y="18989460"/>
          <a:ext cx="2872946" cy="781266"/>
        </a:xfrm>
        <a:custGeom>
          <a:avLst/>
          <a:gdLst/>
          <a:ahLst/>
          <a:cxnLst/>
          <a:rect l="0" t="0" r="0" b="0"/>
          <a:pathLst>
            <a:path w="2872946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872945" y="749515"/>
              </a:lnTo>
              <a:lnTo>
                <a:pt x="2872945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103</xdr:row>
      <xdr:rowOff>99250</xdr:rowOff>
    </xdr:from>
    <xdr:ext cx="1002134" cy="182550"/>
    <xdr:sp macro="_xll.MC_OnBranchLabelClick" textlink="">
      <xdr:nvSpPr>
        <xdr:cNvPr id="251" name="MC_BN_C_reg_friendly_C_synergy_friendly_cond">
          <a:extLst>
            <a:ext uri="{FF2B5EF4-FFF2-40B4-BE49-F238E27FC236}">
              <a16:creationId xmlns:a16="http://schemas.microsoft.com/office/drawing/2014/main" id="{D070F253-DBD4-F46E-98A3-3B892DA0568A}"/>
            </a:ext>
          </a:extLst>
        </xdr:cNvPr>
        <xdr:cNvSpPr txBox="1"/>
      </xdr:nvSpPr>
      <xdr:spPr>
        <a:xfrm>
          <a:off x="5691822" y="19663600"/>
          <a:ext cx="10021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Conditional Approval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74769</xdr:colOff>
      <xdr:row>99</xdr:row>
      <xdr:rowOff>188775</xdr:rowOff>
    </xdr:from>
    <xdr:to>
      <xdr:col>4</xdr:col>
      <xdr:colOff>47626</xdr:colOff>
      <xdr:row>108</xdr:row>
      <xdr:rowOff>15876</xdr:rowOff>
    </xdr:to>
    <xdr:sp macro="" textlink="">
      <xdr:nvSpPr>
        <xdr:cNvPr id="252" name="MC_BR_C_reg_friendly_T_friendly_blocked">
          <a:extLst>
            <a:ext uri="{FF2B5EF4-FFF2-40B4-BE49-F238E27FC236}">
              <a16:creationId xmlns:a16="http://schemas.microsoft.com/office/drawing/2014/main" id="{CBD271AF-A533-AD92-BED3-2C583B75E39E}"/>
            </a:ext>
          </a:extLst>
        </xdr:cNvPr>
        <xdr:cNvSpPr/>
      </xdr:nvSpPr>
      <xdr:spPr>
        <a:xfrm>
          <a:off x="5480207" y="18991125"/>
          <a:ext cx="2873219" cy="1541601"/>
        </a:xfrm>
        <a:custGeom>
          <a:avLst/>
          <a:gdLst/>
          <a:ahLst/>
          <a:cxnLst/>
          <a:rect l="0" t="0" r="0" b="0"/>
          <a:pathLst>
            <a:path w="2873219" h="1541601">
              <a:moveTo>
                <a:pt x="31562" y="0"/>
              </a:moveTo>
              <a:lnTo>
                <a:pt x="198186" y="1524000"/>
              </a:lnTo>
              <a:lnTo>
                <a:pt x="182406" y="1509850"/>
              </a:lnTo>
              <a:lnTo>
                <a:pt x="2873218" y="1509850"/>
              </a:lnTo>
              <a:lnTo>
                <a:pt x="2873218" y="1541600"/>
              </a:lnTo>
              <a:lnTo>
                <a:pt x="182406" y="1541600"/>
              </a:lnTo>
              <a:lnTo>
                <a:pt x="166625" y="1527450"/>
              </a:lnTo>
              <a:lnTo>
                <a:pt x="0" y="345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107</xdr:row>
      <xdr:rowOff>99250</xdr:rowOff>
    </xdr:from>
    <xdr:ext cx="420371" cy="182550"/>
    <xdr:sp macro="_xll.MC_OnBranchLabelClick" textlink="">
      <xdr:nvSpPr>
        <xdr:cNvPr id="253" name="MC_BN_C_reg_friendly_T_friendly_blocked">
          <a:extLst>
            <a:ext uri="{FF2B5EF4-FFF2-40B4-BE49-F238E27FC236}">
              <a16:creationId xmlns:a16="http://schemas.microsoft.com/office/drawing/2014/main" id="{E07FACF3-527F-3707-D462-53DC8BCE4D28}"/>
            </a:ext>
          </a:extLst>
        </xdr:cNvPr>
        <xdr:cNvSpPr txBox="1"/>
      </xdr:nvSpPr>
      <xdr:spPr>
        <a:xfrm>
          <a:off x="5691822" y="20425600"/>
          <a:ext cx="4203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Blocked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74842</xdr:colOff>
      <xdr:row>75</xdr:row>
      <xdr:rowOff>174625</xdr:rowOff>
    </xdr:from>
    <xdr:to>
      <xdr:col>5</xdr:col>
      <xdr:colOff>47626</xdr:colOff>
      <xdr:row>82</xdr:row>
      <xdr:rowOff>2291</xdr:rowOff>
    </xdr:to>
    <xdr:sp macro="" textlink="">
      <xdr:nvSpPr>
        <xdr:cNvPr id="254" name="MC_BR_C_synergy_friendly_C_mkt_fr_exceed">
          <a:extLst>
            <a:ext uri="{FF2B5EF4-FFF2-40B4-BE49-F238E27FC236}">
              <a16:creationId xmlns:a16="http://schemas.microsoft.com/office/drawing/2014/main" id="{AFB8BA30-3084-E809-23BF-E653BCA3FA38}"/>
            </a:ext>
          </a:extLst>
        </xdr:cNvPr>
        <xdr:cNvSpPr/>
      </xdr:nvSpPr>
      <xdr:spPr>
        <a:xfrm>
          <a:off x="8380642" y="14404975"/>
          <a:ext cx="2873147" cy="1161166"/>
        </a:xfrm>
        <a:custGeom>
          <a:avLst/>
          <a:gdLst/>
          <a:ahLst/>
          <a:cxnLst/>
          <a:rect l="0" t="0" r="0" b="0"/>
          <a:pathLst>
            <a:path w="28731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873146" y="0"/>
              </a:lnTo>
              <a:lnTo>
                <a:pt x="28731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75</xdr:row>
      <xdr:rowOff>99250</xdr:rowOff>
    </xdr:from>
    <xdr:ext cx="1064907" cy="182550"/>
    <xdr:sp macro="_xll.MC_OnBranchLabelClick" textlink="">
      <xdr:nvSpPr>
        <xdr:cNvPr id="255" name="MC_BN_C_synergy_friendly_C_mkt_fr_exceed">
          <a:extLst>
            <a:ext uri="{FF2B5EF4-FFF2-40B4-BE49-F238E27FC236}">
              <a16:creationId xmlns:a16="http://schemas.microsoft.com/office/drawing/2014/main" id="{7BF916D2-FE55-88DE-12C0-A1CFBBDCA135}"/>
            </a:ext>
          </a:extLst>
        </xdr:cNvPr>
        <xdr:cNvSpPr txBox="1"/>
      </xdr:nvSpPr>
      <xdr:spPr>
        <a:xfrm>
          <a:off x="8592185" y="14329600"/>
          <a:ext cx="10649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Exceeds Expectations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81</xdr:row>
      <xdr:rowOff>187110</xdr:rowOff>
    </xdr:from>
    <xdr:to>
      <xdr:col>5</xdr:col>
      <xdr:colOff>47626</xdr:colOff>
      <xdr:row>86</xdr:row>
      <xdr:rowOff>15876</xdr:rowOff>
    </xdr:to>
    <xdr:sp macro="" textlink="">
      <xdr:nvSpPr>
        <xdr:cNvPr id="256" name="MC_BR_C_synergy_friendly_C_mkt_fr_meet">
          <a:extLst>
            <a:ext uri="{FF2B5EF4-FFF2-40B4-BE49-F238E27FC236}">
              <a16:creationId xmlns:a16="http://schemas.microsoft.com/office/drawing/2014/main" id="{FFB484A0-662F-D3D0-4C46-2F166FDF1EB6}"/>
            </a:ext>
          </a:extLst>
        </xdr:cNvPr>
        <xdr:cNvSpPr/>
      </xdr:nvSpPr>
      <xdr:spPr>
        <a:xfrm>
          <a:off x="8380843" y="15560460"/>
          <a:ext cx="2872946" cy="781266"/>
        </a:xfrm>
        <a:custGeom>
          <a:avLst/>
          <a:gdLst/>
          <a:ahLst/>
          <a:cxnLst/>
          <a:rect l="0" t="0" r="0" b="0"/>
          <a:pathLst>
            <a:path w="2872946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2872945" y="749515"/>
              </a:lnTo>
              <a:lnTo>
                <a:pt x="2872945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85</xdr:row>
      <xdr:rowOff>99250</xdr:rowOff>
    </xdr:from>
    <xdr:ext cx="950838" cy="182550"/>
    <xdr:sp macro="_xll.MC_OnBranchLabelClick" textlink="">
      <xdr:nvSpPr>
        <xdr:cNvPr id="257" name="MC_BN_C_synergy_friendly_C_mkt_fr_meet">
          <a:extLst>
            <a:ext uri="{FF2B5EF4-FFF2-40B4-BE49-F238E27FC236}">
              <a16:creationId xmlns:a16="http://schemas.microsoft.com/office/drawing/2014/main" id="{956115DE-0A76-7199-437F-E72E794DC0E7}"/>
            </a:ext>
          </a:extLst>
        </xdr:cNvPr>
        <xdr:cNvSpPr txBox="1"/>
      </xdr:nvSpPr>
      <xdr:spPr>
        <a:xfrm>
          <a:off x="8592185" y="16234600"/>
          <a:ext cx="9508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Meets Expectations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74718</xdr:colOff>
      <xdr:row>81</xdr:row>
      <xdr:rowOff>189347</xdr:rowOff>
    </xdr:from>
    <xdr:to>
      <xdr:col>5</xdr:col>
      <xdr:colOff>47626</xdr:colOff>
      <xdr:row>94</xdr:row>
      <xdr:rowOff>15876</xdr:rowOff>
    </xdr:to>
    <xdr:sp macro="" textlink="">
      <xdr:nvSpPr>
        <xdr:cNvPr id="258" name="MC_BR_C_synergy_friendly_C_mkt_fr_below">
          <a:extLst>
            <a:ext uri="{FF2B5EF4-FFF2-40B4-BE49-F238E27FC236}">
              <a16:creationId xmlns:a16="http://schemas.microsoft.com/office/drawing/2014/main" id="{8BFAC6F3-FC72-8A50-D791-50ED818207AD}"/>
            </a:ext>
          </a:extLst>
        </xdr:cNvPr>
        <xdr:cNvSpPr/>
      </xdr:nvSpPr>
      <xdr:spPr>
        <a:xfrm>
          <a:off x="8380518" y="15562697"/>
          <a:ext cx="2873271" cy="2303029"/>
        </a:xfrm>
        <a:custGeom>
          <a:avLst/>
          <a:gdLst/>
          <a:ahLst/>
          <a:cxnLst/>
          <a:rect l="0" t="0" r="0" b="0"/>
          <a:pathLst>
            <a:path w="2873271" h="2303029">
              <a:moveTo>
                <a:pt x="31666" y="0"/>
              </a:moveTo>
              <a:lnTo>
                <a:pt x="198290" y="2286000"/>
              </a:lnTo>
              <a:lnTo>
                <a:pt x="182457" y="2271278"/>
              </a:lnTo>
              <a:lnTo>
                <a:pt x="2873270" y="2271278"/>
              </a:lnTo>
              <a:lnTo>
                <a:pt x="2873270" y="2303028"/>
              </a:lnTo>
              <a:lnTo>
                <a:pt x="182457" y="2303028"/>
              </a:lnTo>
              <a:lnTo>
                <a:pt x="166624" y="2288306"/>
              </a:lnTo>
              <a:lnTo>
                <a:pt x="0" y="230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93</xdr:row>
      <xdr:rowOff>99250</xdr:rowOff>
    </xdr:from>
    <xdr:ext cx="950773" cy="182550"/>
    <xdr:sp macro="_xll.MC_OnBranchLabelClick" textlink="">
      <xdr:nvSpPr>
        <xdr:cNvPr id="259" name="MC_BN_C_synergy_friendly_C_mkt_fr_below">
          <a:extLst>
            <a:ext uri="{FF2B5EF4-FFF2-40B4-BE49-F238E27FC236}">
              <a16:creationId xmlns:a16="http://schemas.microsoft.com/office/drawing/2014/main" id="{33134668-593E-80C4-DFB4-54052339BD47}"/>
            </a:ext>
          </a:extLst>
        </xdr:cNvPr>
        <xdr:cNvSpPr txBox="1"/>
      </xdr:nvSpPr>
      <xdr:spPr>
        <a:xfrm>
          <a:off x="8592185" y="17758600"/>
          <a:ext cx="9507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Below Expectations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73</xdr:row>
      <xdr:rowOff>174625</xdr:rowOff>
    </xdr:from>
    <xdr:to>
      <xdr:col>6</xdr:col>
      <xdr:colOff>47626</xdr:colOff>
      <xdr:row>76</xdr:row>
      <xdr:rowOff>6362</xdr:rowOff>
    </xdr:to>
    <xdr:sp macro="" textlink="">
      <xdr:nvSpPr>
        <xdr:cNvPr id="260" name="MC_BR_C_mkt_fr_exceed_T_fr_exceed_bull">
          <a:extLst>
            <a:ext uri="{FF2B5EF4-FFF2-40B4-BE49-F238E27FC236}">
              <a16:creationId xmlns:a16="http://schemas.microsoft.com/office/drawing/2014/main" id="{AACD5EF3-6042-2E4B-6FA3-EE60E67084D1}"/>
            </a:ext>
          </a:extLst>
        </xdr:cNvPr>
        <xdr:cNvSpPr/>
      </xdr:nvSpPr>
      <xdr:spPr>
        <a:xfrm>
          <a:off x="11282169" y="14023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73</xdr:row>
      <xdr:rowOff>99250</xdr:rowOff>
    </xdr:from>
    <xdr:ext cx="568554" cy="182550"/>
    <xdr:sp macro="_xll.MC_OnBranchLabelClick" textlink="">
      <xdr:nvSpPr>
        <xdr:cNvPr id="261" name="MC_BN_C_mkt_fr_exceed_T_fr_exceed_bull">
          <a:extLst>
            <a:ext uri="{FF2B5EF4-FFF2-40B4-BE49-F238E27FC236}">
              <a16:creationId xmlns:a16="http://schemas.microsoft.com/office/drawing/2014/main" id="{7F97005F-4012-7E1B-B5B5-BFA3C7816873}"/>
            </a:ext>
          </a:extLst>
        </xdr:cNvPr>
        <xdr:cNvSpPr txBox="1"/>
      </xdr:nvSpPr>
      <xdr:spPr>
        <a:xfrm>
          <a:off x="11492547" y="13948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Bull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75</xdr:row>
      <xdr:rowOff>184139</xdr:rowOff>
    </xdr:from>
    <xdr:to>
      <xdr:col>6</xdr:col>
      <xdr:colOff>47626</xdr:colOff>
      <xdr:row>78</xdr:row>
      <xdr:rowOff>15876</xdr:rowOff>
    </xdr:to>
    <xdr:sp macro="" textlink="">
      <xdr:nvSpPr>
        <xdr:cNvPr id="262" name="MC_BR_C_mkt_fr_exceed_T_fr_exceed_flat">
          <a:extLst>
            <a:ext uri="{FF2B5EF4-FFF2-40B4-BE49-F238E27FC236}">
              <a16:creationId xmlns:a16="http://schemas.microsoft.com/office/drawing/2014/main" id="{1AC1AB97-2742-A4C8-DCC3-319F040EDED4}"/>
            </a:ext>
          </a:extLst>
        </xdr:cNvPr>
        <xdr:cNvSpPr/>
      </xdr:nvSpPr>
      <xdr:spPr>
        <a:xfrm>
          <a:off x="11282169" y="14414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77</xdr:row>
      <xdr:rowOff>99250</xdr:rowOff>
    </xdr:from>
    <xdr:ext cx="568554" cy="182550"/>
    <xdr:sp macro="_xll.MC_OnBranchLabelClick" textlink="">
      <xdr:nvSpPr>
        <xdr:cNvPr id="263" name="MC_BN_C_mkt_fr_exceed_T_fr_exceed_flat">
          <a:extLst>
            <a:ext uri="{FF2B5EF4-FFF2-40B4-BE49-F238E27FC236}">
              <a16:creationId xmlns:a16="http://schemas.microsoft.com/office/drawing/2014/main" id="{916A9AE9-18D5-E595-9E37-AD4BE76D724F}"/>
            </a:ext>
          </a:extLst>
        </xdr:cNvPr>
        <xdr:cNvSpPr txBox="1"/>
      </xdr:nvSpPr>
      <xdr:spPr>
        <a:xfrm>
          <a:off x="11492547" y="14710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Flat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75</xdr:row>
      <xdr:rowOff>187110</xdr:rowOff>
    </xdr:from>
    <xdr:to>
      <xdr:col>6</xdr:col>
      <xdr:colOff>47626</xdr:colOff>
      <xdr:row>80</xdr:row>
      <xdr:rowOff>15876</xdr:rowOff>
    </xdr:to>
    <xdr:sp macro="" textlink="">
      <xdr:nvSpPr>
        <xdr:cNvPr id="264" name="MC_BR_C_mkt_fr_exceed_T_fr_exceed_bear">
          <a:extLst>
            <a:ext uri="{FF2B5EF4-FFF2-40B4-BE49-F238E27FC236}">
              <a16:creationId xmlns:a16="http://schemas.microsoft.com/office/drawing/2014/main" id="{3C0FC168-89C5-979B-F173-1F560624F316}"/>
            </a:ext>
          </a:extLst>
        </xdr:cNvPr>
        <xdr:cNvSpPr/>
      </xdr:nvSpPr>
      <xdr:spPr>
        <a:xfrm>
          <a:off x="11281205" y="14417460"/>
          <a:ext cx="2615771" cy="781266"/>
        </a:xfrm>
        <a:custGeom>
          <a:avLst/>
          <a:gdLst/>
          <a:ahLst/>
          <a:cxnLst/>
          <a:rect l="0" t="0" r="0" b="0"/>
          <a:pathLst>
            <a:path w="2615771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615770" y="749515"/>
              </a:lnTo>
              <a:lnTo>
                <a:pt x="2615770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79</xdr:row>
      <xdr:rowOff>99250</xdr:rowOff>
    </xdr:from>
    <xdr:ext cx="614271" cy="182550"/>
    <xdr:sp macro="_xll.MC_OnBranchLabelClick" textlink="">
      <xdr:nvSpPr>
        <xdr:cNvPr id="265" name="MC_BN_C_mkt_fr_exceed_T_fr_exceed_bear">
          <a:extLst>
            <a:ext uri="{FF2B5EF4-FFF2-40B4-BE49-F238E27FC236}">
              <a16:creationId xmlns:a16="http://schemas.microsoft.com/office/drawing/2014/main" id="{DDFEF8DB-CBCB-B038-7A18-78E56CCB0500}"/>
            </a:ext>
          </a:extLst>
        </xdr:cNvPr>
        <xdr:cNvSpPr txBox="1"/>
      </xdr:nvSpPr>
      <xdr:spPr>
        <a:xfrm>
          <a:off x="11492547" y="15091600"/>
          <a:ext cx="6142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Bear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83</xdr:row>
      <xdr:rowOff>174625</xdr:rowOff>
    </xdr:from>
    <xdr:to>
      <xdr:col>6</xdr:col>
      <xdr:colOff>47626</xdr:colOff>
      <xdr:row>86</xdr:row>
      <xdr:rowOff>6362</xdr:rowOff>
    </xdr:to>
    <xdr:sp macro="" textlink="">
      <xdr:nvSpPr>
        <xdr:cNvPr id="266" name="MC_BR_C_mkt_fr_meet_T_fr_meet_bull">
          <a:extLst>
            <a:ext uri="{FF2B5EF4-FFF2-40B4-BE49-F238E27FC236}">
              <a16:creationId xmlns:a16="http://schemas.microsoft.com/office/drawing/2014/main" id="{A9F49993-31DB-D97A-6423-329B0422442D}"/>
            </a:ext>
          </a:extLst>
        </xdr:cNvPr>
        <xdr:cNvSpPr/>
      </xdr:nvSpPr>
      <xdr:spPr>
        <a:xfrm>
          <a:off x="11282169" y="15928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83</xdr:row>
      <xdr:rowOff>99250</xdr:rowOff>
    </xdr:from>
    <xdr:ext cx="568554" cy="182550"/>
    <xdr:sp macro="_xll.MC_OnBranchLabelClick" textlink="">
      <xdr:nvSpPr>
        <xdr:cNvPr id="267" name="MC_BN_C_mkt_fr_meet_T_fr_meet_bull">
          <a:extLst>
            <a:ext uri="{FF2B5EF4-FFF2-40B4-BE49-F238E27FC236}">
              <a16:creationId xmlns:a16="http://schemas.microsoft.com/office/drawing/2014/main" id="{D60B05AB-10BB-CBB5-1DEE-0FF5159F572C}"/>
            </a:ext>
          </a:extLst>
        </xdr:cNvPr>
        <xdr:cNvSpPr txBox="1"/>
      </xdr:nvSpPr>
      <xdr:spPr>
        <a:xfrm>
          <a:off x="11492547" y="15853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Bull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85</xdr:row>
      <xdr:rowOff>184139</xdr:rowOff>
    </xdr:from>
    <xdr:to>
      <xdr:col>6</xdr:col>
      <xdr:colOff>47626</xdr:colOff>
      <xdr:row>88</xdr:row>
      <xdr:rowOff>15876</xdr:rowOff>
    </xdr:to>
    <xdr:sp macro="" textlink="">
      <xdr:nvSpPr>
        <xdr:cNvPr id="268" name="MC_BR_C_mkt_fr_meet_T_fr_meet_flat">
          <a:extLst>
            <a:ext uri="{FF2B5EF4-FFF2-40B4-BE49-F238E27FC236}">
              <a16:creationId xmlns:a16="http://schemas.microsoft.com/office/drawing/2014/main" id="{6401407F-8016-4016-22F1-34B7FAF90AB6}"/>
            </a:ext>
          </a:extLst>
        </xdr:cNvPr>
        <xdr:cNvSpPr/>
      </xdr:nvSpPr>
      <xdr:spPr>
        <a:xfrm>
          <a:off x="11282169" y="16319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87</xdr:row>
      <xdr:rowOff>99250</xdr:rowOff>
    </xdr:from>
    <xdr:ext cx="568554" cy="182550"/>
    <xdr:sp macro="_xll.MC_OnBranchLabelClick" textlink="">
      <xdr:nvSpPr>
        <xdr:cNvPr id="269" name="MC_BN_C_mkt_fr_meet_T_fr_meet_flat">
          <a:extLst>
            <a:ext uri="{FF2B5EF4-FFF2-40B4-BE49-F238E27FC236}">
              <a16:creationId xmlns:a16="http://schemas.microsoft.com/office/drawing/2014/main" id="{71AB6351-B7D1-0AD5-F69A-3F9413B74C81}"/>
            </a:ext>
          </a:extLst>
        </xdr:cNvPr>
        <xdr:cNvSpPr txBox="1"/>
      </xdr:nvSpPr>
      <xdr:spPr>
        <a:xfrm>
          <a:off x="11492547" y="16615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Flat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85</xdr:row>
      <xdr:rowOff>187110</xdr:rowOff>
    </xdr:from>
    <xdr:to>
      <xdr:col>6</xdr:col>
      <xdr:colOff>47626</xdr:colOff>
      <xdr:row>90</xdr:row>
      <xdr:rowOff>15876</xdr:rowOff>
    </xdr:to>
    <xdr:sp macro="" textlink="">
      <xdr:nvSpPr>
        <xdr:cNvPr id="270" name="MC_BR_C_mkt_fr_meet_T_fr_meet_bear">
          <a:extLst>
            <a:ext uri="{FF2B5EF4-FFF2-40B4-BE49-F238E27FC236}">
              <a16:creationId xmlns:a16="http://schemas.microsoft.com/office/drawing/2014/main" id="{61439CA8-F920-FE4F-7B81-5A6B250397C3}"/>
            </a:ext>
          </a:extLst>
        </xdr:cNvPr>
        <xdr:cNvSpPr/>
      </xdr:nvSpPr>
      <xdr:spPr>
        <a:xfrm>
          <a:off x="11281205" y="16322460"/>
          <a:ext cx="2615771" cy="781266"/>
        </a:xfrm>
        <a:custGeom>
          <a:avLst/>
          <a:gdLst/>
          <a:ahLst/>
          <a:cxnLst/>
          <a:rect l="0" t="0" r="0" b="0"/>
          <a:pathLst>
            <a:path w="2615771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615770" y="749515"/>
              </a:lnTo>
              <a:lnTo>
                <a:pt x="2615770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89</xdr:row>
      <xdr:rowOff>99250</xdr:rowOff>
    </xdr:from>
    <xdr:ext cx="614271" cy="182550"/>
    <xdr:sp macro="_xll.MC_OnBranchLabelClick" textlink="">
      <xdr:nvSpPr>
        <xdr:cNvPr id="271" name="MC_BN_C_mkt_fr_meet_T_fr_meet_bear">
          <a:extLst>
            <a:ext uri="{FF2B5EF4-FFF2-40B4-BE49-F238E27FC236}">
              <a16:creationId xmlns:a16="http://schemas.microsoft.com/office/drawing/2014/main" id="{8EE9C025-FCF9-7EEA-51B4-12A4564A2C1E}"/>
            </a:ext>
          </a:extLst>
        </xdr:cNvPr>
        <xdr:cNvSpPr txBox="1"/>
      </xdr:nvSpPr>
      <xdr:spPr>
        <a:xfrm>
          <a:off x="11492547" y="16996600"/>
          <a:ext cx="6142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Bear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91</xdr:row>
      <xdr:rowOff>174625</xdr:rowOff>
    </xdr:from>
    <xdr:to>
      <xdr:col>6</xdr:col>
      <xdr:colOff>47626</xdr:colOff>
      <xdr:row>94</xdr:row>
      <xdr:rowOff>6362</xdr:rowOff>
    </xdr:to>
    <xdr:sp macro="" textlink="">
      <xdr:nvSpPr>
        <xdr:cNvPr id="272" name="MC_BR_C_mkt_fr_below_T_fr_below_bull">
          <a:extLst>
            <a:ext uri="{FF2B5EF4-FFF2-40B4-BE49-F238E27FC236}">
              <a16:creationId xmlns:a16="http://schemas.microsoft.com/office/drawing/2014/main" id="{25846512-52D5-D521-D077-FACB9C00CDB8}"/>
            </a:ext>
          </a:extLst>
        </xdr:cNvPr>
        <xdr:cNvSpPr/>
      </xdr:nvSpPr>
      <xdr:spPr>
        <a:xfrm>
          <a:off x="11282169" y="17452975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4806" y="0"/>
              </a:lnTo>
              <a:lnTo>
                <a:pt x="261480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91</xdr:row>
      <xdr:rowOff>99250</xdr:rowOff>
    </xdr:from>
    <xdr:ext cx="568554" cy="182550"/>
    <xdr:sp macro="_xll.MC_OnBranchLabelClick" textlink="">
      <xdr:nvSpPr>
        <xdr:cNvPr id="273" name="MC_BN_C_mkt_fr_below_T_fr_below_bull">
          <a:extLst>
            <a:ext uri="{FF2B5EF4-FFF2-40B4-BE49-F238E27FC236}">
              <a16:creationId xmlns:a16="http://schemas.microsoft.com/office/drawing/2014/main" id="{22946336-9F8C-25A4-D944-CEC25B212C3A}"/>
            </a:ext>
          </a:extLst>
        </xdr:cNvPr>
        <xdr:cNvSpPr txBox="1"/>
      </xdr:nvSpPr>
      <xdr:spPr>
        <a:xfrm>
          <a:off x="11492547" y="17377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Bull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93</xdr:row>
      <xdr:rowOff>184139</xdr:rowOff>
    </xdr:from>
    <xdr:to>
      <xdr:col>6</xdr:col>
      <xdr:colOff>47626</xdr:colOff>
      <xdr:row>96</xdr:row>
      <xdr:rowOff>15876</xdr:rowOff>
    </xdr:to>
    <xdr:sp macro="" textlink="">
      <xdr:nvSpPr>
        <xdr:cNvPr id="274" name="MC_BR_C_mkt_fr_below_T_fr_below_flat">
          <a:extLst>
            <a:ext uri="{FF2B5EF4-FFF2-40B4-BE49-F238E27FC236}">
              <a16:creationId xmlns:a16="http://schemas.microsoft.com/office/drawing/2014/main" id="{EFD187D9-E5AA-7858-0F87-05A8154A6ACF}"/>
            </a:ext>
          </a:extLst>
        </xdr:cNvPr>
        <xdr:cNvSpPr/>
      </xdr:nvSpPr>
      <xdr:spPr>
        <a:xfrm>
          <a:off x="11282169" y="17843489"/>
          <a:ext cx="2614807" cy="403237"/>
        </a:xfrm>
        <a:custGeom>
          <a:avLst/>
          <a:gdLst/>
          <a:ahLst/>
          <a:cxnLst/>
          <a:rect l="0" t="0" r="0" b="0"/>
          <a:pathLst>
            <a:path w="261480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614806" y="371486"/>
              </a:lnTo>
              <a:lnTo>
                <a:pt x="261480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95</xdr:row>
      <xdr:rowOff>99250</xdr:rowOff>
    </xdr:from>
    <xdr:ext cx="568554" cy="182550"/>
    <xdr:sp macro="_xll.MC_OnBranchLabelClick" textlink="">
      <xdr:nvSpPr>
        <xdr:cNvPr id="275" name="MC_BN_C_mkt_fr_below_T_fr_below_flat">
          <a:extLst>
            <a:ext uri="{FF2B5EF4-FFF2-40B4-BE49-F238E27FC236}">
              <a16:creationId xmlns:a16="http://schemas.microsoft.com/office/drawing/2014/main" id="{80D350CE-A6E1-1F1A-69E8-75066A99B2B2}"/>
            </a:ext>
          </a:extLst>
        </xdr:cNvPr>
        <xdr:cNvSpPr txBox="1"/>
      </xdr:nvSpPr>
      <xdr:spPr>
        <a:xfrm>
          <a:off x="11492547" y="18139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Flat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93</xdr:row>
      <xdr:rowOff>187110</xdr:rowOff>
    </xdr:from>
    <xdr:to>
      <xdr:col>6</xdr:col>
      <xdr:colOff>47626</xdr:colOff>
      <xdr:row>98</xdr:row>
      <xdr:rowOff>15876</xdr:rowOff>
    </xdr:to>
    <xdr:sp macro="" textlink="">
      <xdr:nvSpPr>
        <xdr:cNvPr id="276" name="MC_BR_C_mkt_fr_below_T_fr_below_bear">
          <a:extLst>
            <a:ext uri="{FF2B5EF4-FFF2-40B4-BE49-F238E27FC236}">
              <a16:creationId xmlns:a16="http://schemas.microsoft.com/office/drawing/2014/main" id="{F9AC0D3E-8691-5D7E-3C07-7FE6EF9A22F5}"/>
            </a:ext>
          </a:extLst>
        </xdr:cNvPr>
        <xdr:cNvSpPr/>
      </xdr:nvSpPr>
      <xdr:spPr>
        <a:xfrm>
          <a:off x="11281205" y="17846460"/>
          <a:ext cx="2615771" cy="781266"/>
        </a:xfrm>
        <a:custGeom>
          <a:avLst/>
          <a:gdLst/>
          <a:ahLst/>
          <a:cxnLst/>
          <a:rect l="0" t="0" r="0" b="0"/>
          <a:pathLst>
            <a:path w="2615771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615770" y="749515"/>
              </a:lnTo>
              <a:lnTo>
                <a:pt x="2615770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97</xdr:row>
      <xdr:rowOff>99250</xdr:rowOff>
    </xdr:from>
    <xdr:ext cx="614271" cy="182550"/>
    <xdr:sp macro="_xll.MC_OnBranchLabelClick" textlink="">
      <xdr:nvSpPr>
        <xdr:cNvPr id="277" name="MC_BN_C_mkt_fr_below_T_fr_below_bear">
          <a:extLst>
            <a:ext uri="{FF2B5EF4-FFF2-40B4-BE49-F238E27FC236}">
              <a16:creationId xmlns:a16="http://schemas.microsoft.com/office/drawing/2014/main" id="{FC51A3A2-2B97-1A3E-1857-1589CD661526}"/>
            </a:ext>
          </a:extLst>
        </xdr:cNvPr>
        <xdr:cNvSpPr txBox="1"/>
      </xdr:nvSpPr>
      <xdr:spPr>
        <a:xfrm>
          <a:off x="11492547" y="18520600"/>
          <a:ext cx="6142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Bear Market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101</xdr:row>
      <xdr:rowOff>174625</xdr:rowOff>
    </xdr:from>
    <xdr:to>
      <xdr:col>5</xdr:col>
      <xdr:colOff>47626</xdr:colOff>
      <xdr:row>104</xdr:row>
      <xdr:rowOff>6362</xdr:rowOff>
    </xdr:to>
    <xdr:sp macro="" textlink="">
      <xdr:nvSpPr>
        <xdr:cNvPr id="278" name="MC_BR_C_synergy_friendly_cond_T_fr_cond_meet">
          <a:extLst>
            <a:ext uri="{FF2B5EF4-FFF2-40B4-BE49-F238E27FC236}">
              <a16:creationId xmlns:a16="http://schemas.microsoft.com/office/drawing/2014/main" id="{6C77E10C-18C8-EE1D-0DE9-E0E29C3990DC}"/>
            </a:ext>
          </a:extLst>
        </xdr:cNvPr>
        <xdr:cNvSpPr/>
      </xdr:nvSpPr>
      <xdr:spPr>
        <a:xfrm>
          <a:off x="8381806" y="19357975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871982" y="0"/>
              </a:lnTo>
              <a:lnTo>
                <a:pt x="28719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101</xdr:row>
      <xdr:rowOff>99250</xdr:rowOff>
    </xdr:from>
    <xdr:ext cx="950838" cy="182550"/>
    <xdr:sp macro="_xll.MC_OnBranchLabelClick" textlink="">
      <xdr:nvSpPr>
        <xdr:cNvPr id="279" name="MC_BN_C_synergy_friendly_cond_T_fr_cond_meet">
          <a:extLst>
            <a:ext uri="{FF2B5EF4-FFF2-40B4-BE49-F238E27FC236}">
              <a16:creationId xmlns:a16="http://schemas.microsoft.com/office/drawing/2014/main" id="{00785B32-1030-7496-153F-81D5E6CA9A9C}"/>
            </a:ext>
          </a:extLst>
        </xdr:cNvPr>
        <xdr:cNvSpPr txBox="1"/>
      </xdr:nvSpPr>
      <xdr:spPr>
        <a:xfrm>
          <a:off x="8592185" y="19282600"/>
          <a:ext cx="9508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Meets Expectations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103</xdr:row>
      <xdr:rowOff>184139</xdr:rowOff>
    </xdr:from>
    <xdr:to>
      <xdr:col>5</xdr:col>
      <xdr:colOff>47626</xdr:colOff>
      <xdr:row>106</xdr:row>
      <xdr:rowOff>15876</xdr:rowOff>
    </xdr:to>
    <xdr:sp macro="" textlink="">
      <xdr:nvSpPr>
        <xdr:cNvPr id="280" name="MC_BR_C_synergy_friendly_cond_T_fr_cond_below">
          <a:extLst>
            <a:ext uri="{FF2B5EF4-FFF2-40B4-BE49-F238E27FC236}">
              <a16:creationId xmlns:a16="http://schemas.microsoft.com/office/drawing/2014/main" id="{D18FBCBD-FE23-8357-E3F7-833025BC553B}"/>
            </a:ext>
          </a:extLst>
        </xdr:cNvPr>
        <xdr:cNvSpPr/>
      </xdr:nvSpPr>
      <xdr:spPr>
        <a:xfrm>
          <a:off x="8381806" y="19748489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871982" y="371486"/>
              </a:lnTo>
              <a:lnTo>
                <a:pt x="28719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105</xdr:row>
      <xdr:rowOff>99250</xdr:rowOff>
    </xdr:from>
    <xdr:ext cx="950773" cy="182550"/>
    <xdr:sp macro="_xll.MC_OnBranchLabelClick" textlink="">
      <xdr:nvSpPr>
        <xdr:cNvPr id="281" name="MC_BN_C_synergy_friendly_cond_T_fr_cond_below">
          <a:extLst>
            <a:ext uri="{FF2B5EF4-FFF2-40B4-BE49-F238E27FC236}">
              <a16:creationId xmlns:a16="http://schemas.microsoft.com/office/drawing/2014/main" id="{D3BDC072-C261-0CAD-B930-A520B25CD395}"/>
            </a:ext>
          </a:extLst>
        </xdr:cNvPr>
        <xdr:cNvSpPr txBox="1"/>
      </xdr:nvSpPr>
      <xdr:spPr>
        <a:xfrm>
          <a:off x="8592185" y="20044600"/>
          <a:ext cx="9507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Below Expectations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117</xdr:row>
      <xdr:rowOff>184150</xdr:rowOff>
    </xdr:from>
    <xdr:to>
      <xdr:col>4</xdr:col>
      <xdr:colOff>47626</xdr:colOff>
      <xdr:row>128</xdr:row>
      <xdr:rowOff>554</xdr:rowOff>
    </xdr:to>
    <xdr:sp macro="" textlink="">
      <xdr:nvSpPr>
        <xdr:cNvPr id="282" name="MC_BR_C_reg_minority_D_minority_strategy">
          <a:extLst>
            <a:ext uri="{FF2B5EF4-FFF2-40B4-BE49-F238E27FC236}">
              <a16:creationId xmlns:a16="http://schemas.microsoft.com/office/drawing/2014/main" id="{E4F7BA89-E049-F190-188E-DC79B78AD7D3}"/>
            </a:ext>
          </a:extLst>
        </xdr:cNvPr>
        <xdr:cNvSpPr/>
      </xdr:nvSpPr>
      <xdr:spPr>
        <a:xfrm>
          <a:off x="5489663" y="22415500"/>
          <a:ext cx="2863763" cy="1911904"/>
        </a:xfrm>
        <a:custGeom>
          <a:avLst/>
          <a:gdLst/>
          <a:ahLst/>
          <a:cxnLst/>
          <a:rect l="0" t="0" r="0" b="0"/>
          <a:pathLst>
            <a:path w="2863763" h="1911904">
              <a:moveTo>
                <a:pt x="0" y="1910797"/>
              </a:moveTo>
              <a:lnTo>
                <a:pt x="166624" y="5797"/>
              </a:lnTo>
              <a:lnTo>
                <a:pt x="172950" y="0"/>
              </a:lnTo>
              <a:lnTo>
                <a:pt x="2863762" y="0"/>
              </a:lnTo>
              <a:lnTo>
                <a:pt x="2863762" y="12700"/>
              </a:lnTo>
              <a:lnTo>
                <a:pt x="172950" y="12700"/>
              </a:lnTo>
              <a:lnTo>
                <a:pt x="179275" y="6903"/>
              </a:lnTo>
              <a:lnTo>
                <a:pt x="12652" y="1911903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117</xdr:row>
      <xdr:rowOff>99250</xdr:rowOff>
    </xdr:from>
    <xdr:ext cx="494623" cy="182550"/>
    <xdr:sp macro="_xll.MC_OnBranchLabelClick" textlink="">
      <xdr:nvSpPr>
        <xdr:cNvPr id="283" name="MC_BN_C_reg_minority_D_minority_strategy">
          <a:extLst>
            <a:ext uri="{FF2B5EF4-FFF2-40B4-BE49-F238E27FC236}">
              <a16:creationId xmlns:a16="http://schemas.microsoft.com/office/drawing/2014/main" id="{E0338B5F-1CA0-68D7-B776-6991D366C2A9}"/>
            </a:ext>
          </a:extLst>
        </xdr:cNvPr>
        <xdr:cNvSpPr txBox="1"/>
      </xdr:nvSpPr>
      <xdr:spPr>
        <a:xfrm>
          <a:off x="5691822" y="22330600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127</xdr:row>
      <xdr:rowOff>187956</xdr:rowOff>
    </xdr:from>
    <xdr:to>
      <xdr:col>4</xdr:col>
      <xdr:colOff>47626</xdr:colOff>
      <xdr:row>130</xdr:row>
      <xdr:rowOff>6351</xdr:rowOff>
    </xdr:to>
    <xdr:sp macro="" textlink="">
      <xdr:nvSpPr>
        <xdr:cNvPr id="284" name="MC_BR_C_reg_minority_T_minority_blocked">
          <a:extLst>
            <a:ext uri="{FF2B5EF4-FFF2-40B4-BE49-F238E27FC236}">
              <a16:creationId xmlns:a16="http://schemas.microsoft.com/office/drawing/2014/main" id="{E87B9BEB-DACC-149E-1279-EC353978561A}"/>
            </a:ext>
          </a:extLst>
        </xdr:cNvPr>
        <xdr:cNvSpPr/>
      </xdr:nvSpPr>
      <xdr:spPr>
        <a:xfrm>
          <a:off x="5490171" y="24324306"/>
          <a:ext cx="2863255" cy="389895"/>
        </a:xfrm>
        <a:custGeom>
          <a:avLst/>
          <a:gdLst/>
          <a:ahLst/>
          <a:cxnLst/>
          <a:rect l="0" t="0" r="0" b="0"/>
          <a:pathLst>
            <a:path w="2863255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863254" y="377194"/>
              </a:lnTo>
              <a:lnTo>
                <a:pt x="2863254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129</xdr:row>
      <xdr:rowOff>99250</xdr:rowOff>
    </xdr:from>
    <xdr:ext cx="420371" cy="182550"/>
    <xdr:sp macro="_xll.MC_OnBranchLabelClick" textlink="">
      <xdr:nvSpPr>
        <xdr:cNvPr id="285" name="MC_BN_C_reg_minority_T_minority_blocked">
          <a:extLst>
            <a:ext uri="{FF2B5EF4-FFF2-40B4-BE49-F238E27FC236}">
              <a16:creationId xmlns:a16="http://schemas.microsoft.com/office/drawing/2014/main" id="{47941B19-D148-FF44-200F-FE54F4486D38}"/>
            </a:ext>
          </a:extLst>
        </xdr:cNvPr>
        <xdr:cNvSpPr txBox="1"/>
      </xdr:nvSpPr>
      <xdr:spPr>
        <a:xfrm>
          <a:off x="5691822" y="24616600"/>
          <a:ext cx="4203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Blocked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111</xdr:row>
      <xdr:rowOff>184150</xdr:rowOff>
    </xdr:from>
    <xdr:to>
      <xdr:col>5</xdr:col>
      <xdr:colOff>47626</xdr:colOff>
      <xdr:row>118</xdr:row>
      <xdr:rowOff>917</xdr:rowOff>
    </xdr:to>
    <xdr:sp macro="" textlink="">
      <xdr:nvSpPr>
        <xdr:cNvPr id="286" name="MC_BR_D_minority_strategy_C_minority_active">
          <a:extLst>
            <a:ext uri="{FF2B5EF4-FFF2-40B4-BE49-F238E27FC236}">
              <a16:creationId xmlns:a16="http://schemas.microsoft.com/office/drawing/2014/main" id="{B25DCD8F-A39E-ED5D-1440-72768BCFBA7E}"/>
            </a:ext>
          </a:extLst>
        </xdr:cNvPr>
        <xdr:cNvSpPr/>
      </xdr:nvSpPr>
      <xdr:spPr>
        <a:xfrm>
          <a:off x="8390068" y="21272500"/>
          <a:ext cx="2863721" cy="1150267"/>
        </a:xfrm>
        <a:custGeom>
          <a:avLst/>
          <a:gdLst/>
          <a:ahLst/>
          <a:cxnLst/>
          <a:rect l="0" t="0" r="0" b="0"/>
          <a:pathLst>
            <a:path w="2863721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863720" y="0"/>
              </a:lnTo>
              <a:lnTo>
                <a:pt x="2863720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111</xdr:row>
      <xdr:rowOff>99250</xdr:rowOff>
    </xdr:from>
    <xdr:ext cx="1218860" cy="182550"/>
    <xdr:sp macro="_xll.MC_OnBranchLabelClick" textlink="">
      <xdr:nvSpPr>
        <xdr:cNvPr id="287" name="MC_BN_D_minority_strategy_C_minority_active">
          <a:extLst>
            <a:ext uri="{FF2B5EF4-FFF2-40B4-BE49-F238E27FC236}">
              <a16:creationId xmlns:a16="http://schemas.microsoft.com/office/drawing/2014/main" id="{28A9108B-3734-C0BD-6AEA-1C8147C79508}"/>
            </a:ext>
          </a:extLst>
        </xdr:cNvPr>
        <xdr:cNvSpPr txBox="1"/>
      </xdr:nvSpPr>
      <xdr:spPr>
        <a:xfrm>
          <a:off x="8592185" y="21187600"/>
          <a:ext cx="12188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Active Board Involvement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117</xdr:row>
      <xdr:rowOff>189143</xdr:rowOff>
    </xdr:from>
    <xdr:to>
      <xdr:col>5</xdr:col>
      <xdr:colOff>47626</xdr:colOff>
      <xdr:row>122</xdr:row>
      <xdr:rowOff>6351</xdr:rowOff>
    </xdr:to>
    <xdr:sp macro="" textlink="">
      <xdr:nvSpPr>
        <xdr:cNvPr id="288" name="MC_BR_D_minority_strategy_C_minority_passive">
          <a:extLst>
            <a:ext uri="{FF2B5EF4-FFF2-40B4-BE49-F238E27FC236}">
              <a16:creationId xmlns:a16="http://schemas.microsoft.com/office/drawing/2014/main" id="{04F5B4F0-42D4-74B1-8C8F-1D1FC6530C70}"/>
            </a:ext>
          </a:extLst>
        </xdr:cNvPr>
        <xdr:cNvSpPr/>
      </xdr:nvSpPr>
      <xdr:spPr>
        <a:xfrm>
          <a:off x="8390148" y="22420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121</xdr:row>
      <xdr:rowOff>99250</xdr:rowOff>
    </xdr:from>
    <xdr:ext cx="1384097" cy="182550"/>
    <xdr:sp macro="_xll.MC_OnBranchLabelClick" textlink="">
      <xdr:nvSpPr>
        <xdr:cNvPr id="289" name="MC_BN_D_minority_strategy_C_minority_passive">
          <a:extLst>
            <a:ext uri="{FF2B5EF4-FFF2-40B4-BE49-F238E27FC236}">
              <a16:creationId xmlns:a16="http://schemas.microsoft.com/office/drawing/2014/main" id="{CD077627-E332-FF7E-F3D4-C6C0F1607D6A}"/>
            </a:ext>
          </a:extLst>
        </xdr:cNvPr>
        <xdr:cNvSpPr txBox="1"/>
      </xdr:nvSpPr>
      <xdr:spPr>
        <a:xfrm>
          <a:off x="8592185" y="23092600"/>
          <a:ext cx="138409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Passive Financial Investment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109</xdr:row>
      <xdr:rowOff>184150</xdr:rowOff>
    </xdr:from>
    <xdr:to>
      <xdr:col>6</xdr:col>
      <xdr:colOff>47626</xdr:colOff>
      <xdr:row>112</xdr:row>
      <xdr:rowOff>2545</xdr:rowOff>
    </xdr:to>
    <xdr:sp macro="" textlink="">
      <xdr:nvSpPr>
        <xdr:cNvPr id="290" name="MC_BR_C_minority_active_T_min_active_success">
          <a:extLst>
            <a:ext uri="{FF2B5EF4-FFF2-40B4-BE49-F238E27FC236}">
              <a16:creationId xmlns:a16="http://schemas.microsoft.com/office/drawing/2014/main" id="{E68B5650-994D-C020-22D6-B793D99D8682}"/>
            </a:ext>
          </a:extLst>
        </xdr:cNvPr>
        <xdr:cNvSpPr/>
      </xdr:nvSpPr>
      <xdr:spPr>
        <a:xfrm>
          <a:off x="11290895" y="20891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109</xdr:row>
      <xdr:rowOff>99250</xdr:rowOff>
    </xdr:from>
    <xdr:ext cx="1150380" cy="182550"/>
    <xdr:sp macro="_xll.MC_OnBranchLabelClick" textlink="">
      <xdr:nvSpPr>
        <xdr:cNvPr id="291" name="MC_BN_C_minority_active_T_min_active_success">
          <a:extLst>
            <a:ext uri="{FF2B5EF4-FFF2-40B4-BE49-F238E27FC236}">
              <a16:creationId xmlns:a16="http://schemas.microsoft.com/office/drawing/2014/main" id="{5D3B930B-FF5A-C14A-3CDC-6DB9D17943B6}"/>
            </a:ext>
          </a:extLst>
        </xdr:cNvPr>
        <xdr:cNvSpPr txBox="1"/>
      </xdr:nvSpPr>
      <xdr:spPr>
        <a:xfrm>
          <a:off x="11492547" y="20806600"/>
          <a:ext cx="11503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Value Creation Success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111</xdr:row>
      <xdr:rowOff>187956</xdr:rowOff>
    </xdr:from>
    <xdr:to>
      <xdr:col>6</xdr:col>
      <xdr:colOff>47626</xdr:colOff>
      <xdr:row>114</xdr:row>
      <xdr:rowOff>6351</xdr:rowOff>
    </xdr:to>
    <xdr:sp macro="" textlink="">
      <xdr:nvSpPr>
        <xdr:cNvPr id="292" name="MC_BR_C_minority_active_T_min_active_mod">
          <a:extLst>
            <a:ext uri="{FF2B5EF4-FFF2-40B4-BE49-F238E27FC236}">
              <a16:creationId xmlns:a16="http://schemas.microsoft.com/office/drawing/2014/main" id="{55B065AC-8C2D-E2EA-E3D6-AF862199967E}"/>
            </a:ext>
          </a:extLst>
        </xdr:cNvPr>
        <xdr:cNvSpPr/>
      </xdr:nvSpPr>
      <xdr:spPr>
        <a:xfrm>
          <a:off x="11290895" y="21276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113</xdr:row>
      <xdr:rowOff>99250</xdr:rowOff>
    </xdr:from>
    <xdr:ext cx="1116268" cy="182550"/>
    <xdr:sp macro="_xll.MC_OnBranchLabelClick" textlink="">
      <xdr:nvSpPr>
        <xdr:cNvPr id="293" name="MC_BN_C_minority_active_T_min_active_mod">
          <a:extLst>
            <a:ext uri="{FF2B5EF4-FFF2-40B4-BE49-F238E27FC236}">
              <a16:creationId xmlns:a16="http://schemas.microsoft.com/office/drawing/2014/main" id="{75A74CDC-050D-BF7E-3593-C2935FCC44A9}"/>
            </a:ext>
          </a:extLst>
        </xdr:cNvPr>
        <xdr:cNvSpPr txBox="1"/>
      </xdr:nvSpPr>
      <xdr:spPr>
        <a:xfrm>
          <a:off x="11492547" y="21568600"/>
          <a:ext cx="11162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Improvement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111</xdr:row>
      <xdr:rowOff>189143</xdr:rowOff>
    </xdr:from>
    <xdr:to>
      <xdr:col>6</xdr:col>
      <xdr:colOff>47626</xdr:colOff>
      <xdr:row>116</xdr:row>
      <xdr:rowOff>6351</xdr:rowOff>
    </xdr:to>
    <xdr:sp macro="" textlink="">
      <xdr:nvSpPr>
        <xdr:cNvPr id="294" name="MC_BR_C_minority_active_T_min_active_conflict">
          <a:extLst>
            <a:ext uri="{FF2B5EF4-FFF2-40B4-BE49-F238E27FC236}">
              <a16:creationId xmlns:a16="http://schemas.microsoft.com/office/drawing/2014/main" id="{1C4218DA-84A6-65F0-6532-6D69FE9467D0}"/>
            </a:ext>
          </a:extLst>
        </xdr:cNvPr>
        <xdr:cNvSpPr/>
      </xdr:nvSpPr>
      <xdr:spPr>
        <a:xfrm>
          <a:off x="11290510" y="21277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115</xdr:row>
      <xdr:rowOff>99250</xdr:rowOff>
    </xdr:from>
    <xdr:ext cx="751103" cy="182550"/>
    <xdr:sp macro="_xll.MC_OnBranchLabelClick" textlink="">
      <xdr:nvSpPr>
        <xdr:cNvPr id="295" name="MC_BN_C_minority_active_T_min_active_conflict">
          <a:extLst>
            <a:ext uri="{FF2B5EF4-FFF2-40B4-BE49-F238E27FC236}">
              <a16:creationId xmlns:a16="http://schemas.microsoft.com/office/drawing/2014/main" id="{8DB35B72-7313-B54E-4D5D-BC36A140B1EA}"/>
            </a:ext>
          </a:extLst>
        </xdr:cNvPr>
        <xdr:cNvSpPr txBox="1"/>
      </xdr:nvSpPr>
      <xdr:spPr>
        <a:xfrm>
          <a:off x="11492547" y="21949600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Board Conflicts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119</xdr:row>
      <xdr:rowOff>184150</xdr:rowOff>
    </xdr:from>
    <xdr:to>
      <xdr:col>6</xdr:col>
      <xdr:colOff>47626</xdr:colOff>
      <xdr:row>122</xdr:row>
      <xdr:rowOff>2545</xdr:rowOff>
    </xdr:to>
    <xdr:sp macro="" textlink="">
      <xdr:nvSpPr>
        <xdr:cNvPr id="296" name="MC_BR_C_minority_passive_T_min_passive_up">
          <a:extLst>
            <a:ext uri="{FF2B5EF4-FFF2-40B4-BE49-F238E27FC236}">
              <a16:creationId xmlns:a16="http://schemas.microsoft.com/office/drawing/2014/main" id="{F85FF8B8-A93B-F0F6-F7D1-47CA451FBD0A}"/>
            </a:ext>
          </a:extLst>
        </xdr:cNvPr>
        <xdr:cNvSpPr/>
      </xdr:nvSpPr>
      <xdr:spPr>
        <a:xfrm>
          <a:off x="11290895" y="22796500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606080" y="0"/>
              </a:lnTo>
              <a:lnTo>
                <a:pt x="26060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119</xdr:row>
      <xdr:rowOff>99250</xdr:rowOff>
    </xdr:from>
    <xdr:ext cx="922304" cy="182550"/>
    <xdr:sp macro="_xll.MC_OnBranchLabelClick" textlink="">
      <xdr:nvSpPr>
        <xdr:cNvPr id="297" name="MC_BN_C_minority_passive_T_min_passive_up">
          <a:extLst>
            <a:ext uri="{FF2B5EF4-FFF2-40B4-BE49-F238E27FC236}">
              <a16:creationId xmlns:a16="http://schemas.microsoft.com/office/drawing/2014/main" id="{092833C3-3913-D5FB-3B73-1C018BC75E7F}"/>
            </a:ext>
          </a:extLst>
        </xdr:cNvPr>
        <xdr:cNvSpPr txBox="1"/>
      </xdr:nvSpPr>
      <xdr:spPr>
        <a:xfrm>
          <a:off x="11492547" y="22711600"/>
          <a:ext cx="92230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Target Appreciates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121</xdr:row>
      <xdr:rowOff>187956</xdr:rowOff>
    </xdr:from>
    <xdr:to>
      <xdr:col>6</xdr:col>
      <xdr:colOff>47626</xdr:colOff>
      <xdr:row>124</xdr:row>
      <xdr:rowOff>6351</xdr:rowOff>
    </xdr:to>
    <xdr:sp macro="" textlink="">
      <xdr:nvSpPr>
        <xdr:cNvPr id="298" name="MC_BR_C_minority_passive_T_min_passive_flat">
          <a:extLst>
            <a:ext uri="{FF2B5EF4-FFF2-40B4-BE49-F238E27FC236}">
              <a16:creationId xmlns:a16="http://schemas.microsoft.com/office/drawing/2014/main" id="{61D135B2-990E-4A40-E735-87527F2ABE87}"/>
            </a:ext>
          </a:extLst>
        </xdr:cNvPr>
        <xdr:cNvSpPr/>
      </xdr:nvSpPr>
      <xdr:spPr>
        <a:xfrm>
          <a:off x="11290895" y="23181306"/>
          <a:ext cx="2606081" cy="389895"/>
        </a:xfrm>
        <a:custGeom>
          <a:avLst/>
          <a:gdLst/>
          <a:ahLst/>
          <a:cxnLst/>
          <a:rect l="0" t="0" r="0" b="0"/>
          <a:pathLst>
            <a:path w="26060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606080" y="377194"/>
              </a:lnTo>
              <a:lnTo>
                <a:pt x="26060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123</xdr:row>
      <xdr:rowOff>99250</xdr:rowOff>
    </xdr:from>
    <xdr:ext cx="842346" cy="182550"/>
    <xdr:sp macro="_xll.MC_OnBranchLabelClick" textlink="">
      <xdr:nvSpPr>
        <xdr:cNvPr id="299" name="MC_BN_C_minority_passive_T_min_passive_flat">
          <a:extLst>
            <a:ext uri="{FF2B5EF4-FFF2-40B4-BE49-F238E27FC236}">
              <a16:creationId xmlns:a16="http://schemas.microsoft.com/office/drawing/2014/main" id="{D611CD4E-7F96-E387-FB1F-A4AD9177BBA1}"/>
            </a:ext>
          </a:extLst>
        </xdr:cNvPr>
        <xdr:cNvSpPr txBox="1"/>
      </xdr:nvSpPr>
      <xdr:spPr>
        <a:xfrm>
          <a:off x="11492547" y="23473600"/>
          <a:ext cx="8423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Flat Performance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121</xdr:row>
      <xdr:rowOff>189143</xdr:rowOff>
    </xdr:from>
    <xdr:to>
      <xdr:col>6</xdr:col>
      <xdr:colOff>47626</xdr:colOff>
      <xdr:row>126</xdr:row>
      <xdr:rowOff>6351</xdr:rowOff>
    </xdr:to>
    <xdr:sp macro="" textlink="">
      <xdr:nvSpPr>
        <xdr:cNvPr id="300" name="MC_BR_C_minority_passive_T_min_passive_down">
          <a:extLst>
            <a:ext uri="{FF2B5EF4-FFF2-40B4-BE49-F238E27FC236}">
              <a16:creationId xmlns:a16="http://schemas.microsoft.com/office/drawing/2014/main" id="{EF62C182-2F3D-4087-5295-48D569C4ABAE}"/>
            </a:ext>
          </a:extLst>
        </xdr:cNvPr>
        <xdr:cNvSpPr/>
      </xdr:nvSpPr>
      <xdr:spPr>
        <a:xfrm>
          <a:off x="11290510" y="23182493"/>
          <a:ext cx="2606466" cy="769708"/>
        </a:xfrm>
        <a:custGeom>
          <a:avLst/>
          <a:gdLst/>
          <a:ahLst/>
          <a:cxnLst/>
          <a:rect l="0" t="0" r="0" b="0"/>
          <a:pathLst>
            <a:path w="26064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606465" y="757007"/>
              </a:lnTo>
              <a:lnTo>
                <a:pt x="26064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125</xdr:row>
      <xdr:rowOff>99250</xdr:rowOff>
    </xdr:from>
    <xdr:ext cx="773866" cy="182550"/>
    <xdr:sp macro="_xll.MC_OnBranchLabelClick" textlink="">
      <xdr:nvSpPr>
        <xdr:cNvPr id="301" name="MC_BN_C_minority_passive_T_min_passive_down">
          <a:extLst>
            <a:ext uri="{FF2B5EF4-FFF2-40B4-BE49-F238E27FC236}">
              <a16:creationId xmlns:a16="http://schemas.microsoft.com/office/drawing/2014/main" id="{4CF23B4C-EB32-5D28-F261-6FB19F2626CF}"/>
            </a:ext>
          </a:extLst>
        </xdr:cNvPr>
        <xdr:cNvSpPr txBox="1"/>
      </xdr:nvSpPr>
      <xdr:spPr>
        <a:xfrm>
          <a:off x="11492547" y="23854600"/>
          <a:ext cx="7738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Target Declines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4763</xdr:colOff>
      <xdr:row>19</xdr:row>
      <xdr:rowOff>109537</xdr:rowOff>
    </xdr:from>
    <xdr:to>
      <xdr:col>6</xdr:col>
      <xdr:colOff>176213</xdr:colOff>
      <xdr:row>20</xdr:row>
      <xdr:rowOff>80962</xdr:rowOff>
    </xdr:to>
    <xdr:sp macro="_xll.MC_OnNodeClick" textlink="">
      <xdr:nvSpPr>
        <xdr:cNvPr id="302" name="MC_T_hostile_pos_full">
          <a:extLst>
            <a:ext uri="{FF2B5EF4-FFF2-40B4-BE49-F238E27FC236}">
              <a16:creationId xmlns:a16="http://schemas.microsoft.com/office/drawing/2014/main" id="{A7BED7BF-769F-B578-4D26-1728EF4DCB0E}"/>
            </a:ext>
          </a:extLst>
        </xdr:cNvPr>
        <xdr:cNvSpPr/>
      </xdr:nvSpPr>
      <xdr:spPr>
        <a:xfrm rot="16200000">
          <a:off x="1385887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21</xdr:row>
      <xdr:rowOff>109538</xdr:rowOff>
    </xdr:from>
    <xdr:to>
      <xdr:col>5</xdr:col>
      <xdr:colOff>180975</xdr:colOff>
      <xdr:row>22</xdr:row>
      <xdr:rowOff>80963</xdr:rowOff>
    </xdr:to>
    <xdr:sp macro="_xll.MC_OnNodeClick" textlink="">
      <xdr:nvSpPr>
        <xdr:cNvPr id="303" name="MC_C_integ_hostile_pos">
          <a:extLst>
            <a:ext uri="{FF2B5EF4-FFF2-40B4-BE49-F238E27FC236}">
              <a16:creationId xmlns:a16="http://schemas.microsoft.com/office/drawing/2014/main" id="{F2692231-BA39-C914-E362-D48F03CB207F}"/>
            </a:ext>
          </a:extLst>
        </xdr:cNvPr>
        <xdr:cNvSpPr/>
      </xdr:nvSpPr>
      <xdr:spPr>
        <a:xfrm>
          <a:off x="11215688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23</xdr:row>
      <xdr:rowOff>109537</xdr:rowOff>
    </xdr:from>
    <xdr:to>
      <xdr:col>6</xdr:col>
      <xdr:colOff>176213</xdr:colOff>
      <xdr:row>24</xdr:row>
      <xdr:rowOff>80962</xdr:rowOff>
    </xdr:to>
    <xdr:sp macro="_xll.MC_OnNodeClick" textlink="">
      <xdr:nvSpPr>
        <xdr:cNvPr id="304" name="MC_T_hostile_pos_part">
          <a:extLst>
            <a:ext uri="{FF2B5EF4-FFF2-40B4-BE49-F238E27FC236}">
              <a16:creationId xmlns:a16="http://schemas.microsoft.com/office/drawing/2014/main" id="{4FCD43B9-05A4-E12F-3681-8E8FCCFB78AC}"/>
            </a:ext>
          </a:extLst>
        </xdr:cNvPr>
        <xdr:cNvSpPr/>
      </xdr:nvSpPr>
      <xdr:spPr>
        <a:xfrm rot="16200000">
          <a:off x="1385887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25</xdr:row>
      <xdr:rowOff>109537</xdr:rowOff>
    </xdr:from>
    <xdr:to>
      <xdr:col>6</xdr:col>
      <xdr:colOff>176213</xdr:colOff>
      <xdr:row>26</xdr:row>
      <xdr:rowOff>80962</xdr:rowOff>
    </xdr:to>
    <xdr:sp macro="_xll.MC_OnNodeClick" textlink="">
      <xdr:nvSpPr>
        <xdr:cNvPr id="305" name="MC_T_hostile_pos_fail">
          <a:extLst>
            <a:ext uri="{FF2B5EF4-FFF2-40B4-BE49-F238E27FC236}">
              <a16:creationId xmlns:a16="http://schemas.microsoft.com/office/drawing/2014/main" id="{4F80086A-EE6A-147D-B71F-2B2BBE69F4A3}"/>
            </a:ext>
          </a:extLst>
        </xdr:cNvPr>
        <xdr:cNvSpPr/>
      </xdr:nvSpPr>
      <xdr:spPr>
        <a:xfrm rot="16200000">
          <a:off x="1385887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27</xdr:row>
      <xdr:rowOff>109538</xdr:rowOff>
    </xdr:from>
    <xdr:to>
      <xdr:col>4</xdr:col>
      <xdr:colOff>180975</xdr:colOff>
      <xdr:row>28</xdr:row>
      <xdr:rowOff>80963</xdr:rowOff>
    </xdr:to>
    <xdr:sp macro="_xll.MC_OnNodeClick" textlink="">
      <xdr:nvSpPr>
        <xdr:cNvPr id="306" name="MC_C_market_hostile">
          <a:extLst>
            <a:ext uri="{FF2B5EF4-FFF2-40B4-BE49-F238E27FC236}">
              <a16:creationId xmlns:a16="http://schemas.microsoft.com/office/drawing/2014/main" id="{8C473DF5-BBF8-4FF1-3024-3CBC5E53BE0D}"/>
            </a:ext>
          </a:extLst>
        </xdr:cNvPr>
        <xdr:cNvSpPr/>
      </xdr:nvSpPr>
      <xdr:spPr>
        <a:xfrm>
          <a:off x="8315325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29</xdr:row>
      <xdr:rowOff>109537</xdr:rowOff>
    </xdr:from>
    <xdr:to>
      <xdr:col>6</xdr:col>
      <xdr:colOff>176213</xdr:colOff>
      <xdr:row>30</xdr:row>
      <xdr:rowOff>80962</xdr:rowOff>
    </xdr:to>
    <xdr:sp macro="_xll.MC_OnNodeClick" textlink="">
      <xdr:nvSpPr>
        <xdr:cNvPr id="307" name="MC_T_hostile_neut_full">
          <a:extLst>
            <a:ext uri="{FF2B5EF4-FFF2-40B4-BE49-F238E27FC236}">
              <a16:creationId xmlns:a16="http://schemas.microsoft.com/office/drawing/2014/main" id="{09C72410-4197-5F15-5029-4F6A5AFD6F35}"/>
            </a:ext>
          </a:extLst>
        </xdr:cNvPr>
        <xdr:cNvSpPr/>
      </xdr:nvSpPr>
      <xdr:spPr>
        <a:xfrm rot="16200000">
          <a:off x="13858875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31</xdr:row>
      <xdr:rowOff>109538</xdr:rowOff>
    </xdr:from>
    <xdr:to>
      <xdr:col>5</xdr:col>
      <xdr:colOff>180975</xdr:colOff>
      <xdr:row>32</xdr:row>
      <xdr:rowOff>80963</xdr:rowOff>
    </xdr:to>
    <xdr:sp macro="_xll.MC_OnNodeClick" textlink="">
      <xdr:nvSpPr>
        <xdr:cNvPr id="308" name="MC_C_integ_hostile_neut">
          <a:extLst>
            <a:ext uri="{FF2B5EF4-FFF2-40B4-BE49-F238E27FC236}">
              <a16:creationId xmlns:a16="http://schemas.microsoft.com/office/drawing/2014/main" id="{4BB26BD1-52C1-18A5-8961-CDC7AA8D52D2}"/>
            </a:ext>
          </a:extLst>
        </xdr:cNvPr>
        <xdr:cNvSpPr/>
      </xdr:nvSpPr>
      <xdr:spPr>
        <a:xfrm>
          <a:off x="11215688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309" name="MC_T_hostile_neut_part">
          <a:extLst>
            <a:ext uri="{FF2B5EF4-FFF2-40B4-BE49-F238E27FC236}">
              <a16:creationId xmlns:a16="http://schemas.microsoft.com/office/drawing/2014/main" id="{C16B0C88-C0CE-9D7C-DC10-A41C800ECFAC}"/>
            </a:ext>
          </a:extLst>
        </xdr:cNvPr>
        <xdr:cNvSpPr/>
      </xdr:nvSpPr>
      <xdr:spPr>
        <a:xfrm rot="16200000">
          <a:off x="13858875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35</xdr:row>
      <xdr:rowOff>109537</xdr:rowOff>
    </xdr:from>
    <xdr:to>
      <xdr:col>6</xdr:col>
      <xdr:colOff>176213</xdr:colOff>
      <xdr:row>36</xdr:row>
      <xdr:rowOff>80962</xdr:rowOff>
    </xdr:to>
    <xdr:sp macro="_xll.MC_OnNodeClick" textlink="">
      <xdr:nvSpPr>
        <xdr:cNvPr id="310" name="MC_T_hostile_neut_fail">
          <a:extLst>
            <a:ext uri="{FF2B5EF4-FFF2-40B4-BE49-F238E27FC236}">
              <a16:creationId xmlns:a16="http://schemas.microsoft.com/office/drawing/2014/main" id="{B609EEBA-BFD1-747D-766F-400C8F3D9359}"/>
            </a:ext>
          </a:extLst>
        </xdr:cNvPr>
        <xdr:cNvSpPr/>
      </xdr:nvSpPr>
      <xdr:spPr>
        <a:xfrm rot="16200000">
          <a:off x="1385887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311" name="MC_T_hostile_neg_full">
          <a:extLst>
            <a:ext uri="{FF2B5EF4-FFF2-40B4-BE49-F238E27FC236}">
              <a16:creationId xmlns:a16="http://schemas.microsoft.com/office/drawing/2014/main" id="{83635254-8E16-8719-10A9-9034EDF6D1CE}"/>
            </a:ext>
          </a:extLst>
        </xdr:cNvPr>
        <xdr:cNvSpPr/>
      </xdr:nvSpPr>
      <xdr:spPr>
        <a:xfrm rot="16200000">
          <a:off x="1385887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312" name="MC_C_integ_hostile_neg">
          <a:extLst>
            <a:ext uri="{FF2B5EF4-FFF2-40B4-BE49-F238E27FC236}">
              <a16:creationId xmlns:a16="http://schemas.microsoft.com/office/drawing/2014/main" id="{9AF67AE8-64DA-121F-5BF9-68AE87577A28}"/>
            </a:ext>
          </a:extLst>
        </xdr:cNvPr>
        <xdr:cNvSpPr/>
      </xdr:nvSpPr>
      <xdr:spPr>
        <a:xfrm>
          <a:off x="11215688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313" name="MC_T_hostile_neg_part">
          <a:extLst>
            <a:ext uri="{FF2B5EF4-FFF2-40B4-BE49-F238E27FC236}">
              <a16:creationId xmlns:a16="http://schemas.microsoft.com/office/drawing/2014/main" id="{BA8D7936-56CF-BC34-CC74-15C5E9A5A14D}"/>
            </a:ext>
          </a:extLst>
        </xdr:cNvPr>
        <xdr:cNvSpPr/>
      </xdr:nvSpPr>
      <xdr:spPr>
        <a:xfrm rot="16200000">
          <a:off x="1385887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314" name="MC_T_hostile_neg_fail">
          <a:extLst>
            <a:ext uri="{FF2B5EF4-FFF2-40B4-BE49-F238E27FC236}">
              <a16:creationId xmlns:a16="http://schemas.microsoft.com/office/drawing/2014/main" id="{2CA005C9-AFAC-76DE-518C-096826AFFDAD}"/>
            </a:ext>
          </a:extLst>
        </xdr:cNvPr>
        <xdr:cNvSpPr/>
      </xdr:nvSpPr>
      <xdr:spPr>
        <a:xfrm rot="16200000">
          <a:off x="13858875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45</xdr:row>
      <xdr:rowOff>109538</xdr:rowOff>
    </xdr:from>
    <xdr:to>
      <xdr:col>3</xdr:col>
      <xdr:colOff>180975</xdr:colOff>
      <xdr:row>46</xdr:row>
      <xdr:rowOff>80963</xdr:rowOff>
    </xdr:to>
    <xdr:sp macro="_xll.MC_OnNodeClick" textlink="">
      <xdr:nvSpPr>
        <xdr:cNvPr id="315" name="MC_C_reg_hostile">
          <a:extLst>
            <a:ext uri="{FF2B5EF4-FFF2-40B4-BE49-F238E27FC236}">
              <a16:creationId xmlns:a16="http://schemas.microsoft.com/office/drawing/2014/main" id="{00FAFA07-DADC-3B6F-E2BC-FFA61C3F99DA}"/>
            </a:ext>
          </a:extLst>
        </xdr:cNvPr>
        <xdr:cNvSpPr/>
      </xdr:nvSpPr>
      <xdr:spPr>
        <a:xfrm>
          <a:off x="5414963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316" name="MC_T_hostile_cond_pos">
          <a:extLst>
            <a:ext uri="{FF2B5EF4-FFF2-40B4-BE49-F238E27FC236}">
              <a16:creationId xmlns:a16="http://schemas.microsoft.com/office/drawing/2014/main" id="{2873BE49-2FB8-6370-D60C-6005D80F49D5}"/>
            </a:ext>
          </a:extLst>
        </xdr:cNvPr>
        <xdr:cNvSpPr/>
      </xdr:nvSpPr>
      <xdr:spPr>
        <a:xfrm rot="16200000">
          <a:off x="11215688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49</xdr:row>
      <xdr:rowOff>109538</xdr:rowOff>
    </xdr:from>
    <xdr:to>
      <xdr:col>4</xdr:col>
      <xdr:colOff>180975</xdr:colOff>
      <xdr:row>50</xdr:row>
      <xdr:rowOff>80963</xdr:rowOff>
    </xdr:to>
    <xdr:sp macro="_xll.MC_OnNodeClick" textlink="">
      <xdr:nvSpPr>
        <xdr:cNvPr id="317" name="MC_C_market_hostile_cond">
          <a:extLst>
            <a:ext uri="{FF2B5EF4-FFF2-40B4-BE49-F238E27FC236}">
              <a16:creationId xmlns:a16="http://schemas.microsoft.com/office/drawing/2014/main" id="{C9B34936-E37F-D89D-A37F-4261EDA3AED3}"/>
            </a:ext>
          </a:extLst>
        </xdr:cNvPr>
        <xdr:cNvSpPr/>
      </xdr:nvSpPr>
      <xdr:spPr>
        <a:xfrm>
          <a:off x="8315325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51</xdr:row>
      <xdr:rowOff>109537</xdr:rowOff>
    </xdr:from>
    <xdr:to>
      <xdr:col>5</xdr:col>
      <xdr:colOff>176213</xdr:colOff>
      <xdr:row>52</xdr:row>
      <xdr:rowOff>80962</xdr:rowOff>
    </xdr:to>
    <xdr:sp macro="_xll.MC_OnNodeClick" textlink="">
      <xdr:nvSpPr>
        <xdr:cNvPr id="318" name="MC_T_hostile_cond_neut">
          <a:extLst>
            <a:ext uri="{FF2B5EF4-FFF2-40B4-BE49-F238E27FC236}">
              <a16:creationId xmlns:a16="http://schemas.microsoft.com/office/drawing/2014/main" id="{7954BC35-AF57-C791-F057-AC8743F2C5B2}"/>
            </a:ext>
          </a:extLst>
        </xdr:cNvPr>
        <xdr:cNvSpPr/>
      </xdr:nvSpPr>
      <xdr:spPr>
        <a:xfrm rot="16200000">
          <a:off x="11215688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319" name="MC_T_hostile_cond_neg">
          <a:extLst>
            <a:ext uri="{FF2B5EF4-FFF2-40B4-BE49-F238E27FC236}">
              <a16:creationId xmlns:a16="http://schemas.microsoft.com/office/drawing/2014/main" id="{84846566-F4C0-E1FF-B379-322CF7E90068}"/>
            </a:ext>
          </a:extLst>
        </xdr:cNvPr>
        <xdr:cNvSpPr/>
      </xdr:nvSpPr>
      <xdr:spPr>
        <a:xfrm rot="16200000">
          <a:off x="11215688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55</xdr:row>
      <xdr:rowOff>109537</xdr:rowOff>
    </xdr:from>
    <xdr:to>
      <xdr:col>7</xdr:col>
      <xdr:colOff>176213</xdr:colOff>
      <xdr:row>56</xdr:row>
      <xdr:rowOff>80962</xdr:rowOff>
    </xdr:to>
    <xdr:sp macro="_xll.MC_OnNodeClick" textlink="">
      <xdr:nvSpPr>
        <xdr:cNvPr id="320" name="MC_T_rebid_full">
          <a:extLst>
            <a:ext uri="{FF2B5EF4-FFF2-40B4-BE49-F238E27FC236}">
              <a16:creationId xmlns:a16="http://schemas.microsoft.com/office/drawing/2014/main" id="{6E757906-619E-2F28-5AA8-465938764916}"/>
            </a:ext>
          </a:extLst>
        </xdr:cNvPr>
        <xdr:cNvSpPr/>
      </xdr:nvSpPr>
      <xdr:spPr>
        <a:xfrm rot="16200000">
          <a:off x="16844963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57</xdr:row>
      <xdr:rowOff>109538</xdr:rowOff>
    </xdr:from>
    <xdr:to>
      <xdr:col>6</xdr:col>
      <xdr:colOff>180975</xdr:colOff>
      <xdr:row>58</xdr:row>
      <xdr:rowOff>80963</xdr:rowOff>
    </xdr:to>
    <xdr:sp macro="_xll.MC_OnNodeClick" textlink="">
      <xdr:nvSpPr>
        <xdr:cNvPr id="321" name="MC_C_integ_rebid">
          <a:extLst>
            <a:ext uri="{FF2B5EF4-FFF2-40B4-BE49-F238E27FC236}">
              <a16:creationId xmlns:a16="http://schemas.microsoft.com/office/drawing/2014/main" id="{06B735A6-F6B9-809C-C857-BBE6DC5B3C09}"/>
            </a:ext>
          </a:extLst>
        </xdr:cNvPr>
        <xdr:cNvSpPr/>
      </xdr:nvSpPr>
      <xdr:spPr>
        <a:xfrm>
          <a:off x="13858875" y="1091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59</xdr:row>
      <xdr:rowOff>109537</xdr:rowOff>
    </xdr:from>
    <xdr:to>
      <xdr:col>7</xdr:col>
      <xdr:colOff>176213</xdr:colOff>
      <xdr:row>60</xdr:row>
      <xdr:rowOff>80962</xdr:rowOff>
    </xdr:to>
    <xdr:sp macro="_xll.MC_OnNodeClick" textlink="">
      <xdr:nvSpPr>
        <xdr:cNvPr id="322" name="MC_T_rebid_part">
          <a:extLst>
            <a:ext uri="{FF2B5EF4-FFF2-40B4-BE49-F238E27FC236}">
              <a16:creationId xmlns:a16="http://schemas.microsoft.com/office/drawing/2014/main" id="{4161605A-3307-D7D3-4266-67CEACBC77AA}"/>
            </a:ext>
          </a:extLst>
        </xdr:cNvPr>
        <xdr:cNvSpPr/>
      </xdr:nvSpPr>
      <xdr:spPr>
        <a:xfrm rot="16200000">
          <a:off x="16844963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61</xdr:row>
      <xdr:rowOff>109537</xdr:rowOff>
    </xdr:from>
    <xdr:to>
      <xdr:col>7</xdr:col>
      <xdr:colOff>176213</xdr:colOff>
      <xdr:row>62</xdr:row>
      <xdr:rowOff>80962</xdr:rowOff>
    </xdr:to>
    <xdr:sp macro="_xll.MC_OnNodeClick" textlink="">
      <xdr:nvSpPr>
        <xdr:cNvPr id="323" name="MC_T_rebid_fail">
          <a:extLst>
            <a:ext uri="{FF2B5EF4-FFF2-40B4-BE49-F238E27FC236}">
              <a16:creationId xmlns:a16="http://schemas.microsoft.com/office/drawing/2014/main" id="{0F625351-9B8A-2AE6-B478-C991250DD63A}"/>
            </a:ext>
          </a:extLst>
        </xdr:cNvPr>
        <xdr:cNvSpPr/>
      </xdr:nvSpPr>
      <xdr:spPr>
        <a:xfrm rot="16200000">
          <a:off x="16844963" y="1166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63</xdr:row>
      <xdr:rowOff>109538</xdr:rowOff>
    </xdr:from>
    <xdr:to>
      <xdr:col>5</xdr:col>
      <xdr:colOff>180975</xdr:colOff>
      <xdr:row>64</xdr:row>
      <xdr:rowOff>80963</xdr:rowOff>
    </xdr:to>
    <xdr:sp macro="_xll.MC_OnNodeClick" textlink="">
      <xdr:nvSpPr>
        <xdr:cNvPr id="324" name="MC_C_rebid">
          <a:extLst>
            <a:ext uri="{FF2B5EF4-FFF2-40B4-BE49-F238E27FC236}">
              <a16:creationId xmlns:a16="http://schemas.microsoft.com/office/drawing/2014/main" id="{476AC13E-CD93-C4AA-7548-903FE3AB743B}"/>
            </a:ext>
          </a:extLst>
        </xdr:cNvPr>
        <xdr:cNvSpPr/>
      </xdr:nvSpPr>
      <xdr:spPr>
        <a:xfrm>
          <a:off x="11215688" y="1205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65</xdr:row>
      <xdr:rowOff>109537</xdr:rowOff>
    </xdr:from>
    <xdr:to>
      <xdr:col>6</xdr:col>
      <xdr:colOff>176213</xdr:colOff>
      <xdr:row>66</xdr:row>
      <xdr:rowOff>80962</xdr:rowOff>
    </xdr:to>
    <xdr:sp macro="_xll.MC_OnNodeClick" textlink="">
      <xdr:nvSpPr>
        <xdr:cNvPr id="325" name="MC_T_rebid_rejected">
          <a:extLst>
            <a:ext uri="{FF2B5EF4-FFF2-40B4-BE49-F238E27FC236}">
              <a16:creationId xmlns:a16="http://schemas.microsoft.com/office/drawing/2014/main" id="{E06F2F69-0FEB-DF54-E96A-F3565FA8121F}"/>
            </a:ext>
          </a:extLst>
        </xdr:cNvPr>
        <xdr:cNvSpPr/>
      </xdr:nvSpPr>
      <xdr:spPr>
        <a:xfrm rot="16200000">
          <a:off x="13858875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67</xdr:row>
      <xdr:rowOff>109538</xdr:rowOff>
    </xdr:from>
    <xdr:to>
      <xdr:col>4</xdr:col>
      <xdr:colOff>180975</xdr:colOff>
      <xdr:row>68</xdr:row>
      <xdr:rowOff>80963</xdr:rowOff>
    </xdr:to>
    <xdr:sp macro="_xll.MC_OnNodeClick" textlink="">
      <xdr:nvSpPr>
        <xdr:cNvPr id="326" name="MC_D_hostile_blocked">
          <a:extLst>
            <a:ext uri="{FF2B5EF4-FFF2-40B4-BE49-F238E27FC236}">
              <a16:creationId xmlns:a16="http://schemas.microsoft.com/office/drawing/2014/main" id="{6B3E6217-FC85-0889-9A03-ABB38CF4BD99}"/>
            </a:ext>
          </a:extLst>
        </xdr:cNvPr>
        <xdr:cNvSpPr/>
      </xdr:nvSpPr>
      <xdr:spPr>
        <a:xfrm>
          <a:off x="8315325" y="12815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327" name="MC_T_hostile_walkaway">
          <a:extLst>
            <a:ext uri="{FF2B5EF4-FFF2-40B4-BE49-F238E27FC236}">
              <a16:creationId xmlns:a16="http://schemas.microsoft.com/office/drawing/2014/main" id="{196BE17A-95D9-FB87-CC3C-1C4268D87C78}"/>
            </a:ext>
          </a:extLst>
        </xdr:cNvPr>
        <xdr:cNvSpPr/>
      </xdr:nvSpPr>
      <xdr:spPr>
        <a:xfrm rot="16200000">
          <a:off x="11215688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71</xdr:row>
      <xdr:rowOff>109538</xdr:rowOff>
    </xdr:from>
    <xdr:to>
      <xdr:col>2</xdr:col>
      <xdr:colOff>180975</xdr:colOff>
      <xdr:row>72</xdr:row>
      <xdr:rowOff>80963</xdr:rowOff>
    </xdr:to>
    <xdr:sp macro="_xll.MC_OnNodeClick" textlink="">
      <xdr:nvSpPr>
        <xdr:cNvPr id="328" name="MC_D_root">
          <a:extLst>
            <a:ext uri="{FF2B5EF4-FFF2-40B4-BE49-F238E27FC236}">
              <a16:creationId xmlns:a16="http://schemas.microsoft.com/office/drawing/2014/main" id="{3EFB21D6-9A79-8246-0068-952907C1ECDE}"/>
            </a:ext>
          </a:extLst>
        </xdr:cNvPr>
        <xdr:cNvSpPr/>
      </xdr:nvSpPr>
      <xdr:spPr>
        <a:xfrm>
          <a:off x="2533650" y="13577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73</xdr:row>
      <xdr:rowOff>109537</xdr:rowOff>
    </xdr:from>
    <xdr:to>
      <xdr:col>6</xdr:col>
      <xdr:colOff>176213</xdr:colOff>
      <xdr:row>74</xdr:row>
      <xdr:rowOff>80962</xdr:rowOff>
    </xdr:to>
    <xdr:sp macro="_xll.MC_OnNodeClick" textlink="">
      <xdr:nvSpPr>
        <xdr:cNvPr id="329" name="MC_T_fr_exceed_bull">
          <a:extLst>
            <a:ext uri="{FF2B5EF4-FFF2-40B4-BE49-F238E27FC236}">
              <a16:creationId xmlns:a16="http://schemas.microsoft.com/office/drawing/2014/main" id="{57DB08B0-88BE-65D2-281A-9A7472F68973}"/>
            </a:ext>
          </a:extLst>
        </xdr:cNvPr>
        <xdr:cNvSpPr/>
      </xdr:nvSpPr>
      <xdr:spPr>
        <a:xfrm rot="16200000">
          <a:off x="13858875" y="1395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75</xdr:row>
      <xdr:rowOff>109538</xdr:rowOff>
    </xdr:from>
    <xdr:to>
      <xdr:col>5</xdr:col>
      <xdr:colOff>180975</xdr:colOff>
      <xdr:row>76</xdr:row>
      <xdr:rowOff>80963</xdr:rowOff>
    </xdr:to>
    <xdr:sp macro="_xll.MC_OnNodeClick" textlink="">
      <xdr:nvSpPr>
        <xdr:cNvPr id="330" name="MC_C_mkt_fr_exceed">
          <a:extLst>
            <a:ext uri="{FF2B5EF4-FFF2-40B4-BE49-F238E27FC236}">
              <a16:creationId xmlns:a16="http://schemas.microsoft.com/office/drawing/2014/main" id="{B40AF1C3-9473-2093-6825-31816FB4C77C}"/>
            </a:ext>
          </a:extLst>
        </xdr:cNvPr>
        <xdr:cNvSpPr/>
      </xdr:nvSpPr>
      <xdr:spPr>
        <a:xfrm>
          <a:off x="11215688" y="14339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77</xdr:row>
      <xdr:rowOff>109537</xdr:rowOff>
    </xdr:from>
    <xdr:to>
      <xdr:col>6</xdr:col>
      <xdr:colOff>176213</xdr:colOff>
      <xdr:row>78</xdr:row>
      <xdr:rowOff>80962</xdr:rowOff>
    </xdr:to>
    <xdr:sp macro="_xll.MC_OnNodeClick" textlink="">
      <xdr:nvSpPr>
        <xdr:cNvPr id="331" name="MC_T_fr_exceed_flat">
          <a:extLst>
            <a:ext uri="{FF2B5EF4-FFF2-40B4-BE49-F238E27FC236}">
              <a16:creationId xmlns:a16="http://schemas.microsoft.com/office/drawing/2014/main" id="{3B2B5FC5-A593-AA09-3578-74CB3241D853}"/>
            </a:ext>
          </a:extLst>
        </xdr:cNvPr>
        <xdr:cNvSpPr/>
      </xdr:nvSpPr>
      <xdr:spPr>
        <a:xfrm rot="16200000">
          <a:off x="13858875" y="1471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332" name="MC_T_fr_exceed_bear">
          <a:extLst>
            <a:ext uri="{FF2B5EF4-FFF2-40B4-BE49-F238E27FC236}">
              <a16:creationId xmlns:a16="http://schemas.microsoft.com/office/drawing/2014/main" id="{A7DD019B-ED9E-EB85-53A2-03B56DA6EDCE}"/>
            </a:ext>
          </a:extLst>
        </xdr:cNvPr>
        <xdr:cNvSpPr/>
      </xdr:nvSpPr>
      <xdr:spPr>
        <a:xfrm rot="16200000">
          <a:off x="13858875" y="1509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81</xdr:row>
      <xdr:rowOff>109538</xdr:rowOff>
    </xdr:from>
    <xdr:to>
      <xdr:col>4</xdr:col>
      <xdr:colOff>180975</xdr:colOff>
      <xdr:row>82</xdr:row>
      <xdr:rowOff>80963</xdr:rowOff>
    </xdr:to>
    <xdr:sp macro="_xll.MC_OnNodeClick" textlink="">
      <xdr:nvSpPr>
        <xdr:cNvPr id="333" name="MC_C_synergy_friendly">
          <a:extLst>
            <a:ext uri="{FF2B5EF4-FFF2-40B4-BE49-F238E27FC236}">
              <a16:creationId xmlns:a16="http://schemas.microsoft.com/office/drawing/2014/main" id="{968141E4-87DD-B935-5260-92E453D7586B}"/>
            </a:ext>
          </a:extLst>
        </xdr:cNvPr>
        <xdr:cNvSpPr/>
      </xdr:nvSpPr>
      <xdr:spPr>
        <a:xfrm>
          <a:off x="8315325" y="1548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83</xdr:row>
      <xdr:rowOff>109537</xdr:rowOff>
    </xdr:from>
    <xdr:to>
      <xdr:col>6</xdr:col>
      <xdr:colOff>176213</xdr:colOff>
      <xdr:row>84</xdr:row>
      <xdr:rowOff>80962</xdr:rowOff>
    </xdr:to>
    <xdr:sp macro="_xll.MC_OnNodeClick" textlink="">
      <xdr:nvSpPr>
        <xdr:cNvPr id="334" name="MC_T_fr_meet_bull">
          <a:extLst>
            <a:ext uri="{FF2B5EF4-FFF2-40B4-BE49-F238E27FC236}">
              <a16:creationId xmlns:a16="http://schemas.microsoft.com/office/drawing/2014/main" id="{5FDADA37-445B-341B-8CE3-42974D0B77F6}"/>
            </a:ext>
          </a:extLst>
        </xdr:cNvPr>
        <xdr:cNvSpPr/>
      </xdr:nvSpPr>
      <xdr:spPr>
        <a:xfrm rot="16200000">
          <a:off x="13858875" y="1585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85</xdr:row>
      <xdr:rowOff>109538</xdr:rowOff>
    </xdr:from>
    <xdr:to>
      <xdr:col>5</xdr:col>
      <xdr:colOff>180975</xdr:colOff>
      <xdr:row>86</xdr:row>
      <xdr:rowOff>80963</xdr:rowOff>
    </xdr:to>
    <xdr:sp macro="_xll.MC_OnNodeClick" textlink="">
      <xdr:nvSpPr>
        <xdr:cNvPr id="335" name="MC_C_mkt_fr_meet">
          <a:extLst>
            <a:ext uri="{FF2B5EF4-FFF2-40B4-BE49-F238E27FC236}">
              <a16:creationId xmlns:a16="http://schemas.microsoft.com/office/drawing/2014/main" id="{67838C76-1DE3-A071-4421-26F63C6401D5}"/>
            </a:ext>
          </a:extLst>
        </xdr:cNvPr>
        <xdr:cNvSpPr/>
      </xdr:nvSpPr>
      <xdr:spPr>
        <a:xfrm>
          <a:off x="11215688" y="16244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87</xdr:row>
      <xdr:rowOff>109537</xdr:rowOff>
    </xdr:from>
    <xdr:to>
      <xdr:col>6</xdr:col>
      <xdr:colOff>176213</xdr:colOff>
      <xdr:row>88</xdr:row>
      <xdr:rowOff>80962</xdr:rowOff>
    </xdr:to>
    <xdr:sp macro="_xll.MC_OnNodeClick" textlink="">
      <xdr:nvSpPr>
        <xdr:cNvPr id="336" name="MC_T_fr_meet_flat">
          <a:extLst>
            <a:ext uri="{FF2B5EF4-FFF2-40B4-BE49-F238E27FC236}">
              <a16:creationId xmlns:a16="http://schemas.microsoft.com/office/drawing/2014/main" id="{960301E0-BCA2-0DCD-C3A5-D6AB16128591}"/>
            </a:ext>
          </a:extLst>
        </xdr:cNvPr>
        <xdr:cNvSpPr/>
      </xdr:nvSpPr>
      <xdr:spPr>
        <a:xfrm rot="16200000">
          <a:off x="13858875" y="1662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89</xdr:row>
      <xdr:rowOff>109537</xdr:rowOff>
    </xdr:from>
    <xdr:to>
      <xdr:col>6</xdr:col>
      <xdr:colOff>176213</xdr:colOff>
      <xdr:row>90</xdr:row>
      <xdr:rowOff>80962</xdr:rowOff>
    </xdr:to>
    <xdr:sp macro="_xll.MC_OnNodeClick" textlink="">
      <xdr:nvSpPr>
        <xdr:cNvPr id="337" name="MC_T_fr_meet_bear">
          <a:extLst>
            <a:ext uri="{FF2B5EF4-FFF2-40B4-BE49-F238E27FC236}">
              <a16:creationId xmlns:a16="http://schemas.microsoft.com/office/drawing/2014/main" id="{18BF8298-973B-DC13-34F9-AF19DD5F89D7}"/>
            </a:ext>
          </a:extLst>
        </xdr:cNvPr>
        <xdr:cNvSpPr/>
      </xdr:nvSpPr>
      <xdr:spPr>
        <a:xfrm rot="16200000">
          <a:off x="13858875" y="1700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91</xdr:row>
      <xdr:rowOff>109537</xdr:rowOff>
    </xdr:from>
    <xdr:to>
      <xdr:col>6</xdr:col>
      <xdr:colOff>176213</xdr:colOff>
      <xdr:row>92</xdr:row>
      <xdr:rowOff>80962</xdr:rowOff>
    </xdr:to>
    <xdr:sp macro="_xll.MC_OnNodeClick" textlink="">
      <xdr:nvSpPr>
        <xdr:cNvPr id="338" name="MC_T_fr_below_bull">
          <a:extLst>
            <a:ext uri="{FF2B5EF4-FFF2-40B4-BE49-F238E27FC236}">
              <a16:creationId xmlns:a16="http://schemas.microsoft.com/office/drawing/2014/main" id="{7B81AECC-2FD5-3DE5-6085-8D0D66B5B6F3}"/>
            </a:ext>
          </a:extLst>
        </xdr:cNvPr>
        <xdr:cNvSpPr/>
      </xdr:nvSpPr>
      <xdr:spPr>
        <a:xfrm rot="16200000">
          <a:off x="13858875" y="1738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93</xdr:row>
      <xdr:rowOff>109538</xdr:rowOff>
    </xdr:from>
    <xdr:to>
      <xdr:col>5</xdr:col>
      <xdr:colOff>180975</xdr:colOff>
      <xdr:row>94</xdr:row>
      <xdr:rowOff>80963</xdr:rowOff>
    </xdr:to>
    <xdr:sp macro="_xll.MC_OnNodeClick" textlink="">
      <xdr:nvSpPr>
        <xdr:cNvPr id="339" name="MC_C_mkt_fr_below">
          <a:extLst>
            <a:ext uri="{FF2B5EF4-FFF2-40B4-BE49-F238E27FC236}">
              <a16:creationId xmlns:a16="http://schemas.microsoft.com/office/drawing/2014/main" id="{BCCF28E4-7D7D-6867-AA1D-CC88B137EF8C}"/>
            </a:ext>
          </a:extLst>
        </xdr:cNvPr>
        <xdr:cNvSpPr/>
      </xdr:nvSpPr>
      <xdr:spPr>
        <a:xfrm>
          <a:off x="11215688" y="17768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95</xdr:row>
      <xdr:rowOff>109537</xdr:rowOff>
    </xdr:from>
    <xdr:to>
      <xdr:col>6</xdr:col>
      <xdr:colOff>176213</xdr:colOff>
      <xdr:row>96</xdr:row>
      <xdr:rowOff>80962</xdr:rowOff>
    </xdr:to>
    <xdr:sp macro="_xll.MC_OnNodeClick" textlink="">
      <xdr:nvSpPr>
        <xdr:cNvPr id="340" name="MC_T_fr_below_flat">
          <a:extLst>
            <a:ext uri="{FF2B5EF4-FFF2-40B4-BE49-F238E27FC236}">
              <a16:creationId xmlns:a16="http://schemas.microsoft.com/office/drawing/2014/main" id="{D9FDA9D1-08B2-411C-82C6-238B41C96A09}"/>
            </a:ext>
          </a:extLst>
        </xdr:cNvPr>
        <xdr:cNvSpPr/>
      </xdr:nvSpPr>
      <xdr:spPr>
        <a:xfrm rot="16200000">
          <a:off x="13858875" y="1814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97</xdr:row>
      <xdr:rowOff>109537</xdr:rowOff>
    </xdr:from>
    <xdr:to>
      <xdr:col>6</xdr:col>
      <xdr:colOff>176213</xdr:colOff>
      <xdr:row>98</xdr:row>
      <xdr:rowOff>80962</xdr:rowOff>
    </xdr:to>
    <xdr:sp macro="_xll.MC_OnNodeClick" textlink="">
      <xdr:nvSpPr>
        <xdr:cNvPr id="341" name="MC_T_fr_below_bear">
          <a:extLst>
            <a:ext uri="{FF2B5EF4-FFF2-40B4-BE49-F238E27FC236}">
              <a16:creationId xmlns:a16="http://schemas.microsoft.com/office/drawing/2014/main" id="{E8B35F7E-BCFA-85E0-C034-D6477DEBCA26}"/>
            </a:ext>
          </a:extLst>
        </xdr:cNvPr>
        <xdr:cNvSpPr/>
      </xdr:nvSpPr>
      <xdr:spPr>
        <a:xfrm rot="16200000">
          <a:off x="13858875" y="1852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99</xdr:row>
      <xdr:rowOff>109538</xdr:rowOff>
    </xdr:from>
    <xdr:to>
      <xdr:col>3</xdr:col>
      <xdr:colOff>180975</xdr:colOff>
      <xdr:row>100</xdr:row>
      <xdr:rowOff>80963</xdr:rowOff>
    </xdr:to>
    <xdr:sp macro="_xll.MC_OnNodeClick" textlink="">
      <xdr:nvSpPr>
        <xdr:cNvPr id="342" name="MC_C_reg_friendly">
          <a:extLst>
            <a:ext uri="{FF2B5EF4-FFF2-40B4-BE49-F238E27FC236}">
              <a16:creationId xmlns:a16="http://schemas.microsoft.com/office/drawing/2014/main" id="{22A4075D-40DE-B611-3856-2256423318FC}"/>
            </a:ext>
          </a:extLst>
        </xdr:cNvPr>
        <xdr:cNvSpPr/>
      </xdr:nvSpPr>
      <xdr:spPr>
        <a:xfrm>
          <a:off x="5414963" y="1891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101</xdr:row>
      <xdr:rowOff>109537</xdr:rowOff>
    </xdr:from>
    <xdr:to>
      <xdr:col>5</xdr:col>
      <xdr:colOff>176213</xdr:colOff>
      <xdr:row>102</xdr:row>
      <xdr:rowOff>80962</xdr:rowOff>
    </xdr:to>
    <xdr:sp macro="_xll.MC_OnNodeClick" textlink="">
      <xdr:nvSpPr>
        <xdr:cNvPr id="343" name="MC_T_fr_cond_meet">
          <a:extLst>
            <a:ext uri="{FF2B5EF4-FFF2-40B4-BE49-F238E27FC236}">
              <a16:creationId xmlns:a16="http://schemas.microsoft.com/office/drawing/2014/main" id="{9C95105B-EB95-0E1C-2109-308C70B96D3A}"/>
            </a:ext>
          </a:extLst>
        </xdr:cNvPr>
        <xdr:cNvSpPr/>
      </xdr:nvSpPr>
      <xdr:spPr>
        <a:xfrm rot="16200000">
          <a:off x="11215688" y="1928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103</xdr:row>
      <xdr:rowOff>109538</xdr:rowOff>
    </xdr:from>
    <xdr:to>
      <xdr:col>4</xdr:col>
      <xdr:colOff>180975</xdr:colOff>
      <xdr:row>104</xdr:row>
      <xdr:rowOff>80963</xdr:rowOff>
    </xdr:to>
    <xdr:sp macro="_xll.MC_OnNodeClick" textlink="">
      <xdr:nvSpPr>
        <xdr:cNvPr id="344" name="MC_C_synergy_friendly_cond">
          <a:extLst>
            <a:ext uri="{FF2B5EF4-FFF2-40B4-BE49-F238E27FC236}">
              <a16:creationId xmlns:a16="http://schemas.microsoft.com/office/drawing/2014/main" id="{6A8E9621-C003-CBD2-F3D2-97343509978E}"/>
            </a:ext>
          </a:extLst>
        </xdr:cNvPr>
        <xdr:cNvSpPr/>
      </xdr:nvSpPr>
      <xdr:spPr>
        <a:xfrm>
          <a:off x="8315325" y="1967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105</xdr:row>
      <xdr:rowOff>109537</xdr:rowOff>
    </xdr:from>
    <xdr:to>
      <xdr:col>5</xdr:col>
      <xdr:colOff>176213</xdr:colOff>
      <xdr:row>106</xdr:row>
      <xdr:rowOff>80962</xdr:rowOff>
    </xdr:to>
    <xdr:sp macro="_xll.MC_OnNodeClick" textlink="">
      <xdr:nvSpPr>
        <xdr:cNvPr id="345" name="MC_T_fr_cond_below">
          <a:extLst>
            <a:ext uri="{FF2B5EF4-FFF2-40B4-BE49-F238E27FC236}">
              <a16:creationId xmlns:a16="http://schemas.microsoft.com/office/drawing/2014/main" id="{F936BCDC-47D7-F587-BD21-D5281F5956CC}"/>
            </a:ext>
          </a:extLst>
        </xdr:cNvPr>
        <xdr:cNvSpPr/>
      </xdr:nvSpPr>
      <xdr:spPr>
        <a:xfrm rot="16200000">
          <a:off x="11215688" y="2005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107</xdr:row>
      <xdr:rowOff>109537</xdr:rowOff>
    </xdr:from>
    <xdr:to>
      <xdr:col>4</xdr:col>
      <xdr:colOff>176213</xdr:colOff>
      <xdr:row>108</xdr:row>
      <xdr:rowOff>80962</xdr:rowOff>
    </xdr:to>
    <xdr:sp macro="_xll.MC_OnNodeClick" textlink="">
      <xdr:nvSpPr>
        <xdr:cNvPr id="346" name="MC_T_friendly_blocked">
          <a:extLst>
            <a:ext uri="{FF2B5EF4-FFF2-40B4-BE49-F238E27FC236}">
              <a16:creationId xmlns:a16="http://schemas.microsoft.com/office/drawing/2014/main" id="{D9B74423-8A16-2801-DE77-7991DB515DD0}"/>
            </a:ext>
          </a:extLst>
        </xdr:cNvPr>
        <xdr:cNvSpPr/>
      </xdr:nvSpPr>
      <xdr:spPr>
        <a:xfrm rot="16200000">
          <a:off x="8315325" y="2043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109</xdr:row>
      <xdr:rowOff>109537</xdr:rowOff>
    </xdr:from>
    <xdr:to>
      <xdr:col>6</xdr:col>
      <xdr:colOff>176213</xdr:colOff>
      <xdr:row>110</xdr:row>
      <xdr:rowOff>80962</xdr:rowOff>
    </xdr:to>
    <xdr:sp macro="_xll.MC_OnNodeClick" textlink="">
      <xdr:nvSpPr>
        <xdr:cNvPr id="347" name="MC_T_min_active_success">
          <a:extLst>
            <a:ext uri="{FF2B5EF4-FFF2-40B4-BE49-F238E27FC236}">
              <a16:creationId xmlns:a16="http://schemas.microsoft.com/office/drawing/2014/main" id="{6D5E76BD-A777-0C3A-B192-27190884FF07}"/>
            </a:ext>
          </a:extLst>
        </xdr:cNvPr>
        <xdr:cNvSpPr/>
      </xdr:nvSpPr>
      <xdr:spPr>
        <a:xfrm rot="16200000">
          <a:off x="13858875" y="2081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111</xdr:row>
      <xdr:rowOff>109538</xdr:rowOff>
    </xdr:from>
    <xdr:to>
      <xdr:col>5</xdr:col>
      <xdr:colOff>180975</xdr:colOff>
      <xdr:row>112</xdr:row>
      <xdr:rowOff>80963</xdr:rowOff>
    </xdr:to>
    <xdr:sp macro="_xll.MC_OnNodeClick" textlink="">
      <xdr:nvSpPr>
        <xdr:cNvPr id="348" name="MC_C_minority_active">
          <a:extLst>
            <a:ext uri="{FF2B5EF4-FFF2-40B4-BE49-F238E27FC236}">
              <a16:creationId xmlns:a16="http://schemas.microsoft.com/office/drawing/2014/main" id="{1A829041-0B56-B952-403F-83441D812956}"/>
            </a:ext>
          </a:extLst>
        </xdr:cNvPr>
        <xdr:cNvSpPr/>
      </xdr:nvSpPr>
      <xdr:spPr>
        <a:xfrm>
          <a:off x="11215688" y="2119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113</xdr:row>
      <xdr:rowOff>109537</xdr:rowOff>
    </xdr:from>
    <xdr:to>
      <xdr:col>6</xdr:col>
      <xdr:colOff>176213</xdr:colOff>
      <xdr:row>114</xdr:row>
      <xdr:rowOff>80962</xdr:rowOff>
    </xdr:to>
    <xdr:sp macro="_xll.MC_OnNodeClick" textlink="">
      <xdr:nvSpPr>
        <xdr:cNvPr id="349" name="MC_T_min_active_mod">
          <a:extLst>
            <a:ext uri="{FF2B5EF4-FFF2-40B4-BE49-F238E27FC236}">
              <a16:creationId xmlns:a16="http://schemas.microsoft.com/office/drawing/2014/main" id="{A80043E9-FFE1-528E-FAD3-175BA483CF31}"/>
            </a:ext>
          </a:extLst>
        </xdr:cNvPr>
        <xdr:cNvSpPr/>
      </xdr:nvSpPr>
      <xdr:spPr>
        <a:xfrm rot="16200000">
          <a:off x="13858875" y="2157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115</xdr:row>
      <xdr:rowOff>109537</xdr:rowOff>
    </xdr:from>
    <xdr:to>
      <xdr:col>6</xdr:col>
      <xdr:colOff>176213</xdr:colOff>
      <xdr:row>116</xdr:row>
      <xdr:rowOff>80962</xdr:rowOff>
    </xdr:to>
    <xdr:sp macro="_xll.MC_OnNodeClick" textlink="">
      <xdr:nvSpPr>
        <xdr:cNvPr id="350" name="MC_T_min_active_conflict">
          <a:extLst>
            <a:ext uri="{FF2B5EF4-FFF2-40B4-BE49-F238E27FC236}">
              <a16:creationId xmlns:a16="http://schemas.microsoft.com/office/drawing/2014/main" id="{14EF6463-F883-8CFA-3F9A-98709FFAE93A}"/>
            </a:ext>
          </a:extLst>
        </xdr:cNvPr>
        <xdr:cNvSpPr/>
      </xdr:nvSpPr>
      <xdr:spPr>
        <a:xfrm rot="16200000">
          <a:off x="13858875" y="2195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117</xdr:row>
      <xdr:rowOff>109538</xdr:rowOff>
    </xdr:from>
    <xdr:to>
      <xdr:col>4</xdr:col>
      <xdr:colOff>180975</xdr:colOff>
      <xdr:row>118</xdr:row>
      <xdr:rowOff>80963</xdr:rowOff>
    </xdr:to>
    <xdr:sp macro="_xll.MC_OnNodeClick" textlink="">
      <xdr:nvSpPr>
        <xdr:cNvPr id="351" name="MC_D_minority_strategy">
          <a:extLst>
            <a:ext uri="{FF2B5EF4-FFF2-40B4-BE49-F238E27FC236}">
              <a16:creationId xmlns:a16="http://schemas.microsoft.com/office/drawing/2014/main" id="{4B034727-BC7B-8ED1-B034-8005AABA70EA}"/>
            </a:ext>
          </a:extLst>
        </xdr:cNvPr>
        <xdr:cNvSpPr/>
      </xdr:nvSpPr>
      <xdr:spPr>
        <a:xfrm>
          <a:off x="8315325" y="22340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119</xdr:row>
      <xdr:rowOff>109537</xdr:rowOff>
    </xdr:from>
    <xdr:to>
      <xdr:col>6</xdr:col>
      <xdr:colOff>176213</xdr:colOff>
      <xdr:row>120</xdr:row>
      <xdr:rowOff>80962</xdr:rowOff>
    </xdr:to>
    <xdr:sp macro="_xll.MC_OnNodeClick" textlink="">
      <xdr:nvSpPr>
        <xdr:cNvPr id="352" name="MC_T_min_passive_up">
          <a:extLst>
            <a:ext uri="{FF2B5EF4-FFF2-40B4-BE49-F238E27FC236}">
              <a16:creationId xmlns:a16="http://schemas.microsoft.com/office/drawing/2014/main" id="{1D3ADA97-60D3-F81E-8780-8FF460A5A624}"/>
            </a:ext>
          </a:extLst>
        </xdr:cNvPr>
        <xdr:cNvSpPr/>
      </xdr:nvSpPr>
      <xdr:spPr>
        <a:xfrm rot="16200000">
          <a:off x="13858875" y="2271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121</xdr:row>
      <xdr:rowOff>109538</xdr:rowOff>
    </xdr:from>
    <xdr:to>
      <xdr:col>5</xdr:col>
      <xdr:colOff>180975</xdr:colOff>
      <xdr:row>122</xdr:row>
      <xdr:rowOff>80963</xdr:rowOff>
    </xdr:to>
    <xdr:sp macro="_xll.MC_OnNodeClick" textlink="">
      <xdr:nvSpPr>
        <xdr:cNvPr id="353" name="MC_C_minority_passive">
          <a:extLst>
            <a:ext uri="{FF2B5EF4-FFF2-40B4-BE49-F238E27FC236}">
              <a16:creationId xmlns:a16="http://schemas.microsoft.com/office/drawing/2014/main" id="{8677230F-394B-F7EF-E608-844CFCADCBE6}"/>
            </a:ext>
          </a:extLst>
        </xdr:cNvPr>
        <xdr:cNvSpPr/>
      </xdr:nvSpPr>
      <xdr:spPr>
        <a:xfrm>
          <a:off x="11215688" y="2310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123</xdr:row>
      <xdr:rowOff>109537</xdr:rowOff>
    </xdr:from>
    <xdr:to>
      <xdr:col>6</xdr:col>
      <xdr:colOff>176213</xdr:colOff>
      <xdr:row>124</xdr:row>
      <xdr:rowOff>80962</xdr:rowOff>
    </xdr:to>
    <xdr:sp macro="_xll.MC_OnNodeClick" textlink="">
      <xdr:nvSpPr>
        <xdr:cNvPr id="354" name="MC_T_min_passive_flat">
          <a:extLst>
            <a:ext uri="{FF2B5EF4-FFF2-40B4-BE49-F238E27FC236}">
              <a16:creationId xmlns:a16="http://schemas.microsoft.com/office/drawing/2014/main" id="{A9E892BA-4670-0632-5499-65E091BF58FB}"/>
            </a:ext>
          </a:extLst>
        </xdr:cNvPr>
        <xdr:cNvSpPr/>
      </xdr:nvSpPr>
      <xdr:spPr>
        <a:xfrm rot="16200000">
          <a:off x="13858875" y="2347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125</xdr:row>
      <xdr:rowOff>109537</xdr:rowOff>
    </xdr:from>
    <xdr:to>
      <xdr:col>6</xdr:col>
      <xdr:colOff>176213</xdr:colOff>
      <xdr:row>126</xdr:row>
      <xdr:rowOff>80962</xdr:rowOff>
    </xdr:to>
    <xdr:sp macro="_xll.MC_OnNodeClick" textlink="">
      <xdr:nvSpPr>
        <xdr:cNvPr id="355" name="MC_T_min_passive_down">
          <a:extLst>
            <a:ext uri="{FF2B5EF4-FFF2-40B4-BE49-F238E27FC236}">
              <a16:creationId xmlns:a16="http://schemas.microsoft.com/office/drawing/2014/main" id="{CA791DB5-E8CC-B03C-ED11-B688915ED534}"/>
            </a:ext>
          </a:extLst>
        </xdr:cNvPr>
        <xdr:cNvSpPr/>
      </xdr:nvSpPr>
      <xdr:spPr>
        <a:xfrm rot="16200000">
          <a:off x="13858875" y="2386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127</xdr:row>
      <xdr:rowOff>109538</xdr:rowOff>
    </xdr:from>
    <xdr:to>
      <xdr:col>3</xdr:col>
      <xdr:colOff>180975</xdr:colOff>
      <xdr:row>128</xdr:row>
      <xdr:rowOff>80963</xdr:rowOff>
    </xdr:to>
    <xdr:sp macro="_xll.MC_OnNodeClick" textlink="">
      <xdr:nvSpPr>
        <xdr:cNvPr id="356" name="MC_C_reg_minority">
          <a:extLst>
            <a:ext uri="{FF2B5EF4-FFF2-40B4-BE49-F238E27FC236}">
              <a16:creationId xmlns:a16="http://schemas.microsoft.com/office/drawing/2014/main" id="{7FECFB49-34BA-0592-135D-F270550D366F}"/>
            </a:ext>
          </a:extLst>
        </xdr:cNvPr>
        <xdr:cNvSpPr/>
      </xdr:nvSpPr>
      <xdr:spPr>
        <a:xfrm>
          <a:off x="5414963" y="2424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129</xdr:row>
      <xdr:rowOff>109537</xdr:rowOff>
    </xdr:from>
    <xdr:to>
      <xdr:col>4</xdr:col>
      <xdr:colOff>176213</xdr:colOff>
      <xdr:row>130</xdr:row>
      <xdr:rowOff>80962</xdr:rowOff>
    </xdr:to>
    <xdr:sp macro="_xll.MC_OnNodeClick" textlink="">
      <xdr:nvSpPr>
        <xdr:cNvPr id="357" name="MC_T_minority_blocked">
          <a:extLst>
            <a:ext uri="{FF2B5EF4-FFF2-40B4-BE49-F238E27FC236}">
              <a16:creationId xmlns:a16="http://schemas.microsoft.com/office/drawing/2014/main" id="{A3EA1840-B6B7-E15C-2D3F-F3C10E11737A}"/>
            </a:ext>
          </a:extLst>
        </xdr:cNvPr>
        <xdr:cNvSpPr/>
      </xdr:nvSpPr>
      <xdr:spPr>
        <a:xfrm rot="16200000">
          <a:off x="8315325" y="2462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131</xdr:row>
      <xdr:rowOff>109537</xdr:rowOff>
    </xdr:from>
    <xdr:to>
      <xdr:col>3</xdr:col>
      <xdr:colOff>176213</xdr:colOff>
      <xdr:row>132</xdr:row>
      <xdr:rowOff>80962</xdr:rowOff>
    </xdr:to>
    <xdr:sp macro="_xll.MC_OnNodeClick" textlink="">
      <xdr:nvSpPr>
        <xdr:cNvPr id="358" name="MC_T_no_deal">
          <a:extLst>
            <a:ext uri="{FF2B5EF4-FFF2-40B4-BE49-F238E27FC236}">
              <a16:creationId xmlns:a16="http://schemas.microsoft.com/office/drawing/2014/main" id="{A99934CE-6C9B-D48F-6E8D-86F1A57351B7}"/>
            </a:ext>
          </a:extLst>
        </xdr:cNvPr>
        <xdr:cNvSpPr/>
      </xdr:nvSpPr>
      <xdr:spPr>
        <a:xfrm rot="16200000">
          <a:off x="5414963" y="2500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0E21-7B39-408D-BCAA-DB413261F284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DBE9E-1062-4A73-9CA4-B7B18DCB6F78}">
  <dimension ref="A1:EK1"/>
  <sheetViews>
    <sheetView workbookViewId="0"/>
  </sheetViews>
  <sheetFormatPr defaultRowHeight="14.25" x14ac:dyDescent="0.45"/>
  <sheetData>
    <row r="1" spans="1:141" x14ac:dyDescent="0.45">
      <c r="A1">
        <f>MC_Tree_1!MC_BP_C_integ_hostile_neg_T_hostile_neg_full</f>
        <v>0.2</v>
      </c>
      <c r="B1">
        <f>MC_Tree_1!MC_BV_C_integ_hostile_neg_T_hostile_neg_full</f>
        <v>3200000000</v>
      </c>
      <c r="C1">
        <f>MC_Tree_1!MC_BP_C_integ_hostile_neg_T_hostile_neg_part</f>
        <v>0.4</v>
      </c>
      <c r="D1">
        <f>MC_Tree_1!MC_BV_C_integ_hostile_neg_T_hostile_neg_part</f>
        <v>1800000000</v>
      </c>
      <c r="E1">
        <f>MC_Tree_1!MC_BP_C_integ_hostile_neg_T_hostile_neg_fail</f>
        <v>0.4</v>
      </c>
      <c r="F1">
        <f>MC_Tree_1!MC_BV_C_integ_hostile_neg_T_hostile_neg_fail</f>
        <v>400000000</v>
      </c>
      <c r="G1">
        <f>MC_Tree_1!MC_BP_C_integ_hostile_neut_T_hostile_neut_full</f>
        <v>0.3</v>
      </c>
      <c r="H1">
        <f>MC_Tree_1!MC_BV_C_integ_hostile_neut_T_hostile_neut_full</f>
        <v>4200000000</v>
      </c>
      <c r="I1">
        <f>MC_Tree_1!MC_BP_C_integ_hostile_neut_T_hostile_neut_part</f>
        <v>0.45</v>
      </c>
      <c r="J1">
        <f>MC_Tree_1!MC_BV_C_integ_hostile_neut_T_hostile_neut_part</f>
        <v>2800000000</v>
      </c>
      <c r="K1">
        <f>MC_Tree_1!MC_BP_C_integ_hostile_neut_T_hostile_neut_fail</f>
        <v>0.25</v>
      </c>
      <c r="L1">
        <f>MC_Tree_1!MC_BV_C_integ_hostile_neut_T_hostile_neut_fail</f>
        <v>800000000</v>
      </c>
      <c r="M1">
        <f>MC_Tree_1!MC_BP_C_integ_hostile_pos_T_hostile_pos_full</f>
        <v>0.35</v>
      </c>
      <c r="N1">
        <f>MC_Tree_1!MC_BV_C_integ_hostile_pos_T_hostile_pos_full</f>
        <v>5000000000</v>
      </c>
      <c r="O1">
        <f>MC_Tree_1!MC_BP_C_integ_hostile_pos_T_hostile_pos_part</f>
        <v>0.45</v>
      </c>
      <c r="P1">
        <f>MC_Tree_1!MC_BV_C_integ_hostile_pos_T_hostile_pos_part</f>
        <v>3500000000</v>
      </c>
      <c r="Q1">
        <f>MC_Tree_1!MC_BP_C_integ_hostile_pos_T_hostile_pos_fail</f>
        <v>0.2</v>
      </c>
      <c r="R1">
        <f>MC_Tree_1!MC_BV_C_integ_hostile_pos_T_hostile_pos_fail</f>
        <v>1200000000</v>
      </c>
      <c r="S1">
        <f>MC_Tree_1!MC_BP_C_integ_rebid_T_rebid_full</f>
        <v>0.25</v>
      </c>
      <c r="T1">
        <f>MC_Tree_1!MC_BV_C_integ_rebid_T_rebid_full</f>
        <v>4500000000</v>
      </c>
      <c r="U1">
        <f>MC_Tree_1!MC_BP_C_integ_rebid_T_rebid_part</f>
        <v>0.45</v>
      </c>
      <c r="V1">
        <f>MC_Tree_1!MC_BV_C_integ_rebid_T_rebid_part</f>
        <v>2800000000</v>
      </c>
      <c r="W1">
        <f>MC_Tree_1!MC_BP_C_integ_rebid_T_rebid_fail</f>
        <v>0.3</v>
      </c>
      <c r="X1">
        <f>MC_Tree_1!MC_BV_C_integ_rebid_T_rebid_fail</f>
        <v>600000000</v>
      </c>
      <c r="Y1">
        <f>MC_Tree_1!MC_BP_C_market_hostile_C_integ_hostile_pos</f>
        <v>0.3</v>
      </c>
      <c r="Z1">
        <f>MC_Tree_1!MC_BV_C_market_hostile_C_integ_hostile_pos</f>
        <v>0</v>
      </c>
      <c r="AA1">
        <f>MC_Tree_1!MC_BP_C_market_hostile_C_integ_hostile_neut</f>
        <v>0.4</v>
      </c>
      <c r="AB1">
        <f>MC_Tree_1!MC_BV_C_market_hostile_C_integ_hostile_neut</f>
        <v>0</v>
      </c>
      <c r="AC1">
        <f>MC_Tree_1!MC_BP_C_market_hostile_C_integ_hostile_neg</f>
        <v>0.3</v>
      </c>
      <c r="AD1">
        <f>MC_Tree_1!MC_BV_C_market_hostile_C_integ_hostile_neg</f>
        <v>0</v>
      </c>
      <c r="AE1">
        <f>MC_Tree_1!MC_BP_C_market_hostile_cond_T_hostile_cond_pos</f>
        <v>0.25</v>
      </c>
      <c r="AF1">
        <f>MC_Tree_1!MC_BV_C_market_hostile_cond_T_hostile_cond_pos</f>
        <v>3800000000</v>
      </c>
      <c r="AG1">
        <f>MC_Tree_1!MC_BP_C_market_hostile_cond_T_hostile_cond_neut</f>
        <v>0.45</v>
      </c>
      <c r="AH1">
        <f>MC_Tree_1!MC_BV_C_market_hostile_cond_T_hostile_cond_neut</f>
        <v>2600000000</v>
      </c>
      <c r="AI1">
        <f>MC_Tree_1!MC_BP_C_market_hostile_cond_T_hostile_cond_neg</f>
        <v>0.3</v>
      </c>
      <c r="AJ1">
        <f>MC_Tree_1!MC_BV_C_market_hostile_cond_T_hostile_cond_neg</f>
        <v>1400000000</v>
      </c>
      <c r="AK1">
        <f>MC_Tree_1!MC_BP_C_minority_active_T_min_active_success</f>
        <v>0.35</v>
      </c>
      <c r="AL1">
        <f>MC_Tree_1!MC_BV_C_minority_active_T_min_active_success</f>
        <v>1400000000</v>
      </c>
      <c r="AM1">
        <f>MC_Tree_1!MC_BP_C_minority_active_T_min_active_mod</f>
        <v>0.4</v>
      </c>
      <c r="AN1">
        <f>MC_Tree_1!MC_BV_C_minority_active_T_min_active_mod</f>
        <v>900000000</v>
      </c>
      <c r="AO1">
        <f>MC_Tree_1!MC_BP_C_minority_active_T_min_active_conflict</f>
        <v>0.25</v>
      </c>
      <c r="AP1">
        <f>MC_Tree_1!MC_BV_C_minority_active_T_min_active_conflict</f>
        <v>400000000</v>
      </c>
      <c r="AQ1">
        <f>MC_Tree_1!MC_BP_C_minority_passive_T_min_passive_up</f>
        <v>0.4</v>
      </c>
      <c r="AR1">
        <f>MC_Tree_1!MC_BV_C_minority_passive_T_min_passive_up</f>
        <v>1100000000</v>
      </c>
      <c r="AS1">
        <f>MC_Tree_1!MC_BP_C_minority_passive_T_min_passive_flat</f>
        <v>0.35</v>
      </c>
      <c r="AT1">
        <f>MC_Tree_1!MC_BV_C_minority_passive_T_min_passive_flat</f>
        <v>650000000</v>
      </c>
      <c r="AU1">
        <f>MC_Tree_1!MC_BP_C_minority_passive_T_min_passive_down</f>
        <v>0.25</v>
      </c>
      <c r="AV1">
        <f>MC_Tree_1!MC_BV_C_minority_passive_T_min_passive_down</f>
        <v>300000000</v>
      </c>
      <c r="AW1">
        <f>MC_Tree_1!MC_BP_C_mkt_fr_below_T_fr_below_bull</f>
        <v>0.35</v>
      </c>
      <c r="AX1">
        <f>MC_Tree_1!MC_BV_C_mkt_fr_below_T_fr_below_bull</f>
        <v>2200000000</v>
      </c>
      <c r="AY1">
        <f>MC_Tree_1!MC_BP_C_mkt_fr_below_T_fr_below_flat</f>
        <v>0.4</v>
      </c>
      <c r="AZ1">
        <f>MC_Tree_1!MC_BV_C_mkt_fr_below_T_fr_below_flat</f>
        <v>1400000000</v>
      </c>
      <c r="BA1">
        <f>MC_Tree_1!MC_BP_C_mkt_fr_below_T_fr_below_bear</f>
        <v>0.25</v>
      </c>
      <c r="BB1">
        <f>MC_Tree_1!MC_BV_C_mkt_fr_below_T_fr_below_bear</f>
        <v>600000000</v>
      </c>
      <c r="BC1">
        <f>MC_Tree_1!MC_BP_C_mkt_fr_exceed_T_fr_exceed_bull</f>
        <v>0.35</v>
      </c>
      <c r="BD1">
        <f>MC_Tree_1!MC_BV_C_mkt_fr_exceed_T_fr_exceed_bull</f>
        <v>4800000000</v>
      </c>
      <c r="BE1">
        <f>MC_Tree_1!MC_BP_C_mkt_fr_exceed_T_fr_exceed_flat</f>
        <v>0.4</v>
      </c>
      <c r="BF1">
        <f>MC_Tree_1!MC_BV_C_mkt_fr_exceed_T_fr_exceed_flat</f>
        <v>3800000000</v>
      </c>
      <c r="BG1">
        <f>MC_Tree_1!MC_BP_C_mkt_fr_exceed_T_fr_exceed_bear</f>
        <v>0.25</v>
      </c>
      <c r="BH1">
        <f>MC_Tree_1!MC_BV_C_mkt_fr_exceed_T_fr_exceed_bear</f>
        <v>2800000000</v>
      </c>
      <c r="BI1">
        <f>MC_Tree_1!MC_BP_C_mkt_fr_meet_T_fr_meet_bull</f>
        <v>0.35</v>
      </c>
      <c r="BJ1">
        <f>MC_Tree_1!MC_BV_C_mkt_fr_meet_T_fr_meet_bull</f>
        <v>3500000000</v>
      </c>
      <c r="BK1">
        <f>MC_Tree_1!MC_BP_C_mkt_fr_meet_T_fr_meet_flat</f>
        <v>0.4</v>
      </c>
      <c r="BL1">
        <f>MC_Tree_1!MC_BV_C_mkt_fr_meet_T_fr_meet_flat</f>
        <v>2700000000</v>
      </c>
      <c r="BM1">
        <f>MC_Tree_1!MC_BP_C_mkt_fr_meet_T_fr_meet_bear</f>
        <v>0.25</v>
      </c>
      <c r="BN1">
        <f>MC_Tree_1!MC_BV_C_mkt_fr_meet_T_fr_meet_bear</f>
        <v>1800000000</v>
      </c>
      <c r="BO1">
        <f>MC_Tree_1!MC_BP_C_rebid_C_integ_rebid</f>
        <v>0.4</v>
      </c>
      <c r="BP1">
        <f>MC_Tree_1!MC_BV_C_rebid_C_integ_rebid</f>
        <v>0</v>
      </c>
      <c r="BQ1">
        <f>MC_Tree_1!MC_BP_C_rebid_T_rebid_rejected</f>
        <v>0.6</v>
      </c>
      <c r="BR1">
        <f>MC_Tree_1!MC_BV_C_rebid_T_rebid_rejected</f>
        <v>0</v>
      </c>
      <c r="BS1">
        <f>MC_Tree_1!MC_BP_C_reg_friendly_C_synergy_friendly</f>
        <v>0.65</v>
      </c>
      <c r="BT1">
        <f>MC_Tree_1!MC_BV_C_reg_friendly_C_synergy_friendly</f>
        <v>0</v>
      </c>
      <c r="BU1">
        <f>MC_Tree_1!MC_BP_C_reg_friendly_C_synergy_friendly_cond</f>
        <v>0.25</v>
      </c>
      <c r="BV1">
        <f>MC_Tree_1!MC_BV_C_reg_friendly_C_synergy_friendly_cond</f>
        <v>-100000000</v>
      </c>
      <c r="BW1">
        <f>MC_Tree_1!MC_BP_C_reg_friendly_T_friendly_blocked</f>
        <v>0.1</v>
      </c>
      <c r="BX1">
        <f>MC_Tree_1!MC_BV_C_reg_friendly_T_friendly_blocked</f>
        <v>0</v>
      </c>
      <c r="BY1">
        <f>MC_Tree_1!MC_BP_C_reg_hostile_C_market_hostile</f>
        <v>0.45</v>
      </c>
      <c r="BZ1">
        <f>MC_Tree_1!MC_BV_C_reg_hostile_C_market_hostile</f>
        <v>0</v>
      </c>
      <c r="CA1">
        <f>MC_Tree_1!MC_BP_C_reg_hostile_C_market_hostile_cond</f>
        <v>0.25</v>
      </c>
      <c r="CB1">
        <f>MC_Tree_1!MC_BV_C_reg_hostile_C_market_hostile_cond</f>
        <v>-200000000</v>
      </c>
      <c r="CC1">
        <f>MC_Tree_1!MC_BP_C_reg_hostile_D_hostile_blocked</f>
        <v>0.3</v>
      </c>
      <c r="CD1">
        <f>MC_Tree_1!MC_BV_C_reg_hostile_D_hostile_blocked</f>
        <v>0</v>
      </c>
      <c r="CE1">
        <f>MC_Tree_1!MC_BP_C_reg_minority_D_minority_strategy</f>
        <v>0.9</v>
      </c>
      <c r="CF1">
        <f>MC_Tree_1!MC_BV_C_reg_minority_D_minority_strategy</f>
        <v>0</v>
      </c>
      <c r="CG1">
        <f>MC_Tree_1!MC_BP_C_reg_minority_T_minority_blocked</f>
        <v>0.1</v>
      </c>
      <c r="CH1">
        <f>MC_Tree_1!MC_BV_C_reg_minority_T_minority_blocked</f>
        <v>0</v>
      </c>
      <c r="CI1">
        <f>MC_Tree_1!MC_BP_C_synergy_friendly_C_mkt_fr_exceed</f>
        <v>0.25</v>
      </c>
      <c r="CJ1">
        <f>MC_Tree_1!MC_BV_C_synergy_friendly_C_mkt_fr_exceed</f>
        <v>0</v>
      </c>
      <c r="CK1">
        <f>MC_Tree_1!MC_BP_C_synergy_friendly_C_mkt_fr_meet</f>
        <v>0.45</v>
      </c>
      <c r="CL1">
        <f>MC_Tree_1!MC_BV_C_synergy_friendly_C_mkt_fr_meet</f>
        <v>0</v>
      </c>
      <c r="CM1">
        <f>MC_Tree_1!MC_BP_C_synergy_friendly_C_mkt_fr_below</f>
        <v>0.3</v>
      </c>
      <c r="CN1">
        <f>MC_Tree_1!MC_BV_C_synergy_friendly_C_mkt_fr_below</f>
        <v>0</v>
      </c>
      <c r="CO1">
        <f>MC_Tree_1!MC_BP_C_synergy_friendly_cond_T_fr_cond_meet</f>
        <v>0.4</v>
      </c>
      <c r="CP1">
        <f>MC_Tree_1!MC_BV_C_synergy_friendly_cond_T_fr_cond_meet</f>
        <v>2800000000</v>
      </c>
      <c r="CQ1">
        <f>MC_Tree_1!MC_BP_C_synergy_friendly_cond_T_fr_cond_below</f>
        <v>0.6</v>
      </c>
      <c r="CR1">
        <f>MC_Tree_1!MC_BV_C_synergy_friendly_cond_T_fr_cond_below</f>
        <v>1200000000</v>
      </c>
      <c r="CS1">
        <f>MC_Tree_1!MC_BV_D_hostile_blocked_C_rebid</f>
        <v>-500000000</v>
      </c>
      <c r="CT1">
        <f>MC_Tree_1!MC_BV_D_hostile_blocked_T_hostile_walkaway</f>
        <v>0</v>
      </c>
      <c r="CU1">
        <f>MC_Tree_1!MC_BV_D_minority_strategy_C_minority_active</f>
        <v>0</v>
      </c>
      <c r="CV1">
        <f>MC_Tree_1!MC_BV_D_minority_strategy_C_minority_passive</f>
        <v>0</v>
      </c>
      <c r="CW1">
        <f>MC_Tree_1!MC_BV_D_root_C_reg_hostile</f>
        <v>-2000000000</v>
      </c>
      <c r="CX1">
        <f>MC_Tree_1!MC_BV_D_root_C_reg_friendly</f>
        <v>-1500000000</v>
      </c>
      <c r="CY1">
        <f>MC_Tree_1!MC_BV_D_root_C_reg_minority</f>
        <v>-600000000</v>
      </c>
      <c r="CZ1">
        <f>MC_Tree_1!MC_BV_D_root_T_no_deal</f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  <c r="DY1">
        <v>0</v>
      </c>
      <c r="DZ1">
        <v>0</v>
      </c>
      <c r="EA1">
        <v>0</v>
      </c>
      <c r="EB1">
        <v>0</v>
      </c>
      <c r="EC1">
        <v>0</v>
      </c>
      <c r="ED1">
        <v>0</v>
      </c>
      <c r="EE1">
        <v>0</v>
      </c>
      <c r="EF1">
        <v>0</v>
      </c>
      <c r="EG1">
        <v>0</v>
      </c>
      <c r="EH1">
        <v>0</v>
      </c>
      <c r="EI1">
        <v>0</v>
      </c>
      <c r="EJ1">
        <v>0</v>
      </c>
      <c r="EK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9E52-D424-40E1-A6AA-DE277A5B9660}">
  <dimension ref="B2:D5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36</v>
      </c>
    </row>
    <row r="3" spans="2:2" x14ac:dyDescent="0.45">
      <c r="B3" s="10" t="s">
        <v>37</v>
      </c>
    </row>
    <row r="5" spans="2:2" ht="15.75" x14ac:dyDescent="0.5">
      <c r="B5" s="15" t="s">
        <v>38</v>
      </c>
    </row>
    <row r="7" spans="2:2" x14ac:dyDescent="0.45">
      <c r="B7" t="s">
        <v>39</v>
      </c>
    </row>
    <row r="8" spans="2:2" x14ac:dyDescent="0.45">
      <c r="B8" t="s">
        <v>40</v>
      </c>
    </row>
    <row r="9" spans="2:2" x14ac:dyDescent="0.45">
      <c r="B9" t="s">
        <v>41</v>
      </c>
    </row>
    <row r="10" spans="2:2" x14ac:dyDescent="0.45">
      <c r="B10" t="s">
        <v>42</v>
      </c>
    </row>
    <row r="12" spans="2:2" x14ac:dyDescent="0.45">
      <c r="B12" s="8" t="s">
        <v>43</v>
      </c>
    </row>
    <row r="13" spans="2:2" x14ac:dyDescent="0.45">
      <c r="B13" t="s">
        <v>44</v>
      </c>
    </row>
    <row r="14" spans="2:2" x14ac:dyDescent="0.45">
      <c r="B14" t="s">
        <v>45</v>
      </c>
    </row>
    <row r="15" spans="2:2" x14ac:dyDescent="0.45">
      <c r="B15" t="s">
        <v>46</v>
      </c>
    </row>
    <row r="16" spans="2:2" x14ac:dyDescent="0.45">
      <c r="B16" t="s">
        <v>47</v>
      </c>
    </row>
    <row r="18" spans="2:2" x14ac:dyDescent="0.45">
      <c r="B18" s="8" t="s">
        <v>48</v>
      </c>
    </row>
    <row r="19" spans="2:2" x14ac:dyDescent="0.45">
      <c r="B19" t="s">
        <v>49</v>
      </c>
    </row>
    <row r="20" spans="2:2" x14ac:dyDescent="0.45">
      <c r="B20" t="s">
        <v>50</v>
      </c>
    </row>
    <row r="21" spans="2:2" x14ac:dyDescent="0.45">
      <c r="B21" t="s">
        <v>51</v>
      </c>
    </row>
    <row r="23" spans="2:2" x14ac:dyDescent="0.45">
      <c r="B23" s="8" t="s">
        <v>52</v>
      </c>
    </row>
    <row r="24" spans="2:2" x14ac:dyDescent="0.45">
      <c r="B24" t="s">
        <v>53</v>
      </c>
    </row>
    <row r="25" spans="2:2" x14ac:dyDescent="0.45">
      <c r="B25" t="s">
        <v>54</v>
      </c>
    </row>
    <row r="26" spans="2:2" x14ac:dyDescent="0.45">
      <c r="B26" t="s">
        <v>55</v>
      </c>
    </row>
    <row r="28" spans="2:2" x14ac:dyDescent="0.45">
      <c r="B28" s="8" t="s">
        <v>56</v>
      </c>
    </row>
    <row r="29" spans="2:2" x14ac:dyDescent="0.45">
      <c r="B29" t="s">
        <v>57</v>
      </c>
    </row>
    <row r="31" spans="2:2" ht="15.75" x14ac:dyDescent="0.5">
      <c r="B31" s="15" t="s">
        <v>58</v>
      </c>
    </row>
    <row r="33" spans="2:4" x14ac:dyDescent="0.45">
      <c r="B33" t="s">
        <v>59</v>
      </c>
    </row>
    <row r="34" spans="2:4" x14ac:dyDescent="0.45">
      <c r="B34" t="s">
        <v>60</v>
      </c>
    </row>
    <row r="35" spans="2:4" x14ac:dyDescent="0.45">
      <c r="B35" t="s">
        <v>61</v>
      </c>
    </row>
    <row r="38" spans="2:4" ht="15.75" x14ac:dyDescent="0.5">
      <c r="B38" s="15" t="s">
        <v>62</v>
      </c>
    </row>
    <row r="40" spans="2:4" x14ac:dyDescent="0.45">
      <c r="B40" s="11" t="s">
        <v>23</v>
      </c>
      <c r="C40" s="11" t="s">
        <v>24</v>
      </c>
      <c r="D40" s="11" t="s">
        <v>26</v>
      </c>
    </row>
    <row r="41" spans="2:4" x14ac:dyDescent="0.45">
      <c r="B41" s="12" t="s">
        <v>63</v>
      </c>
      <c r="C41" s="16">
        <v>2000000000</v>
      </c>
      <c r="D41" s="12" t="s">
        <v>64</v>
      </c>
    </row>
    <row r="42" spans="2:4" x14ac:dyDescent="0.45">
      <c r="B42" s="12" t="s">
        <v>65</v>
      </c>
      <c r="C42" s="16">
        <v>1500000000</v>
      </c>
      <c r="D42" s="12" t="s">
        <v>66</v>
      </c>
    </row>
    <row r="43" spans="2:4" x14ac:dyDescent="0.45">
      <c r="B43" s="12" t="s">
        <v>67</v>
      </c>
      <c r="C43" s="16">
        <v>600000000</v>
      </c>
      <c r="D43" s="12" t="s">
        <v>68</v>
      </c>
    </row>
    <row r="44" spans="2:4" x14ac:dyDescent="0.45">
      <c r="B44" s="12" t="s">
        <v>69</v>
      </c>
      <c r="C44" s="17">
        <v>0.45</v>
      </c>
      <c r="D44" s="12" t="s">
        <v>70</v>
      </c>
    </row>
    <row r="45" spans="2:4" x14ac:dyDescent="0.45">
      <c r="B45" s="12" t="s">
        <v>71</v>
      </c>
      <c r="C45" s="17">
        <v>0.65</v>
      </c>
      <c r="D45" s="12" t="s">
        <v>72</v>
      </c>
    </row>
    <row r="46" spans="2:4" x14ac:dyDescent="0.45">
      <c r="B46" s="12" t="s">
        <v>73</v>
      </c>
      <c r="C46" s="17">
        <v>0.9</v>
      </c>
      <c r="D46" s="12" t="s">
        <v>74</v>
      </c>
    </row>
    <row r="47" spans="2:4" x14ac:dyDescent="0.45">
      <c r="B47" s="12" t="s">
        <v>75</v>
      </c>
      <c r="C47" s="12" t="s">
        <v>76</v>
      </c>
      <c r="D47" s="12" t="s">
        <v>77</v>
      </c>
    </row>
    <row r="48" spans="2:4" x14ac:dyDescent="0.45">
      <c r="B48" s="12" t="s">
        <v>78</v>
      </c>
      <c r="C48" s="12" t="s">
        <v>79</v>
      </c>
      <c r="D48" s="12" t="s">
        <v>80</v>
      </c>
    </row>
    <row r="49" spans="2:4" x14ac:dyDescent="0.45">
      <c r="B49" s="12" t="s">
        <v>81</v>
      </c>
      <c r="C49" s="12" t="s">
        <v>82</v>
      </c>
      <c r="D49" s="12" t="s">
        <v>83</v>
      </c>
    </row>
    <row r="50" spans="2:4" x14ac:dyDescent="0.45">
      <c r="B50" s="12" t="s">
        <v>84</v>
      </c>
      <c r="C50" s="12" t="s">
        <v>85</v>
      </c>
      <c r="D50" s="12" t="s">
        <v>86</v>
      </c>
    </row>
    <row r="53" spans="2:4" ht="15.75" x14ac:dyDescent="0.5">
      <c r="B53" s="15" t="s">
        <v>87</v>
      </c>
    </row>
    <row r="55" spans="2:4" x14ac:dyDescent="0.45">
      <c r="B55" t="s">
        <v>88</v>
      </c>
    </row>
    <row r="56" spans="2:4" x14ac:dyDescent="0.45">
      <c r="B56" t="s">
        <v>89</v>
      </c>
    </row>
    <row r="57" spans="2:4" x14ac:dyDescent="0.45">
      <c r="B57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E46C-6170-4374-A515-1A734020CAAA}">
  <dimension ref="B2:H136"/>
  <sheetViews>
    <sheetView showGridLines="0" workbookViewId="0"/>
  </sheetViews>
  <sheetFormatPr defaultRowHeight="14.25" x14ac:dyDescent="0.45"/>
  <cols>
    <col min="1" max="1" width="8.59765625" customWidth="1"/>
    <col min="2" max="2" width="26.73046875" customWidth="1"/>
    <col min="3" max="3" width="40.33203125" customWidth="1"/>
    <col min="4" max="5" width="40.59765625" customWidth="1"/>
    <col min="6" max="6" width="37" customWidth="1"/>
    <col min="7" max="7" width="41.796875" customWidth="1"/>
    <col min="8" max="8" width="32.19921875" customWidth="1"/>
  </cols>
  <sheetData>
    <row r="2" spans="2:5" ht="15" customHeight="1" x14ac:dyDescent="0.55000000000000004">
      <c r="B2" s="9" t="s">
        <v>21</v>
      </c>
    </row>
    <row r="3" spans="2:5" ht="15" customHeight="1" x14ac:dyDescent="0.45">
      <c r="B3" s="10" t="s">
        <v>22</v>
      </c>
    </row>
    <row r="4" spans="2:5" ht="15" customHeight="1" x14ac:dyDescent="0.45"/>
    <row r="5" spans="2:5" ht="15" customHeight="1" x14ac:dyDescent="0.45">
      <c r="B5" s="11" t="s">
        <v>23</v>
      </c>
      <c r="C5" s="11" t="s">
        <v>24</v>
      </c>
      <c r="D5" s="11" t="s">
        <v>25</v>
      </c>
      <c r="E5" s="11" t="s">
        <v>26</v>
      </c>
    </row>
    <row r="6" spans="2:5" ht="15" customHeight="1" x14ac:dyDescent="0.45">
      <c r="B6" s="12" t="s">
        <v>27</v>
      </c>
      <c r="C6" s="13">
        <v>2000000000</v>
      </c>
      <c r="D6" s="12" t="s">
        <v>28</v>
      </c>
      <c r="E6" s="12" t="s">
        <v>29</v>
      </c>
    </row>
    <row r="7" spans="2:5" ht="15" customHeight="1" x14ac:dyDescent="0.45">
      <c r="B7" s="12" t="s">
        <v>30</v>
      </c>
      <c r="C7" s="13">
        <v>1500000000</v>
      </c>
      <c r="D7" s="12" t="s">
        <v>28</v>
      </c>
      <c r="E7" s="12" t="s">
        <v>31</v>
      </c>
    </row>
    <row r="8" spans="2:5" ht="15" customHeight="1" x14ac:dyDescent="0.45">
      <c r="B8" s="12" t="s">
        <v>32</v>
      </c>
      <c r="C8" s="13">
        <v>600000000</v>
      </c>
      <c r="D8" s="12" t="s">
        <v>28</v>
      </c>
      <c r="E8" s="12" t="s">
        <v>33</v>
      </c>
    </row>
    <row r="9" spans="2:5" ht="15" customHeight="1" x14ac:dyDescent="0.45">
      <c r="B9" s="12" t="s">
        <v>34</v>
      </c>
      <c r="C9" s="13">
        <v>500000000</v>
      </c>
      <c r="D9" s="12" t="s">
        <v>28</v>
      </c>
      <c r="E9" s="12" t="s">
        <v>35</v>
      </c>
    </row>
    <row r="10" spans="2:5" ht="15" customHeight="1" x14ac:dyDescent="0.45"/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4:7" ht="15" customHeight="1" x14ac:dyDescent="0.45">
      <c r="F20" s="5">
        <v>0.35</v>
      </c>
      <c r="G20" s="1">
        <f>_xll.MC_NodeProbability(_MC_Calc_1,"T_hostile_pos_full")</f>
        <v>4.725E-2</v>
      </c>
    </row>
    <row r="21" spans="4:7" ht="15" customHeight="1" x14ac:dyDescent="0.45">
      <c r="F21" s="7">
        <v>5000000000</v>
      </c>
      <c r="G21" s="6">
        <f>_xll.MC_NodeValue(_MC_Calc_1,"T_hostile_pos_full")</f>
        <v>3000000000</v>
      </c>
    </row>
    <row r="22" spans="4:7" ht="15" customHeight="1" x14ac:dyDescent="0.45">
      <c r="E22" s="5">
        <v>0.3</v>
      </c>
      <c r="F22" s="2" t="s">
        <v>1</v>
      </c>
    </row>
    <row r="23" spans="4:7" ht="15" customHeight="1" x14ac:dyDescent="0.45">
      <c r="E23" s="7">
        <v>0</v>
      </c>
      <c r="F23" s="6">
        <f>_xll.MC_NodeValue(_MC_Calc_1,"C_integ_hostile_pos")</f>
        <v>1565000000</v>
      </c>
    </row>
    <row r="24" spans="4:7" ht="15" customHeight="1" x14ac:dyDescent="0.45">
      <c r="F24" s="5">
        <v>0.45</v>
      </c>
      <c r="G24" s="1">
        <f>_xll.MC_NodeProbability(_MC_Calc_1,"T_hostile_pos_part")</f>
        <v>6.0750000000000005E-2</v>
      </c>
    </row>
    <row r="25" spans="4:7" ht="15" customHeight="1" x14ac:dyDescent="0.45">
      <c r="F25" s="7">
        <v>3500000000</v>
      </c>
      <c r="G25" s="6">
        <f>_xll.MC_NodeValue(_MC_Calc_1,"T_hostile_pos_part")</f>
        <v>1500000000</v>
      </c>
    </row>
    <row r="26" spans="4:7" ht="15" customHeight="1" x14ac:dyDescent="0.45">
      <c r="F26" s="5">
        <v>0.2</v>
      </c>
      <c r="G26" s="1">
        <f>_xll.MC_NodeProbability(_MC_Calc_1,"T_hostile_pos_fail")</f>
        <v>2.7000000000000003E-2</v>
      </c>
    </row>
    <row r="27" spans="4:7" ht="15" customHeight="1" x14ac:dyDescent="0.45">
      <c r="F27" s="7">
        <v>1200000000</v>
      </c>
      <c r="G27" s="6">
        <f>_xll.MC_NodeValue(_MC_Calc_1,"T_hostile_pos_fail")</f>
        <v>-800000000</v>
      </c>
    </row>
    <row r="28" spans="4:7" ht="15" customHeight="1" x14ac:dyDescent="0.45">
      <c r="D28" s="5">
        <v>0.45</v>
      </c>
      <c r="E28" s="2" t="s">
        <v>2</v>
      </c>
    </row>
    <row r="29" spans="4:7" ht="15" customHeight="1" x14ac:dyDescent="0.45">
      <c r="D29" s="7">
        <v>0</v>
      </c>
      <c r="E29" s="6">
        <f>_xll.MC_NodeValue(_MC_Calc_1,"C_market_hostile")</f>
        <v>613500000</v>
      </c>
    </row>
    <row r="30" spans="4:7" ht="15" customHeight="1" x14ac:dyDescent="0.45">
      <c r="F30" s="5">
        <v>0.3</v>
      </c>
      <c r="G30" s="1">
        <f>_xll.MC_NodeProbability(_MC_Calc_1,"T_hostile_neut_full")</f>
        <v>5.4000000000000006E-2</v>
      </c>
    </row>
    <row r="31" spans="4:7" ht="15" customHeight="1" x14ac:dyDescent="0.45">
      <c r="F31" s="7">
        <v>4200000000</v>
      </c>
      <c r="G31" s="6">
        <f>_xll.MC_NodeValue(_MC_Calc_1,"T_hostile_neut_full")</f>
        <v>2200000000</v>
      </c>
    </row>
    <row r="32" spans="4:7" ht="15" customHeight="1" x14ac:dyDescent="0.45">
      <c r="E32" s="5">
        <v>0.4</v>
      </c>
      <c r="F32" s="2" t="s">
        <v>3</v>
      </c>
    </row>
    <row r="33" spans="3:7" ht="15" customHeight="1" x14ac:dyDescent="0.45">
      <c r="E33" s="7">
        <v>0</v>
      </c>
      <c r="F33" s="6">
        <f>_xll.MC_NodeValue(_MC_Calc_1,"C_integ_hostile_neut")</f>
        <v>720000000</v>
      </c>
    </row>
    <row r="34" spans="3:7" ht="15" customHeight="1" x14ac:dyDescent="0.45">
      <c r="F34" s="5">
        <v>0.45</v>
      </c>
      <c r="G34" s="1">
        <f>_xll.MC_NodeProbability(_MC_Calc_1,"T_hostile_neut_part")</f>
        <v>8.1000000000000016E-2</v>
      </c>
    </row>
    <row r="35" spans="3:7" ht="15" customHeight="1" x14ac:dyDescent="0.45">
      <c r="F35" s="7">
        <v>2800000000</v>
      </c>
      <c r="G35" s="6">
        <f>_xll.MC_NodeValue(_MC_Calc_1,"T_hostile_neut_part")</f>
        <v>800000000</v>
      </c>
    </row>
    <row r="36" spans="3:7" ht="15" customHeight="1" x14ac:dyDescent="0.45">
      <c r="F36" s="5">
        <v>0.25</v>
      </c>
      <c r="G36" s="1">
        <f>_xll.MC_NodeProbability(_MC_Calc_1,"T_hostile_neut_fail")</f>
        <v>4.5000000000000005E-2</v>
      </c>
    </row>
    <row r="37" spans="3:7" ht="15" customHeight="1" x14ac:dyDescent="0.45">
      <c r="F37" s="7">
        <v>800000000</v>
      </c>
      <c r="G37" s="6">
        <f>_xll.MC_NodeValue(_MC_Calc_1,"T_hostile_neut_fail")</f>
        <v>-1200000000</v>
      </c>
    </row>
    <row r="38" spans="3:7" ht="15" customHeight="1" x14ac:dyDescent="0.45">
      <c r="F38" s="5">
        <v>0.2</v>
      </c>
      <c r="G38" s="1">
        <f>_xll.MC_NodeProbability(_MC_Calc_1,"T_hostile_neg_full")</f>
        <v>2.7000000000000003E-2</v>
      </c>
    </row>
    <row r="39" spans="3:7" ht="15" customHeight="1" x14ac:dyDescent="0.45">
      <c r="F39" s="7">
        <v>3200000000</v>
      </c>
      <c r="G39" s="6">
        <f>_xll.MC_NodeValue(_MC_Calc_1,"T_hostile_neg_full")</f>
        <v>1200000000</v>
      </c>
    </row>
    <row r="40" spans="3:7" ht="15" customHeight="1" x14ac:dyDescent="0.45">
      <c r="E40" s="5">
        <v>0.3</v>
      </c>
      <c r="F40" s="2" t="s">
        <v>4</v>
      </c>
    </row>
    <row r="41" spans="3:7" ht="15" customHeight="1" x14ac:dyDescent="0.45">
      <c r="E41" s="7">
        <v>0</v>
      </c>
      <c r="F41" s="6">
        <f>_xll.MC_NodeValue(_MC_Calc_1,"C_integ_hostile_neg")</f>
        <v>-480000000</v>
      </c>
    </row>
    <row r="42" spans="3:7" ht="15" customHeight="1" x14ac:dyDescent="0.45">
      <c r="F42" s="5">
        <v>0.4</v>
      </c>
      <c r="G42" s="1">
        <f>_xll.MC_NodeProbability(_MC_Calc_1,"T_hostile_neg_part")</f>
        <v>5.4000000000000006E-2</v>
      </c>
    </row>
    <row r="43" spans="3:7" ht="15" customHeight="1" x14ac:dyDescent="0.45">
      <c r="F43" s="7">
        <v>1800000000</v>
      </c>
      <c r="G43" s="6">
        <f>_xll.MC_NodeValue(_MC_Calc_1,"T_hostile_neg_part")</f>
        <v>-200000000</v>
      </c>
    </row>
    <row r="44" spans="3:7" ht="15" customHeight="1" x14ac:dyDescent="0.45">
      <c r="F44" s="5">
        <v>0.4</v>
      </c>
      <c r="G44" s="1">
        <f>_xll.MC_NodeProbability(_MC_Calc_1,"T_hostile_neg_fail")</f>
        <v>5.4000000000000006E-2</v>
      </c>
    </row>
    <row r="45" spans="3:7" ht="15" customHeight="1" x14ac:dyDescent="0.45">
      <c r="F45" s="7">
        <v>400000000</v>
      </c>
      <c r="G45" s="6">
        <f>_xll.MC_NodeValue(_MC_Calc_1,"T_hostile_neg_fail")</f>
        <v>-1600000000</v>
      </c>
    </row>
    <row r="46" spans="3:7" ht="15" customHeight="1" x14ac:dyDescent="0.45">
      <c r="C46" s="4" t="str">
        <f>_xll.MC_NodeDecision(_MC_Calc_1,"C_reg_hostile")</f>
        <v/>
      </c>
      <c r="D46" s="2" t="s">
        <v>5</v>
      </c>
    </row>
    <row r="47" spans="3:7" ht="15" customHeight="1" x14ac:dyDescent="0.45">
      <c r="C47" s="7">
        <f>-HostileTakeover2bPremiumCost</f>
        <v>-2000000000</v>
      </c>
      <c r="D47" s="6">
        <f>_xll.MC_NodeValue(_MC_Calc_1,"C_reg_hostile")</f>
        <v>-81125000</v>
      </c>
    </row>
    <row r="48" spans="3:7" ht="15" customHeight="1" x14ac:dyDescent="0.45">
      <c r="E48" s="5">
        <v>0.25</v>
      </c>
      <c r="F48" s="1">
        <f>_xll.MC_NodeProbability(_MC_Calc_1,"T_hostile_cond_pos")</f>
        <v>6.25E-2</v>
      </c>
    </row>
    <row r="49" spans="4:8" ht="15" customHeight="1" x14ac:dyDescent="0.45">
      <c r="E49" s="7">
        <v>3800000000</v>
      </c>
      <c r="F49" s="6">
        <f>_xll.MC_NodeValue(_MC_Calc_1,"T_hostile_cond_pos")</f>
        <v>1600000000</v>
      </c>
    </row>
    <row r="50" spans="4:8" ht="15" customHeight="1" x14ac:dyDescent="0.45">
      <c r="D50" s="5">
        <v>0.25</v>
      </c>
      <c r="E50" s="2" t="s">
        <v>6</v>
      </c>
    </row>
    <row r="51" spans="4:8" ht="15" customHeight="1" x14ac:dyDescent="0.45">
      <c r="D51" s="7">
        <v>-200000000</v>
      </c>
      <c r="E51" s="6">
        <f>_xll.MC_NodeValue(_MC_Calc_1,"C_market_hostile_cond")</f>
        <v>340000000</v>
      </c>
    </row>
    <row r="52" spans="4:8" ht="15" customHeight="1" x14ac:dyDescent="0.45">
      <c r="E52" s="5">
        <v>0.45</v>
      </c>
      <c r="F52" s="1">
        <f>_xll.MC_NodeProbability(_MC_Calc_1,"T_hostile_cond_neut")</f>
        <v>0.1125</v>
      </c>
    </row>
    <row r="53" spans="4:8" ht="15" customHeight="1" x14ac:dyDescent="0.45">
      <c r="E53" s="7">
        <v>2600000000</v>
      </c>
      <c r="F53" s="6">
        <f>_xll.MC_NodeValue(_MC_Calc_1,"T_hostile_cond_neut")</f>
        <v>400000000</v>
      </c>
    </row>
    <row r="54" spans="4:8" ht="15" customHeight="1" x14ac:dyDescent="0.45">
      <c r="E54" s="5">
        <v>0.3</v>
      </c>
      <c r="F54" s="1">
        <f>_xll.MC_NodeProbability(_MC_Calc_1,"T_hostile_cond_neg")</f>
        <v>7.4999999999999997E-2</v>
      </c>
    </row>
    <row r="55" spans="4:8" ht="15" customHeight="1" x14ac:dyDescent="0.45">
      <c r="E55" s="7">
        <v>1400000000</v>
      </c>
      <c r="F55" s="6">
        <f>_xll.MC_NodeValue(_MC_Calc_1,"T_hostile_cond_neg")</f>
        <v>-800000000</v>
      </c>
    </row>
    <row r="56" spans="4:8" ht="15" customHeight="1" x14ac:dyDescent="0.45">
      <c r="G56" s="5">
        <v>0.25</v>
      </c>
      <c r="H56" s="1">
        <f>_xll.MC_NodeProbability(_MC_Calc_1,"T_rebid_full")</f>
        <v>0.03</v>
      </c>
    </row>
    <row r="57" spans="4:8" ht="15" customHeight="1" x14ac:dyDescent="0.45">
      <c r="G57" s="7">
        <v>4500000000</v>
      </c>
      <c r="H57" s="6">
        <f>_xll.MC_NodeValue(_MC_Calc_1,"T_rebid_full")</f>
        <v>2000000000</v>
      </c>
    </row>
    <row r="58" spans="4:8" ht="15" customHeight="1" x14ac:dyDescent="0.45">
      <c r="F58" s="5">
        <v>0.4</v>
      </c>
      <c r="G58" s="2" t="s">
        <v>7</v>
      </c>
    </row>
    <row r="59" spans="4:8" ht="15" customHeight="1" x14ac:dyDescent="0.45">
      <c r="F59" s="7">
        <v>0</v>
      </c>
      <c r="G59" s="6">
        <f>_xll.MC_NodeValue(_MC_Calc_1,"C_integ_rebid")</f>
        <v>65000000</v>
      </c>
    </row>
    <row r="60" spans="4:8" ht="15" customHeight="1" x14ac:dyDescent="0.45">
      <c r="G60" s="5">
        <v>0.45</v>
      </c>
      <c r="H60" s="1">
        <f>_xll.MC_NodeProbability(_MC_Calc_1,"T_rebid_part")</f>
        <v>5.3999999999999999E-2</v>
      </c>
    </row>
    <row r="61" spans="4:8" ht="15" customHeight="1" x14ac:dyDescent="0.45">
      <c r="G61" s="7">
        <v>2800000000</v>
      </c>
      <c r="H61" s="6">
        <f>_xll.MC_NodeValue(_MC_Calc_1,"T_rebid_part")</f>
        <v>300000000</v>
      </c>
    </row>
    <row r="62" spans="4:8" ht="15" customHeight="1" x14ac:dyDescent="0.45">
      <c r="G62" s="5">
        <v>0.3</v>
      </c>
      <c r="H62" s="1">
        <f>_xll.MC_NodeProbability(_MC_Calc_1,"T_rebid_fail")</f>
        <v>3.5999999999999997E-2</v>
      </c>
    </row>
    <row r="63" spans="4:8" ht="15" customHeight="1" x14ac:dyDescent="0.45">
      <c r="G63" s="7">
        <v>600000000</v>
      </c>
      <c r="H63" s="6">
        <f>_xll.MC_NodeValue(_MC_Calc_1,"T_rebid_fail")</f>
        <v>-1900000000</v>
      </c>
    </row>
    <row r="64" spans="4:8" ht="15" customHeight="1" x14ac:dyDescent="0.45">
      <c r="E64" s="4" t="str">
        <f>_xll.MC_NodeDecision(_MC_Calc_1,"C_rebid")</f>
        <v>optimal</v>
      </c>
      <c r="F64" s="2" t="s">
        <v>8</v>
      </c>
    </row>
    <row r="65" spans="3:7" ht="15" customHeight="1" x14ac:dyDescent="0.45">
      <c r="E65" s="7">
        <f>-IncreaseBidTo25bCost</f>
        <v>-500000000</v>
      </c>
      <c r="F65" s="6">
        <f>_xll.MC_NodeValue(_MC_Calc_1,"C_rebid")</f>
        <v>-1474000000</v>
      </c>
    </row>
    <row r="66" spans="3:7" ht="15" customHeight="1" x14ac:dyDescent="0.45">
      <c r="F66" s="5">
        <v>0.6</v>
      </c>
      <c r="G66" s="1">
        <f>_xll.MC_NodeProbability(_MC_Calc_1,"T_rebid_rejected")</f>
        <v>0.18</v>
      </c>
    </row>
    <row r="67" spans="3:7" ht="15" customHeight="1" x14ac:dyDescent="0.45">
      <c r="F67" s="7">
        <v>0</v>
      </c>
      <c r="G67" s="6">
        <f>_xll.MC_NodeValue(_MC_Calc_1,"T_rebid_rejected")</f>
        <v>-2500000000</v>
      </c>
    </row>
    <row r="68" spans="3:7" ht="15" customHeight="1" x14ac:dyDescent="0.45">
      <c r="D68" s="5">
        <v>0.3</v>
      </c>
      <c r="E68" s="3" t="s">
        <v>9</v>
      </c>
    </row>
    <row r="69" spans="3:7" ht="15" customHeight="1" x14ac:dyDescent="0.45">
      <c r="D69" s="7">
        <v>0</v>
      </c>
      <c r="E69" s="6">
        <f>_xll.MC_NodeValue(_MC_Calc_1,"D_hostile_blocked")</f>
        <v>-1474000000</v>
      </c>
    </row>
    <row r="70" spans="3:7" ht="15" customHeight="1" x14ac:dyDescent="0.45">
      <c r="E70" s="4" t="str">
        <f>_xll.MC_NodeDecision(_MC_Calc_1,"T_hostile_walkaway")</f>
        <v/>
      </c>
      <c r="F70" s="1">
        <f>_xll.MC_NodeProbability(_MC_Calc_1,"T_hostile_walkaway")</f>
        <v>0.3</v>
      </c>
    </row>
    <row r="71" spans="3:7" ht="15" customHeight="1" x14ac:dyDescent="0.45">
      <c r="E71" s="7">
        <v>0</v>
      </c>
      <c r="F71" s="6">
        <f>_xll.MC_NodeValue(_MC_Calc_1,"T_hostile_walkaway")</f>
        <v>-2000000000</v>
      </c>
    </row>
    <row r="72" spans="3:7" ht="15" customHeight="1" x14ac:dyDescent="0.45">
      <c r="C72" s="3" t="s">
        <v>10</v>
      </c>
    </row>
    <row r="73" spans="3:7" ht="15" customHeight="1" x14ac:dyDescent="0.45">
      <c r="C73" s="6">
        <f>_xll.MC_NodeValue(_MC_Calc_1,"D_root")</f>
        <v>663187500</v>
      </c>
    </row>
    <row r="74" spans="3:7" ht="15" customHeight="1" x14ac:dyDescent="0.45">
      <c r="F74" s="5">
        <v>0.35</v>
      </c>
      <c r="G74" s="1">
        <f>_xll.MC_NodeProbability(_MC_Calc_1,"T_fr_exceed_bull")</f>
        <v>5.6874999999999995E-2</v>
      </c>
    </row>
    <row r="75" spans="3:7" ht="15" customHeight="1" x14ac:dyDescent="0.45">
      <c r="F75" s="7">
        <v>4800000000</v>
      </c>
      <c r="G75" s="6">
        <f>_xll.MC_NodeValue(_MC_Calc_1,"T_fr_exceed_bull")</f>
        <v>3300000000</v>
      </c>
    </row>
    <row r="76" spans="3:7" ht="15" customHeight="1" x14ac:dyDescent="0.45">
      <c r="E76" s="5">
        <v>0.25</v>
      </c>
      <c r="F76" s="2" t="s">
        <v>11</v>
      </c>
    </row>
    <row r="77" spans="3:7" ht="15" customHeight="1" x14ac:dyDescent="0.45">
      <c r="E77" s="7">
        <v>0</v>
      </c>
      <c r="F77" s="6">
        <f>_xll.MC_NodeValue(_MC_Calc_1,"C_mkt_fr_exceed")</f>
        <v>2400000000</v>
      </c>
    </row>
    <row r="78" spans="3:7" ht="15" customHeight="1" x14ac:dyDescent="0.45">
      <c r="F78" s="5">
        <v>0.4</v>
      </c>
      <c r="G78" s="1">
        <f>_xll.MC_NodeProbability(_MC_Calc_1,"T_fr_exceed_flat")</f>
        <v>6.5000000000000002E-2</v>
      </c>
    </row>
    <row r="79" spans="3:7" ht="15" customHeight="1" x14ac:dyDescent="0.45">
      <c r="F79" s="7">
        <v>3800000000</v>
      </c>
      <c r="G79" s="6">
        <f>_xll.MC_NodeValue(_MC_Calc_1,"T_fr_exceed_flat")</f>
        <v>2300000000</v>
      </c>
    </row>
    <row r="80" spans="3:7" ht="15" customHeight="1" x14ac:dyDescent="0.45">
      <c r="F80" s="5">
        <v>0.25</v>
      </c>
      <c r="G80" s="1">
        <f>_xll.MC_NodeProbability(_MC_Calc_1,"T_fr_exceed_bear")</f>
        <v>4.0625000000000001E-2</v>
      </c>
    </row>
    <row r="81" spans="4:7" ht="15" customHeight="1" x14ac:dyDescent="0.45">
      <c r="F81" s="7">
        <v>2800000000</v>
      </c>
      <c r="G81" s="6">
        <f>_xll.MC_NodeValue(_MC_Calc_1,"T_fr_exceed_bear")</f>
        <v>1300000000</v>
      </c>
    </row>
    <row r="82" spans="4:7" ht="15" customHeight="1" x14ac:dyDescent="0.45">
      <c r="D82" s="5">
        <v>0.65</v>
      </c>
      <c r="E82" s="2" t="s">
        <v>12</v>
      </c>
    </row>
    <row r="83" spans="4:7" ht="15" customHeight="1" x14ac:dyDescent="0.45">
      <c r="D83" s="7">
        <v>0</v>
      </c>
      <c r="E83" s="6">
        <f>_xll.MC_NodeValue(_MC_Calc_1,"C_synergy_friendly")</f>
        <v>1158750000</v>
      </c>
    </row>
    <row r="84" spans="4:7" ht="15" customHeight="1" x14ac:dyDescent="0.45">
      <c r="F84" s="5">
        <v>0.35</v>
      </c>
      <c r="G84" s="1">
        <f>_xll.MC_NodeProbability(_MC_Calc_1,"T_fr_meet_bull")</f>
        <v>0.10237500000000001</v>
      </c>
    </row>
    <row r="85" spans="4:7" ht="15" customHeight="1" x14ac:dyDescent="0.45">
      <c r="F85" s="7">
        <v>3500000000</v>
      </c>
      <c r="G85" s="6">
        <f>_xll.MC_NodeValue(_MC_Calc_1,"T_fr_meet_bull")</f>
        <v>2000000000</v>
      </c>
    </row>
    <row r="86" spans="4:7" ht="15" customHeight="1" x14ac:dyDescent="0.45">
      <c r="E86" s="5">
        <v>0.45</v>
      </c>
      <c r="F86" s="2" t="s">
        <v>13</v>
      </c>
    </row>
    <row r="87" spans="4:7" ht="15" customHeight="1" x14ac:dyDescent="0.45">
      <c r="E87" s="7">
        <v>0</v>
      </c>
      <c r="F87" s="6">
        <f>_xll.MC_NodeValue(_MC_Calc_1,"C_mkt_fr_meet")</f>
        <v>1255000000</v>
      </c>
    </row>
    <row r="88" spans="4:7" ht="15" customHeight="1" x14ac:dyDescent="0.45">
      <c r="F88" s="5">
        <v>0.4</v>
      </c>
      <c r="G88" s="1">
        <f>_xll.MC_NodeProbability(_MC_Calc_1,"T_fr_meet_flat")</f>
        <v>0.11700000000000002</v>
      </c>
    </row>
    <row r="89" spans="4:7" ht="15" customHeight="1" x14ac:dyDescent="0.45">
      <c r="F89" s="7">
        <v>2700000000</v>
      </c>
      <c r="G89" s="6">
        <f>_xll.MC_NodeValue(_MC_Calc_1,"T_fr_meet_flat")</f>
        <v>1200000000</v>
      </c>
    </row>
    <row r="90" spans="4:7" ht="15" customHeight="1" x14ac:dyDescent="0.45">
      <c r="F90" s="5">
        <v>0.25</v>
      </c>
      <c r="G90" s="1">
        <f>_xll.MC_NodeProbability(_MC_Calc_1,"T_fr_meet_bear")</f>
        <v>7.3125000000000009E-2</v>
      </c>
    </row>
    <row r="91" spans="4:7" ht="15" customHeight="1" x14ac:dyDescent="0.45">
      <c r="F91" s="7">
        <v>1800000000</v>
      </c>
      <c r="G91" s="6">
        <f>_xll.MC_NodeValue(_MC_Calc_1,"T_fr_meet_bear")</f>
        <v>300000000</v>
      </c>
    </row>
    <row r="92" spans="4:7" ht="15" customHeight="1" x14ac:dyDescent="0.45">
      <c r="F92" s="5">
        <v>0.35</v>
      </c>
      <c r="G92" s="1">
        <f>_xll.MC_NodeProbability(_MC_Calc_1,"T_fr_below_bull")</f>
        <v>6.8249999999999991E-2</v>
      </c>
    </row>
    <row r="93" spans="4:7" ht="15" customHeight="1" x14ac:dyDescent="0.45">
      <c r="F93" s="7">
        <v>2200000000</v>
      </c>
      <c r="G93" s="6">
        <f>_xll.MC_NodeValue(_MC_Calc_1,"T_fr_below_bull")</f>
        <v>700000000</v>
      </c>
    </row>
    <row r="94" spans="4:7" ht="15" customHeight="1" x14ac:dyDescent="0.45">
      <c r="E94" s="5">
        <v>0.3</v>
      </c>
      <c r="F94" s="2" t="s">
        <v>14</v>
      </c>
    </row>
    <row r="95" spans="4:7" ht="15" customHeight="1" x14ac:dyDescent="0.45">
      <c r="E95" s="7">
        <v>0</v>
      </c>
      <c r="F95" s="6">
        <f>_xll.MC_NodeValue(_MC_Calc_1,"C_mkt_fr_below")</f>
        <v>-20000000.00000003</v>
      </c>
    </row>
    <row r="96" spans="4:7" ht="15" customHeight="1" x14ac:dyDescent="0.45">
      <c r="F96" s="5">
        <v>0.4</v>
      </c>
      <c r="G96" s="1">
        <f>_xll.MC_NodeProbability(_MC_Calc_1,"T_fr_below_flat")</f>
        <v>7.8000000000000014E-2</v>
      </c>
    </row>
    <row r="97" spans="3:7" ht="15" customHeight="1" x14ac:dyDescent="0.45">
      <c r="F97" s="7">
        <v>1400000000</v>
      </c>
      <c r="G97" s="6">
        <f>_xll.MC_NodeValue(_MC_Calc_1,"T_fr_below_flat")</f>
        <v>-100000000</v>
      </c>
    </row>
    <row r="98" spans="3:7" ht="15" customHeight="1" x14ac:dyDescent="0.45">
      <c r="F98" s="5">
        <v>0.25</v>
      </c>
      <c r="G98" s="1">
        <f>_xll.MC_NodeProbability(_MC_Calc_1,"T_fr_below_bear")</f>
        <v>4.8750000000000002E-2</v>
      </c>
    </row>
    <row r="99" spans="3:7" ht="15" customHeight="1" x14ac:dyDescent="0.45">
      <c r="F99" s="7">
        <v>600000000</v>
      </c>
      <c r="G99" s="6">
        <f>_xll.MC_NodeValue(_MC_Calc_1,"T_fr_below_bear")</f>
        <v>-900000000</v>
      </c>
    </row>
    <row r="100" spans="3:7" ht="15" customHeight="1" x14ac:dyDescent="0.45">
      <c r="C100" s="4" t="str">
        <f>_xll.MC_NodeDecision(_MC_Calc_1,"C_reg_friendly")</f>
        <v>optimal</v>
      </c>
      <c r="D100" s="2" t="s">
        <v>15</v>
      </c>
    </row>
    <row r="101" spans="3:7" ht="15" customHeight="1" x14ac:dyDescent="0.45">
      <c r="C101" s="7">
        <f>-FriendlyMerger15bCost</f>
        <v>-1500000000</v>
      </c>
      <c r="D101" s="6">
        <f>_xll.MC_NodeValue(_MC_Calc_1,"C_reg_friendly")</f>
        <v>663187500</v>
      </c>
    </row>
    <row r="102" spans="3:7" ht="15" customHeight="1" x14ac:dyDescent="0.45">
      <c r="E102" s="5">
        <v>0.4</v>
      </c>
      <c r="F102" s="1">
        <f>_xll.MC_NodeProbability(_MC_Calc_1,"T_fr_cond_meet")</f>
        <v>0.1</v>
      </c>
    </row>
    <row r="103" spans="3:7" ht="15" customHeight="1" x14ac:dyDescent="0.45">
      <c r="E103" s="7">
        <v>2800000000</v>
      </c>
      <c r="F103" s="6">
        <f>_xll.MC_NodeValue(_MC_Calc_1,"T_fr_cond_meet")</f>
        <v>1200000000</v>
      </c>
    </row>
    <row r="104" spans="3:7" ht="15" customHeight="1" x14ac:dyDescent="0.45">
      <c r="D104" s="5">
        <v>0.25</v>
      </c>
      <c r="E104" s="2" t="s">
        <v>16</v>
      </c>
    </row>
    <row r="105" spans="3:7" ht="15" customHeight="1" x14ac:dyDescent="0.45">
      <c r="D105" s="7">
        <v>-100000000</v>
      </c>
      <c r="E105" s="6">
        <f>_xll.MC_NodeValue(_MC_Calc_1,"C_synergy_friendly_cond")</f>
        <v>240000000</v>
      </c>
    </row>
    <row r="106" spans="3:7" ht="15" customHeight="1" x14ac:dyDescent="0.45">
      <c r="E106" s="5">
        <v>0.6</v>
      </c>
      <c r="F106" s="1">
        <f>_xll.MC_NodeProbability(_MC_Calc_1,"T_fr_cond_below")</f>
        <v>0.15</v>
      </c>
    </row>
    <row r="107" spans="3:7" ht="15" customHeight="1" x14ac:dyDescent="0.45">
      <c r="E107" s="7">
        <v>1200000000</v>
      </c>
      <c r="F107" s="6">
        <f>_xll.MC_NodeValue(_MC_Calc_1,"T_fr_cond_below")</f>
        <v>-400000000</v>
      </c>
    </row>
    <row r="108" spans="3:7" ht="15" customHeight="1" x14ac:dyDescent="0.45">
      <c r="D108" s="5">
        <v>0.1</v>
      </c>
      <c r="E108" s="1">
        <f>_xll.MC_NodeProbability(_MC_Calc_1,"T_friendly_blocked")</f>
        <v>0.1</v>
      </c>
    </row>
    <row r="109" spans="3:7" ht="15" customHeight="1" x14ac:dyDescent="0.45">
      <c r="D109" s="7">
        <v>0</v>
      </c>
      <c r="E109" s="6">
        <f>_xll.MC_NodeValue(_MC_Calc_1,"T_friendly_blocked")</f>
        <v>-1500000000</v>
      </c>
    </row>
    <row r="110" spans="3:7" ht="15" customHeight="1" x14ac:dyDescent="0.45">
      <c r="F110" s="5">
        <v>0.35</v>
      </c>
      <c r="G110" s="1">
        <f>_xll.MC_NodeProbability(_MC_Calc_1,"T_min_active_success")</f>
        <v>0.315</v>
      </c>
    </row>
    <row r="111" spans="3:7" ht="15" customHeight="1" x14ac:dyDescent="0.45">
      <c r="F111" s="7">
        <v>1400000000</v>
      </c>
      <c r="G111" s="6">
        <f>_xll.MC_NodeValue(_MC_Calc_1,"T_min_active_success")</f>
        <v>800000000</v>
      </c>
    </row>
    <row r="112" spans="3:7" ht="15" customHeight="1" x14ac:dyDescent="0.45">
      <c r="E112" s="4" t="str">
        <f>_xll.MC_NodeDecision(_MC_Calc_1,"C_minority_active")</f>
        <v>optimal</v>
      </c>
      <c r="F112" s="2" t="s">
        <v>17</v>
      </c>
    </row>
    <row r="113" spans="3:7" ht="15" customHeight="1" x14ac:dyDescent="0.45">
      <c r="E113" s="7">
        <v>0</v>
      </c>
      <c r="F113" s="6">
        <f>_xll.MC_NodeValue(_MC_Calc_1,"C_minority_active")</f>
        <v>350000000</v>
      </c>
    </row>
    <row r="114" spans="3:7" ht="15" customHeight="1" x14ac:dyDescent="0.45">
      <c r="F114" s="5">
        <v>0.4</v>
      </c>
      <c r="G114" s="1">
        <f>_xll.MC_NodeProbability(_MC_Calc_1,"T_min_active_mod")</f>
        <v>0.36000000000000004</v>
      </c>
    </row>
    <row r="115" spans="3:7" ht="15" customHeight="1" x14ac:dyDescent="0.45">
      <c r="F115" s="7">
        <v>900000000</v>
      </c>
      <c r="G115" s="6">
        <f>_xll.MC_NodeValue(_MC_Calc_1,"T_min_active_mod")</f>
        <v>300000000</v>
      </c>
    </row>
    <row r="116" spans="3:7" ht="15" customHeight="1" x14ac:dyDescent="0.45">
      <c r="F116" s="5">
        <v>0.25</v>
      </c>
      <c r="G116" s="1">
        <f>_xll.MC_NodeProbability(_MC_Calc_1,"T_min_active_conflict")</f>
        <v>0.22500000000000001</v>
      </c>
    </row>
    <row r="117" spans="3:7" ht="15" customHeight="1" x14ac:dyDescent="0.45">
      <c r="F117" s="7">
        <v>400000000</v>
      </c>
      <c r="G117" s="6">
        <f>_xll.MC_NodeValue(_MC_Calc_1,"T_min_active_conflict")</f>
        <v>-200000000</v>
      </c>
    </row>
    <row r="118" spans="3:7" ht="15" customHeight="1" x14ac:dyDescent="0.45">
      <c r="D118" s="5">
        <v>0.9</v>
      </c>
      <c r="E118" s="3" t="s">
        <v>18</v>
      </c>
    </row>
    <row r="119" spans="3:7" ht="15" customHeight="1" x14ac:dyDescent="0.45">
      <c r="D119" s="7">
        <v>0</v>
      </c>
      <c r="E119" s="6">
        <f>_xll.MC_NodeValue(_MC_Calc_1,"D_minority_strategy")</f>
        <v>350000000</v>
      </c>
    </row>
    <row r="120" spans="3:7" ht="15" customHeight="1" x14ac:dyDescent="0.45">
      <c r="F120" s="5">
        <v>0.4</v>
      </c>
      <c r="G120" s="1">
        <f>_xll.MC_NodeProbability(_MC_Calc_1,"T_min_passive_up")</f>
        <v>0.36000000000000004</v>
      </c>
    </row>
    <row r="121" spans="3:7" ht="15" customHeight="1" x14ac:dyDescent="0.45">
      <c r="F121" s="7">
        <v>1100000000</v>
      </c>
      <c r="G121" s="6">
        <f>_xll.MC_NodeValue(_MC_Calc_1,"T_min_passive_up")</f>
        <v>500000000</v>
      </c>
    </row>
    <row r="122" spans="3:7" ht="15" customHeight="1" x14ac:dyDescent="0.45">
      <c r="E122" s="4" t="str">
        <f>_xll.MC_NodeDecision(_MC_Calc_1,"C_minority_passive")</f>
        <v/>
      </c>
      <c r="F122" s="2" t="s">
        <v>19</v>
      </c>
    </row>
    <row r="123" spans="3:7" ht="15" customHeight="1" x14ac:dyDescent="0.45">
      <c r="E123" s="7">
        <v>0</v>
      </c>
      <c r="F123" s="6">
        <f>_xll.MC_NodeValue(_MC_Calc_1,"C_minority_passive")</f>
        <v>142500000</v>
      </c>
    </row>
    <row r="124" spans="3:7" ht="15" customHeight="1" x14ac:dyDescent="0.45">
      <c r="F124" s="5">
        <v>0.35</v>
      </c>
      <c r="G124" s="1">
        <f>_xll.MC_NodeProbability(_MC_Calc_1,"T_min_passive_flat")</f>
        <v>0.315</v>
      </c>
    </row>
    <row r="125" spans="3:7" ht="15" customHeight="1" x14ac:dyDescent="0.45">
      <c r="F125" s="7">
        <v>650000000</v>
      </c>
      <c r="G125" s="6">
        <f>_xll.MC_NodeValue(_MC_Calc_1,"T_min_passive_flat")</f>
        <v>50000000</v>
      </c>
    </row>
    <row r="126" spans="3:7" ht="15" customHeight="1" x14ac:dyDescent="0.45">
      <c r="F126" s="5">
        <v>0.25</v>
      </c>
      <c r="G126" s="1">
        <f>_xll.MC_NodeProbability(_MC_Calc_1,"T_min_passive_down")</f>
        <v>0.22500000000000001</v>
      </c>
    </row>
    <row r="127" spans="3:7" ht="15" customHeight="1" x14ac:dyDescent="0.45">
      <c r="F127" s="7">
        <v>300000000</v>
      </c>
      <c r="G127" s="6">
        <f>_xll.MC_NodeValue(_MC_Calc_1,"T_min_passive_down")</f>
        <v>-300000000</v>
      </c>
    </row>
    <row r="128" spans="3:7" ht="15" customHeight="1" x14ac:dyDescent="0.45">
      <c r="C128" s="4" t="str">
        <f>_xll.MC_NodeDecision(_MC_Calc_1,"C_reg_minority")</f>
        <v/>
      </c>
      <c r="D128" s="2" t="s">
        <v>20</v>
      </c>
    </row>
    <row r="129" spans="3:5" ht="15" customHeight="1" x14ac:dyDescent="0.45">
      <c r="C129" s="7">
        <f>-MinorityStake30600mCost</f>
        <v>-600000000</v>
      </c>
      <c r="D129" s="6">
        <f>_xll.MC_NodeValue(_MC_Calc_1,"C_reg_minority")</f>
        <v>255000000</v>
      </c>
    </row>
    <row r="130" spans="3:5" ht="15" customHeight="1" x14ac:dyDescent="0.45">
      <c r="D130" s="5">
        <v>0.1</v>
      </c>
      <c r="E130" s="1">
        <f>_xll.MC_NodeProbability(_MC_Calc_1,"T_minority_blocked")</f>
        <v>0.1</v>
      </c>
    </row>
    <row r="131" spans="3:5" ht="15" customHeight="1" x14ac:dyDescent="0.45">
      <c r="D131" s="7">
        <v>0</v>
      </c>
      <c r="E131" s="6">
        <f>_xll.MC_NodeValue(_MC_Calc_1,"T_minority_blocked")</f>
        <v>-600000000</v>
      </c>
    </row>
    <row r="132" spans="3:5" ht="15" customHeight="1" x14ac:dyDescent="0.45">
      <c r="C132" s="4" t="str">
        <f>_xll.MC_NodeDecision(_MC_Calc_1,"T_no_deal")</f>
        <v/>
      </c>
      <c r="D132" s="1">
        <f>_xll.MC_NodeProbability(_MC_Calc_1,"T_no_deal")</f>
        <v>1</v>
      </c>
    </row>
    <row r="133" spans="3:5" ht="15" customHeight="1" x14ac:dyDescent="0.45">
      <c r="C133" s="7">
        <v>0</v>
      </c>
      <c r="D133" s="6">
        <f>_xll.MC_NodeValue(_MC_Calc_1,"T_no_deal")</f>
        <v>0</v>
      </c>
    </row>
    <row r="134" spans="3:5" ht="15" customHeight="1" x14ac:dyDescent="0.45"/>
    <row r="135" spans="3:5" ht="15" customHeight="1" x14ac:dyDescent="0.45"/>
    <row r="136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231</vt:i4>
      </vt:variant>
    </vt:vector>
  </HeadingPairs>
  <TitlesOfParts>
    <vt:vector size="233" baseType="lpstr">
      <vt:lpstr>Problem</vt:lpstr>
      <vt:lpstr>MC_Tree_1</vt:lpstr>
      <vt:lpstr>_MC_Calc_1</vt:lpstr>
      <vt:lpstr>FriendlyMerger15bCost</vt:lpstr>
      <vt:lpstr>HostileTakeover2bPremiumCost</vt:lpstr>
      <vt:lpstr>IncreaseBidTo25bCost</vt:lpstr>
      <vt:lpstr>MC_Tree_1!MC_BD_D_hostile_blocked_C_rebid</vt:lpstr>
      <vt:lpstr>MC_Tree_1!MC_BD_D_hostile_blocked_T_hostile_walkaway</vt:lpstr>
      <vt:lpstr>MC_Tree_1!MC_BD_D_minority_strategy_C_minority_active</vt:lpstr>
      <vt:lpstr>MC_Tree_1!MC_BD_D_minority_strategy_C_minority_passive</vt:lpstr>
      <vt:lpstr>MC_Tree_1!MC_BD_D_root_C_reg_friendly</vt:lpstr>
      <vt:lpstr>MC_Tree_1!MC_BD_D_root_C_reg_hostile</vt:lpstr>
      <vt:lpstr>MC_Tree_1!MC_BD_D_root_C_reg_minority</vt:lpstr>
      <vt:lpstr>MC_Tree_1!MC_BD_D_root_T_no_deal</vt:lpstr>
      <vt:lpstr>MC_Tree_1!MC_BP_C_integ_hostile_neg_T_hostile_neg_fail</vt:lpstr>
      <vt:lpstr>MC_Tree_1!MC_BP_C_integ_hostile_neg_T_hostile_neg_full</vt:lpstr>
      <vt:lpstr>MC_Tree_1!MC_BP_C_integ_hostile_neg_T_hostile_neg_part</vt:lpstr>
      <vt:lpstr>MC_Tree_1!MC_BP_C_integ_hostile_neut_T_hostile_neut_fail</vt:lpstr>
      <vt:lpstr>MC_Tree_1!MC_BP_C_integ_hostile_neut_T_hostile_neut_full</vt:lpstr>
      <vt:lpstr>MC_Tree_1!MC_BP_C_integ_hostile_neut_T_hostile_neut_part</vt:lpstr>
      <vt:lpstr>MC_Tree_1!MC_BP_C_integ_hostile_pos_T_hostile_pos_fail</vt:lpstr>
      <vt:lpstr>MC_Tree_1!MC_BP_C_integ_hostile_pos_T_hostile_pos_full</vt:lpstr>
      <vt:lpstr>MC_Tree_1!MC_BP_C_integ_hostile_pos_T_hostile_pos_part</vt:lpstr>
      <vt:lpstr>MC_Tree_1!MC_BP_C_integ_rebid_T_rebid_fail</vt:lpstr>
      <vt:lpstr>MC_Tree_1!MC_BP_C_integ_rebid_T_rebid_full</vt:lpstr>
      <vt:lpstr>MC_Tree_1!MC_BP_C_integ_rebid_T_rebid_part</vt:lpstr>
      <vt:lpstr>MC_Tree_1!MC_BP_C_market_hostile_C_integ_hostile_neg</vt:lpstr>
      <vt:lpstr>MC_Tree_1!MC_BP_C_market_hostile_C_integ_hostile_neut</vt:lpstr>
      <vt:lpstr>MC_Tree_1!MC_BP_C_market_hostile_C_integ_hostile_pos</vt:lpstr>
      <vt:lpstr>MC_Tree_1!MC_BP_C_market_hostile_cond_T_hostile_cond_neg</vt:lpstr>
      <vt:lpstr>MC_Tree_1!MC_BP_C_market_hostile_cond_T_hostile_cond_neut</vt:lpstr>
      <vt:lpstr>MC_Tree_1!MC_BP_C_market_hostile_cond_T_hostile_cond_pos</vt:lpstr>
      <vt:lpstr>MC_Tree_1!MC_BP_C_minority_active_T_min_active_conflict</vt:lpstr>
      <vt:lpstr>MC_Tree_1!MC_BP_C_minority_active_T_min_active_mod</vt:lpstr>
      <vt:lpstr>MC_Tree_1!MC_BP_C_minority_active_T_min_active_success</vt:lpstr>
      <vt:lpstr>MC_Tree_1!MC_BP_C_minority_passive_T_min_passive_down</vt:lpstr>
      <vt:lpstr>MC_Tree_1!MC_BP_C_minority_passive_T_min_passive_flat</vt:lpstr>
      <vt:lpstr>MC_Tree_1!MC_BP_C_minority_passive_T_min_passive_up</vt:lpstr>
      <vt:lpstr>MC_Tree_1!MC_BP_C_mkt_fr_below_T_fr_below_bear</vt:lpstr>
      <vt:lpstr>MC_Tree_1!MC_BP_C_mkt_fr_below_T_fr_below_bull</vt:lpstr>
      <vt:lpstr>MC_Tree_1!MC_BP_C_mkt_fr_below_T_fr_below_flat</vt:lpstr>
      <vt:lpstr>MC_Tree_1!MC_BP_C_mkt_fr_exceed_T_fr_exceed_bear</vt:lpstr>
      <vt:lpstr>MC_Tree_1!MC_BP_C_mkt_fr_exceed_T_fr_exceed_bull</vt:lpstr>
      <vt:lpstr>MC_Tree_1!MC_BP_C_mkt_fr_exceed_T_fr_exceed_flat</vt:lpstr>
      <vt:lpstr>MC_Tree_1!MC_BP_C_mkt_fr_meet_T_fr_meet_bear</vt:lpstr>
      <vt:lpstr>MC_Tree_1!MC_BP_C_mkt_fr_meet_T_fr_meet_bull</vt:lpstr>
      <vt:lpstr>MC_Tree_1!MC_BP_C_mkt_fr_meet_T_fr_meet_flat</vt:lpstr>
      <vt:lpstr>MC_Tree_1!MC_BP_C_rebid_C_integ_rebid</vt:lpstr>
      <vt:lpstr>MC_Tree_1!MC_BP_C_rebid_T_rebid_rejected</vt:lpstr>
      <vt:lpstr>MC_Tree_1!MC_BP_C_reg_friendly_C_synergy_friendly</vt:lpstr>
      <vt:lpstr>MC_Tree_1!MC_BP_C_reg_friendly_C_synergy_friendly_cond</vt:lpstr>
      <vt:lpstr>MC_Tree_1!MC_BP_C_reg_friendly_T_friendly_blocked</vt:lpstr>
      <vt:lpstr>MC_Tree_1!MC_BP_C_reg_hostile_C_market_hostile</vt:lpstr>
      <vt:lpstr>MC_Tree_1!MC_BP_C_reg_hostile_C_market_hostile_cond</vt:lpstr>
      <vt:lpstr>MC_Tree_1!MC_BP_C_reg_hostile_D_hostile_blocked</vt:lpstr>
      <vt:lpstr>MC_Tree_1!MC_BP_C_reg_minority_D_minority_strategy</vt:lpstr>
      <vt:lpstr>MC_Tree_1!MC_BP_C_reg_minority_T_minority_blocked</vt:lpstr>
      <vt:lpstr>MC_Tree_1!MC_BP_C_synergy_friendly_C_mkt_fr_below</vt:lpstr>
      <vt:lpstr>MC_Tree_1!MC_BP_C_synergy_friendly_C_mkt_fr_exceed</vt:lpstr>
      <vt:lpstr>MC_Tree_1!MC_BP_C_synergy_friendly_C_mkt_fr_meet</vt:lpstr>
      <vt:lpstr>MC_Tree_1!MC_BP_C_synergy_friendly_cond_T_fr_cond_below</vt:lpstr>
      <vt:lpstr>MC_Tree_1!MC_BP_C_synergy_friendly_cond_T_fr_cond_meet</vt:lpstr>
      <vt:lpstr>MC_Tree_1!MC_BV_C_integ_hostile_neg_T_hostile_neg_fail</vt:lpstr>
      <vt:lpstr>MC_Tree_1!MC_BV_C_integ_hostile_neg_T_hostile_neg_full</vt:lpstr>
      <vt:lpstr>MC_Tree_1!MC_BV_C_integ_hostile_neg_T_hostile_neg_part</vt:lpstr>
      <vt:lpstr>MC_Tree_1!MC_BV_C_integ_hostile_neut_T_hostile_neut_fail</vt:lpstr>
      <vt:lpstr>MC_Tree_1!MC_BV_C_integ_hostile_neut_T_hostile_neut_full</vt:lpstr>
      <vt:lpstr>MC_Tree_1!MC_BV_C_integ_hostile_neut_T_hostile_neut_part</vt:lpstr>
      <vt:lpstr>MC_Tree_1!MC_BV_C_integ_hostile_pos_T_hostile_pos_fail</vt:lpstr>
      <vt:lpstr>MC_Tree_1!MC_BV_C_integ_hostile_pos_T_hostile_pos_full</vt:lpstr>
      <vt:lpstr>MC_Tree_1!MC_BV_C_integ_hostile_pos_T_hostile_pos_part</vt:lpstr>
      <vt:lpstr>MC_Tree_1!MC_BV_C_integ_rebid_T_rebid_fail</vt:lpstr>
      <vt:lpstr>MC_Tree_1!MC_BV_C_integ_rebid_T_rebid_full</vt:lpstr>
      <vt:lpstr>MC_Tree_1!MC_BV_C_integ_rebid_T_rebid_part</vt:lpstr>
      <vt:lpstr>MC_Tree_1!MC_BV_C_market_hostile_C_integ_hostile_neg</vt:lpstr>
      <vt:lpstr>MC_Tree_1!MC_BV_C_market_hostile_C_integ_hostile_neut</vt:lpstr>
      <vt:lpstr>MC_Tree_1!MC_BV_C_market_hostile_C_integ_hostile_pos</vt:lpstr>
      <vt:lpstr>MC_Tree_1!MC_BV_C_market_hostile_cond_T_hostile_cond_neg</vt:lpstr>
      <vt:lpstr>MC_Tree_1!MC_BV_C_market_hostile_cond_T_hostile_cond_neut</vt:lpstr>
      <vt:lpstr>MC_Tree_1!MC_BV_C_market_hostile_cond_T_hostile_cond_pos</vt:lpstr>
      <vt:lpstr>MC_Tree_1!MC_BV_C_minority_active_T_min_active_conflict</vt:lpstr>
      <vt:lpstr>MC_Tree_1!MC_BV_C_minority_active_T_min_active_mod</vt:lpstr>
      <vt:lpstr>MC_Tree_1!MC_BV_C_minority_active_T_min_active_success</vt:lpstr>
      <vt:lpstr>MC_Tree_1!MC_BV_C_minority_passive_T_min_passive_down</vt:lpstr>
      <vt:lpstr>MC_Tree_1!MC_BV_C_minority_passive_T_min_passive_flat</vt:lpstr>
      <vt:lpstr>MC_Tree_1!MC_BV_C_minority_passive_T_min_passive_up</vt:lpstr>
      <vt:lpstr>MC_Tree_1!MC_BV_C_mkt_fr_below_T_fr_below_bear</vt:lpstr>
      <vt:lpstr>MC_Tree_1!MC_BV_C_mkt_fr_below_T_fr_below_bull</vt:lpstr>
      <vt:lpstr>MC_Tree_1!MC_BV_C_mkt_fr_below_T_fr_below_flat</vt:lpstr>
      <vt:lpstr>MC_Tree_1!MC_BV_C_mkt_fr_exceed_T_fr_exceed_bear</vt:lpstr>
      <vt:lpstr>MC_Tree_1!MC_BV_C_mkt_fr_exceed_T_fr_exceed_bull</vt:lpstr>
      <vt:lpstr>MC_Tree_1!MC_BV_C_mkt_fr_exceed_T_fr_exceed_flat</vt:lpstr>
      <vt:lpstr>MC_Tree_1!MC_BV_C_mkt_fr_meet_T_fr_meet_bear</vt:lpstr>
      <vt:lpstr>MC_Tree_1!MC_BV_C_mkt_fr_meet_T_fr_meet_bull</vt:lpstr>
      <vt:lpstr>MC_Tree_1!MC_BV_C_mkt_fr_meet_T_fr_meet_flat</vt:lpstr>
      <vt:lpstr>MC_Tree_1!MC_BV_C_rebid_C_integ_rebid</vt:lpstr>
      <vt:lpstr>MC_Tree_1!MC_BV_C_rebid_T_rebid_rejected</vt:lpstr>
      <vt:lpstr>MC_Tree_1!MC_BV_C_reg_friendly_C_synergy_friendly</vt:lpstr>
      <vt:lpstr>MC_Tree_1!MC_BV_C_reg_friendly_C_synergy_friendly_cond</vt:lpstr>
      <vt:lpstr>MC_Tree_1!MC_BV_C_reg_friendly_T_friendly_blocked</vt:lpstr>
      <vt:lpstr>MC_Tree_1!MC_BV_C_reg_hostile_C_market_hostile</vt:lpstr>
      <vt:lpstr>MC_Tree_1!MC_BV_C_reg_hostile_C_market_hostile_cond</vt:lpstr>
      <vt:lpstr>MC_Tree_1!MC_BV_C_reg_hostile_D_hostile_blocked</vt:lpstr>
      <vt:lpstr>MC_Tree_1!MC_BV_C_reg_minority_D_minority_strategy</vt:lpstr>
      <vt:lpstr>MC_Tree_1!MC_BV_C_reg_minority_T_minority_blocked</vt:lpstr>
      <vt:lpstr>MC_Tree_1!MC_BV_C_synergy_friendly_C_mkt_fr_below</vt:lpstr>
      <vt:lpstr>MC_Tree_1!MC_BV_C_synergy_friendly_C_mkt_fr_exceed</vt:lpstr>
      <vt:lpstr>MC_Tree_1!MC_BV_C_synergy_friendly_C_mkt_fr_meet</vt:lpstr>
      <vt:lpstr>MC_Tree_1!MC_BV_C_synergy_friendly_cond_T_fr_cond_below</vt:lpstr>
      <vt:lpstr>MC_Tree_1!MC_BV_C_synergy_friendly_cond_T_fr_cond_meet</vt:lpstr>
      <vt:lpstr>MC_Tree_1!MC_BV_D_hostile_blocked_C_rebid</vt:lpstr>
      <vt:lpstr>MC_Tree_1!MC_BV_D_hostile_blocked_T_hostile_walkaway</vt:lpstr>
      <vt:lpstr>MC_Tree_1!MC_BV_D_minority_strategy_C_minority_active</vt:lpstr>
      <vt:lpstr>MC_Tree_1!MC_BV_D_minority_strategy_C_minority_passive</vt:lpstr>
      <vt:lpstr>MC_Tree_1!MC_BV_D_root_C_reg_friendly</vt:lpstr>
      <vt:lpstr>MC_Tree_1!MC_BV_D_root_C_reg_hostile</vt:lpstr>
      <vt:lpstr>MC_Tree_1!MC_BV_D_root_C_reg_minority</vt:lpstr>
      <vt:lpstr>MC_Tree_1!MC_BV_D_root_T_no_deal</vt:lpstr>
      <vt:lpstr>MC_Tree_1!MC_N_C_integ_hostile_neg</vt:lpstr>
      <vt:lpstr>MC_Tree_1!MC_N_C_integ_hostile_neut</vt:lpstr>
      <vt:lpstr>MC_Tree_1!MC_N_C_integ_hostile_pos</vt:lpstr>
      <vt:lpstr>MC_Tree_1!MC_N_C_integ_rebid</vt:lpstr>
      <vt:lpstr>MC_Tree_1!MC_N_C_market_hostile</vt:lpstr>
      <vt:lpstr>MC_Tree_1!MC_N_C_market_hostile_cond</vt:lpstr>
      <vt:lpstr>MC_Tree_1!MC_N_C_minority_active</vt:lpstr>
      <vt:lpstr>MC_Tree_1!MC_N_C_minority_passive</vt:lpstr>
      <vt:lpstr>MC_Tree_1!MC_N_C_mkt_fr_below</vt:lpstr>
      <vt:lpstr>MC_Tree_1!MC_N_C_mkt_fr_exceed</vt:lpstr>
      <vt:lpstr>MC_Tree_1!MC_N_C_mkt_fr_meet</vt:lpstr>
      <vt:lpstr>MC_Tree_1!MC_N_C_rebid</vt:lpstr>
      <vt:lpstr>MC_Tree_1!MC_N_C_reg_friendly</vt:lpstr>
      <vt:lpstr>MC_Tree_1!MC_N_C_reg_hostile</vt:lpstr>
      <vt:lpstr>MC_Tree_1!MC_N_C_reg_minority</vt:lpstr>
      <vt:lpstr>MC_Tree_1!MC_N_C_synergy_friendly</vt:lpstr>
      <vt:lpstr>MC_Tree_1!MC_N_C_synergy_friendly_cond</vt:lpstr>
      <vt:lpstr>MC_Tree_1!MC_N_D_hostile_blocked</vt:lpstr>
      <vt:lpstr>MC_Tree_1!MC_N_D_minority_strategy</vt:lpstr>
      <vt:lpstr>MC_Tree_1!MC_N_D_root</vt:lpstr>
      <vt:lpstr>MC_Tree_1!MC_NP_T_fr_below_bear</vt:lpstr>
      <vt:lpstr>MC_Tree_1!MC_NP_T_fr_below_bull</vt:lpstr>
      <vt:lpstr>MC_Tree_1!MC_NP_T_fr_below_flat</vt:lpstr>
      <vt:lpstr>MC_Tree_1!MC_NP_T_fr_cond_below</vt:lpstr>
      <vt:lpstr>MC_Tree_1!MC_NP_T_fr_cond_meet</vt:lpstr>
      <vt:lpstr>MC_Tree_1!MC_NP_T_fr_exceed_bear</vt:lpstr>
      <vt:lpstr>MC_Tree_1!MC_NP_T_fr_exceed_bull</vt:lpstr>
      <vt:lpstr>MC_Tree_1!MC_NP_T_fr_exceed_flat</vt:lpstr>
      <vt:lpstr>MC_Tree_1!MC_NP_T_fr_meet_bear</vt:lpstr>
      <vt:lpstr>MC_Tree_1!MC_NP_T_fr_meet_bull</vt:lpstr>
      <vt:lpstr>MC_Tree_1!MC_NP_T_fr_meet_flat</vt:lpstr>
      <vt:lpstr>MC_Tree_1!MC_NP_T_friendly_blocked</vt:lpstr>
      <vt:lpstr>MC_Tree_1!MC_NP_T_hostile_cond_neg</vt:lpstr>
      <vt:lpstr>MC_Tree_1!MC_NP_T_hostile_cond_neut</vt:lpstr>
      <vt:lpstr>MC_Tree_1!MC_NP_T_hostile_cond_pos</vt:lpstr>
      <vt:lpstr>MC_Tree_1!MC_NP_T_hostile_neg_fail</vt:lpstr>
      <vt:lpstr>MC_Tree_1!MC_NP_T_hostile_neg_full</vt:lpstr>
      <vt:lpstr>MC_Tree_1!MC_NP_T_hostile_neg_part</vt:lpstr>
      <vt:lpstr>MC_Tree_1!MC_NP_T_hostile_neut_fail</vt:lpstr>
      <vt:lpstr>MC_Tree_1!MC_NP_T_hostile_neut_full</vt:lpstr>
      <vt:lpstr>MC_Tree_1!MC_NP_T_hostile_neut_part</vt:lpstr>
      <vt:lpstr>MC_Tree_1!MC_NP_T_hostile_pos_fail</vt:lpstr>
      <vt:lpstr>MC_Tree_1!MC_NP_T_hostile_pos_full</vt:lpstr>
      <vt:lpstr>MC_Tree_1!MC_NP_T_hostile_pos_part</vt:lpstr>
      <vt:lpstr>MC_Tree_1!MC_NP_T_hostile_walkaway</vt:lpstr>
      <vt:lpstr>MC_Tree_1!MC_NP_T_min_active_conflict</vt:lpstr>
      <vt:lpstr>MC_Tree_1!MC_NP_T_min_active_mod</vt:lpstr>
      <vt:lpstr>MC_Tree_1!MC_NP_T_min_active_success</vt:lpstr>
      <vt:lpstr>MC_Tree_1!MC_NP_T_min_passive_down</vt:lpstr>
      <vt:lpstr>MC_Tree_1!MC_NP_T_min_passive_flat</vt:lpstr>
      <vt:lpstr>MC_Tree_1!MC_NP_T_min_passive_up</vt:lpstr>
      <vt:lpstr>MC_Tree_1!MC_NP_T_minority_blocked</vt:lpstr>
      <vt:lpstr>MC_Tree_1!MC_NP_T_no_deal</vt:lpstr>
      <vt:lpstr>MC_Tree_1!MC_NP_T_rebid_fail</vt:lpstr>
      <vt:lpstr>MC_Tree_1!MC_NP_T_rebid_full</vt:lpstr>
      <vt:lpstr>MC_Tree_1!MC_NP_T_rebid_part</vt:lpstr>
      <vt:lpstr>MC_Tree_1!MC_NP_T_rebid_rejected</vt:lpstr>
      <vt:lpstr>MC_Tree_1!MC_V_C_integ_hostile_neg</vt:lpstr>
      <vt:lpstr>MC_Tree_1!MC_V_C_integ_hostile_neut</vt:lpstr>
      <vt:lpstr>MC_Tree_1!MC_V_C_integ_hostile_pos</vt:lpstr>
      <vt:lpstr>MC_Tree_1!MC_V_C_integ_rebid</vt:lpstr>
      <vt:lpstr>MC_Tree_1!MC_V_C_market_hostile</vt:lpstr>
      <vt:lpstr>MC_Tree_1!MC_V_C_market_hostile_cond</vt:lpstr>
      <vt:lpstr>MC_Tree_1!MC_V_C_minority_active</vt:lpstr>
      <vt:lpstr>MC_Tree_1!MC_V_C_minority_passive</vt:lpstr>
      <vt:lpstr>MC_Tree_1!MC_V_C_mkt_fr_below</vt:lpstr>
      <vt:lpstr>MC_Tree_1!MC_V_C_mkt_fr_exceed</vt:lpstr>
      <vt:lpstr>MC_Tree_1!MC_V_C_mkt_fr_meet</vt:lpstr>
      <vt:lpstr>MC_Tree_1!MC_V_C_rebid</vt:lpstr>
      <vt:lpstr>MC_Tree_1!MC_V_C_reg_friendly</vt:lpstr>
      <vt:lpstr>MC_Tree_1!MC_V_C_reg_hostile</vt:lpstr>
      <vt:lpstr>MC_Tree_1!MC_V_C_reg_minority</vt:lpstr>
      <vt:lpstr>MC_Tree_1!MC_V_C_synergy_friendly</vt:lpstr>
      <vt:lpstr>MC_Tree_1!MC_V_C_synergy_friendly_cond</vt:lpstr>
      <vt:lpstr>MC_Tree_1!MC_V_D_hostile_blocked</vt:lpstr>
      <vt:lpstr>MC_Tree_1!MC_V_D_minority_strategy</vt:lpstr>
      <vt:lpstr>MC_Tree_1!MC_V_D_root</vt:lpstr>
      <vt:lpstr>MC_Tree_1!MC_V_T_fr_below_bear</vt:lpstr>
      <vt:lpstr>MC_Tree_1!MC_V_T_fr_below_bull</vt:lpstr>
      <vt:lpstr>MC_Tree_1!MC_V_T_fr_below_flat</vt:lpstr>
      <vt:lpstr>MC_Tree_1!MC_V_T_fr_cond_below</vt:lpstr>
      <vt:lpstr>MC_Tree_1!MC_V_T_fr_cond_meet</vt:lpstr>
      <vt:lpstr>MC_Tree_1!MC_V_T_fr_exceed_bear</vt:lpstr>
      <vt:lpstr>MC_Tree_1!MC_V_T_fr_exceed_bull</vt:lpstr>
      <vt:lpstr>MC_Tree_1!MC_V_T_fr_exceed_flat</vt:lpstr>
      <vt:lpstr>MC_Tree_1!MC_V_T_fr_meet_bear</vt:lpstr>
      <vt:lpstr>MC_Tree_1!MC_V_T_fr_meet_bull</vt:lpstr>
      <vt:lpstr>MC_Tree_1!MC_V_T_fr_meet_flat</vt:lpstr>
      <vt:lpstr>MC_Tree_1!MC_V_T_friendly_blocked</vt:lpstr>
      <vt:lpstr>MC_Tree_1!MC_V_T_hostile_cond_neg</vt:lpstr>
      <vt:lpstr>MC_Tree_1!MC_V_T_hostile_cond_neut</vt:lpstr>
      <vt:lpstr>MC_Tree_1!MC_V_T_hostile_cond_pos</vt:lpstr>
      <vt:lpstr>MC_Tree_1!MC_V_T_hostile_neg_fail</vt:lpstr>
      <vt:lpstr>MC_Tree_1!MC_V_T_hostile_neg_full</vt:lpstr>
      <vt:lpstr>MC_Tree_1!MC_V_T_hostile_neg_part</vt:lpstr>
      <vt:lpstr>MC_Tree_1!MC_V_T_hostile_neut_fail</vt:lpstr>
      <vt:lpstr>MC_Tree_1!MC_V_T_hostile_neut_full</vt:lpstr>
      <vt:lpstr>MC_Tree_1!MC_V_T_hostile_neut_part</vt:lpstr>
      <vt:lpstr>MC_Tree_1!MC_V_T_hostile_pos_fail</vt:lpstr>
      <vt:lpstr>MC_Tree_1!MC_V_T_hostile_pos_full</vt:lpstr>
      <vt:lpstr>MC_Tree_1!MC_V_T_hostile_pos_part</vt:lpstr>
      <vt:lpstr>MC_Tree_1!MC_V_T_hostile_walkaway</vt:lpstr>
      <vt:lpstr>MC_Tree_1!MC_V_T_min_active_conflict</vt:lpstr>
      <vt:lpstr>MC_Tree_1!MC_V_T_min_active_mod</vt:lpstr>
      <vt:lpstr>MC_Tree_1!MC_V_T_min_active_success</vt:lpstr>
      <vt:lpstr>MC_Tree_1!MC_V_T_min_passive_down</vt:lpstr>
      <vt:lpstr>MC_Tree_1!MC_V_T_min_passive_flat</vt:lpstr>
      <vt:lpstr>MC_Tree_1!MC_V_T_min_passive_up</vt:lpstr>
      <vt:lpstr>MC_Tree_1!MC_V_T_minority_blocked</vt:lpstr>
      <vt:lpstr>MC_Tree_1!MC_V_T_no_deal</vt:lpstr>
      <vt:lpstr>MC_Tree_1!MC_V_T_rebid_fail</vt:lpstr>
      <vt:lpstr>MC_Tree_1!MC_V_T_rebid_full</vt:lpstr>
      <vt:lpstr>MC_Tree_1!MC_V_T_rebid_part</vt:lpstr>
      <vt:lpstr>MC_Tree_1!MC_V_T_rebid_rejected</vt:lpstr>
      <vt:lpstr>MinorityStake30600mCost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2026-03-27T14:34:51Z</dcterms:created>
  <dcterms:modified xsi:type="dcterms:W3CDTF">2026-03-27T14:35:09Z</dcterms:modified>
</cp:coreProperties>
</file>