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78662776-10D1-487A-A75D-D6D6179DCA63}" xr6:coauthVersionLast="47" xr6:coauthVersionMax="47" xr10:uidLastSave="{00000000-0000-0000-0000-000000000000}"/>
  <bookViews>
    <workbookView xWindow="-98" yWindow="-98" windowWidth="21795" windowHeight="12975" firstSheet="2" activeTab="2" xr2:uid="{C47DF889-EFCA-490D-9382-3044C4DA2EE3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_MC_Calc!$A$1:$DL$1</definedName>
    <definedName name="BuyLargePortfolio1000Cost">MC_Tree_1!$C$6</definedName>
    <definedName name="BuySmallPortfolio200Cost">MC_Tree_1!$C$7</definedName>
    <definedName name="MC_BD_D_large_hold_sell_C_hold_rates" localSheetId="3">MC_Tree_1!$E$28</definedName>
    <definedName name="MC_BD_D_large_hold_sell_T_large_sell_loss" localSheetId="3">MC_Tree_1!$E$36</definedName>
    <definedName name="MC_BD_D_root_C_fund_mortality" localSheetId="3">MC_Tree_1!$C$96</definedName>
    <definedName name="MC_BD_D_root_C_large_mortality" localSheetId="3">MC_Tree_1!$C$38</definedName>
    <definedName name="MC_BD_D_root_C_small_mortality" localSheetId="3">MC_Tree_1!$C$68</definedName>
    <definedName name="MC_BD_D_root_T_no_invest" localSheetId="3">MC_Tree_1!$C$110</definedName>
    <definedName name="MC_BP_C_fund_mortality_C_fund_rates_exp" localSheetId="3">MC_Tree_1!$D$102</definedName>
    <definedName name="MC_BP_C_fund_mortality_T_fund_better" localSheetId="3">MC_Tree_1!$D$98</definedName>
    <definedName name="MC_BP_C_fund_mortality_T_fund_much_better" localSheetId="3">MC_Tree_1!$D$94</definedName>
    <definedName name="MC_BP_C_fund_mortality_T_fund_worse" localSheetId="3">MC_Tree_1!$D$108</definedName>
    <definedName name="MC_BP_C_fund_rates_exp_T_fund_exp_fall" localSheetId="3">MC_Tree_1!$E$106</definedName>
    <definedName name="MC_BP_C_fund_rates_exp_T_fund_exp_rise" localSheetId="3">MC_Tree_1!$E$100</definedName>
    <definedName name="MC_BP_C_fund_rates_exp_T_fund_exp_stable" localSheetId="3">MC_Tree_1!$E$104</definedName>
    <definedName name="MC_BP_C_hold_rates_C_hold_reg" localSheetId="3">MC_Tree_1!$F$22</definedName>
    <definedName name="MC_BP_C_hold_rates_T_hold_fall" localSheetId="3">MC_Tree_1!$F$32</definedName>
    <definedName name="MC_BP_C_hold_rates_T_hold_stable" localSheetId="3">MC_Tree_1!$F$30</definedName>
    <definedName name="MC_BP_C_hold_reg_T_hold_rise_adv" localSheetId="3">MC_Tree_1!$G$26</definedName>
    <definedName name="MC_BP_C_hold_reg_T_hold_rise_fav" localSheetId="3">MC_Tree_1!$G$20</definedName>
    <definedName name="MC_BP_C_hold_reg_T_hold_rise_nc" localSheetId="3">MC_Tree_1!$G$24</definedName>
    <definedName name="MC_BP_C_large_mortality_C_large_rates_better" localSheetId="3">MC_Tree_1!$D$42</definedName>
    <definedName name="MC_BP_C_large_mortality_C_large_rates_exp" localSheetId="3">MC_Tree_1!$D$50</definedName>
    <definedName name="MC_BP_C_large_mortality_C_large_rates_worse" localSheetId="3">MC_Tree_1!$D$58</definedName>
    <definedName name="MC_BP_C_large_mortality_D_large_hold_sell" localSheetId="3">MC_Tree_1!$D$34</definedName>
    <definedName name="MC_BP_C_large_rates_better_T_large_better_fall" localSheetId="3">MC_Tree_1!$E$46</definedName>
    <definedName name="MC_BP_C_large_rates_better_T_large_better_rise" localSheetId="3">MC_Tree_1!$E$40</definedName>
    <definedName name="MC_BP_C_large_rates_better_T_large_better_stable" localSheetId="3">MC_Tree_1!$E$44</definedName>
    <definedName name="MC_BP_C_large_rates_exp_T_large_exp_fall" localSheetId="3">MC_Tree_1!$E$54</definedName>
    <definedName name="MC_BP_C_large_rates_exp_T_large_exp_rise" localSheetId="3">MC_Tree_1!$E$48</definedName>
    <definedName name="MC_BP_C_large_rates_exp_T_large_exp_stable" localSheetId="3">MC_Tree_1!$E$52</definedName>
    <definedName name="MC_BP_C_large_rates_worse_T_large_worse_fall" localSheetId="3">MC_Tree_1!$E$62</definedName>
    <definedName name="MC_BP_C_large_rates_worse_T_large_worse_rise" localSheetId="3">MC_Tree_1!$E$56</definedName>
    <definedName name="MC_BP_C_large_rates_worse_T_large_worse_stable" localSheetId="3">MC_Tree_1!$E$60</definedName>
    <definedName name="MC_BP_C_small_mortality_C_small_rates_better" localSheetId="3">MC_Tree_1!$D$72</definedName>
    <definedName name="MC_BP_C_small_mortality_C_small_rates_exp" localSheetId="3">MC_Tree_1!$D$80</definedName>
    <definedName name="MC_BP_C_small_mortality_C_small_rates_worse" localSheetId="3">MC_Tree_1!$D$88</definedName>
    <definedName name="MC_BP_C_small_mortality_T_small_much_better" localSheetId="3">MC_Tree_1!$D$66</definedName>
    <definedName name="MC_BP_C_small_rates_better_T_small_better_fall" localSheetId="3">MC_Tree_1!$E$76</definedName>
    <definedName name="MC_BP_C_small_rates_better_T_small_better_rise" localSheetId="3">MC_Tree_1!$E$70</definedName>
    <definedName name="MC_BP_C_small_rates_better_T_small_better_stable" localSheetId="3">MC_Tree_1!$E$74</definedName>
    <definedName name="MC_BP_C_small_rates_exp_T_small_exp_fall" localSheetId="3">MC_Tree_1!$E$84</definedName>
    <definedName name="MC_BP_C_small_rates_exp_T_small_exp_rise" localSheetId="3">MC_Tree_1!$E$78</definedName>
    <definedName name="MC_BP_C_small_rates_exp_T_small_exp_stable" localSheetId="3">MC_Tree_1!$E$82</definedName>
    <definedName name="MC_BP_C_small_rates_worse_T_small_worse_fall" localSheetId="3">MC_Tree_1!$E$92</definedName>
    <definedName name="MC_BP_C_small_rates_worse_T_small_worse_rise" localSheetId="3">MC_Tree_1!$E$86</definedName>
    <definedName name="MC_BP_C_small_rates_worse_T_small_worse_stable" localSheetId="3">MC_Tree_1!$E$90</definedName>
    <definedName name="MC_BV_C_fund_mortality_C_fund_rates_exp" localSheetId="3">MC_Tree_1!$D$103</definedName>
    <definedName name="MC_BV_C_fund_mortality_T_fund_better" localSheetId="3">MC_Tree_1!$D$99</definedName>
    <definedName name="MC_BV_C_fund_mortality_T_fund_much_better" localSheetId="3">MC_Tree_1!$D$95</definedName>
    <definedName name="MC_BV_C_fund_mortality_T_fund_worse" localSheetId="3">MC_Tree_1!$D$109</definedName>
    <definedName name="MC_BV_C_fund_rates_exp_T_fund_exp_fall" localSheetId="3">MC_Tree_1!$E$107</definedName>
    <definedName name="MC_BV_C_fund_rates_exp_T_fund_exp_rise" localSheetId="3">MC_Tree_1!$E$101</definedName>
    <definedName name="MC_BV_C_fund_rates_exp_T_fund_exp_stable" localSheetId="3">MC_Tree_1!$E$105</definedName>
    <definedName name="MC_BV_C_hold_rates_C_hold_reg" localSheetId="3">MC_Tree_1!$F$23</definedName>
    <definedName name="MC_BV_C_hold_rates_T_hold_fall" localSheetId="3">MC_Tree_1!$F$33</definedName>
    <definedName name="MC_BV_C_hold_rates_T_hold_stable" localSheetId="3">MC_Tree_1!$F$31</definedName>
    <definedName name="MC_BV_C_hold_reg_T_hold_rise_adv" localSheetId="3">MC_Tree_1!$G$27</definedName>
    <definedName name="MC_BV_C_hold_reg_T_hold_rise_fav" localSheetId="3">MC_Tree_1!$G$21</definedName>
    <definedName name="MC_BV_C_hold_reg_T_hold_rise_nc" localSheetId="3">MC_Tree_1!$G$25</definedName>
    <definedName name="MC_BV_C_large_mortality_C_large_rates_better" localSheetId="3">MC_Tree_1!$D$43</definedName>
    <definedName name="MC_BV_C_large_mortality_C_large_rates_exp" localSheetId="3">MC_Tree_1!$D$51</definedName>
    <definedName name="MC_BV_C_large_mortality_C_large_rates_worse" localSheetId="3">MC_Tree_1!$D$59</definedName>
    <definedName name="MC_BV_C_large_mortality_D_large_hold_sell" localSheetId="3">MC_Tree_1!$D$35</definedName>
    <definedName name="MC_BV_C_large_rates_better_T_large_better_fall" localSheetId="3">MC_Tree_1!$E$47</definedName>
    <definedName name="MC_BV_C_large_rates_better_T_large_better_rise" localSheetId="3">MC_Tree_1!$E$41</definedName>
    <definedName name="MC_BV_C_large_rates_better_T_large_better_stable" localSheetId="3">MC_Tree_1!$E$45</definedName>
    <definedName name="MC_BV_C_large_rates_exp_T_large_exp_fall" localSheetId="3">MC_Tree_1!$E$55</definedName>
    <definedName name="MC_BV_C_large_rates_exp_T_large_exp_rise" localSheetId="3">MC_Tree_1!$E$49</definedName>
    <definedName name="MC_BV_C_large_rates_exp_T_large_exp_stable" localSheetId="3">MC_Tree_1!$E$53</definedName>
    <definedName name="MC_BV_C_large_rates_worse_T_large_worse_fall" localSheetId="3">MC_Tree_1!$E$63</definedName>
    <definedName name="MC_BV_C_large_rates_worse_T_large_worse_rise" localSheetId="3">MC_Tree_1!$E$57</definedName>
    <definedName name="MC_BV_C_large_rates_worse_T_large_worse_stable" localSheetId="3">MC_Tree_1!$E$61</definedName>
    <definedName name="MC_BV_C_small_mortality_C_small_rates_better" localSheetId="3">MC_Tree_1!$D$73</definedName>
    <definedName name="MC_BV_C_small_mortality_C_small_rates_exp" localSheetId="3">MC_Tree_1!$D$81</definedName>
    <definedName name="MC_BV_C_small_mortality_C_small_rates_worse" localSheetId="3">MC_Tree_1!$D$89</definedName>
    <definedName name="MC_BV_C_small_mortality_T_small_much_better" localSheetId="3">MC_Tree_1!$D$67</definedName>
    <definedName name="MC_BV_C_small_rates_better_T_small_better_fall" localSheetId="3">MC_Tree_1!$E$77</definedName>
    <definedName name="MC_BV_C_small_rates_better_T_small_better_rise" localSheetId="3">MC_Tree_1!$E$71</definedName>
    <definedName name="MC_BV_C_small_rates_better_T_small_better_stable" localSheetId="3">MC_Tree_1!$E$75</definedName>
    <definedName name="MC_BV_C_small_rates_exp_T_small_exp_fall" localSheetId="3">MC_Tree_1!$E$85</definedName>
    <definedName name="MC_BV_C_small_rates_exp_T_small_exp_rise" localSheetId="3">MC_Tree_1!$E$79</definedName>
    <definedName name="MC_BV_C_small_rates_exp_T_small_exp_stable" localSheetId="3">MC_Tree_1!$E$83</definedName>
    <definedName name="MC_BV_C_small_rates_worse_T_small_worse_fall" localSheetId="3">MC_Tree_1!$E$93</definedName>
    <definedName name="MC_BV_C_small_rates_worse_T_small_worse_rise" localSheetId="3">MC_Tree_1!$E$87</definedName>
    <definedName name="MC_BV_C_small_rates_worse_T_small_worse_stable" localSheetId="3">MC_Tree_1!$E$91</definedName>
    <definedName name="MC_BV_D_large_hold_sell_C_hold_rates" localSheetId="3">MC_Tree_1!$E$29</definedName>
    <definedName name="MC_BV_D_large_hold_sell_T_large_sell_loss" localSheetId="3">MC_Tree_1!$E$37</definedName>
    <definedName name="MC_BV_D_root_C_fund_mortality" localSheetId="3">MC_Tree_1!$C$97</definedName>
    <definedName name="MC_BV_D_root_C_large_mortality" localSheetId="3">MC_Tree_1!$C$39</definedName>
    <definedName name="MC_BV_D_root_C_small_mortality" localSheetId="3">MC_Tree_1!$C$69</definedName>
    <definedName name="MC_BV_D_root_T_no_invest" localSheetId="3">MC_Tree_1!$C$111</definedName>
    <definedName name="MC_N_C_fund_mortality" localSheetId="3">MC_Tree_1!$D$96</definedName>
    <definedName name="MC_N_C_fund_rates_exp" localSheetId="3">MC_Tree_1!$E$102</definedName>
    <definedName name="MC_N_C_hold_rates" localSheetId="3">MC_Tree_1!$F$28</definedName>
    <definedName name="MC_N_C_hold_reg" localSheetId="3">MC_Tree_1!$G$22</definedName>
    <definedName name="MC_N_C_large_mortality" localSheetId="3">MC_Tree_1!$D$38</definedName>
    <definedName name="MC_N_C_large_rates_better" localSheetId="3">MC_Tree_1!$E$42</definedName>
    <definedName name="MC_N_C_large_rates_exp" localSheetId="3">MC_Tree_1!$E$50</definedName>
    <definedName name="MC_N_C_large_rates_worse" localSheetId="3">MC_Tree_1!$E$58</definedName>
    <definedName name="MC_N_C_small_mortality" localSheetId="3">MC_Tree_1!$D$68</definedName>
    <definedName name="MC_N_C_small_rates_better" localSheetId="3">MC_Tree_1!$E$72</definedName>
    <definedName name="MC_N_C_small_rates_exp" localSheetId="3">MC_Tree_1!$E$80</definedName>
    <definedName name="MC_N_C_small_rates_worse" localSheetId="3">MC_Tree_1!$E$88</definedName>
    <definedName name="MC_N_D_large_hold_sell" localSheetId="3">MC_Tree_1!$E$34</definedName>
    <definedName name="MC_N_D_root" localSheetId="3">MC_Tree_1!$C$64</definedName>
    <definedName name="MC_NP_T_fund_better" localSheetId="3">MC_Tree_1!$E$98</definedName>
    <definedName name="MC_NP_T_fund_exp_fall" localSheetId="3">MC_Tree_1!$F$106</definedName>
    <definedName name="MC_NP_T_fund_exp_rise" localSheetId="3">MC_Tree_1!$F$100</definedName>
    <definedName name="MC_NP_T_fund_exp_stable" localSheetId="3">MC_Tree_1!$F$104</definedName>
    <definedName name="MC_NP_T_fund_much_better" localSheetId="3">MC_Tree_1!$E$94</definedName>
    <definedName name="MC_NP_T_fund_worse" localSheetId="3">MC_Tree_1!$E$108</definedName>
    <definedName name="MC_NP_T_hold_fall" localSheetId="3">MC_Tree_1!$G$32</definedName>
    <definedName name="MC_NP_T_hold_rise_adv" localSheetId="3">MC_Tree_1!$H$26</definedName>
    <definedName name="MC_NP_T_hold_rise_fav" localSheetId="3">MC_Tree_1!$H$20</definedName>
    <definedName name="MC_NP_T_hold_rise_nc" localSheetId="3">MC_Tree_1!$H$24</definedName>
    <definedName name="MC_NP_T_hold_stable" localSheetId="3">MC_Tree_1!$G$30</definedName>
    <definedName name="MC_NP_T_large_better_fall" localSheetId="3">MC_Tree_1!$F$46</definedName>
    <definedName name="MC_NP_T_large_better_rise" localSheetId="3">MC_Tree_1!$F$40</definedName>
    <definedName name="MC_NP_T_large_better_stable" localSheetId="3">MC_Tree_1!$F$44</definedName>
    <definedName name="MC_NP_T_large_exp_fall" localSheetId="3">MC_Tree_1!$F$54</definedName>
    <definedName name="MC_NP_T_large_exp_rise" localSheetId="3">MC_Tree_1!$F$48</definedName>
    <definedName name="MC_NP_T_large_exp_stable" localSheetId="3">MC_Tree_1!$F$52</definedName>
    <definedName name="MC_NP_T_large_sell_loss" localSheetId="3">MC_Tree_1!$F$36</definedName>
    <definedName name="MC_NP_T_large_worse_fall" localSheetId="3">MC_Tree_1!$F$62</definedName>
    <definedName name="MC_NP_T_large_worse_rise" localSheetId="3">MC_Tree_1!$F$56</definedName>
    <definedName name="MC_NP_T_large_worse_stable" localSheetId="3">MC_Tree_1!$F$60</definedName>
    <definedName name="MC_NP_T_no_invest" localSheetId="3">MC_Tree_1!$D$110</definedName>
    <definedName name="MC_NP_T_small_better_fall" localSheetId="3">MC_Tree_1!$F$76</definedName>
    <definedName name="MC_NP_T_small_better_rise" localSheetId="3">MC_Tree_1!$F$70</definedName>
    <definedName name="MC_NP_T_small_better_stable" localSheetId="3">MC_Tree_1!$F$74</definedName>
    <definedName name="MC_NP_T_small_exp_fall" localSheetId="3">MC_Tree_1!$F$84</definedName>
    <definedName name="MC_NP_T_small_exp_rise" localSheetId="3">MC_Tree_1!$F$78</definedName>
    <definedName name="MC_NP_T_small_exp_stable" localSheetId="3">MC_Tree_1!$F$82</definedName>
    <definedName name="MC_NP_T_small_much_better" localSheetId="3">MC_Tree_1!$E$66</definedName>
    <definedName name="MC_NP_T_small_worse_fall" localSheetId="3">MC_Tree_1!$F$92</definedName>
    <definedName name="MC_NP_T_small_worse_rise" localSheetId="3">MC_Tree_1!$F$86</definedName>
    <definedName name="MC_NP_T_small_worse_stable" localSheetId="3">MC_Tree_1!$F$90</definedName>
    <definedName name="MC_V_C_fund_mortality" localSheetId="3">MC_Tree_1!$D$97</definedName>
    <definedName name="MC_V_C_fund_rates_exp" localSheetId="3">MC_Tree_1!$E$103</definedName>
    <definedName name="MC_V_C_hold_rates" localSheetId="3">MC_Tree_1!$F$29</definedName>
    <definedName name="MC_V_C_hold_reg" localSheetId="3">MC_Tree_1!$G$23</definedName>
    <definedName name="MC_V_C_large_mortality" localSheetId="3">MC_Tree_1!$D$39</definedName>
    <definedName name="MC_V_C_large_rates_better" localSheetId="3">MC_Tree_1!$E$43</definedName>
    <definedName name="MC_V_C_large_rates_exp" localSheetId="3">MC_Tree_1!$E$51</definedName>
    <definedName name="MC_V_C_large_rates_worse" localSheetId="3">MC_Tree_1!$E$59</definedName>
    <definedName name="MC_V_C_small_mortality" localSheetId="3">MC_Tree_1!$D$69</definedName>
    <definedName name="MC_V_C_small_rates_better" localSheetId="3">MC_Tree_1!$E$73</definedName>
    <definedName name="MC_V_C_small_rates_exp" localSheetId="3">MC_Tree_1!$E$81</definedName>
    <definedName name="MC_V_C_small_rates_worse" localSheetId="3">MC_Tree_1!$E$89</definedName>
    <definedName name="MC_V_D_large_hold_sell" localSheetId="3">MC_Tree_1!$E$35</definedName>
    <definedName name="MC_V_D_root" localSheetId="3">MC_Tree_1!$C$65</definedName>
    <definedName name="MC_V_T_fund_better" localSheetId="3">MC_Tree_1!$E$99</definedName>
    <definedName name="MC_V_T_fund_exp_fall" localSheetId="3">MC_Tree_1!$F$107</definedName>
    <definedName name="MC_V_T_fund_exp_rise" localSheetId="3">MC_Tree_1!$F$101</definedName>
    <definedName name="MC_V_T_fund_exp_stable" localSheetId="3">MC_Tree_1!$F$105</definedName>
    <definedName name="MC_V_T_fund_much_better" localSheetId="3">MC_Tree_1!$E$95</definedName>
    <definedName name="MC_V_T_fund_worse" localSheetId="3">MC_Tree_1!$E$109</definedName>
    <definedName name="MC_V_T_hold_fall" localSheetId="3">MC_Tree_1!$G$33</definedName>
    <definedName name="MC_V_T_hold_rise_adv" localSheetId="3">MC_Tree_1!$H$27</definedName>
    <definedName name="MC_V_T_hold_rise_fav" localSheetId="3">MC_Tree_1!$H$21</definedName>
    <definedName name="MC_V_T_hold_rise_nc" localSheetId="3">MC_Tree_1!$H$25</definedName>
    <definedName name="MC_V_T_hold_stable" localSheetId="3">MC_Tree_1!$G$31</definedName>
    <definedName name="MC_V_T_large_better_fall" localSheetId="3">MC_Tree_1!$F$47</definedName>
    <definedName name="MC_V_T_large_better_rise" localSheetId="3">MC_Tree_1!$F$41</definedName>
    <definedName name="MC_V_T_large_better_stable" localSheetId="3">MC_Tree_1!$F$45</definedName>
    <definedName name="MC_V_T_large_exp_fall" localSheetId="3">MC_Tree_1!$F$55</definedName>
    <definedName name="MC_V_T_large_exp_rise" localSheetId="3">MC_Tree_1!$F$49</definedName>
    <definedName name="MC_V_T_large_exp_stable" localSheetId="3">MC_Tree_1!$F$53</definedName>
    <definedName name="MC_V_T_large_sell_loss" localSheetId="3">MC_Tree_1!$F$37</definedName>
    <definedName name="MC_V_T_large_worse_fall" localSheetId="3">MC_Tree_1!$F$63</definedName>
    <definedName name="MC_V_T_large_worse_rise" localSheetId="3">MC_Tree_1!$F$57</definedName>
    <definedName name="MC_V_T_large_worse_stable" localSheetId="3">MC_Tree_1!$F$61</definedName>
    <definedName name="MC_V_T_no_invest" localSheetId="3">MC_Tree_1!$D$111</definedName>
    <definedName name="MC_V_T_small_better_fall" localSheetId="3">MC_Tree_1!$F$77</definedName>
    <definedName name="MC_V_T_small_better_rise" localSheetId="3">MC_Tree_1!$F$71</definedName>
    <definedName name="MC_V_T_small_better_stable" localSheetId="3">MC_Tree_1!$F$75</definedName>
    <definedName name="MC_V_T_small_exp_fall" localSheetId="3">MC_Tree_1!$F$85</definedName>
    <definedName name="MC_V_T_small_exp_rise" localSheetId="3">MC_Tree_1!$F$79</definedName>
    <definedName name="MC_V_T_small_exp_stable" localSheetId="3">MC_Tree_1!$F$83</definedName>
    <definedName name="MC_V_T_small_much_better" localSheetId="3">MC_Tree_1!$E$67</definedName>
    <definedName name="MC_V_T_small_worse_fall" localSheetId="3">MC_Tree_1!$F$93</definedName>
    <definedName name="MC_V_T_small_worse_rise" localSheetId="3">MC_Tree_1!$F$87</definedName>
    <definedName name="MC_V_T_small_worse_stable" localSheetId="3">MC_Tree_1!$F$91</definedName>
    <definedName name="ParticipateInFundCost">MC_Tree_1!$C$8</definedName>
    <definedName name="SellAtLossValue">MC_Tree_1!$C$9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3" l="1"/>
  <c r="C39" i="3"/>
  <c r="C97" i="3"/>
  <c r="E37" i="3"/>
  <c r="CF1" i="4"/>
  <c r="CE1" i="4"/>
  <c r="CD1" i="4"/>
  <c r="CC1" i="4"/>
  <c r="CB1" i="4"/>
  <c r="CA1" i="4"/>
  <c r="BZ1" i="4"/>
  <c r="BY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F107" i="3"/>
  <c r="E98" i="3"/>
  <c r="E89" i="3"/>
  <c r="F79" i="3"/>
  <c r="F70" i="3"/>
  <c r="F60" i="3"/>
  <c r="E51" i="3"/>
  <c r="F41" i="3"/>
  <c r="G31" i="3"/>
  <c r="H21" i="3"/>
  <c r="C110" i="3"/>
  <c r="F37" i="3"/>
  <c r="H27" i="3"/>
  <c r="F106" i="3"/>
  <c r="D97" i="3"/>
  <c r="F87" i="3"/>
  <c r="F78" i="3"/>
  <c r="D69" i="3"/>
  <c r="E59" i="3"/>
  <c r="F49" i="3"/>
  <c r="F40" i="3"/>
  <c r="G30" i="3"/>
  <c r="H20" i="3"/>
  <c r="C96" i="3"/>
  <c r="E66" i="3"/>
  <c r="F56" i="3"/>
  <c r="C38" i="3"/>
  <c r="F105" i="3"/>
  <c r="E95" i="3"/>
  <c r="F86" i="3"/>
  <c r="F77" i="3"/>
  <c r="E67" i="3"/>
  <c r="F57" i="3"/>
  <c r="F48" i="3"/>
  <c r="D39" i="3"/>
  <c r="F29" i="3"/>
  <c r="F76" i="3"/>
  <c r="F47" i="3"/>
  <c r="F104" i="3"/>
  <c r="E94" i="3"/>
  <c r="F85" i="3"/>
  <c r="D111" i="3"/>
  <c r="E103" i="3"/>
  <c r="F93" i="3"/>
  <c r="F84" i="3"/>
  <c r="F75" i="3"/>
  <c r="C65" i="3"/>
  <c r="F55" i="3"/>
  <c r="F46" i="3"/>
  <c r="F36" i="3"/>
  <c r="H26" i="3"/>
  <c r="D110" i="3"/>
  <c r="F101" i="3"/>
  <c r="F92" i="3"/>
  <c r="F83" i="3"/>
  <c r="F74" i="3"/>
  <c r="F63" i="3"/>
  <c r="F54" i="3"/>
  <c r="F45" i="3"/>
  <c r="E35" i="3"/>
  <c r="H25" i="3"/>
  <c r="E109" i="3"/>
  <c r="F100" i="3"/>
  <c r="F91" i="3"/>
  <c r="F82" i="3"/>
  <c r="E73" i="3"/>
  <c r="F62" i="3"/>
  <c r="F53" i="3"/>
  <c r="F44" i="3"/>
  <c r="G33" i="3"/>
  <c r="H24" i="3"/>
  <c r="E36" i="3"/>
  <c r="E108" i="3"/>
  <c r="E99" i="3"/>
  <c r="F90" i="3"/>
  <c r="E81" i="3"/>
  <c r="F71" i="3"/>
  <c r="F61" i="3"/>
  <c r="F52" i="3"/>
  <c r="E43" i="3"/>
  <c r="G32" i="3"/>
  <c r="G23" i="3"/>
  <c r="E28" i="3"/>
  <c r="C68" i="3"/>
</calcChain>
</file>

<file path=xl/sharedStrings.xml><?xml version="1.0" encoding="utf-8"?>
<sst xmlns="http://schemas.openxmlformats.org/spreadsheetml/2006/main" count="85" uniqueCount="74">
  <si>
    <t>{"_v":2,"trees":{"MC_Tree_1":"{\r\n  \"RootId\": \"D_root\",\r\n  \"Nodes\": {\r\n    \"D_root\": {\r\n      \"type\": \"decision\",\r\n      \"id\": \"D_root\",\r\n      \"name\": \"Portfolio Acquisition\",\r\n      \"options\": [\r\n        {\r\n          \"name\": \"Buy Large Portfolio (1000)\",\r\n          \"childId\": \"C_large_mortality\",\r\n          \"value\": -200000000\r\n        },\r\n        {\r\n          \"name\": \"Buy Small Portfolio (200)\",\r\n          \"childId\": \"C_small_mortality\",\r\n          \"value\": -45000000\r\n        },\r\n        {\r\n          \"name\": \"Participate in Fund\",\r\n          \"childId\": \"C_fund_mortality\",\r\n          \"value\": -10000000\r\n        },\r\n        {\r\n          \"name\": \"Don\u0027t Invest\",\r\n          \"childId\": \"T_no_invest\"\r\n        }\r\n      ]\r\n    },\r\n    \"C_large_mortality\": {\r\n      \"type\": \"chance\",\r\n      \"id\": \"C_large_mortality\",\r\n      \"name\": \"Mortality Experience\",\r\n      \"branches\": [\r\n        {\r\n          \"name\": \"Much Better (Live Longer)\",\r\n          \"probability\": 0.15,\r\n          \"childId\": \"D_large_hold_sell\"\r\n        },\r\n        {\r\n          \"name\": \"Better Than Expected\",\r\n          \"probability\": 0.25,\r\n          \"childId\": \"C_large_rates_better\"\r\n        },\r\n        {\r\n          \"name\": \"As Expected\",\r\n          \"probability\": 0.35,\r\n          \"childId\": \"C_large_rates_exp\"\r\n        },\r\n        {\r\n          \"name\": \"Worse (Die Sooner)\",\r\n          \"probability\": 0.25,\r\n          \"childId\": \"C_large_rates_worse\"\r\n        }\r\n      ]\r\n    },\r\n    \"D_large_hold_sell\": {\r\n      \"type\": \"decision\",\r\n      \"id\": \"D_large_hold_sell\",\r\n      \"name\": \"Longevity Risk: Hold or Sell?\",\r\n      \"options\": [\r\n        {\r\n          \"name\": \"Hold and Wait\",\r\n          \"childId\": \"C_hold_rates\"\r\n        },\r\n        {\r\n          \"name\": \"Sell at Loss\",\r\n          \"childId\": \"T_large_sell_loss\",\r\n          \"value\": 60000000\r\n        }\r\n      ]\r\n    },\r\n    \"C_hold_rates\": {\r\n      \"type\": \"chance\",\r\n      \"id\": \"C_hold_rates\",\r\n      \"name\": \"Interest Rate Environment\",\r\n      \"branches\": [\r\n        {\r\n          \"name\": \"Rates Rise (Helps)\",\r\n          \"probability\": 0.35,\r\n          \"childId\": \"C_hold_reg\"\r\n        },\r\n        {\r\n          \"name\": \"Rates Stable\",\r\n          \"probability\": 0.4,\r\n          \"childId\": \"T_hold_stable\",\r\n          \"value\": 50000000\r\n        },\r\n        {\r\n          \"name\": \"Rates Fall (Hurts)\",\r\n          \"probability\": 0.25,\r\n          \"childId\": \"T_hold_fall\",\r\n          \"value\": -10000000\r\n        }\r\n      ]\r\n    },\r\n    \"C_hold_reg\": {\r\n      \"type\": \"chance\",\r\n      \"id\": \"C_hold_reg\",\r\n      \"name\": \"Regulatory Changes\",\r\n      \"branches\": [\r\n        {\r\n          \"name\": \"Favorable Regulation\",\r\n          \"probability\": 0.3,\r\n          \"childId\": \"T_hold_rise_fav\",\r\n          \"value\": 120000000\r\n        },\r\n        {\r\n          \"name\": \"No Change\",\r\n          \"probability\": 0.5,\r\n          \"childId\": \"T_hold_rise_nc\",\r\n          \"value\": 80000000\r\n        },\r\n        {\r\n          \"name\": \"Adverse Regulation\",\r\n          \"probability\": 0.2,\r\n          \"childId\": \"T_hold_rise_adv\",\r\n          \"value\": 30000000\r\n        }\r\n      ]\r\n    },\r\n    \"T_hold_rise_fav\": {\r\n      \"type\": \"terminal\",\r\n      \"id\": \"T_hold_rise_fav\",\r\n      \"name\": \"Hold+Rates Up+Fav Reg\",\r\n      \"value\": 0\r\n    },\r\n    \"T_hold_rise_nc\": {\r\n      \"type\": \"terminal\",\r\n      \"id\": \"T_hold_rise_nc\",\r\n      \"name\": \"Hold+Rates Up+No Change\",\r\n      \"value\": 0\r\n    },\r\n    \"T_hold_rise_adv\": {\r\n      \"type\": \"terminal\",\r\n      \"id\": \"T_hold_rise_adv\",\r\n      \"name\": \"Hold+Rates Up+Adv Reg\",\r\n      \"value\": 0\r\n    },\r\n    \"T_hold_stable\": {\r\n      \"type\": \"terminal\",\r\n      \"id\": \"T_hold_stable\",\r\n      \"name\": \"Hold+Stable Rates\",\r\n      \"value\": 0\r\n    },\r\n    \"T_hold_fall\": {\r\n      \"type\": \"terminal\",\r\n      \"id\": \"T_hold_fall\",\r\n      \"name\": \"Hold+Rates Fall\",\r\n      \"value\": 0\r\n    },\r\n    \"T_large_sell_loss\": {\r\n      \"type\": \"terminal\",\r\n      \"id\": \"T_large_sell_loss\",\r\n      \"name\": \"Sell Portfolio at Loss\",\r\n      \"value\": 0\r\n    },\r\n    \"C_large_rates_better\": {\r\n      \"type\": \"chance\",\r\n      \"id\": \"C_large_rates_better\",\r\n      \"name\": \"Interest Rates (Better Mort.)\",\r\n      \"branches\": [\r\n        {\r\n          \"name\": \"Rates Rise\",\r\n          \"probability\": 0.35,\r\n          \"childId\": \"T_large_better_rise\",\r\n          \"value\": 180000000\r\n        },\r\n        {\r\n          \"name\": \"Rates Stable\",\r\n          \"probability\": 0.4,\r\n          \"childId\": \"T_large_better_stable\",\r\n          \"value\": 140000000\r\n        },\r\n        {\r\n          \"name\": \"Rates Fall\",\r\n          \"probability\": 0.25,\r\n          \"childId\": \"T_large_better_fall\",\r\n          \"value\": 100000000\r\n        }\r\n      ]\r\n    },\r\n    \"T_large_better_rise\": {\r\n      \"type\": \"terminal\",\r\n      \"id\": \"T_large_better_rise\",\r\n      \"name\": \"Large+Better+Rates Up\",\r\n      \"value\": 0\r\n    },\r\n    \"T_large_better_stable\": {\r\n      \"type\": \"terminal\",\r\n      \"id\": \"T_large_better_stable\",\r\n      \"name\": \"Large+Better+Stable\",\r\n      \"value\": 0\r\n    },\r\n    \"T_large_better_fall\": {\r\n      \"type\": \"terminal\",\r\n      \"id\": \"T_large_better_fall\",\r\n      \"name\": \"Large+Better+Rates Down\",\r\n      \"value\": 0\r\n    },\r\n    \"C_large_rates_exp\": {\r\n      \"type\": \"chance\",\r\n      \"id\": \"C_large_rates_exp\",\r\n      \"name\": \"Interest Rates (Expected Mort.)\",\r\n      \"branches\": [\r\n        {\r\n          \"name\": \"Rates Rise\",\r\n          \"probability\": 0.35,\r\n          \"childId\": \"T_large_exp_rise\",\r\n          \"value\": 320000000\r\n        },\r\n        {\r\n          \"name\": \"Rates Stable\",\r\n          \"probability\": 0.4,\r\n          \"childId\": \"T_large_exp_stable\",\r\n          \"value\": 270000000\r\n        },\r\n        {\r\n          \"name\": \"Rates Fall\",\r\n          \"probability\": 0.25,\r\n          \"childId\": \"T_large_exp_fall\",\r\n          \"value\": 220000000\r\n        }\r\n      ]\r\n    },\r\n    \"T_large_exp_rise\": {\r\n      \"type\": \"terminal\",\r\n      \"id\": \"T_large_exp_rise\",\r\n      \"name\": \"Large+Expected+Rates Up\",\r\n      \"value\": 0\r\n    },\r\n    \"T_large_exp_stable\": {\r\n      \"type\": \"terminal\",\r\n      \"id\": \"T_large_exp_stable\",\r\n      \"name\": \"Large+Expected+Stable\",\r\n      \"value\": 0\r\n    },\r\n    \"T_large_exp_fall\": {\r\n      \"type\": \"terminal\",\r\n      \"id\": \"T_large_exp_fall\",\r\n      \"name\": \"Large+Expected+Rates Down\",\r\n      \"value\": 0\r\n    },\r\n    \"C_large_rates_worse\": {\r\n      \"type\": \"chance\",\r\n      \"id\": \"C_large_rates_worse\",\r\n      \"name\": \"Interest Rates (Worse Mort.)\",\r\n      \"branches\": [\r\n        {\r\n          \"name\": \"Rates Rise\",\r\n          \"probability\": 0.35,\r\n          \"childId\": \"T_large_worse_rise\",\r\n          \"value\": 400000000\r\n        },\r\n        {\r\n          \"name\": \"Rates Stable\",\r\n          \"probability\": 0.4,\r\n          \"childId\": \"T_large_worse_stable\",\r\n          \"value\": 340000000\r\n        },\r\n        {\r\n          \"name\": \"Rates Fall\",\r\n          \"probability\": 0.25,\r\n          \"childId\": \"T_large_worse_fall\",\r\n          \"value\": 280000000\r\n        }\r\n      ]\r\n    },\r\n    \"T_large_worse_rise\": {\r\n      \"type\": \"terminal\",\r\n      \"id\": \"T_large_worse_rise\",\r\n      \"name\": \"Large+Worse+Rates Up\",\r\n      \"value\": 0\r\n    },\r\n    \"T_large_worse_stable\": {\r\n      \"type\": \"terminal\",\r\n      \"id\": \"T_large_worse_stable\",\r\n      \"name\": \"Large+Worse+Stable\",\r\n      \"value\": 0\r\n    },\r\n    \"T_large_worse_fall\": {\r\n      \"type\": \"terminal\",\r\n      \"id\": \"T_large_worse_fall\",\r\n      \"name\": \"Large+Worse+Rates Down\",\r\n      \"value\": 0\r\n    },\r\n    \"C_small_mortality\": {\r\n      \"type\": \"chance\",\r\n      \"id\": \"C_small_mortality\",\r\n      \"name\": \"Mortality Experience\",\r\n      \"branches\": [\r\n        {\r\n          \"name\": \"Much Better (Live Longer)\",\r\n          \"probability\": 0.15,\r\n          \"childId\": \"T_small_much_better\",\r\n          \"value\": 15000000\r\n        },\r\n        {\r\n          \"name\": \"Better Than Expected\",\r\n          \"probability\": 0.25,\r\n          \"childId\": \"C_small_rates_better\"\r\n        },\r\n        {\r\n          \"name\": \"As Expected\",\r\n          \"probability\": 0.35,\r\n          \"childId\": \"C_small_rates_exp\"\r\n        },\r\n        {\r\n          \"name\": \"Worse (Die Sooner)\",\r\n          \"probability\": 0.25,\r\n          \"childId\": \"C_small_rates_worse\"\r\n        }\r\n      ]\r\n    },\r\n    \"T_small_much_better\": {\r\n      \"type\": \"terminal\",\r\n      \"id\": \"T_small_much_better\",\r\n      \"name\": \"Small: Much Better Mort.\",\r\n      \"value\": 0\r\n    },\r\n    \"C_small_rates_better\": {\r\n      \"type\": \"chance\",\r\n      \"id\": \"C_small_rates_better\",\r\n      \"name\": \"Interest Rates (Better Mort.)\",\r\n      \"branches\": [\r\n        {\r\n          \"name\": \"Rates Rise\",\r\n          \"probability\": 0.35,\r\n          \"childId\": \"T_small_better_rise\",\r\n          \"value\": 40000000\r\n        },\r\n        {\r\n          \"name\": \"Rates Stable\",\r\n          \"probability\": 0.4,\r\n          \"childId\": \"T_small_better_stable\",\r\n          \"value\": 30000000\r\n        },\r\n        {\r\n          \"name\": \"Rates Fall\",\r\n          \"probability\": 0.25,\r\n          \"childId\": \"T_small_better_fall\",\r\n          \"value\": 18000000\r\n        }\r\n      ]\r\n    },\r\n    \"T_small_better_rise\": {\r\n      \"type\": \"terminal\",\r\n      \"id\": \"T_small_better_rise\",\r\n      \"name\": \"Small+Better+Rates Up\",\r\n      \"value\": 0\r\n    },\r\n    \"T_small_better_stable\": {\r\n      \"type\": \"terminal\",\r\n      \"id\": \"T_small_better_stable\",\r\n      \"name\": \"Small+Better+Stable\",\r\n      \"value\": 0\r\n    },\r\n    \"T_small_better_fall\": {\r\n      \"type\": \"terminal\",\r\n      \"id\": \"T_small_better_fall\",\r\n      \"name\": \"Small+Better+Rates Down\",\r\n      \"value\": 0\r\n    },\r\n    \"C_small_rates_exp\": {\r\n      \"type\": \"chance\",\r\n      \"id\": \"C_small_rates_exp\",\r\n      \"name\": \"Interest Rates (Expected Mort.)\",\r\n      \"branches\": [\r\n        {\r\n          \"name\": \"Rates Rise\",\r\n          \"probability\": 0.35,\r\n          \"childId\": \"T_small_exp_rise\",\r\n          \"value\": 70000000\r\n        },\r\n        {\r\n          \"name\": \"Rates Stable\",\r\n          \"probability\": 0.4,\r\n          \"childId\": \"T_small_exp_stable\",\r\n          \"value\": 55000000\r\n        },\r\n        {\r\n          \"name\": \"Rates Fall\",\r\n          \"probability\": 0.25,\r\n          \"childId\": \"T_small_exp_fall\",\r\n          \"value\": 40000000\r\n        }\r\n      ]\r\n    },\r\n    \"T_small_exp_rise\": {\r\n      \"type\": \"terminal\",\r\n      \"id\": \"T_small_exp_rise\",\r\n      \"name\": \"Small+Expected+Rates Up\",\r\n      \"value\": 0\r\n    },\r\n    \"T_small_exp_stable\": {\r\n      \"type\": \"terminal\",\r\n      \"id\": \"T_small_exp_stable\",\r\n      \"name\": \"Small+Expected+Stable\",\r\n      \"value\": 0\r\n    },\r\n    \"T_small_exp_fall\": {\r\n      \"type\": \"terminal\",\r\n      \"id\": \"T_small_exp_fall\",\r\n      \"name\": \"Small+Expected+Rates Down\",\r\n      \"value\": 0\r\n    },\r\n    \"C_small_rates_worse\": {\r\n      \"type\": \"chance\",\r\n      \"id\": \"C_small_rates_worse\",\r\n      \"name\": \"Interest Rates (Worse Mort.)\",\r\n      \"branches\": [\r\n        {\r\n          \"name\": \"Rates Rise\",\r\n          \"probability\": 0.35,\r\n          \"childId\": \"T_small_worse_rise\",\r\n          \"value\": 85000000\r\n        },\r\n        {\r\n          \"name\": \"Rates Stable\",\r\n          \"probability\": 0.4,\r\n          \"childId\": \"T_small_worse_stable\",\r\n          \"value\": 70000000\r\n        },\r\n        {\r\n          \"name\": \"Rates Fall\",\r\n          \"probability\": 0.25,\r\n          \"childId\": \"T_small_worse_fall\",\r\n          \"value\": 55000000\r\n        }\r\n      ]\r\n    },\r\n    \"T_small_worse_rise\": {\r\n      \"type\": \"terminal\",\r\n      \"id\": \"T_small_worse_rise\",\r\n      \"name\": \"Small+Worse+Rates Up\",\r\n      \"value\": 0\r\n    },\r\n    \"T_small_worse_stable\": {\r\n      \"type\": \"terminal\",\r\n      \"id\": \"T_small_worse_stable\",\r\n      \"name\": \"Small+Worse+Stable\",\r\n      \"value\": 0\r\n    },\r\n    \"T_small_worse_fall\": {\r\n      \"type\": \"terminal\",\r\n      \"id\": \"T_small_worse_fall\",\r\n      \"name\": \"Small+Worse+Rates Down\",\r\n      \"value\": 0\r\n    },\r\n    \"C_fund_mortality\": {\r\n      \"type\": \"chance\",\r\n      \"id\": \"C_fund_mortality\",\r\n      \"name\": \"Fund Performance\",\r\n      \"branches\": [\r\n        {\r\n          \"name\": \"Mortality Much Better\",\r\n          \"probability\": 0.15,\r\n          \"childId\": \"T_fund_much_better\",\r\n          \"value\": 3000000\r\n        },\r\n        {\r\n          \"name\": \"Mortality Better\",\r\n          \"probability\": 0.25,\r\n          \"childId\": \"T_fund_better\",\r\n          \"value\": 8000000\r\n        },\r\n        {\r\n          \"name\": \"Mortality As Expected\",\r\n          \"probability\": 0.35,\r\n          \"childId\": \"C_fund_rates_exp\"\r\n        },\r\n        {\r\n          \"name\": \"Mortality Worse\",\r\n          \"probability\": 0.25,\r\n          \"childId\": \"T_fund_worse\",\r\n          \"value\": 22000000\r\n        }\r\n      ]\r\n    },\r\n    \"T_fund_much_better\": {\r\n      \"type\": \"terminal\",\r\n      \"id\": \"T_fund_much_better\",\r\n      \"name\": \"Fund: Much Better Mort.\",\r\n      \"value\": 0\r\n    },\r\n    \"T_fund_better\": {\r\n      \"type\": \"terminal\",\r\n      \"id\": \"T_fund_better\",\r\n      \"name\": \"Fund: Better Mort.\",\r\n      \"value\": 0\r\n    },\r\n    \"C_fund_rates_exp\": {\r\n      \"type\": \"chance\",\r\n      \"id\": \"C_fund_rates_exp\",\r\n      \"name\": \"Interest Rates (Fund)\",\r\n      \"branches\": [\r\n        {\r\n          \"name\": \"Rates Rise\",\r\n          \"probability\": 0.35,\r\n          \"childId\": \"T_fund_exp_rise\",\r\n          \"value\": 18000000\r\n        },\r\n        {\r\n          \"name\": \"Rates Stable\",\r\n          \"probability\": 0.4,\r\n          \"childId\": \"T_fund_exp_stable\",\r\n          \"value\": 14000000\r\n        },\r\n        {\r\n          \"name\": \"Rates Fall\",\r\n          \"probability\": 0.25,\r\n          \"childId\": \"T_fund_exp_fall\",\r\n          \"value\": 9000000\r\n        }\r\n      ]\r\n    },\r\n    \"T_fund_exp_rise\": {\r\n      \"type\": \"terminal\",\r\n      \"id\": \"T_fund_exp_rise\",\r\n      \"name\": \"Fund+Expected+Rates Up\",\r\n      \"value\": 0\r\n    },\r\n    \"T_fund_exp_stable\": {\r\n      \"type\": \"terminal\",\r\n      \"id\": \"T_fund_exp_stable\",\r\n      \"name\": \"Fund+Expected+Stable\",\r\n      \"value\": 0\r\n    },\r\n    \"T_fund_exp_fall\": {\r\n      \"type\": \"terminal\",\r\n      \"id\": \"T_fund_exp_fall\",\r\n      \"name\": \"Fund+Expected+Rates Down\",\r\n      \"value\": 0\r\n    },\r\n    \"T_fund_worse\": {\r\n      \"type\": \"terminal\",\r\n      \"id\": \"T_fund_worse\",\r\n      \"name\": \"Fund: Worse Mort.\",\r\n      \"value\": 0\r\n    },\r\n    \"T_no_invest\": {\r\n      \"type\": \"terminal\",\r\n      \"id\": \"T_no_invest\",\r\n      \"name\": \"Don\u0027t Invest\",\r\n      \"value\": 0\r\n    }\r\n  },\r\n  \"Settings\": {\r\n    \"ModelName\": \"Life Insurance Portfolio Acquisition\",\r\n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\"MC_BV_D_root_C_large_mortality\": \"=-BuyLargePortfolio1000Cost\",\r\n      \"MC_BV_D_root_C_small_mortality\": \"=-BuySmallPortfolio200Cost\",\r\n      \"MC_BV_D_root_C_fund_mortality\": \"=-ParticipateInFundCost\",\r\n      \"MC_BV_D_large_hold_sell_T_large_sell_loss\": \"=SellAtLossValue\"\r\n  }\r\n}"}}</t>
  </si>
  <si>
    <t>Regulatory Changes</t>
  </si>
  <si>
    <t>Interest Rate Environment</t>
  </si>
  <si>
    <t>Longevity Risk: Hold or Sell?</t>
  </si>
  <si>
    <t>Mortality Experience</t>
  </si>
  <si>
    <t>Interest Rates (Better Mort.)</t>
  </si>
  <si>
    <t>Interest Rates (Expected Mort.)</t>
  </si>
  <si>
    <t>Interest Rates (Worse Mort.)</t>
  </si>
  <si>
    <t>Portfolio Acquisition</t>
  </si>
  <si>
    <t>Fund Performance</t>
  </si>
  <si>
    <t>Interest Rates (Fund)</t>
  </si>
  <si>
    <t>Life Insurance Portfolio Acquisition — Control Panel</t>
  </si>
  <si>
    <t>Adjust parameters below to update the decision tree instantly</t>
  </si>
  <si>
    <t>Parameter</t>
  </si>
  <si>
    <t>Value</t>
  </si>
  <si>
    <t>Units</t>
  </si>
  <si>
    <t>Notes</t>
  </si>
  <si>
    <t>Buy Large Portfolio (1000)</t>
  </si>
  <si>
    <t>$</t>
  </si>
  <si>
    <t>Investment for Mortality Experience path</t>
  </si>
  <si>
    <t>Buy Small Portfolio (200)</t>
  </si>
  <si>
    <t>Participate in Fund</t>
  </si>
  <si>
    <t>Investment for Fund Performance path</t>
  </si>
  <si>
    <t>Sell at Loss</t>
  </si>
  <si>
    <t>Sell Portfolio at Loss</t>
  </si>
  <si>
    <t>Life Insurance Portfolio Acquisition</t>
  </si>
  <si>
    <t>ModelChoice Example Model</t>
  </si>
  <si>
    <t>Background</t>
  </si>
  <si>
    <t>An investment firm specializing in insurance-linked assets is evaluating the</t>
  </si>
  <si>
    <t>acquisition of a block of life insurance policies (life settlements). The firm</t>
  </si>
  <si>
    <t>would purchase policies from seniors at a discount to face value, pay ongoing</t>
  </si>
  <si>
    <t>premiums, and collect death benefits. Returns depend on how quickly insured</t>
  </si>
  <si>
    <t>individuals pass away relative to actuarial projections.</t>
  </si>
  <si>
    <t>Option 1: Buy Large Portfolio - 1000 Policies ($200M)</t>
  </si>
  <si>
    <t>Purchase a diversified block of 1000 policies with $1.2B aggregate face value.</t>
  </si>
  <si>
    <t>Better diversification but massive capital commitment. If mortality is much</t>
  </si>
  <si>
    <t>better than expected (people live longer), a hold-or-sell decision follows.</t>
  </si>
  <si>
    <t>Option 2: Buy Small Portfolio - 200 Policies ($45M)</t>
  </si>
  <si>
    <t>Purchase a smaller block of 200 policies with $250M face value. Less capital</t>
  </si>
  <si>
    <t>at risk but higher concentration risk and less diversification benefit.</t>
  </si>
  <si>
    <t>Option 3: Participate in Fund ($10M commitment)</t>
  </si>
  <si>
    <t>Invest as a limited partner in a life settlement fund managed by specialists.</t>
  </si>
  <si>
    <t>Lower risk but also lower return; manager takes 2/20 fees.</t>
  </si>
  <si>
    <t>Option 4: Don't Invest</t>
  </si>
  <si>
    <t>Pass on the opportunity. No risk, no return.</t>
  </si>
  <si>
    <t>Decision Objective</t>
  </si>
  <si>
    <t>Maximize expected net return over a 10-year horizon. Key uncertainties:</t>
  </si>
  <si>
    <t>mortality experience vs actuarial tables, interest rate movements (affect</t>
  </si>
  <si>
    <t>discount rates and premium financing costs), and regulatory changes.</t>
  </si>
  <si>
    <t>Key Assumptions</t>
  </si>
  <si>
    <t>Large Portfolio Cost</t>
  </si>
  <si>
    <t>1000 policies, $1.2B face value</t>
  </si>
  <si>
    <t>Small Portfolio Cost</t>
  </si>
  <si>
    <t>200 policies, $250M face value</t>
  </si>
  <si>
    <t>Fund Commitment</t>
  </si>
  <si>
    <t>LP interest, 2/20 fee structure</t>
  </si>
  <si>
    <t>Much Better Mortality</t>
  </si>
  <si>
    <t>Insureds live much longer than expected</t>
  </si>
  <si>
    <t>Better Mortality</t>
  </si>
  <si>
    <t>Insureds live somewhat longer</t>
  </si>
  <si>
    <t>Expected Mortality</t>
  </si>
  <si>
    <t>Matches actuarial projections</t>
  </si>
  <si>
    <t>Worse Mortality</t>
  </si>
  <si>
    <t>Insureds die sooner (higher returns)</t>
  </si>
  <si>
    <t>Interest Rate Rise Prob.</t>
  </si>
  <si>
    <t>Increases discount rate</t>
  </si>
  <si>
    <t>Max Upside (Large)</t>
  </si>
  <si>
    <t>Worse mortality + rising rates</t>
  </si>
  <si>
    <t>Max Downside (Large)</t>
  </si>
  <si>
    <t>Much better mortality + rates fall</t>
  </si>
  <si>
    <t>Suggested Analyses</t>
  </si>
  <si>
    <t>▶ Strategy Table - Compare large vs small portfolio vs fund participation</t>
  </si>
  <si>
    <t>▶ Sensitivity Analysis - Impact of mortality deviation and interest rates on NPV</t>
  </si>
  <si>
    <t>▶ Risk Profile - Longevity risk and the hold-or-sell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</si>
</sst>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64</xdr:row>
      <xdr:rowOff>0</xdr:rowOff>
    </xdr:from>
    <xdr:to>
      <xdr:col>2</xdr:col>
      <xdr:colOff>9525</xdr:colOff>
      <xdr:row>64</xdr:row>
      <xdr:rowOff>0</xdr:rowOff>
    </xdr:to>
    <xdr:cxnSp macro="">
      <xdr:nvCxnSpPr>
        <xdr:cNvPr id="155" name="MC_Entry">
          <a:extLst>
            <a:ext uri="{FF2B5EF4-FFF2-40B4-BE49-F238E27FC236}">
              <a16:creationId xmlns:a16="http://schemas.microsoft.com/office/drawing/2014/main" id="{DC1CBF49-5067-455D-9274-7691C160F08D}"/>
            </a:ext>
          </a:extLst>
        </xdr:cNvPr>
        <xdr:cNvCxnSpPr/>
      </xdr:nvCxnSpPr>
      <xdr:spPr>
        <a:xfrm>
          <a:off x="665163" y="12134850"/>
          <a:ext cx="2678112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63</xdr:row>
      <xdr:rowOff>99251</xdr:rowOff>
    </xdr:from>
    <xdr:ext cx="1651093" cy="182550"/>
    <xdr:sp macro="_xll.MC_OnTreeNameClick" textlink="">
      <xdr:nvSpPr>
        <xdr:cNvPr id="156" name="MC_TreeName">
          <a:extLst>
            <a:ext uri="{FF2B5EF4-FFF2-40B4-BE49-F238E27FC236}">
              <a16:creationId xmlns:a16="http://schemas.microsoft.com/office/drawing/2014/main" id="{BE1923E2-BFB8-EC5E-620E-86406003185C}"/>
            </a:ext>
          </a:extLst>
        </xdr:cNvPr>
        <xdr:cNvSpPr txBox="1"/>
      </xdr:nvSpPr>
      <xdr:spPr>
        <a:xfrm>
          <a:off x="665163" y="12043601"/>
          <a:ext cx="16510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Life Insurance Portfolio Acquisition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74685</xdr:colOff>
      <xdr:row>37</xdr:row>
      <xdr:rowOff>174625</xdr:rowOff>
    </xdr:from>
    <xdr:to>
      <xdr:col>3</xdr:col>
      <xdr:colOff>47626</xdr:colOff>
      <xdr:row>64</xdr:row>
      <xdr:rowOff>535</xdr:rowOff>
    </xdr:to>
    <xdr:sp macro="" textlink="">
      <xdr:nvSpPr>
        <xdr:cNvPr id="157" name="MC_BR_D_root_C_large_mortality">
          <a:extLst>
            <a:ext uri="{FF2B5EF4-FFF2-40B4-BE49-F238E27FC236}">
              <a16:creationId xmlns:a16="http://schemas.microsoft.com/office/drawing/2014/main" id="{9781B8FC-F697-AF72-89A4-552D4C6F148F}"/>
            </a:ext>
          </a:extLst>
        </xdr:cNvPr>
        <xdr:cNvSpPr/>
      </xdr:nvSpPr>
      <xdr:spPr>
        <a:xfrm>
          <a:off x="3408435" y="7165975"/>
          <a:ext cx="2530404" cy="4969410"/>
        </a:xfrm>
        <a:custGeom>
          <a:avLst/>
          <a:gdLst/>
          <a:ahLst/>
          <a:cxnLst/>
          <a:rect l="0" t="0" r="0" b="0"/>
          <a:pathLst>
            <a:path w="2530404" h="4969410">
              <a:moveTo>
                <a:pt x="0" y="4968341"/>
              </a:moveTo>
              <a:lnTo>
                <a:pt x="166624" y="15341"/>
              </a:lnTo>
              <a:lnTo>
                <a:pt x="182490" y="0"/>
              </a:lnTo>
              <a:lnTo>
                <a:pt x="2530403" y="0"/>
              </a:lnTo>
              <a:lnTo>
                <a:pt x="2530403" y="31750"/>
              </a:lnTo>
              <a:lnTo>
                <a:pt x="182490" y="31750"/>
              </a:lnTo>
              <a:lnTo>
                <a:pt x="198356" y="16409"/>
              </a:lnTo>
              <a:lnTo>
                <a:pt x="31732" y="4969409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37</xdr:row>
      <xdr:rowOff>99251</xdr:rowOff>
    </xdr:from>
    <xdr:ext cx="1253228" cy="182550"/>
    <xdr:sp macro="_xll.MC_OnBranchLabelClick" textlink="">
      <xdr:nvSpPr>
        <xdr:cNvPr id="158" name="MC_BN_D_root_C_large_mortality">
          <a:extLst>
            <a:ext uri="{FF2B5EF4-FFF2-40B4-BE49-F238E27FC236}">
              <a16:creationId xmlns:a16="http://schemas.microsoft.com/office/drawing/2014/main" id="{958688D9-9250-4394-D8A6-E54BE6F6B2A6}"/>
            </a:ext>
          </a:extLst>
        </xdr:cNvPr>
        <xdr:cNvSpPr txBox="1"/>
      </xdr:nvSpPr>
      <xdr:spPr>
        <a:xfrm>
          <a:off x="3620135" y="7090601"/>
          <a:ext cx="12532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Buy Large Portfolio (1000)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84348</xdr:colOff>
      <xdr:row>63</xdr:row>
      <xdr:rowOff>189143</xdr:rowOff>
    </xdr:from>
    <xdr:to>
      <xdr:col>3</xdr:col>
      <xdr:colOff>47626</xdr:colOff>
      <xdr:row>68</xdr:row>
      <xdr:rowOff>6351</xdr:rowOff>
    </xdr:to>
    <xdr:sp macro="" textlink="">
      <xdr:nvSpPr>
        <xdr:cNvPr id="159" name="MC_BR_D_root_C_small_mortality">
          <a:extLst>
            <a:ext uri="{FF2B5EF4-FFF2-40B4-BE49-F238E27FC236}">
              <a16:creationId xmlns:a16="http://schemas.microsoft.com/office/drawing/2014/main" id="{E27A83B5-CF6B-C6A4-D634-602758621476}"/>
            </a:ext>
          </a:extLst>
        </xdr:cNvPr>
        <xdr:cNvSpPr/>
      </xdr:nvSpPr>
      <xdr:spPr>
        <a:xfrm>
          <a:off x="3418098" y="12133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67</xdr:row>
      <xdr:rowOff>99251</xdr:rowOff>
    </xdr:from>
    <xdr:ext cx="1190198" cy="182550"/>
    <xdr:sp macro="_xll.MC_OnBranchLabelClick" textlink="">
      <xdr:nvSpPr>
        <xdr:cNvPr id="160" name="MC_BN_D_root_C_small_mortality">
          <a:extLst>
            <a:ext uri="{FF2B5EF4-FFF2-40B4-BE49-F238E27FC236}">
              <a16:creationId xmlns:a16="http://schemas.microsoft.com/office/drawing/2014/main" id="{D68690B0-6588-FD1D-90A2-A711755BAE1F}"/>
            </a:ext>
          </a:extLst>
        </xdr:cNvPr>
        <xdr:cNvSpPr txBox="1"/>
      </xdr:nvSpPr>
      <xdr:spPr>
        <a:xfrm>
          <a:off x="3620135" y="12805601"/>
          <a:ext cx="11901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Small Portfolio (200)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63</xdr:row>
      <xdr:rowOff>190326</xdr:rowOff>
    </xdr:from>
    <xdr:to>
      <xdr:col>3</xdr:col>
      <xdr:colOff>47626</xdr:colOff>
      <xdr:row>96</xdr:row>
      <xdr:rowOff>6351</xdr:rowOff>
    </xdr:to>
    <xdr:sp macro="" textlink="">
      <xdr:nvSpPr>
        <xdr:cNvPr id="161" name="MC_BR_D_root_C_fund_mortality">
          <a:extLst>
            <a:ext uri="{FF2B5EF4-FFF2-40B4-BE49-F238E27FC236}">
              <a16:creationId xmlns:a16="http://schemas.microsoft.com/office/drawing/2014/main" id="{7BDBEB46-A11F-617F-FB2E-3A65EDA166C9}"/>
            </a:ext>
          </a:extLst>
        </xdr:cNvPr>
        <xdr:cNvSpPr/>
      </xdr:nvSpPr>
      <xdr:spPr>
        <a:xfrm>
          <a:off x="3417953" y="12134676"/>
          <a:ext cx="2520886" cy="6102525"/>
        </a:xfrm>
        <a:custGeom>
          <a:avLst/>
          <a:gdLst/>
          <a:ahLst/>
          <a:cxnLst/>
          <a:rect l="0" t="0" r="0" b="0"/>
          <a:pathLst>
            <a:path w="2520886" h="6102525">
              <a:moveTo>
                <a:pt x="12696" y="0"/>
              </a:moveTo>
              <a:lnTo>
                <a:pt x="179320" y="6096000"/>
              </a:lnTo>
              <a:lnTo>
                <a:pt x="172972" y="6089824"/>
              </a:lnTo>
              <a:lnTo>
                <a:pt x="2520885" y="6089824"/>
              </a:lnTo>
              <a:lnTo>
                <a:pt x="2520885" y="6102524"/>
              </a:lnTo>
              <a:lnTo>
                <a:pt x="172972" y="6102524"/>
              </a:lnTo>
              <a:lnTo>
                <a:pt x="166624" y="6096348"/>
              </a:lnTo>
              <a:lnTo>
                <a:pt x="0" y="3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95</xdr:row>
      <xdr:rowOff>99250</xdr:rowOff>
    </xdr:from>
    <xdr:ext cx="910890" cy="182550"/>
    <xdr:sp macro="_xll.MC_OnBranchLabelClick" textlink="">
      <xdr:nvSpPr>
        <xdr:cNvPr id="162" name="MC_BN_D_root_C_fund_mortality">
          <a:extLst>
            <a:ext uri="{FF2B5EF4-FFF2-40B4-BE49-F238E27FC236}">
              <a16:creationId xmlns:a16="http://schemas.microsoft.com/office/drawing/2014/main" id="{FFA72073-FC58-4CAB-402B-987C9A83EBCD}"/>
            </a:ext>
          </a:extLst>
        </xdr:cNvPr>
        <xdr:cNvSpPr txBox="1"/>
      </xdr:nvSpPr>
      <xdr:spPr>
        <a:xfrm>
          <a:off x="3620135" y="18139600"/>
          <a:ext cx="9108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Participate in Fund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63</xdr:row>
      <xdr:rowOff>190379</xdr:rowOff>
    </xdr:from>
    <xdr:to>
      <xdr:col>3</xdr:col>
      <xdr:colOff>47626</xdr:colOff>
      <xdr:row>110</xdr:row>
      <xdr:rowOff>6351</xdr:rowOff>
    </xdr:to>
    <xdr:sp macro="" textlink="">
      <xdr:nvSpPr>
        <xdr:cNvPr id="163" name="MC_BR_D_root_T_no_invest">
          <a:extLst>
            <a:ext uri="{FF2B5EF4-FFF2-40B4-BE49-F238E27FC236}">
              <a16:creationId xmlns:a16="http://schemas.microsoft.com/office/drawing/2014/main" id="{3E45BEF5-E98C-7FF0-26D5-CB9BFE686B0C}"/>
            </a:ext>
          </a:extLst>
        </xdr:cNvPr>
        <xdr:cNvSpPr/>
      </xdr:nvSpPr>
      <xdr:spPr>
        <a:xfrm>
          <a:off x="3417952" y="12134729"/>
          <a:ext cx="2520887" cy="8769472"/>
        </a:xfrm>
        <a:custGeom>
          <a:avLst/>
          <a:gdLst/>
          <a:ahLst/>
          <a:cxnLst/>
          <a:rect l="0" t="0" r="0" b="0"/>
          <a:pathLst>
            <a:path w="2520887" h="8769472">
              <a:moveTo>
                <a:pt x="12698" y="0"/>
              </a:moveTo>
              <a:lnTo>
                <a:pt x="179322" y="8763000"/>
              </a:lnTo>
              <a:lnTo>
                <a:pt x="172973" y="8756771"/>
              </a:lnTo>
              <a:lnTo>
                <a:pt x="2520886" y="8756771"/>
              </a:lnTo>
              <a:lnTo>
                <a:pt x="2520886" y="8769471"/>
              </a:lnTo>
              <a:lnTo>
                <a:pt x="172973" y="8769471"/>
              </a:lnTo>
              <a:lnTo>
                <a:pt x="166624" y="8763242"/>
              </a:lnTo>
              <a:lnTo>
                <a:pt x="0" y="24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109</xdr:row>
      <xdr:rowOff>99250</xdr:rowOff>
    </xdr:from>
    <xdr:ext cx="594009" cy="182550"/>
    <xdr:sp macro="_xll.MC_OnBranchLabelClick" textlink="">
      <xdr:nvSpPr>
        <xdr:cNvPr id="164" name="MC_BN_D_root_T_no_invest">
          <a:extLst>
            <a:ext uri="{FF2B5EF4-FFF2-40B4-BE49-F238E27FC236}">
              <a16:creationId xmlns:a16="http://schemas.microsoft.com/office/drawing/2014/main" id="{B67286DA-B647-DB43-C54A-2CD4FD694343}"/>
            </a:ext>
          </a:extLst>
        </xdr:cNvPr>
        <xdr:cNvSpPr txBox="1"/>
      </xdr:nvSpPr>
      <xdr:spPr>
        <a:xfrm>
          <a:off x="3620135" y="20806600"/>
          <a:ext cx="5940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Invest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33</xdr:row>
      <xdr:rowOff>174625</xdr:rowOff>
    </xdr:from>
    <xdr:to>
      <xdr:col>4</xdr:col>
      <xdr:colOff>47626</xdr:colOff>
      <xdr:row>38</xdr:row>
      <xdr:rowOff>3392</xdr:rowOff>
    </xdr:to>
    <xdr:sp macro="" textlink="">
      <xdr:nvSpPr>
        <xdr:cNvPr id="165" name="MC_BR_C_large_mortality_D_large_hold_sell">
          <a:extLst>
            <a:ext uri="{FF2B5EF4-FFF2-40B4-BE49-F238E27FC236}">
              <a16:creationId xmlns:a16="http://schemas.microsoft.com/office/drawing/2014/main" id="{2C72D54A-B490-C204-4524-21CF6AF4FD9C}"/>
            </a:ext>
          </a:extLst>
        </xdr:cNvPr>
        <xdr:cNvSpPr/>
      </xdr:nvSpPr>
      <xdr:spPr>
        <a:xfrm>
          <a:off x="5966255" y="6403975"/>
          <a:ext cx="2449084" cy="781267"/>
        </a:xfrm>
        <a:custGeom>
          <a:avLst/>
          <a:gdLst/>
          <a:ahLst/>
          <a:cxnLst/>
          <a:rect l="0" t="0" r="0" b="0"/>
          <a:pathLst>
            <a:path w="2449084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449083" y="0"/>
              </a:lnTo>
              <a:lnTo>
                <a:pt x="2449083" y="31750"/>
              </a:lnTo>
              <a:lnTo>
                <a:pt x="182133" y="31750"/>
              </a:lnTo>
              <a:lnTo>
                <a:pt x="197641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33</xdr:row>
      <xdr:rowOff>99251</xdr:rowOff>
    </xdr:from>
    <xdr:ext cx="1241750" cy="182550"/>
    <xdr:sp macro="_xll.MC_OnBranchLabelClick" textlink="">
      <xdr:nvSpPr>
        <xdr:cNvPr id="166" name="MC_BN_C_large_mortality_D_large_hold_sell">
          <a:extLst>
            <a:ext uri="{FF2B5EF4-FFF2-40B4-BE49-F238E27FC236}">
              <a16:creationId xmlns:a16="http://schemas.microsoft.com/office/drawing/2014/main" id="{754DED2C-78E7-0983-5339-E14B62813BF9}"/>
            </a:ext>
          </a:extLst>
        </xdr:cNvPr>
        <xdr:cNvSpPr txBox="1"/>
      </xdr:nvSpPr>
      <xdr:spPr>
        <a:xfrm>
          <a:off x="6177597" y="6328601"/>
          <a:ext cx="12417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Much Better (Live Longer)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37</xdr:row>
      <xdr:rowOff>187109</xdr:rowOff>
    </xdr:from>
    <xdr:to>
      <xdr:col>4</xdr:col>
      <xdr:colOff>47626</xdr:colOff>
      <xdr:row>42</xdr:row>
      <xdr:rowOff>15876</xdr:rowOff>
    </xdr:to>
    <xdr:sp macro="" textlink="">
      <xdr:nvSpPr>
        <xdr:cNvPr id="167" name="MC_BR_C_large_mortality_C_large_rates_better">
          <a:extLst>
            <a:ext uri="{FF2B5EF4-FFF2-40B4-BE49-F238E27FC236}">
              <a16:creationId xmlns:a16="http://schemas.microsoft.com/office/drawing/2014/main" id="{B3703212-D43A-5267-ECEA-971C06A7A71F}"/>
            </a:ext>
          </a:extLst>
        </xdr:cNvPr>
        <xdr:cNvSpPr/>
      </xdr:nvSpPr>
      <xdr:spPr>
        <a:xfrm>
          <a:off x="5966255" y="7178459"/>
          <a:ext cx="2449084" cy="781267"/>
        </a:xfrm>
        <a:custGeom>
          <a:avLst/>
          <a:gdLst/>
          <a:ahLst/>
          <a:cxnLst/>
          <a:rect l="0" t="0" r="0" b="0"/>
          <a:pathLst>
            <a:path w="2449084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9083" y="749516"/>
              </a:lnTo>
              <a:lnTo>
                <a:pt x="2449083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1047916" cy="182550"/>
    <xdr:sp macro="_xll.MC_OnBranchLabelClick" textlink="">
      <xdr:nvSpPr>
        <xdr:cNvPr id="168" name="MC_BN_C_large_mortality_C_large_rates_better">
          <a:extLst>
            <a:ext uri="{FF2B5EF4-FFF2-40B4-BE49-F238E27FC236}">
              <a16:creationId xmlns:a16="http://schemas.microsoft.com/office/drawing/2014/main" id="{1AE3D23B-E925-DAED-21B4-F905CE037DBE}"/>
            </a:ext>
          </a:extLst>
        </xdr:cNvPr>
        <xdr:cNvSpPr txBox="1"/>
      </xdr:nvSpPr>
      <xdr:spPr>
        <a:xfrm>
          <a:off x="6177597" y="7852601"/>
          <a:ext cx="10479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Better Than Expected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74717</xdr:colOff>
      <xdr:row>37</xdr:row>
      <xdr:rowOff>189346</xdr:rowOff>
    </xdr:from>
    <xdr:to>
      <xdr:col>4</xdr:col>
      <xdr:colOff>47626</xdr:colOff>
      <xdr:row>50</xdr:row>
      <xdr:rowOff>15876</xdr:rowOff>
    </xdr:to>
    <xdr:sp macro="" textlink="">
      <xdr:nvSpPr>
        <xdr:cNvPr id="169" name="MC_BR_C_large_mortality_C_large_rates_exp">
          <a:extLst>
            <a:ext uri="{FF2B5EF4-FFF2-40B4-BE49-F238E27FC236}">
              <a16:creationId xmlns:a16="http://schemas.microsoft.com/office/drawing/2014/main" id="{152B317E-FB10-AD09-4508-C17BC8595A6C}"/>
            </a:ext>
          </a:extLst>
        </xdr:cNvPr>
        <xdr:cNvSpPr/>
      </xdr:nvSpPr>
      <xdr:spPr>
        <a:xfrm>
          <a:off x="5965930" y="7180696"/>
          <a:ext cx="2449409" cy="2303030"/>
        </a:xfrm>
        <a:custGeom>
          <a:avLst/>
          <a:gdLst/>
          <a:ahLst/>
          <a:cxnLst/>
          <a:rect l="0" t="0" r="0" b="0"/>
          <a:pathLst>
            <a:path w="2449409" h="2303030">
              <a:moveTo>
                <a:pt x="31666" y="0"/>
              </a:moveTo>
              <a:lnTo>
                <a:pt x="198291" y="2286000"/>
              </a:lnTo>
              <a:lnTo>
                <a:pt x="182458" y="2271279"/>
              </a:lnTo>
              <a:lnTo>
                <a:pt x="2449408" y="2271279"/>
              </a:lnTo>
              <a:lnTo>
                <a:pt x="2449408" y="2303029"/>
              </a:lnTo>
              <a:lnTo>
                <a:pt x="182458" y="2303029"/>
              </a:lnTo>
              <a:lnTo>
                <a:pt x="166624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631455" cy="182550"/>
    <xdr:sp macro="_xll.MC_OnBranchLabelClick" textlink="">
      <xdr:nvSpPr>
        <xdr:cNvPr id="170" name="MC_BN_C_large_mortality_C_large_rates_exp">
          <a:extLst>
            <a:ext uri="{FF2B5EF4-FFF2-40B4-BE49-F238E27FC236}">
              <a16:creationId xmlns:a16="http://schemas.microsoft.com/office/drawing/2014/main" id="{CAB03E3B-5DEE-E17E-9465-BF3060BD3F05}"/>
            </a:ext>
          </a:extLst>
        </xdr:cNvPr>
        <xdr:cNvSpPr txBox="1"/>
      </xdr:nvSpPr>
      <xdr:spPr>
        <a:xfrm>
          <a:off x="6177597" y="9376601"/>
          <a:ext cx="6314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As Expected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74691</xdr:colOff>
      <xdr:row>37</xdr:row>
      <xdr:rowOff>189806</xdr:rowOff>
    </xdr:from>
    <xdr:to>
      <xdr:col>4</xdr:col>
      <xdr:colOff>47626</xdr:colOff>
      <xdr:row>58</xdr:row>
      <xdr:rowOff>15876</xdr:rowOff>
    </xdr:to>
    <xdr:sp macro="" textlink="">
      <xdr:nvSpPr>
        <xdr:cNvPr id="171" name="MC_BR_C_large_mortality_C_large_rates_worse">
          <a:extLst>
            <a:ext uri="{FF2B5EF4-FFF2-40B4-BE49-F238E27FC236}">
              <a16:creationId xmlns:a16="http://schemas.microsoft.com/office/drawing/2014/main" id="{4D818083-B6EC-E4C8-AFF5-7FA91B6F0C81}"/>
            </a:ext>
          </a:extLst>
        </xdr:cNvPr>
        <xdr:cNvSpPr/>
      </xdr:nvSpPr>
      <xdr:spPr>
        <a:xfrm>
          <a:off x="5965904" y="7181156"/>
          <a:ext cx="2449435" cy="3826570"/>
        </a:xfrm>
        <a:custGeom>
          <a:avLst/>
          <a:gdLst/>
          <a:ahLst/>
          <a:cxnLst/>
          <a:rect l="0" t="0" r="0" b="0"/>
          <a:pathLst>
            <a:path w="2449435" h="3826570">
              <a:moveTo>
                <a:pt x="31719" y="0"/>
              </a:moveTo>
              <a:lnTo>
                <a:pt x="198343" y="3810000"/>
              </a:lnTo>
              <a:lnTo>
                <a:pt x="182484" y="3794819"/>
              </a:lnTo>
              <a:lnTo>
                <a:pt x="2449434" y="3794819"/>
              </a:lnTo>
              <a:lnTo>
                <a:pt x="2449434" y="3826569"/>
              </a:lnTo>
              <a:lnTo>
                <a:pt x="182484" y="3826569"/>
              </a:lnTo>
              <a:lnTo>
                <a:pt x="166624" y="3811388"/>
              </a:lnTo>
              <a:lnTo>
                <a:pt x="0" y="138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57</xdr:row>
      <xdr:rowOff>99251</xdr:rowOff>
    </xdr:from>
    <xdr:ext cx="961995" cy="182550"/>
    <xdr:sp macro="_xll.MC_OnBranchLabelClick" textlink="">
      <xdr:nvSpPr>
        <xdr:cNvPr id="172" name="MC_BN_C_large_mortality_C_large_rates_worse">
          <a:extLst>
            <a:ext uri="{FF2B5EF4-FFF2-40B4-BE49-F238E27FC236}">
              <a16:creationId xmlns:a16="http://schemas.microsoft.com/office/drawing/2014/main" id="{628830A1-4B00-B0B5-F5CA-2C77A6E366C3}"/>
            </a:ext>
          </a:extLst>
        </xdr:cNvPr>
        <xdr:cNvSpPr txBox="1"/>
      </xdr:nvSpPr>
      <xdr:spPr>
        <a:xfrm>
          <a:off x="6177597" y="10900601"/>
          <a:ext cx="9619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Worse (Die Sooner)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27</xdr:row>
      <xdr:rowOff>184150</xdr:rowOff>
    </xdr:from>
    <xdr:to>
      <xdr:col>5</xdr:col>
      <xdr:colOff>47626</xdr:colOff>
      <xdr:row>34</xdr:row>
      <xdr:rowOff>917</xdr:rowOff>
    </xdr:to>
    <xdr:sp macro="" textlink="">
      <xdr:nvSpPr>
        <xdr:cNvPr id="173" name="MC_BR_D_large_hold_sell_C_hold_rates">
          <a:extLst>
            <a:ext uri="{FF2B5EF4-FFF2-40B4-BE49-F238E27FC236}">
              <a16:creationId xmlns:a16="http://schemas.microsoft.com/office/drawing/2014/main" id="{6F3960A0-2A98-A71C-6972-B84B91C322FB}"/>
            </a:ext>
          </a:extLst>
        </xdr:cNvPr>
        <xdr:cNvSpPr/>
      </xdr:nvSpPr>
      <xdr:spPr>
        <a:xfrm>
          <a:off x="8451980" y="5270500"/>
          <a:ext cx="2949446" cy="1150267"/>
        </a:xfrm>
        <a:custGeom>
          <a:avLst/>
          <a:gdLst/>
          <a:ahLst/>
          <a:cxnLst/>
          <a:rect l="0" t="0" r="0" b="0"/>
          <a:pathLst>
            <a:path w="29494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949445" y="0"/>
              </a:lnTo>
              <a:lnTo>
                <a:pt x="29494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27</xdr:row>
      <xdr:rowOff>99251</xdr:rowOff>
    </xdr:from>
    <xdr:ext cx="699807" cy="182550"/>
    <xdr:sp macro="_xll.MC_OnBranchLabelClick" textlink="">
      <xdr:nvSpPr>
        <xdr:cNvPr id="174" name="MC_BN_D_large_hold_sell_C_hold_rates">
          <a:extLst>
            <a:ext uri="{FF2B5EF4-FFF2-40B4-BE49-F238E27FC236}">
              <a16:creationId xmlns:a16="http://schemas.microsoft.com/office/drawing/2014/main" id="{6437F012-6989-ACC2-A116-5BA4A8B05E6F}"/>
            </a:ext>
          </a:extLst>
        </xdr:cNvPr>
        <xdr:cNvSpPr txBox="1"/>
      </xdr:nvSpPr>
      <xdr:spPr>
        <a:xfrm>
          <a:off x="8654097" y="5185601"/>
          <a:ext cx="6998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Hold and Wait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33</xdr:row>
      <xdr:rowOff>184139</xdr:rowOff>
    </xdr:from>
    <xdr:to>
      <xdr:col>5</xdr:col>
      <xdr:colOff>47626</xdr:colOff>
      <xdr:row>36</xdr:row>
      <xdr:rowOff>15876</xdr:rowOff>
    </xdr:to>
    <xdr:sp macro="" textlink="">
      <xdr:nvSpPr>
        <xdr:cNvPr id="175" name="MC_BR_D_large_hold_sell_T_large_sell_loss">
          <a:extLst>
            <a:ext uri="{FF2B5EF4-FFF2-40B4-BE49-F238E27FC236}">
              <a16:creationId xmlns:a16="http://schemas.microsoft.com/office/drawing/2014/main" id="{4BE9407A-0E34-32C4-AE23-33F4B8519B10}"/>
            </a:ext>
          </a:extLst>
        </xdr:cNvPr>
        <xdr:cNvSpPr/>
      </xdr:nvSpPr>
      <xdr:spPr>
        <a:xfrm>
          <a:off x="8443719" y="6413489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957706" y="371486"/>
              </a:lnTo>
              <a:lnTo>
                <a:pt x="29577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585801" cy="182550"/>
    <xdr:sp macro="_xll.MC_OnBranchLabelClick" textlink="">
      <xdr:nvSpPr>
        <xdr:cNvPr id="176" name="MC_BN_D_large_hold_sell_T_large_sell_loss">
          <a:extLst>
            <a:ext uri="{FF2B5EF4-FFF2-40B4-BE49-F238E27FC236}">
              <a16:creationId xmlns:a16="http://schemas.microsoft.com/office/drawing/2014/main" id="{482EAC4F-CDE5-A099-066C-02261AF15BF0}"/>
            </a:ext>
          </a:extLst>
        </xdr:cNvPr>
        <xdr:cNvSpPr txBox="1"/>
      </xdr:nvSpPr>
      <xdr:spPr>
        <a:xfrm>
          <a:off x="8654097" y="6709601"/>
          <a:ext cx="5858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Sell at Loss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84268</xdr:colOff>
      <xdr:row>21</xdr:row>
      <xdr:rowOff>184150</xdr:rowOff>
    </xdr:from>
    <xdr:to>
      <xdr:col>6</xdr:col>
      <xdr:colOff>47626</xdr:colOff>
      <xdr:row>28</xdr:row>
      <xdr:rowOff>917</xdr:rowOff>
    </xdr:to>
    <xdr:sp macro="" textlink="">
      <xdr:nvSpPr>
        <xdr:cNvPr id="177" name="MC_BR_C_hold_rates_C_hold_reg">
          <a:extLst>
            <a:ext uri="{FF2B5EF4-FFF2-40B4-BE49-F238E27FC236}">
              <a16:creationId xmlns:a16="http://schemas.microsoft.com/office/drawing/2014/main" id="{05EB7436-ABCE-1170-EA37-AF47FE10A97F}"/>
            </a:ext>
          </a:extLst>
        </xdr:cNvPr>
        <xdr:cNvSpPr/>
      </xdr:nvSpPr>
      <xdr:spPr>
        <a:xfrm>
          <a:off x="11438068" y="4127500"/>
          <a:ext cx="2435096" cy="1150267"/>
        </a:xfrm>
        <a:custGeom>
          <a:avLst/>
          <a:gdLst/>
          <a:ahLst/>
          <a:cxnLst/>
          <a:rect l="0" t="0" r="0" b="0"/>
          <a:pathLst>
            <a:path w="24350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435095" y="0"/>
              </a:lnTo>
              <a:lnTo>
                <a:pt x="24350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21</xdr:row>
      <xdr:rowOff>99251</xdr:rowOff>
    </xdr:from>
    <xdr:ext cx="916276" cy="182550"/>
    <xdr:sp macro="_xll.MC_OnBranchLabelClick" textlink="">
      <xdr:nvSpPr>
        <xdr:cNvPr id="178" name="MC_BN_C_hold_rates_C_hold_reg">
          <a:extLst>
            <a:ext uri="{FF2B5EF4-FFF2-40B4-BE49-F238E27FC236}">
              <a16:creationId xmlns:a16="http://schemas.microsoft.com/office/drawing/2014/main" id="{AEA02161-C71D-DE63-1F32-B1D5FC028303}"/>
            </a:ext>
          </a:extLst>
        </xdr:cNvPr>
        <xdr:cNvSpPr txBox="1"/>
      </xdr:nvSpPr>
      <xdr:spPr>
        <a:xfrm>
          <a:off x="11640185" y="4042601"/>
          <a:ext cx="9162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Rise (Helps)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27</xdr:row>
      <xdr:rowOff>187956</xdr:rowOff>
    </xdr:from>
    <xdr:to>
      <xdr:col>6</xdr:col>
      <xdr:colOff>47626</xdr:colOff>
      <xdr:row>30</xdr:row>
      <xdr:rowOff>6351</xdr:rowOff>
    </xdr:to>
    <xdr:sp macro="" textlink="">
      <xdr:nvSpPr>
        <xdr:cNvPr id="179" name="MC_BR_C_hold_rates_T_hold_stable">
          <a:extLst>
            <a:ext uri="{FF2B5EF4-FFF2-40B4-BE49-F238E27FC236}">
              <a16:creationId xmlns:a16="http://schemas.microsoft.com/office/drawing/2014/main" id="{CE3B5E83-05B3-01CD-A38F-2E5672001EFA}"/>
            </a:ext>
          </a:extLst>
        </xdr:cNvPr>
        <xdr:cNvSpPr/>
      </xdr:nvSpPr>
      <xdr:spPr>
        <a:xfrm>
          <a:off x="11438533" y="5274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29</xdr:row>
      <xdr:rowOff>99251</xdr:rowOff>
    </xdr:from>
    <xdr:ext cx="642868" cy="182550"/>
    <xdr:sp macro="_xll.MC_OnBranchLabelClick" textlink="">
      <xdr:nvSpPr>
        <xdr:cNvPr id="180" name="MC_BN_C_hold_rates_T_hold_stable">
          <a:extLst>
            <a:ext uri="{FF2B5EF4-FFF2-40B4-BE49-F238E27FC236}">
              <a16:creationId xmlns:a16="http://schemas.microsoft.com/office/drawing/2014/main" id="{B4C338A2-FCAC-8ED8-3A5D-E560BF9A7823}"/>
            </a:ext>
          </a:extLst>
        </xdr:cNvPr>
        <xdr:cNvSpPr txBox="1"/>
      </xdr:nvSpPr>
      <xdr:spPr>
        <a:xfrm>
          <a:off x="11640185" y="5566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27</xdr:row>
      <xdr:rowOff>189143</xdr:rowOff>
    </xdr:from>
    <xdr:to>
      <xdr:col>6</xdr:col>
      <xdr:colOff>47626</xdr:colOff>
      <xdr:row>32</xdr:row>
      <xdr:rowOff>6351</xdr:rowOff>
    </xdr:to>
    <xdr:sp macro="" textlink="">
      <xdr:nvSpPr>
        <xdr:cNvPr id="181" name="MC_BR_C_hold_rates_T_hold_fall">
          <a:extLst>
            <a:ext uri="{FF2B5EF4-FFF2-40B4-BE49-F238E27FC236}">
              <a16:creationId xmlns:a16="http://schemas.microsoft.com/office/drawing/2014/main" id="{336E75EA-FDBB-562B-8886-358063D7DC0F}"/>
            </a:ext>
          </a:extLst>
        </xdr:cNvPr>
        <xdr:cNvSpPr/>
      </xdr:nvSpPr>
      <xdr:spPr>
        <a:xfrm>
          <a:off x="11438148" y="5275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31</xdr:row>
      <xdr:rowOff>99251</xdr:rowOff>
    </xdr:from>
    <xdr:ext cx="859210" cy="182550"/>
    <xdr:sp macro="_xll.MC_OnBranchLabelClick" textlink="">
      <xdr:nvSpPr>
        <xdr:cNvPr id="182" name="MC_BN_C_hold_rates_T_hold_fall">
          <a:extLst>
            <a:ext uri="{FF2B5EF4-FFF2-40B4-BE49-F238E27FC236}">
              <a16:creationId xmlns:a16="http://schemas.microsoft.com/office/drawing/2014/main" id="{3A3C3FC5-381C-765F-94AB-511B14821049}"/>
            </a:ext>
          </a:extLst>
        </xdr:cNvPr>
        <xdr:cNvSpPr txBox="1"/>
      </xdr:nvSpPr>
      <xdr:spPr>
        <a:xfrm>
          <a:off x="11640185" y="5947601"/>
          <a:ext cx="8592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Fall (Hurts)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19</xdr:row>
      <xdr:rowOff>184150</xdr:rowOff>
    </xdr:from>
    <xdr:to>
      <xdr:col>7</xdr:col>
      <xdr:colOff>47626</xdr:colOff>
      <xdr:row>22</xdr:row>
      <xdr:rowOff>2545</xdr:rowOff>
    </xdr:to>
    <xdr:sp macro="" textlink="">
      <xdr:nvSpPr>
        <xdr:cNvPr id="183" name="MC_BR_C_hold_reg_T_hold_rise_fav">
          <a:extLst>
            <a:ext uri="{FF2B5EF4-FFF2-40B4-BE49-F238E27FC236}">
              <a16:creationId xmlns:a16="http://schemas.microsoft.com/office/drawing/2014/main" id="{42DB0AAD-119C-7B44-FDC0-FD6745DDFC63}"/>
            </a:ext>
          </a:extLst>
        </xdr:cNvPr>
        <xdr:cNvSpPr/>
      </xdr:nvSpPr>
      <xdr:spPr>
        <a:xfrm>
          <a:off x="13910270" y="3746500"/>
          <a:ext cx="2039344" cy="389895"/>
        </a:xfrm>
        <a:custGeom>
          <a:avLst/>
          <a:gdLst/>
          <a:ahLst/>
          <a:cxnLst/>
          <a:rect l="0" t="0" r="0" b="0"/>
          <a:pathLst>
            <a:path w="2039344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039343" y="0"/>
              </a:lnTo>
              <a:lnTo>
                <a:pt x="2039343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19</xdr:row>
      <xdr:rowOff>99251</xdr:rowOff>
    </xdr:from>
    <xdr:ext cx="1030667" cy="182550"/>
    <xdr:sp macro="_xll.MC_OnBranchLabelClick" textlink="">
      <xdr:nvSpPr>
        <xdr:cNvPr id="184" name="MC_BN_C_hold_reg_T_hold_rise_fav">
          <a:extLst>
            <a:ext uri="{FF2B5EF4-FFF2-40B4-BE49-F238E27FC236}">
              <a16:creationId xmlns:a16="http://schemas.microsoft.com/office/drawing/2014/main" id="{CB53E6A8-B9CC-34BD-B4C6-08EF29C36B55}"/>
            </a:ext>
          </a:extLst>
        </xdr:cNvPr>
        <xdr:cNvSpPr txBox="1"/>
      </xdr:nvSpPr>
      <xdr:spPr>
        <a:xfrm>
          <a:off x="14111923" y="3661601"/>
          <a:ext cx="10306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21</xdr:row>
      <xdr:rowOff>187956</xdr:rowOff>
    </xdr:from>
    <xdr:to>
      <xdr:col>7</xdr:col>
      <xdr:colOff>47626</xdr:colOff>
      <xdr:row>24</xdr:row>
      <xdr:rowOff>6351</xdr:rowOff>
    </xdr:to>
    <xdr:sp macro="" textlink="">
      <xdr:nvSpPr>
        <xdr:cNvPr id="185" name="MC_BR_C_hold_reg_T_hold_rise_nc">
          <a:extLst>
            <a:ext uri="{FF2B5EF4-FFF2-40B4-BE49-F238E27FC236}">
              <a16:creationId xmlns:a16="http://schemas.microsoft.com/office/drawing/2014/main" id="{3A525E83-2B81-20A0-77CC-708D60FA96D1}"/>
            </a:ext>
          </a:extLst>
        </xdr:cNvPr>
        <xdr:cNvSpPr/>
      </xdr:nvSpPr>
      <xdr:spPr>
        <a:xfrm>
          <a:off x="13910270" y="4131306"/>
          <a:ext cx="2039344" cy="389895"/>
        </a:xfrm>
        <a:custGeom>
          <a:avLst/>
          <a:gdLst/>
          <a:ahLst/>
          <a:cxnLst/>
          <a:rect l="0" t="0" r="0" b="0"/>
          <a:pathLst>
            <a:path w="2039344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039343" y="377194"/>
              </a:lnTo>
              <a:lnTo>
                <a:pt x="2039343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23</xdr:row>
      <xdr:rowOff>99251</xdr:rowOff>
    </xdr:from>
    <xdr:ext cx="574453" cy="182550"/>
    <xdr:sp macro="_xll.MC_OnBranchLabelClick" textlink="">
      <xdr:nvSpPr>
        <xdr:cNvPr id="186" name="MC_BN_C_hold_reg_T_hold_rise_nc">
          <a:extLst>
            <a:ext uri="{FF2B5EF4-FFF2-40B4-BE49-F238E27FC236}">
              <a16:creationId xmlns:a16="http://schemas.microsoft.com/office/drawing/2014/main" id="{971548F1-22D6-91CD-0B8D-A45573764B81}"/>
            </a:ext>
          </a:extLst>
        </xdr:cNvPr>
        <xdr:cNvSpPr txBox="1"/>
      </xdr:nvSpPr>
      <xdr:spPr>
        <a:xfrm>
          <a:off x="14111923" y="4423601"/>
          <a:ext cx="5744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Change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21</xdr:row>
      <xdr:rowOff>189143</xdr:rowOff>
    </xdr:from>
    <xdr:to>
      <xdr:col>7</xdr:col>
      <xdr:colOff>47626</xdr:colOff>
      <xdr:row>26</xdr:row>
      <xdr:rowOff>6351</xdr:rowOff>
    </xdr:to>
    <xdr:sp macro="" textlink="">
      <xdr:nvSpPr>
        <xdr:cNvPr id="187" name="MC_BR_C_hold_reg_T_hold_rise_adv">
          <a:extLst>
            <a:ext uri="{FF2B5EF4-FFF2-40B4-BE49-F238E27FC236}">
              <a16:creationId xmlns:a16="http://schemas.microsoft.com/office/drawing/2014/main" id="{5D54108D-EBFB-A109-26B0-604DBEBF591B}"/>
            </a:ext>
          </a:extLst>
        </xdr:cNvPr>
        <xdr:cNvSpPr/>
      </xdr:nvSpPr>
      <xdr:spPr>
        <a:xfrm>
          <a:off x="13909886" y="4132493"/>
          <a:ext cx="2039728" cy="769708"/>
        </a:xfrm>
        <a:custGeom>
          <a:avLst/>
          <a:gdLst/>
          <a:ahLst/>
          <a:cxnLst/>
          <a:rect l="0" t="0" r="0" b="0"/>
          <a:pathLst>
            <a:path w="2039728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039727" y="757007"/>
              </a:lnTo>
              <a:lnTo>
                <a:pt x="2039727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25</xdr:row>
      <xdr:rowOff>99251</xdr:rowOff>
    </xdr:from>
    <xdr:ext cx="950838" cy="182550"/>
    <xdr:sp macro="_xll.MC_OnBranchLabelClick" textlink="">
      <xdr:nvSpPr>
        <xdr:cNvPr id="188" name="MC_BN_C_hold_reg_T_hold_rise_adv">
          <a:extLst>
            <a:ext uri="{FF2B5EF4-FFF2-40B4-BE49-F238E27FC236}">
              <a16:creationId xmlns:a16="http://schemas.microsoft.com/office/drawing/2014/main" id="{B2A3CFC8-4328-C97D-17EA-A4FFD0415027}"/>
            </a:ext>
          </a:extLst>
        </xdr:cNvPr>
        <xdr:cNvSpPr txBox="1"/>
      </xdr:nvSpPr>
      <xdr:spPr>
        <a:xfrm>
          <a:off x="14111923" y="4804601"/>
          <a:ext cx="9508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Adverse Regulation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39</xdr:row>
      <xdr:rowOff>174625</xdr:rowOff>
    </xdr:from>
    <xdr:to>
      <xdr:col>5</xdr:col>
      <xdr:colOff>47626</xdr:colOff>
      <xdr:row>42</xdr:row>
      <xdr:rowOff>6362</xdr:rowOff>
    </xdr:to>
    <xdr:sp macro="" textlink="">
      <xdr:nvSpPr>
        <xdr:cNvPr id="189" name="MC_BR_C_large_rates_better_T_large_better_rise">
          <a:extLst>
            <a:ext uri="{FF2B5EF4-FFF2-40B4-BE49-F238E27FC236}">
              <a16:creationId xmlns:a16="http://schemas.microsoft.com/office/drawing/2014/main" id="{01F8E094-5E6E-18D1-8D40-EFA78DD87214}"/>
            </a:ext>
          </a:extLst>
        </xdr:cNvPr>
        <xdr:cNvSpPr/>
      </xdr:nvSpPr>
      <xdr:spPr>
        <a:xfrm>
          <a:off x="8443719" y="7546975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957706" y="0"/>
              </a:lnTo>
              <a:lnTo>
                <a:pt x="29577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557140" cy="182550"/>
    <xdr:sp macro="_xll.MC_OnBranchLabelClick" textlink="">
      <xdr:nvSpPr>
        <xdr:cNvPr id="190" name="MC_BN_C_large_rates_better_T_large_better_rise">
          <a:extLst>
            <a:ext uri="{FF2B5EF4-FFF2-40B4-BE49-F238E27FC236}">
              <a16:creationId xmlns:a16="http://schemas.microsoft.com/office/drawing/2014/main" id="{808AD63B-0362-1788-40BF-379470BFD5A5}"/>
            </a:ext>
          </a:extLst>
        </xdr:cNvPr>
        <xdr:cNvSpPr txBox="1"/>
      </xdr:nvSpPr>
      <xdr:spPr>
        <a:xfrm>
          <a:off x="8654097" y="7471601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41</xdr:row>
      <xdr:rowOff>184139</xdr:rowOff>
    </xdr:from>
    <xdr:to>
      <xdr:col>5</xdr:col>
      <xdr:colOff>47626</xdr:colOff>
      <xdr:row>44</xdr:row>
      <xdr:rowOff>15876</xdr:rowOff>
    </xdr:to>
    <xdr:sp macro="" textlink="">
      <xdr:nvSpPr>
        <xdr:cNvPr id="191" name="MC_BR_C_large_rates_better_T_large_better_stable">
          <a:extLst>
            <a:ext uri="{FF2B5EF4-FFF2-40B4-BE49-F238E27FC236}">
              <a16:creationId xmlns:a16="http://schemas.microsoft.com/office/drawing/2014/main" id="{A639A166-06BF-DF23-B194-FF7BD5089D92}"/>
            </a:ext>
          </a:extLst>
        </xdr:cNvPr>
        <xdr:cNvSpPr/>
      </xdr:nvSpPr>
      <xdr:spPr>
        <a:xfrm>
          <a:off x="8443719" y="7937489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957706" y="371486"/>
              </a:lnTo>
              <a:lnTo>
                <a:pt x="29577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43</xdr:row>
      <xdr:rowOff>99251</xdr:rowOff>
    </xdr:from>
    <xdr:ext cx="642868" cy="182550"/>
    <xdr:sp macro="_xll.MC_OnBranchLabelClick" textlink="">
      <xdr:nvSpPr>
        <xdr:cNvPr id="192" name="MC_BN_C_large_rates_better_T_large_better_stable">
          <a:extLst>
            <a:ext uri="{FF2B5EF4-FFF2-40B4-BE49-F238E27FC236}">
              <a16:creationId xmlns:a16="http://schemas.microsoft.com/office/drawing/2014/main" id="{A5B15ACD-F335-0507-6288-1DB0E96B5723}"/>
            </a:ext>
          </a:extLst>
        </xdr:cNvPr>
        <xdr:cNvSpPr txBox="1"/>
      </xdr:nvSpPr>
      <xdr:spPr>
        <a:xfrm>
          <a:off x="8654097" y="8233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41</xdr:row>
      <xdr:rowOff>187109</xdr:rowOff>
    </xdr:from>
    <xdr:to>
      <xdr:col>5</xdr:col>
      <xdr:colOff>47626</xdr:colOff>
      <xdr:row>46</xdr:row>
      <xdr:rowOff>15876</xdr:rowOff>
    </xdr:to>
    <xdr:sp macro="" textlink="">
      <xdr:nvSpPr>
        <xdr:cNvPr id="193" name="MC_BR_C_large_rates_better_T_large_better_fall">
          <a:extLst>
            <a:ext uri="{FF2B5EF4-FFF2-40B4-BE49-F238E27FC236}">
              <a16:creationId xmlns:a16="http://schemas.microsoft.com/office/drawing/2014/main" id="{0C94B7B1-FF07-88DB-B856-CCD47D1E0CE9}"/>
            </a:ext>
          </a:extLst>
        </xdr:cNvPr>
        <xdr:cNvSpPr/>
      </xdr:nvSpPr>
      <xdr:spPr>
        <a:xfrm>
          <a:off x="8442755" y="7940459"/>
          <a:ext cx="2958671" cy="781267"/>
        </a:xfrm>
        <a:custGeom>
          <a:avLst/>
          <a:gdLst/>
          <a:ahLst/>
          <a:cxnLst/>
          <a:rect l="0" t="0" r="0" b="0"/>
          <a:pathLst>
            <a:path w="29586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958670" y="749516"/>
              </a:lnTo>
              <a:lnTo>
                <a:pt x="29586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45</xdr:row>
      <xdr:rowOff>99251</xdr:rowOff>
    </xdr:from>
    <xdr:ext cx="517193" cy="182550"/>
    <xdr:sp macro="_xll.MC_OnBranchLabelClick" textlink="">
      <xdr:nvSpPr>
        <xdr:cNvPr id="194" name="MC_BN_C_large_rates_better_T_large_better_fall">
          <a:extLst>
            <a:ext uri="{FF2B5EF4-FFF2-40B4-BE49-F238E27FC236}">
              <a16:creationId xmlns:a16="http://schemas.microsoft.com/office/drawing/2014/main" id="{9AE1D69A-AAA4-F799-2946-A7D0E5B8F0B4}"/>
            </a:ext>
          </a:extLst>
        </xdr:cNvPr>
        <xdr:cNvSpPr txBox="1"/>
      </xdr:nvSpPr>
      <xdr:spPr>
        <a:xfrm>
          <a:off x="8654097" y="8614601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47</xdr:row>
      <xdr:rowOff>174625</xdr:rowOff>
    </xdr:from>
    <xdr:to>
      <xdr:col>5</xdr:col>
      <xdr:colOff>47626</xdr:colOff>
      <xdr:row>50</xdr:row>
      <xdr:rowOff>6362</xdr:rowOff>
    </xdr:to>
    <xdr:sp macro="" textlink="">
      <xdr:nvSpPr>
        <xdr:cNvPr id="195" name="MC_BR_C_large_rates_exp_T_large_exp_rise">
          <a:extLst>
            <a:ext uri="{FF2B5EF4-FFF2-40B4-BE49-F238E27FC236}">
              <a16:creationId xmlns:a16="http://schemas.microsoft.com/office/drawing/2014/main" id="{50A2BF40-F3A0-940C-2F5E-5DE5228464B3}"/>
            </a:ext>
          </a:extLst>
        </xdr:cNvPr>
        <xdr:cNvSpPr/>
      </xdr:nvSpPr>
      <xdr:spPr>
        <a:xfrm>
          <a:off x="8443719" y="9070975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957706" y="0"/>
              </a:lnTo>
              <a:lnTo>
                <a:pt x="29577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47</xdr:row>
      <xdr:rowOff>99251</xdr:rowOff>
    </xdr:from>
    <xdr:ext cx="557140" cy="182550"/>
    <xdr:sp macro="_xll.MC_OnBranchLabelClick" textlink="">
      <xdr:nvSpPr>
        <xdr:cNvPr id="196" name="MC_BN_C_large_rates_exp_T_large_exp_rise">
          <a:extLst>
            <a:ext uri="{FF2B5EF4-FFF2-40B4-BE49-F238E27FC236}">
              <a16:creationId xmlns:a16="http://schemas.microsoft.com/office/drawing/2014/main" id="{55883FDE-1114-6AB9-2A93-F3745AF7C8CB}"/>
            </a:ext>
          </a:extLst>
        </xdr:cNvPr>
        <xdr:cNvSpPr txBox="1"/>
      </xdr:nvSpPr>
      <xdr:spPr>
        <a:xfrm>
          <a:off x="8654097" y="8995601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49</xdr:row>
      <xdr:rowOff>184139</xdr:rowOff>
    </xdr:from>
    <xdr:to>
      <xdr:col>5</xdr:col>
      <xdr:colOff>47626</xdr:colOff>
      <xdr:row>52</xdr:row>
      <xdr:rowOff>15876</xdr:rowOff>
    </xdr:to>
    <xdr:sp macro="" textlink="">
      <xdr:nvSpPr>
        <xdr:cNvPr id="197" name="MC_BR_C_large_rates_exp_T_large_exp_stable">
          <a:extLst>
            <a:ext uri="{FF2B5EF4-FFF2-40B4-BE49-F238E27FC236}">
              <a16:creationId xmlns:a16="http://schemas.microsoft.com/office/drawing/2014/main" id="{B90BD429-0240-B32A-BD87-9F38D21033B0}"/>
            </a:ext>
          </a:extLst>
        </xdr:cNvPr>
        <xdr:cNvSpPr/>
      </xdr:nvSpPr>
      <xdr:spPr>
        <a:xfrm>
          <a:off x="8443719" y="9461489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957706" y="371486"/>
              </a:lnTo>
              <a:lnTo>
                <a:pt x="29577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51</xdr:row>
      <xdr:rowOff>99251</xdr:rowOff>
    </xdr:from>
    <xdr:ext cx="642868" cy="182550"/>
    <xdr:sp macro="_xll.MC_OnBranchLabelClick" textlink="">
      <xdr:nvSpPr>
        <xdr:cNvPr id="198" name="MC_BN_C_large_rates_exp_T_large_exp_stable">
          <a:extLst>
            <a:ext uri="{FF2B5EF4-FFF2-40B4-BE49-F238E27FC236}">
              <a16:creationId xmlns:a16="http://schemas.microsoft.com/office/drawing/2014/main" id="{E9DB2E3C-4F7A-B2EF-FDC0-9DF2FEE096A8}"/>
            </a:ext>
          </a:extLst>
        </xdr:cNvPr>
        <xdr:cNvSpPr txBox="1"/>
      </xdr:nvSpPr>
      <xdr:spPr>
        <a:xfrm>
          <a:off x="8654097" y="9757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49</xdr:row>
      <xdr:rowOff>187109</xdr:rowOff>
    </xdr:from>
    <xdr:to>
      <xdr:col>5</xdr:col>
      <xdr:colOff>47626</xdr:colOff>
      <xdr:row>54</xdr:row>
      <xdr:rowOff>15876</xdr:rowOff>
    </xdr:to>
    <xdr:sp macro="" textlink="">
      <xdr:nvSpPr>
        <xdr:cNvPr id="199" name="MC_BR_C_large_rates_exp_T_large_exp_fall">
          <a:extLst>
            <a:ext uri="{FF2B5EF4-FFF2-40B4-BE49-F238E27FC236}">
              <a16:creationId xmlns:a16="http://schemas.microsoft.com/office/drawing/2014/main" id="{5F2A4F12-A01F-ACF6-2753-5AD9A9711308}"/>
            </a:ext>
          </a:extLst>
        </xdr:cNvPr>
        <xdr:cNvSpPr/>
      </xdr:nvSpPr>
      <xdr:spPr>
        <a:xfrm>
          <a:off x="8442755" y="9464459"/>
          <a:ext cx="2958671" cy="781267"/>
        </a:xfrm>
        <a:custGeom>
          <a:avLst/>
          <a:gdLst/>
          <a:ahLst/>
          <a:cxnLst/>
          <a:rect l="0" t="0" r="0" b="0"/>
          <a:pathLst>
            <a:path w="29586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958670" y="749516"/>
              </a:lnTo>
              <a:lnTo>
                <a:pt x="29586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53</xdr:row>
      <xdr:rowOff>99251</xdr:rowOff>
    </xdr:from>
    <xdr:ext cx="517193" cy="182550"/>
    <xdr:sp macro="_xll.MC_OnBranchLabelClick" textlink="">
      <xdr:nvSpPr>
        <xdr:cNvPr id="200" name="MC_BN_C_large_rates_exp_T_large_exp_fall">
          <a:extLst>
            <a:ext uri="{FF2B5EF4-FFF2-40B4-BE49-F238E27FC236}">
              <a16:creationId xmlns:a16="http://schemas.microsoft.com/office/drawing/2014/main" id="{84BF9AE9-FFBE-22FA-77E2-EC7B655F92DD}"/>
            </a:ext>
          </a:extLst>
        </xdr:cNvPr>
        <xdr:cNvSpPr txBox="1"/>
      </xdr:nvSpPr>
      <xdr:spPr>
        <a:xfrm>
          <a:off x="8654097" y="10138601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55</xdr:row>
      <xdr:rowOff>174625</xdr:rowOff>
    </xdr:from>
    <xdr:to>
      <xdr:col>5</xdr:col>
      <xdr:colOff>47626</xdr:colOff>
      <xdr:row>58</xdr:row>
      <xdr:rowOff>6362</xdr:rowOff>
    </xdr:to>
    <xdr:sp macro="" textlink="">
      <xdr:nvSpPr>
        <xdr:cNvPr id="201" name="MC_BR_C_large_rates_worse_T_large_worse_rise">
          <a:extLst>
            <a:ext uri="{FF2B5EF4-FFF2-40B4-BE49-F238E27FC236}">
              <a16:creationId xmlns:a16="http://schemas.microsoft.com/office/drawing/2014/main" id="{46F4D194-C78E-73C3-0BFB-1355C7D598A6}"/>
            </a:ext>
          </a:extLst>
        </xdr:cNvPr>
        <xdr:cNvSpPr/>
      </xdr:nvSpPr>
      <xdr:spPr>
        <a:xfrm>
          <a:off x="8443719" y="10594975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957706" y="0"/>
              </a:lnTo>
              <a:lnTo>
                <a:pt x="29577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557140" cy="182550"/>
    <xdr:sp macro="_xll.MC_OnBranchLabelClick" textlink="">
      <xdr:nvSpPr>
        <xdr:cNvPr id="202" name="MC_BN_C_large_rates_worse_T_large_worse_rise">
          <a:extLst>
            <a:ext uri="{FF2B5EF4-FFF2-40B4-BE49-F238E27FC236}">
              <a16:creationId xmlns:a16="http://schemas.microsoft.com/office/drawing/2014/main" id="{C0AC49EB-B64F-92E6-985D-A01041251983}"/>
            </a:ext>
          </a:extLst>
        </xdr:cNvPr>
        <xdr:cNvSpPr txBox="1"/>
      </xdr:nvSpPr>
      <xdr:spPr>
        <a:xfrm>
          <a:off x="8654097" y="10519601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57</xdr:row>
      <xdr:rowOff>184139</xdr:rowOff>
    </xdr:from>
    <xdr:to>
      <xdr:col>5</xdr:col>
      <xdr:colOff>47626</xdr:colOff>
      <xdr:row>60</xdr:row>
      <xdr:rowOff>15876</xdr:rowOff>
    </xdr:to>
    <xdr:sp macro="" textlink="">
      <xdr:nvSpPr>
        <xdr:cNvPr id="203" name="MC_BR_C_large_rates_worse_T_large_worse_stable">
          <a:extLst>
            <a:ext uri="{FF2B5EF4-FFF2-40B4-BE49-F238E27FC236}">
              <a16:creationId xmlns:a16="http://schemas.microsoft.com/office/drawing/2014/main" id="{00BBE60C-F31F-F545-F0C0-F62EAA84D680}"/>
            </a:ext>
          </a:extLst>
        </xdr:cNvPr>
        <xdr:cNvSpPr/>
      </xdr:nvSpPr>
      <xdr:spPr>
        <a:xfrm>
          <a:off x="8443719" y="10985489"/>
          <a:ext cx="2957707" cy="403237"/>
        </a:xfrm>
        <a:custGeom>
          <a:avLst/>
          <a:gdLst/>
          <a:ahLst/>
          <a:cxnLst/>
          <a:rect l="0" t="0" r="0" b="0"/>
          <a:pathLst>
            <a:path w="29577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957706" y="371486"/>
              </a:lnTo>
              <a:lnTo>
                <a:pt x="29577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59</xdr:row>
      <xdr:rowOff>99251</xdr:rowOff>
    </xdr:from>
    <xdr:ext cx="642868" cy="182550"/>
    <xdr:sp macro="_xll.MC_OnBranchLabelClick" textlink="">
      <xdr:nvSpPr>
        <xdr:cNvPr id="204" name="MC_BN_C_large_rates_worse_T_large_worse_stable">
          <a:extLst>
            <a:ext uri="{FF2B5EF4-FFF2-40B4-BE49-F238E27FC236}">
              <a16:creationId xmlns:a16="http://schemas.microsoft.com/office/drawing/2014/main" id="{AEEE6CDA-8614-B22F-6749-F5D5FB41E66A}"/>
            </a:ext>
          </a:extLst>
        </xdr:cNvPr>
        <xdr:cNvSpPr txBox="1"/>
      </xdr:nvSpPr>
      <xdr:spPr>
        <a:xfrm>
          <a:off x="8654097" y="11281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57</xdr:row>
      <xdr:rowOff>187109</xdr:rowOff>
    </xdr:from>
    <xdr:to>
      <xdr:col>5</xdr:col>
      <xdr:colOff>47626</xdr:colOff>
      <xdr:row>62</xdr:row>
      <xdr:rowOff>15876</xdr:rowOff>
    </xdr:to>
    <xdr:sp macro="" textlink="">
      <xdr:nvSpPr>
        <xdr:cNvPr id="205" name="MC_BR_C_large_rates_worse_T_large_worse_fall">
          <a:extLst>
            <a:ext uri="{FF2B5EF4-FFF2-40B4-BE49-F238E27FC236}">
              <a16:creationId xmlns:a16="http://schemas.microsoft.com/office/drawing/2014/main" id="{D9958FA7-F85E-763E-A219-C0D5E36484E6}"/>
            </a:ext>
          </a:extLst>
        </xdr:cNvPr>
        <xdr:cNvSpPr/>
      </xdr:nvSpPr>
      <xdr:spPr>
        <a:xfrm>
          <a:off x="8442755" y="10988459"/>
          <a:ext cx="2958671" cy="781267"/>
        </a:xfrm>
        <a:custGeom>
          <a:avLst/>
          <a:gdLst/>
          <a:ahLst/>
          <a:cxnLst/>
          <a:rect l="0" t="0" r="0" b="0"/>
          <a:pathLst>
            <a:path w="29586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958670" y="749516"/>
              </a:lnTo>
              <a:lnTo>
                <a:pt x="29586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61</xdr:row>
      <xdr:rowOff>99251</xdr:rowOff>
    </xdr:from>
    <xdr:ext cx="517193" cy="182550"/>
    <xdr:sp macro="_xll.MC_OnBranchLabelClick" textlink="">
      <xdr:nvSpPr>
        <xdr:cNvPr id="206" name="MC_BN_C_large_rates_worse_T_large_worse_fall">
          <a:extLst>
            <a:ext uri="{FF2B5EF4-FFF2-40B4-BE49-F238E27FC236}">
              <a16:creationId xmlns:a16="http://schemas.microsoft.com/office/drawing/2014/main" id="{189D5C0F-41EE-AF3E-F938-2F4EBFDF0602}"/>
            </a:ext>
          </a:extLst>
        </xdr:cNvPr>
        <xdr:cNvSpPr txBox="1"/>
      </xdr:nvSpPr>
      <xdr:spPr>
        <a:xfrm>
          <a:off x="8654097" y="11662601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65</xdr:row>
      <xdr:rowOff>184150</xdr:rowOff>
    </xdr:from>
    <xdr:to>
      <xdr:col>4</xdr:col>
      <xdr:colOff>47626</xdr:colOff>
      <xdr:row>68</xdr:row>
      <xdr:rowOff>2545</xdr:rowOff>
    </xdr:to>
    <xdr:sp macro="" textlink="">
      <xdr:nvSpPr>
        <xdr:cNvPr id="207" name="MC_BR_C_small_mortality_T_small_much_better">
          <a:extLst>
            <a:ext uri="{FF2B5EF4-FFF2-40B4-BE49-F238E27FC236}">
              <a16:creationId xmlns:a16="http://schemas.microsoft.com/office/drawing/2014/main" id="{4D076466-538F-B9A4-E961-D15AFCE13827}"/>
            </a:ext>
          </a:extLst>
        </xdr:cNvPr>
        <xdr:cNvSpPr/>
      </xdr:nvSpPr>
      <xdr:spPr>
        <a:xfrm>
          <a:off x="5975946" y="12509500"/>
          <a:ext cx="2439393" cy="389895"/>
        </a:xfrm>
        <a:custGeom>
          <a:avLst/>
          <a:gdLst/>
          <a:ahLst/>
          <a:cxnLst/>
          <a:rect l="0" t="0" r="0" b="0"/>
          <a:pathLst>
            <a:path w="243939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9392" y="0"/>
              </a:lnTo>
              <a:lnTo>
                <a:pt x="2439392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65</xdr:row>
      <xdr:rowOff>99251</xdr:rowOff>
    </xdr:from>
    <xdr:ext cx="1241750" cy="182550"/>
    <xdr:sp macro="_xll.MC_OnBranchLabelClick" textlink="">
      <xdr:nvSpPr>
        <xdr:cNvPr id="208" name="MC_BN_C_small_mortality_T_small_much_better">
          <a:extLst>
            <a:ext uri="{FF2B5EF4-FFF2-40B4-BE49-F238E27FC236}">
              <a16:creationId xmlns:a16="http://schemas.microsoft.com/office/drawing/2014/main" id="{6F297CF8-DEB1-E01B-C887-8FF6EB6C644C}"/>
            </a:ext>
          </a:extLst>
        </xdr:cNvPr>
        <xdr:cNvSpPr txBox="1"/>
      </xdr:nvSpPr>
      <xdr:spPr>
        <a:xfrm>
          <a:off x="6177597" y="12424601"/>
          <a:ext cx="12417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Much Better (Live Longer)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67</xdr:row>
      <xdr:rowOff>189143</xdr:rowOff>
    </xdr:from>
    <xdr:to>
      <xdr:col>4</xdr:col>
      <xdr:colOff>47626</xdr:colOff>
      <xdr:row>72</xdr:row>
      <xdr:rowOff>6351</xdr:rowOff>
    </xdr:to>
    <xdr:sp macro="" textlink="">
      <xdr:nvSpPr>
        <xdr:cNvPr id="209" name="MC_BR_C_small_mortality_C_small_rates_better">
          <a:extLst>
            <a:ext uri="{FF2B5EF4-FFF2-40B4-BE49-F238E27FC236}">
              <a16:creationId xmlns:a16="http://schemas.microsoft.com/office/drawing/2014/main" id="{7C59FE63-EFAF-FE05-EE91-7FF0AD82A91A}"/>
            </a:ext>
          </a:extLst>
        </xdr:cNvPr>
        <xdr:cNvSpPr/>
      </xdr:nvSpPr>
      <xdr:spPr>
        <a:xfrm>
          <a:off x="5975560" y="12895493"/>
          <a:ext cx="2439779" cy="769708"/>
        </a:xfrm>
        <a:custGeom>
          <a:avLst/>
          <a:gdLst/>
          <a:ahLst/>
          <a:cxnLst/>
          <a:rect l="0" t="0" r="0" b="0"/>
          <a:pathLst>
            <a:path w="24397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9778" y="757007"/>
              </a:lnTo>
              <a:lnTo>
                <a:pt x="24397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71</xdr:row>
      <xdr:rowOff>99250</xdr:rowOff>
    </xdr:from>
    <xdr:ext cx="1047916" cy="182550"/>
    <xdr:sp macro="_xll.MC_OnBranchLabelClick" textlink="">
      <xdr:nvSpPr>
        <xdr:cNvPr id="210" name="MC_BN_C_small_mortality_C_small_rates_better">
          <a:extLst>
            <a:ext uri="{FF2B5EF4-FFF2-40B4-BE49-F238E27FC236}">
              <a16:creationId xmlns:a16="http://schemas.microsoft.com/office/drawing/2014/main" id="{0CE18FC0-D396-CF8F-014E-A765F725BFE1}"/>
            </a:ext>
          </a:extLst>
        </xdr:cNvPr>
        <xdr:cNvSpPr txBox="1"/>
      </xdr:nvSpPr>
      <xdr:spPr>
        <a:xfrm>
          <a:off x="6177597" y="13567600"/>
          <a:ext cx="10479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Better Than Expected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84217</xdr:colOff>
      <xdr:row>67</xdr:row>
      <xdr:rowOff>190038</xdr:rowOff>
    </xdr:from>
    <xdr:to>
      <xdr:col>4</xdr:col>
      <xdr:colOff>47626</xdr:colOff>
      <xdr:row>80</xdr:row>
      <xdr:rowOff>6351</xdr:rowOff>
    </xdr:to>
    <xdr:sp macro="" textlink="">
      <xdr:nvSpPr>
        <xdr:cNvPr id="211" name="MC_BR_C_small_mortality_C_small_rates_exp">
          <a:extLst>
            <a:ext uri="{FF2B5EF4-FFF2-40B4-BE49-F238E27FC236}">
              <a16:creationId xmlns:a16="http://schemas.microsoft.com/office/drawing/2014/main" id="{924D3A1D-2C1D-0285-0DAC-38F75C8399A3}"/>
            </a:ext>
          </a:extLst>
        </xdr:cNvPr>
        <xdr:cNvSpPr/>
      </xdr:nvSpPr>
      <xdr:spPr>
        <a:xfrm>
          <a:off x="5975430" y="12896388"/>
          <a:ext cx="2439909" cy="2292813"/>
        </a:xfrm>
        <a:custGeom>
          <a:avLst/>
          <a:gdLst/>
          <a:ahLst/>
          <a:cxnLst/>
          <a:rect l="0" t="0" r="0" b="0"/>
          <a:pathLst>
            <a:path w="2439909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439908" y="2280112"/>
              </a:lnTo>
              <a:lnTo>
                <a:pt x="2439908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79</xdr:row>
      <xdr:rowOff>99250</xdr:rowOff>
    </xdr:from>
    <xdr:ext cx="631455" cy="182550"/>
    <xdr:sp macro="_xll.MC_OnBranchLabelClick" textlink="">
      <xdr:nvSpPr>
        <xdr:cNvPr id="212" name="MC_BN_C_small_mortality_C_small_rates_exp">
          <a:extLst>
            <a:ext uri="{FF2B5EF4-FFF2-40B4-BE49-F238E27FC236}">
              <a16:creationId xmlns:a16="http://schemas.microsoft.com/office/drawing/2014/main" id="{60C81F01-0BEC-C4ED-FE0F-DF4FE8414826}"/>
            </a:ext>
          </a:extLst>
        </xdr:cNvPr>
        <xdr:cNvSpPr txBox="1"/>
      </xdr:nvSpPr>
      <xdr:spPr>
        <a:xfrm>
          <a:off x="6177597" y="15091600"/>
          <a:ext cx="6314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As Expected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84206</xdr:colOff>
      <xdr:row>67</xdr:row>
      <xdr:rowOff>190222</xdr:rowOff>
    </xdr:from>
    <xdr:to>
      <xdr:col>4</xdr:col>
      <xdr:colOff>47626</xdr:colOff>
      <xdr:row>88</xdr:row>
      <xdr:rowOff>6351</xdr:rowOff>
    </xdr:to>
    <xdr:sp macro="" textlink="">
      <xdr:nvSpPr>
        <xdr:cNvPr id="213" name="MC_BR_C_small_mortality_C_small_rates_worse">
          <a:extLst>
            <a:ext uri="{FF2B5EF4-FFF2-40B4-BE49-F238E27FC236}">
              <a16:creationId xmlns:a16="http://schemas.microsoft.com/office/drawing/2014/main" id="{76A77246-081B-BEEF-1F50-DA59E2F7CF59}"/>
            </a:ext>
          </a:extLst>
        </xdr:cNvPr>
        <xdr:cNvSpPr/>
      </xdr:nvSpPr>
      <xdr:spPr>
        <a:xfrm>
          <a:off x="5975419" y="12896572"/>
          <a:ext cx="2439920" cy="3816629"/>
        </a:xfrm>
        <a:custGeom>
          <a:avLst/>
          <a:gdLst/>
          <a:ahLst/>
          <a:cxnLst/>
          <a:rect l="0" t="0" r="0" b="0"/>
          <a:pathLst>
            <a:path w="2439920" h="3816629">
              <a:moveTo>
                <a:pt x="12688" y="0"/>
              </a:moveTo>
              <a:lnTo>
                <a:pt x="179312" y="3810000"/>
              </a:lnTo>
              <a:lnTo>
                <a:pt x="172969" y="3803928"/>
              </a:lnTo>
              <a:lnTo>
                <a:pt x="2439919" y="3803928"/>
              </a:lnTo>
              <a:lnTo>
                <a:pt x="2439919" y="3816628"/>
              </a:lnTo>
              <a:lnTo>
                <a:pt x="172969" y="3816628"/>
              </a:lnTo>
              <a:lnTo>
                <a:pt x="166625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87</xdr:row>
      <xdr:rowOff>99250</xdr:rowOff>
    </xdr:from>
    <xdr:ext cx="961995" cy="182550"/>
    <xdr:sp macro="_xll.MC_OnBranchLabelClick" textlink="">
      <xdr:nvSpPr>
        <xdr:cNvPr id="214" name="MC_BN_C_small_mortality_C_small_rates_worse">
          <a:extLst>
            <a:ext uri="{FF2B5EF4-FFF2-40B4-BE49-F238E27FC236}">
              <a16:creationId xmlns:a16="http://schemas.microsoft.com/office/drawing/2014/main" id="{8CFE2C19-4C85-58F6-511F-E7E32BE7A14C}"/>
            </a:ext>
          </a:extLst>
        </xdr:cNvPr>
        <xdr:cNvSpPr txBox="1"/>
      </xdr:nvSpPr>
      <xdr:spPr>
        <a:xfrm>
          <a:off x="6177597" y="16615600"/>
          <a:ext cx="9619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Worse (Die Sooner)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69</xdr:row>
      <xdr:rowOff>184150</xdr:rowOff>
    </xdr:from>
    <xdr:to>
      <xdr:col>5</xdr:col>
      <xdr:colOff>47626</xdr:colOff>
      <xdr:row>72</xdr:row>
      <xdr:rowOff>2545</xdr:rowOff>
    </xdr:to>
    <xdr:sp macro="" textlink="">
      <xdr:nvSpPr>
        <xdr:cNvPr id="215" name="MC_BR_C_small_rates_better_T_small_better_rise">
          <a:extLst>
            <a:ext uri="{FF2B5EF4-FFF2-40B4-BE49-F238E27FC236}">
              <a16:creationId xmlns:a16="http://schemas.microsoft.com/office/drawing/2014/main" id="{9EB21560-AF11-1975-3121-8843883147E7}"/>
            </a:ext>
          </a:extLst>
        </xdr:cNvPr>
        <xdr:cNvSpPr/>
      </xdr:nvSpPr>
      <xdr:spPr>
        <a:xfrm>
          <a:off x="8452445" y="13271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69</xdr:row>
      <xdr:rowOff>99250</xdr:rowOff>
    </xdr:from>
    <xdr:ext cx="557140" cy="182550"/>
    <xdr:sp macro="_xll.MC_OnBranchLabelClick" textlink="">
      <xdr:nvSpPr>
        <xdr:cNvPr id="216" name="MC_BN_C_small_rates_better_T_small_better_rise">
          <a:extLst>
            <a:ext uri="{FF2B5EF4-FFF2-40B4-BE49-F238E27FC236}">
              <a16:creationId xmlns:a16="http://schemas.microsoft.com/office/drawing/2014/main" id="{2E6949EE-1BCF-E41E-B4AF-9CA28D858128}"/>
            </a:ext>
          </a:extLst>
        </xdr:cNvPr>
        <xdr:cNvSpPr txBox="1"/>
      </xdr:nvSpPr>
      <xdr:spPr>
        <a:xfrm>
          <a:off x="8654097" y="13186600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71</xdr:row>
      <xdr:rowOff>187956</xdr:rowOff>
    </xdr:from>
    <xdr:to>
      <xdr:col>5</xdr:col>
      <xdr:colOff>47626</xdr:colOff>
      <xdr:row>74</xdr:row>
      <xdr:rowOff>6351</xdr:rowOff>
    </xdr:to>
    <xdr:sp macro="" textlink="">
      <xdr:nvSpPr>
        <xdr:cNvPr id="217" name="MC_BR_C_small_rates_better_T_small_better_stable">
          <a:extLst>
            <a:ext uri="{FF2B5EF4-FFF2-40B4-BE49-F238E27FC236}">
              <a16:creationId xmlns:a16="http://schemas.microsoft.com/office/drawing/2014/main" id="{2E7CBE78-7F1D-F404-7DAA-861F85E0F39C}"/>
            </a:ext>
          </a:extLst>
        </xdr:cNvPr>
        <xdr:cNvSpPr/>
      </xdr:nvSpPr>
      <xdr:spPr>
        <a:xfrm>
          <a:off x="8452445" y="13656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73</xdr:row>
      <xdr:rowOff>99250</xdr:rowOff>
    </xdr:from>
    <xdr:ext cx="642868" cy="182550"/>
    <xdr:sp macro="_xll.MC_OnBranchLabelClick" textlink="">
      <xdr:nvSpPr>
        <xdr:cNvPr id="218" name="MC_BN_C_small_rates_better_T_small_better_stable">
          <a:extLst>
            <a:ext uri="{FF2B5EF4-FFF2-40B4-BE49-F238E27FC236}">
              <a16:creationId xmlns:a16="http://schemas.microsoft.com/office/drawing/2014/main" id="{B10530BE-47C7-C8D7-6E0E-8F404536385F}"/>
            </a:ext>
          </a:extLst>
        </xdr:cNvPr>
        <xdr:cNvSpPr txBox="1"/>
      </xdr:nvSpPr>
      <xdr:spPr>
        <a:xfrm>
          <a:off x="8654097" y="13948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71</xdr:row>
      <xdr:rowOff>189143</xdr:rowOff>
    </xdr:from>
    <xdr:to>
      <xdr:col>5</xdr:col>
      <xdr:colOff>47626</xdr:colOff>
      <xdr:row>76</xdr:row>
      <xdr:rowOff>6351</xdr:rowOff>
    </xdr:to>
    <xdr:sp macro="" textlink="">
      <xdr:nvSpPr>
        <xdr:cNvPr id="219" name="MC_BR_C_small_rates_better_T_small_better_fall">
          <a:extLst>
            <a:ext uri="{FF2B5EF4-FFF2-40B4-BE49-F238E27FC236}">
              <a16:creationId xmlns:a16="http://schemas.microsoft.com/office/drawing/2014/main" id="{1F0C7116-4CD0-43EA-AF80-6A6CCFF051AF}"/>
            </a:ext>
          </a:extLst>
        </xdr:cNvPr>
        <xdr:cNvSpPr/>
      </xdr:nvSpPr>
      <xdr:spPr>
        <a:xfrm>
          <a:off x="8452060" y="13657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517193" cy="182550"/>
    <xdr:sp macro="_xll.MC_OnBranchLabelClick" textlink="">
      <xdr:nvSpPr>
        <xdr:cNvPr id="220" name="MC_BN_C_small_rates_better_T_small_better_fall">
          <a:extLst>
            <a:ext uri="{FF2B5EF4-FFF2-40B4-BE49-F238E27FC236}">
              <a16:creationId xmlns:a16="http://schemas.microsoft.com/office/drawing/2014/main" id="{CADACCC4-0EEB-2E80-C0ED-E437ADECB9B8}"/>
            </a:ext>
          </a:extLst>
        </xdr:cNvPr>
        <xdr:cNvSpPr txBox="1"/>
      </xdr:nvSpPr>
      <xdr:spPr>
        <a:xfrm>
          <a:off x="8654097" y="14329600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77</xdr:row>
      <xdr:rowOff>184150</xdr:rowOff>
    </xdr:from>
    <xdr:to>
      <xdr:col>5</xdr:col>
      <xdr:colOff>47626</xdr:colOff>
      <xdr:row>80</xdr:row>
      <xdr:rowOff>2545</xdr:rowOff>
    </xdr:to>
    <xdr:sp macro="" textlink="">
      <xdr:nvSpPr>
        <xdr:cNvPr id="221" name="MC_BR_C_small_rates_exp_T_small_exp_rise">
          <a:extLst>
            <a:ext uri="{FF2B5EF4-FFF2-40B4-BE49-F238E27FC236}">
              <a16:creationId xmlns:a16="http://schemas.microsoft.com/office/drawing/2014/main" id="{C32D4D7A-F281-7A78-221D-C3601C6DE7E5}"/>
            </a:ext>
          </a:extLst>
        </xdr:cNvPr>
        <xdr:cNvSpPr/>
      </xdr:nvSpPr>
      <xdr:spPr>
        <a:xfrm>
          <a:off x="8452445" y="14795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77</xdr:row>
      <xdr:rowOff>99250</xdr:rowOff>
    </xdr:from>
    <xdr:ext cx="557140" cy="182550"/>
    <xdr:sp macro="_xll.MC_OnBranchLabelClick" textlink="">
      <xdr:nvSpPr>
        <xdr:cNvPr id="222" name="MC_BN_C_small_rates_exp_T_small_exp_rise">
          <a:extLst>
            <a:ext uri="{FF2B5EF4-FFF2-40B4-BE49-F238E27FC236}">
              <a16:creationId xmlns:a16="http://schemas.microsoft.com/office/drawing/2014/main" id="{5FF762F5-5D68-DD79-9AAE-05A82213B162}"/>
            </a:ext>
          </a:extLst>
        </xdr:cNvPr>
        <xdr:cNvSpPr txBox="1"/>
      </xdr:nvSpPr>
      <xdr:spPr>
        <a:xfrm>
          <a:off x="8654097" y="14710600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79</xdr:row>
      <xdr:rowOff>187956</xdr:rowOff>
    </xdr:from>
    <xdr:to>
      <xdr:col>5</xdr:col>
      <xdr:colOff>47626</xdr:colOff>
      <xdr:row>82</xdr:row>
      <xdr:rowOff>6351</xdr:rowOff>
    </xdr:to>
    <xdr:sp macro="" textlink="">
      <xdr:nvSpPr>
        <xdr:cNvPr id="223" name="MC_BR_C_small_rates_exp_T_small_exp_stable">
          <a:extLst>
            <a:ext uri="{FF2B5EF4-FFF2-40B4-BE49-F238E27FC236}">
              <a16:creationId xmlns:a16="http://schemas.microsoft.com/office/drawing/2014/main" id="{97D82217-6D02-3069-9750-363C52DD80BE}"/>
            </a:ext>
          </a:extLst>
        </xdr:cNvPr>
        <xdr:cNvSpPr/>
      </xdr:nvSpPr>
      <xdr:spPr>
        <a:xfrm>
          <a:off x="8452445" y="15180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81</xdr:row>
      <xdr:rowOff>99250</xdr:rowOff>
    </xdr:from>
    <xdr:ext cx="642868" cy="182550"/>
    <xdr:sp macro="_xll.MC_OnBranchLabelClick" textlink="">
      <xdr:nvSpPr>
        <xdr:cNvPr id="224" name="MC_BN_C_small_rates_exp_T_small_exp_stable">
          <a:extLst>
            <a:ext uri="{FF2B5EF4-FFF2-40B4-BE49-F238E27FC236}">
              <a16:creationId xmlns:a16="http://schemas.microsoft.com/office/drawing/2014/main" id="{A755BC31-BAD0-0A06-28CF-6B702677C405}"/>
            </a:ext>
          </a:extLst>
        </xdr:cNvPr>
        <xdr:cNvSpPr txBox="1"/>
      </xdr:nvSpPr>
      <xdr:spPr>
        <a:xfrm>
          <a:off x="8654097" y="15472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79</xdr:row>
      <xdr:rowOff>189143</xdr:rowOff>
    </xdr:from>
    <xdr:to>
      <xdr:col>5</xdr:col>
      <xdr:colOff>47626</xdr:colOff>
      <xdr:row>84</xdr:row>
      <xdr:rowOff>6351</xdr:rowOff>
    </xdr:to>
    <xdr:sp macro="" textlink="">
      <xdr:nvSpPr>
        <xdr:cNvPr id="225" name="MC_BR_C_small_rates_exp_T_small_exp_fall">
          <a:extLst>
            <a:ext uri="{FF2B5EF4-FFF2-40B4-BE49-F238E27FC236}">
              <a16:creationId xmlns:a16="http://schemas.microsoft.com/office/drawing/2014/main" id="{6AC239E6-4383-387A-20F0-641FD3614C8F}"/>
            </a:ext>
          </a:extLst>
        </xdr:cNvPr>
        <xdr:cNvSpPr/>
      </xdr:nvSpPr>
      <xdr:spPr>
        <a:xfrm>
          <a:off x="8452060" y="15181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83</xdr:row>
      <xdr:rowOff>99250</xdr:rowOff>
    </xdr:from>
    <xdr:ext cx="517193" cy="182550"/>
    <xdr:sp macro="_xll.MC_OnBranchLabelClick" textlink="">
      <xdr:nvSpPr>
        <xdr:cNvPr id="226" name="MC_BN_C_small_rates_exp_T_small_exp_fall">
          <a:extLst>
            <a:ext uri="{FF2B5EF4-FFF2-40B4-BE49-F238E27FC236}">
              <a16:creationId xmlns:a16="http://schemas.microsoft.com/office/drawing/2014/main" id="{DDA3317B-FB53-7F44-D8F6-F86456A6A384}"/>
            </a:ext>
          </a:extLst>
        </xdr:cNvPr>
        <xdr:cNvSpPr txBox="1"/>
      </xdr:nvSpPr>
      <xdr:spPr>
        <a:xfrm>
          <a:off x="8654097" y="15853600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85</xdr:row>
      <xdr:rowOff>184150</xdr:rowOff>
    </xdr:from>
    <xdr:to>
      <xdr:col>5</xdr:col>
      <xdr:colOff>47626</xdr:colOff>
      <xdr:row>88</xdr:row>
      <xdr:rowOff>2545</xdr:rowOff>
    </xdr:to>
    <xdr:sp macro="" textlink="">
      <xdr:nvSpPr>
        <xdr:cNvPr id="227" name="MC_BR_C_small_rates_worse_T_small_worse_rise">
          <a:extLst>
            <a:ext uri="{FF2B5EF4-FFF2-40B4-BE49-F238E27FC236}">
              <a16:creationId xmlns:a16="http://schemas.microsoft.com/office/drawing/2014/main" id="{37EEEBBE-D821-F207-DD80-E2759630CE5D}"/>
            </a:ext>
          </a:extLst>
        </xdr:cNvPr>
        <xdr:cNvSpPr/>
      </xdr:nvSpPr>
      <xdr:spPr>
        <a:xfrm>
          <a:off x="8452445" y="16319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85</xdr:row>
      <xdr:rowOff>99250</xdr:rowOff>
    </xdr:from>
    <xdr:ext cx="557140" cy="182550"/>
    <xdr:sp macro="_xll.MC_OnBranchLabelClick" textlink="">
      <xdr:nvSpPr>
        <xdr:cNvPr id="228" name="MC_BN_C_small_rates_worse_T_small_worse_rise">
          <a:extLst>
            <a:ext uri="{FF2B5EF4-FFF2-40B4-BE49-F238E27FC236}">
              <a16:creationId xmlns:a16="http://schemas.microsoft.com/office/drawing/2014/main" id="{AFB4610C-EC65-E193-18F4-9D0D45E26703}"/>
            </a:ext>
          </a:extLst>
        </xdr:cNvPr>
        <xdr:cNvSpPr txBox="1"/>
      </xdr:nvSpPr>
      <xdr:spPr>
        <a:xfrm>
          <a:off x="8654097" y="16234600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87</xdr:row>
      <xdr:rowOff>187956</xdr:rowOff>
    </xdr:from>
    <xdr:to>
      <xdr:col>5</xdr:col>
      <xdr:colOff>47626</xdr:colOff>
      <xdr:row>90</xdr:row>
      <xdr:rowOff>6351</xdr:rowOff>
    </xdr:to>
    <xdr:sp macro="" textlink="">
      <xdr:nvSpPr>
        <xdr:cNvPr id="229" name="MC_BR_C_small_rates_worse_T_small_worse_stable">
          <a:extLst>
            <a:ext uri="{FF2B5EF4-FFF2-40B4-BE49-F238E27FC236}">
              <a16:creationId xmlns:a16="http://schemas.microsoft.com/office/drawing/2014/main" id="{003648EF-53D7-C572-D45D-7BD177D719DF}"/>
            </a:ext>
          </a:extLst>
        </xdr:cNvPr>
        <xdr:cNvSpPr/>
      </xdr:nvSpPr>
      <xdr:spPr>
        <a:xfrm>
          <a:off x="8452445" y="16704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89</xdr:row>
      <xdr:rowOff>99250</xdr:rowOff>
    </xdr:from>
    <xdr:ext cx="642868" cy="182550"/>
    <xdr:sp macro="_xll.MC_OnBranchLabelClick" textlink="">
      <xdr:nvSpPr>
        <xdr:cNvPr id="230" name="MC_BN_C_small_rates_worse_T_small_worse_stable">
          <a:extLst>
            <a:ext uri="{FF2B5EF4-FFF2-40B4-BE49-F238E27FC236}">
              <a16:creationId xmlns:a16="http://schemas.microsoft.com/office/drawing/2014/main" id="{E3C3A6CC-286A-145B-9151-F97983624F95}"/>
            </a:ext>
          </a:extLst>
        </xdr:cNvPr>
        <xdr:cNvSpPr txBox="1"/>
      </xdr:nvSpPr>
      <xdr:spPr>
        <a:xfrm>
          <a:off x="8654097" y="16996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87</xdr:row>
      <xdr:rowOff>189143</xdr:rowOff>
    </xdr:from>
    <xdr:to>
      <xdr:col>5</xdr:col>
      <xdr:colOff>47626</xdr:colOff>
      <xdr:row>92</xdr:row>
      <xdr:rowOff>6351</xdr:rowOff>
    </xdr:to>
    <xdr:sp macro="" textlink="">
      <xdr:nvSpPr>
        <xdr:cNvPr id="231" name="MC_BR_C_small_rates_worse_T_small_worse_fall">
          <a:extLst>
            <a:ext uri="{FF2B5EF4-FFF2-40B4-BE49-F238E27FC236}">
              <a16:creationId xmlns:a16="http://schemas.microsoft.com/office/drawing/2014/main" id="{95D23907-9B54-52F4-07C3-30B25CBF8565}"/>
            </a:ext>
          </a:extLst>
        </xdr:cNvPr>
        <xdr:cNvSpPr/>
      </xdr:nvSpPr>
      <xdr:spPr>
        <a:xfrm>
          <a:off x="8452060" y="16705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91</xdr:row>
      <xdr:rowOff>99250</xdr:rowOff>
    </xdr:from>
    <xdr:ext cx="517193" cy="182550"/>
    <xdr:sp macro="_xll.MC_OnBranchLabelClick" textlink="">
      <xdr:nvSpPr>
        <xdr:cNvPr id="232" name="MC_BN_C_small_rates_worse_T_small_worse_fall">
          <a:extLst>
            <a:ext uri="{FF2B5EF4-FFF2-40B4-BE49-F238E27FC236}">
              <a16:creationId xmlns:a16="http://schemas.microsoft.com/office/drawing/2014/main" id="{3189A353-A56B-5A58-7431-7D8C898FABA8}"/>
            </a:ext>
          </a:extLst>
        </xdr:cNvPr>
        <xdr:cNvSpPr txBox="1"/>
      </xdr:nvSpPr>
      <xdr:spPr>
        <a:xfrm>
          <a:off x="8654097" y="17377600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93</xdr:row>
      <xdr:rowOff>184150</xdr:rowOff>
    </xdr:from>
    <xdr:to>
      <xdr:col>4</xdr:col>
      <xdr:colOff>47626</xdr:colOff>
      <xdr:row>96</xdr:row>
      <xdr:rowOff>2545</xdr:rowOff>
    </xdr:to>
    <xdr:sp macro="" textlink="">
      <xdr:nvSpPr>
        <xdr:cNvPr id="233" name="MC_BR_C_fund_mortality_T_fund_much_better">
          <a:extLst>
            <a:ext uri="{FF2B5EF4-FFF2-40B4-BE49-F238E27FC236}">
              <a16:creationId xmlns:a16="http://schemas.microsoft.com/office/drawing/2014/main" id="{CCE1BC85-D680-DE35-E982-2DF639F7F426}"/>
            </a:ext>
          </a:extLst>
        </xdr:cNvPr>
        <xdr:cNvSpPr/>
      </xdr:nvSpPr>
      <xdr:spPr>
        <a:xfrm>
          <a:off x="5975946" y="17843500"/>
          <a:ext cx="2439393" cy="389895"/>
        </a:xfrm>
        <a:custGeom>
          <a:avLst/>
          <a:gdLst/>
          <a:ahLst/>
          <a:cxnLst/>
          <a:rect l="0" t="0" r="0" b="0"/>
          <a:pathLst>
            <a:path w="243939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9392" y="0"/>
              </a:lnTo>
              <a:lnTo>
                <a:pt x="2439392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93</xdr:row>
      <xdr:rowOff>99250</xdr:rowOff>
    </xdr:from>
    <xdr:ext cx="1024832" cy="182550"/>
    <xdr:sp macro="_xll.MC_OnBranchLabelClick" textlink="">
      <xdr:nvSpPr>
        <xdr:cNvPr id="234" name="MC_BN_C_fund_mortality_T_fund_much_better">
          <a:extLst>
            <a:ext uri="{FF2B5EF4-FFF2-40B4-BE49-F238E27FC236}">
              <a16:creationId xmlns:a16="http://schemas.microsoft.com/office/drawing/2014/main" id="{165A73A2-A745-7CB1-14EB-D3300587E60C}"/>
            </a:ext>
          </a:extLst>
        </xdr:cNvPr>
        <xdr:cNvSpPr txBox="1"/>
      </xdr:nvSpPr>
      <xdr:spPr>
        <a:xfrm>
          <a:off x="6177597" y="17758600"/>
          <a:ext cx="10248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Mortality Much Better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95</xdr:row>
      <xdr:rowOff>187956</xdr:rowOff>
    </xdr:from>
    <xdr:to>
      <xdr:col>4</xdr:col>
      <xdr:colOff>47626</xdr:colOff>
      <xdr:row>98</xdr:row>
      <xdr:rowOff>6351</xdr:rowOff>
    </xdr:to>
    <xdr:sp macro="" textlink="">
      <xdr:nvSpPr>
        <xdr:cNvPr id="235" name="MC_BR_C_fund_mortality_T_fund_better">
          <a:extLst>
            <a:ext uri="{FF2B5EF4-FFF2-40B4-BE49-F238E27FC236}">
              <a16:creationId xmlns:a16="http://schemas.microsoft.com/office/drawing/2014/main" id="{B650D3D1-849C-C04B-D55D-1927EA9E05BD}"/>
            </a:ext>
          </a:extLst>
        </xdr:cNvPr>
        <xdr:cNvSpPr/>
      </xdr:nvSpPr>
      <xdr:spPr>
        <a:xfrm>
          <a:off x="5975946" y="18228306"/>
          <a:ext cx="2439393" cy="389895"/>
        </a:xfrm>
        <a:custGeom>
          <a:avLst/>
          <a:gdLst/>
          <a:ahLst/>
          <a:cxnLst/>
          <a:rect l="0" t="0" r="0" b="0"/>
          <a:pathLst>
            <a:path w="243939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439392" y="377194"/>
              </a:lnTo>
              <a:lnTo>
                <a:pt x="243939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97</xdr:row>
      <xdr:rowOff>99250</xdr:rowOff>
    </xdr:from>
    <xdr:ext cx="745397" cy="182550"/>
    <xdr:sp macro="_xll.MC_OnBranchLabelClick" textlink="">
      <xdr:nvSpPr>
        <xdr:cNvPr id="236" name="MC_BN_C_fund_mortality_T_fund_better">
          <a:extLst>
            <a:ext uri="{FF2B5EF4-FFF2-40B4-BE49-F238E27FC236}">
              <a16:creationId xmlns:a16="http://schemas.microsoft.com/office/drawing/2014/main" id="{C0C784A5-286B-AEC7-31BD-69F99DC1A1CB}"/>
            </a:ext>
          </a:extLst>
        </xdr:cNvPr>
        <xdr:cNvSpPr txBox="1"/>
      </xdr:nvSpPr>
      <xdr:spPr>
        <a:xfrm>
          <a:off x="6177597" y="18520600"/>
          <a:ext cx="74539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Mortality Better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95</xdr:row>
      <xdr:rowOff>189584</xdr:rowOff>
    </xdr:from>
    <xdr:to>
      <xdr:col>4</xdr:col>
      <xdr:colOff>47626</xdr:colOff>
      <xdr:row>102</xdr:row>
      <xdr:rowOff>6351</xdr:rowOff>
    </xdr:to>
    <xdr:sp macro="" textlink="">
      <xdr:nvSpPr>
        <xdr:cNvPr id="237" name="MC_BR_C_fund_mortality_C_fund_rates_exp">
          <a:extLst>
            <a:ext uri="{FF2B5EF4-FFF2-40B4-BE49-F238E27FC236}">
              <a16:creationId xmlns:a16="http://schemas.microsoft.com/office/drawing/2014/main" id="{9B1D4D9A-3962-13AC-17E4-D8B760B10254}"/>
            </a:ext>
          </a:extLst>
        </xdr:cNvPr>
        <xdr:cNvSpPr/>
      </xdr:nvSpPr>
      <xdr:spPr>
        <a:xfrm>
          <a:off x="5975480" y="18229934"/>
          <a:ext cx="2439859" cy="1150267"/>
        </a:xfrm>
        <a:custGeom>
          <a:avLst/>
          <a:gdLst/>
          <a:ahLst/>
          <a:cxnLst/>
          <a:rect l="0" t="0" r="0" b="0"/>
          <a:pathLst>
            <a:path w="2439859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439858" y="1137566"/>
              </a:lnTo>
              <a:lnTo>
                <a:pt x="2439858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101</xdr:row>
      <xdr:rowOff>99250</xdr:rowOff>
    </xdr:from>
    <xdr:ext cx="1047659" cy="182550"/>
    <xdr:sp macro="_xll.MC_OnBranchLabelClick" textlink="">
      <xdr:nvSpPr>
        <xdr:cNvPr id="238" name="MC_BN_C_fund_mortality_C_fund_rates_exp">
          <a:extLst>
            <a:ext uri="{FF2B5EF4-FFF2-40B4-BE49-F238E27FC236}">
              <a16:creationId xmlns:a16="http://schemas.microsoft.com/office/drawing/2014/main" id="{5DB8EF16-EE70-6633-C367-5D6902DC080C}"/>
            </a:ext>
          </a:extLst>
        </xdr:cNvPr>
        <xdr:cNvSpPr txBox="1"/>
      </xdr:nvSpPr>
      <xdr:spPr>
        <a:xfrm>
          <a:off x="6177597" y="19282600"/>
          <a:ext cx="104765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Mortality As Expected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84217</xdr:colOff>
      <xdr:row>95</xdr:row>
      <xdr:rowOff>190038</xdr:rowOff>
    </xdr:from>
    <xdr:to>
      <xdr:col>4</xdr:col>
      <xdr:colOff>47626</xdr:colOff>
      <xdr:row>108</xdr:row>
      <xdr:rowOff>6351</xdr:rowOff>
    </xdr:to>
    <xdr:sp macro="" textlink="">
      <xdr:nvSpPr>
        <xdr:cNvPr id="239" name="MC_BR_C_fund_mortality_T_fund_worse">
          <a:extLst>
            <a:ext uri="{FF2B5EF4-FFF2-40B4-BE49-F238E27FC236}">
              <a16:creationId xmlns:a16="http://schemas.microsoft.com/office/drawing/2014/main" id="{ADA4032C-81E1-7753-30D5-E917D4ED0338}"/>
            </a:ext>
          </a:extLst>
        </xdr:cNvPr>
        <xdr:cNvSpPr/>
      </xdr:nvSpPr>
      <xdr:spPr>
        <a:xfrm>
          <a:off x="5975430" y="18230388"/>
          <a:ext cx="2439909" cy="2292813"/>
        </a:xfrm>
        <a:custGeom>
          <a:avLst/>
          <a:gdLst/>
          <a:ahLst/>
          <a:cxnLst/>
          <a:rect l="0" t="0" r="0" b="0"/>
          <a:pathLst>
            <a:path w="2439909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439908" y="2280112"/>
              </a:lnTo>
              <a:lnTo>
                <a:pt x="2439908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107</xdr:row>
      <xdr:rowOff>99250</xdr:rowOff>
    </xdr:from>
    <xdr:ext cx="768031" cy="182550"/>
    <xdr:sp macro="_xll.MC_OnBranchLabelClick" textlink="">
      <xdr:nvSpPr>
        <xdr:cNvPr id="240" name="MC_BN_C_fund_mortality_T_fund_worse">
          <a:extLst>
            <a:ext uri="{FF2B5EF4-FFF2-40B4-BE49-F238E27FC236}">
              <a16:creationId xmlns:a16="http://schemas.microsoft.com/office/drawing/2014/main" id="{7B0CC6A1-CD2F-B0A6-CC52-22F452B8F878}"/>
            </a:ext>
          </a:extLst>
        </xdr:cNvPr>
        <xdr:cNvSpPr txBox="1"/>
      </xdr:nvSpPr>
      <xdr:spPr>
        <a:xfrm>
          <a:off x="6177597" y="20425600"/>
          <a:ext cx="7680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Mortality Worse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99</xdr:row>
      <xdr:rowOff>184150</xdr:rowOff>
    </xdr:from>
    <xdr:to>
      <xdr:col>5</xdr:col>
      <xdr:colOff>47626</xdr:colOff>
      <xdr:row>102</xdr:row>
      <xdr:rowOff>2545</xdr:rowOff>
    </xdr:to>
    <xdr:sp macro="" textlink="">
      <xdr:nvSpPr>
        <xdr:cNvPr id="241" name="MC_BR_C_fund_rates_exp_T_fund_exp_rise">
          <a:extLst>
            <a:ext uri="{FF2B5EF4-FFF2-40B4-BE49-F238E27FC236}">
              <a16:creationId xmlns:a16="http://schemas.microsoft.com/office/drawing/2014/main" id="{9E86DADC-C4FE-E893-9B22-512B17F940BF}"/>
            </a:ext>
          </a:extLst>
        </xdr:cNvPr>
        <xdr:cNvSpPr/>
      </xdr:nvSpPr>
      <xdr:spPr>
        <a:xfrm>
          <a:off x="8452445" y="18986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99</xdr:row>
      <xdr:rowOff>99250</xdr:rowOff>
    </xdr:from>
    <xdr:ext cx="557140" cy="182550"/>
    <xdr:sp macro="_xll.MC_OnBranchLabelClick" textlink="">
      <xdr:nvSpPr>
        <xdr:cNvPr id="242" name="MC_BN_C_fund_rates_exp_T_fund_exp_rise">
          <a:extLst>
            <a:ext uri="{FF2B5EF4-FFF2-40B4-BE49-F238E27FC236}">
              <a16:creationId xmlns:a16="http://schemas.microsoft.com/office/drawing/2014/main" id="{94C00B5B-0981-45FD-CBDE-4DDAC4B9A60B}"/>
            </a:ext>
          </a:extLst>
        </xdr:cNvPr>
        <xdr:cNvSpPr txBox="1"/>
      </xdr:nvSpPr>
      <xdr:spPr>
        <a:xfrm>
          <a:off x="8654097" y="18901600"/>
          <a:ext cx="5571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Rise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101</xdr:row>
      <xdr:rowOff>187956</xdr:rowOff>
    </xdr:from>
    <xdr:to>
      <xdr:col>5</xdr:col>
      <xdr:colOff>47626</xdr:colOff>
      <xdr:row>104</xdr:row>
      <xdr:rowOff>6351</xdr:rowOff>
    </xdr:to>
    <xdr:sp macro="" textlink="">
      <xdr:nvSpPr>
        <xdr:cNvPr id="243" name="MC_BR_C_fund_rates_exp_T_fund_exp_stable">
          <a:extLst>
            <a:ext uri="{FF2B5EF4-FFF2-40B4-BE49-F238E27FC236}">
              <a16:creationId xmlns:a16="http://schemas.microsoft.com/office/drawing/2014/main" id="{5B12136C-1EB4-1AE0-E127-43BF12A437CF}"/>
            </a:ext>
          </a:extLst>
        </xdr:cNvPr>
        <xdr:cNvSpPr/>
      </xdr:nvSpPr>
      <xdr:spPr>
        <a:xfrm>
          <a:off x="8452445" y="19371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103</xdr:row>
      <xdr:rowOff>99250</xdr:rowOff>
    </xdr:from>
    <xdr:ext cx="642868" cy="182550"/>
    <xdr:sp macro="_xll.MC_OnBranchLabelClick" textlink="">
      <xdr:nvSpPr>
        <xdr:cNvPr id="244" name="MC_BN_C_fund_rates_exp_T_fund_exp_stable">
          <a:extLst>
            <a:ext uri="{FF2B5EF4-FFF2-40B4-BE49-F238E27FC236}">
              <a16:creationId xmlns:a16="http://schemas.microsoft.com/office/drawing/2014/main" id="{4CFC91A0-8EB0-1D27-6058-9A5BCA566216}"/>
            </a:ext>
          </a:extLst>
        </xdr:cNvPr>
        <xdr:cNvSpPr txBox="1"/>
      </xdr:nvSpPr>
      <xdr:spPr>
        <a:xfrm>
          <a:off x="8654097" y="19663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101</xdr:row>
      <xdr:rowOff>189143</xdr:rowOff>
    </xdr:from>
    <xdr:to>
      <xdr:col>5</xdr:col>
      <xdr:colOff>47626</xdr:colOff>
      <xdr:row>106</xdr:row>
      <xdr:rowOff>6351</xdr:rowOff>
    </xdr:to>
    <xdr:sp macro="" textlink="">
      <xdr:nvSpPr>
        <xdr:cNvPr id="245" name="MC_BR_C_fund_rates_exp_T_fund_exp_fall">
          <a:extLst>
            <a:ext uri="{FF2B5EF4-FFF2-40B4-BE49-F238E27FC236}">
              <a16:creationId xmlns:a16="http://schemas.microsoft.com/office/drawing/2014/main" id="{5C8BAFB1-C40F-729C-634C-29D125D307BD}"/>
            </a:ext>
          </a:extLst>
        </xdr:cNvPr>
        <xdr:cNvSpPr/>
      </xdr:nvSpPr>
      <xdr:spPr>
        <a:xfrm>
          <a:off x="8452060" y="19372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105</xdr:row>
      <xdr:rowOff>99250</xdr:rowOff>
    </xdr:from>
    <xdr:ext cx="517193" cy="182550"/>
    <xdr:sp macro="_xll.MC_OnBranchLabelClick" textlink="">
      <xdr:nvSpPr>
        <xdr:cNvPr id="246" name="MC_BN_C_fund_rates_exp_T_fund_exp_fall">
          <a:extLst>
            <a:ext uri="{FF2B5EF4-FFF2-40B4-BE49-F238E27FC236}">
              <a16:creationId xmlns:a16="http://schemas.microsoft.com/office/drawing/2014/main" id="{A7B5BC9C-B48F-D500-D4D4-B45D78BDE237}"/>
            </a:ext>
          </a:extLst>
        </xdr:cNvPr>
        <xdr:cNvSpPr txBox="1"/>
      </xdr:nvSpPr>
      <xdr:spPr>
        <a:xfrm>
          <a:off x="8654097" y="20044600"/>
          <a:ext cx="5171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Rates Fall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4763</xdr:colOff>
      <xdr:row>19</xdr:row>
      <xdr:rowOff>109537</xdr:rowOff>
    </xdr:from>
    <xdr:to>
      <xdr:col>7</xdr:col>
      <xdr:colOff>176213</xdr:colOff>
      <xdr:row>20</xdr:row>
      <xdr:rowOff>80962</xdr:rowOff>
    </xdr:to>
    <xdr:sp macro="_xll.MC_OnNodeClick" textlink="">
      <xdr:nvSpPr>
        <xdr:cNvPr id="247" name="MC_T_hold_rise_fav">
          <a:extLst>
            <a:ext uri="{FF2B5EF4-FFF2-40B4-BE49-F238E27FC236}">
              <a16:creationId xmlns:a16="http://schemas.microsoft.com/office/drawing/2014/main" id="{7B29EEEE-CE76-D73E-F8FB-82F7A35AEEB5}"/>
            </a:ext>
          </a:extLst>
        </xdr:cNvPr>
        <xdr:cNvSpPr/>
      </xdr:nvSpPr>
      <xdr:spPr>
        <a:xfrm rot="16200000">
          <a:off x="1591151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21</xdr:row>
      <xdr:rowOff>109538</xdr:rowOff>
    </xdr:from>
    <xdr:to>
      <xdr:col>6</xdr:col>
      <xdr:colOff>180975</xdr:colOff>
      <xdr:row>22</xdr:row>
      <xdr:rowOff>80963</xdr:rowOff>
    </xdr:to>
    <xdr:sp macro="_xll.MC_OnNodeClick" textlink="">
      <xdr:nvSpPr>
        <xdr:cNvPr id="248" name="MC_C_hold_reg">
          <a:extLst>
            <a:ext uri="{FF2B5EF4-FFF2-40B4-BE49-F238E27FC236}">
              <a16:creationId xmlns:a16="http://schemas.microsoft.com/office/drawing/2014/main" id="{4E709113-2B9C-63E0-A065-84D9FF0E0578}"/>
            </a:ext>
          </a:extLst>
        </xdr:cNvPr>
        <xdr:cNvSpPr/>
      </xdr:nvSpPr>
      <xdr:spPr>
        <a:xfrm>
          <a:off x="1383506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23</xdr:row>
      <xdr:rowOff>109537</xdr:rowOff>
    </xdr:from>
    <xdr:to>
      <xdr:col>7</xdr:col>
      <xdr:colOff>176213</xdr:colOff>
      <xdr:row>24</xdr:row>
      <xdr:rowOff>80962</xdr:rowOff>
    </xdr:to>
    <xdr:sp macro="_xll.MC_OnNodeClick" textlink="">
      <xdr:nvSpPr>
        <xdr:cNvPr id="249" name="MC_T_hold_rise_nc">
          <a:extLst>
            <a:ext uri="{FF2B5EF4-FFF2-40B4-BE49-F238E27FC236}">
              <a16:creationId xmlns:a16="http://schemas.microsoft.com/office/drawing/2014/main" id="{C96C6B3E-D8B5-0880-143B-216CF4FA0231}"/>
            </a:ext>
          </a:extLst>
        </xdr:cNvPr>
        <xdr:cNvSpPr/>
      </xdr:nvSpPr>
      <xdr:spPr>
        <a:xfrm rot="16200000">
          <a:off x="1591151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25</xdr:row>
      <xdr:rowOff>109537</xdr:rowOff>
    </xdr:from>
    <xdr:to>
      <xdr:col>7</xdr:col>
      <xdr:colOff>176213</xdr:colOff>
      <xdr:row>26</xdr:row>
      <xdr:rowOff>80962</xdr:rowOff>
    </xdr:to>
    <xdr:sp macro="_xll.MC_OnNodeClick" textlink="">
      <xdr:nvSpPr>
        <xdr:cNvPr id="250" name="MC_T_hold_rise_adv">
          <a:extLst>
            <a:ext uri="{FF2B5EF4-FFF2-40B4-BE49-F238E27FC236}">
              <a16:creationId xmlns:a16="http://schemas.microsoft.com/office/drawing/2014/main" id="{0F7CDAF9-E04E-D46E-3467-10EB31370E91}"/>
            </a:ext>
          </a:extLst>
        </xdr:cNvPr>
        <xdr:cNvSpPr/>
      </xdr:nvSpPr>
      <xdr:spPr>
        <a:xfrm rot="16200000">
          <a:off x="1591151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27</xdr:row>
      <xdr:rowOff>109538</xdr:rowOff>
    </xdr:from>
    <xdr:to>
      <xdr:col>5</xdr:col>
      <xdr:colOff>180975</xdr:colOff>
      <xdr:row>28</xdr:row>
      <xdr:rowOff>80963</xdr:rowOff>
    </xdr:to>
    <xdr:sp macro="_xll.MC_OnNodeClick" textlink="">
      <xdr:nvSpPr>
        <xdr:cNvPr id="251" name="MC_C_hold_rates">
          <a:extLst>
            <a:ext uri="{FF2B5EF4-FFF2-40B4-BE49-F238E27FC236}">
              <a16:creationId xmlns:a16="http://schemas.microsoft.com/office/drawing/2014/main" id="{CBFADEBE-1516-2E42-C029-184062BDB363}"/>
            </a:ext>
          </a:extLst>
        </xdr:cNvPr>
        <xdr:cNvSpPr/>
      </xdr:nvSpPr>
      <xdr:spPr>
        <a:xfrm>
          <a:off x="11363325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29</xdr:row>
      <xdr:rowOff>109537</xdr:rowOff>
    </xdr:from>
    <xdr:to>
      <xdr:col>6</xdr:col>
      <xdr:colOff>176213</xdr:colOff>
      <xdr:row>30</xdr:row>
      <xdr:rowOff>80962</xdr:rowOff>
    </xdr:to>
    <xdr:sp macro="_xll.MC_OnNodeClick" textlink="">
      <xdr:nvSpPr>
        <xdr:cNvPr id="252" name="MC_T_hold_stable">
          <a:extLst>
            <a:ext uri="{FF2B5EF4-FFF2-40B4-BE49-F238E27FC236}">
              <a16:creationId xmlns:a16="http://schemas.microsoft.com/office/drawing/2014/main" id="{70B9ABCF-F6D1-2007-28A2-58572893E53B}"/>
            </a:ext>
          </a:extLst>
        </xdr:cNvPr>
        <xdr:cNvSpPr/>
      </xdr:nvSpPr>
      <xdr:spPr>
        <a:xfrm rot="16200000">
          <a:off x="13835063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31</xdr:row>
      <xdr:rowOff>109537</xdr:rowOff>
    </xdr:from>
    <xdr:to>
      <xdr:col>6</xdr:col>
      <xdr:colOff>176213</xdr:colOff>
      <xdr:row>32</xdr:row>
      <xdr:rowOff>80962</xdr:rowOff>
    </xdr:to>
    <xdr:sp macro="_xll.MC_OnNodeClick" textlink="">
      <xdr:nvSpPr>
        <xdr:cNvPr id="253" name="MC_T_hold_fall">
          <a:extLst>
            <a:ext uri="{FF2B5EF4-FFF2-40B4-BE49-F238E27FC236}">
              <a16:creationId xmlns:a16="http://schemas.microsoft.com/office/drawing/2014/main" id="{E58872B5-DC0C-AE0F-B258-DD33FFC14B0B}"/>
            </a:ext>
          </a:extLst>
        </xdr:cNvPr>
        <xdr:cNvSpPr/>
      </xdr:nvSpPr>
      <xdr:spPr>
        <a:xfrm rot="16200000">
          <a:off x="13835063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33</xdr:row>
      <xdr:rowOff>109538</xdr:rowOff>
    </xdr:from>
    <xdr:to>
      <xdr:col>4</xdr:col>
      <xdr:colOff>180975</xdr:colOff>
      <xdr:row>34</xdr:row>
      <xdr:rowOff>80963</xdr:rowOff>
    </xdr:to>
    <xdr:sp macro="_xll.MC_OnNodeClick" textlink="">
      <xdr:nvSpPr>
        <xdr:cNvPr id="254" name="MC_D_large_hold_sell">
          <a:extLst>
            <a:ext uri="{FF2B5EF4-FFF2-40B4-BE49-F238E27FC236}">
              <a16:creationId xmlns:a16="http://schemas.microsoft.com/office/drawing/2014/main" id="{04E4D3D2-3BC0-4683-DAD6-66F9E05C90D6}"/>
            </a:ext>
          </a:extLst>
        </xdr:cNvPr>
        <xdr:cNvSpPr/>
      </xdr:nvSpPr>
      <xdr:spPr>
        <a:xfrm>
          <a:off x="8377238" y="6338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55" name="MC_T_large_sell_loss">
          <a:extLst>
            <a:ext uri="{FF2B5EF4-FFF2-40B4-BE49-F238E27FC236}">
              <a16:creationId xmlns:a16="http://schemas.microsoft.com/office/drawing/2014/main" id="{BC1F9F1E-13C4-51DE-0AB6-44E38ECC9854}"/>
            </a:ext>
          </a:extLst>
        </xdr:cNvPr>
        <xdr:cNvSpPr/>
      </xdr:nvSpPr>
      <xdr:spPr>
        <a:xfrm rot="16200000">
          <a:off x="11363325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37</xdr:row>
      <xdr:rowOff>109538</xdr:rowOff>
    </xdr:from>
    <xdr:to>
      <xdr:col>3</xdr:col>
      <xdr:colOff>180975</xdr:colOff>
      <xdr:row>38</xdr:row>
      <xdr:rowOff>80963</xdr:rowOff>
    </xdr:to>
    <xdr:sp macro="_xll.MC_OnNodeClick" textlink="">
      <xdr:nvSpPr>
        <xdr:cNvPr id="256" name="MC_C_large_mortality">
          <a:extLst>
            <a:ext uri="{FF2B5EF4-FFF2-40B4-BE49-F238E27FC236}">
              <a16:creationId xmlns:a16="http://schemas.microsoft.com/office/drawing/2014/main" id="{3044A7F2-F2E7-4DE0-4332-E5F0FDCFF1AA}"/>
            </a:ext>
          </a:extLst>
        </xdr:cNvPr>
        <xdr:cNvSpPr/>
      </xdr:nvSpPr>
      <xdr:spPr>
        <a:xfrm>
          <a:off x="5900738" y="710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39</xdr:row>
      <xdr:rowOff>109537</xdr:rowOff>
    </xdr:from>
    <xdr:to>
      <xdr:col>5</xdr:col>
      <xdr:colOff>176213</xdr:colOff>
      <xdr:row>40</xdr:row>
      <xdr:rowOff>80962</xdr:rowOff>
    </xdr:to>
    <xdr:sp macro="_xll.MC_OnNodeClick" textlink="">
      <xdr:nvSpPr>
        <xdr:cNvPr id="257" name="MC_T_large_better_rise">
          <a:extLst>
            <a:ext uri="{FF2B5EF4-FFF2-40B4-BE49-F238E27FC236}">
              <a16:creationId xmlns:a16="http://schemas.microsoft.com/office/drawing/2014/main" id="{A9C7F512-60C3-8000-E417-80BBFD896ECB}"/>
            </a:ext>
          </a:extLst>
        </xdr:cNvPr>
        <xdr:cNvSpPr/>
      </xdr:nvSpPr>
      <xdr:spPr>
        <a:xfrm rot="16200000">
          <a:off x="11363325" y="747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41</xdr:row>
      <xdr:rowOff>109538</xdr:rowOff>
    </xdr:from>
    <xdr:to>
      <xdr:col>4</xdr:col>
      <xdr:colOff>180975</xdr:colOff>
      <xdr:row>42</xdr:row>
      <xdr:rowOff>80963</xdr:rowOff>
    </xdr:to>
    <xdr:sp macro="_xll.MC_OnNodeClick" textlink="">
      <xdr:nvSpPr>
        <xdr:cNvPr id="258" name="MC_C_large_rates_better">
          <a:extLst>
            <a:ext uri="{FF2B5EF4-FFF2-40B4-BE49-F238E27FC236}">
              <a16:creationId xmlns:a16="http://schemas.microsoft.com/office/drawing/2014/main" id="{C0DAD3F0-B93D-583B-E14B-D45F5FACD16E}"/>
            </a:ext>
          </a:extLst>
        </xdr:cNvPr>
        <xdr:cNvSpPr/>
      </xdr:nvSpPr>
      <xdr:spPr>
        <a:xfrm>
          <a:off x="8377238" y="786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43</xdr:row>
      <xdr:rowOff>109537</xdr:rowOff>
    </xdr:from>
    <xdr:to>
      <xdr:col>5</xdr:col>
      <xdr:colOff>176213</xdr:colOff>
      <xdr:row>44</xdr:row>
      <xdr:rowOff>80962</xdr:rowOff>
    </xdr:to>
    <xdr:sp macro="_xll.MC_OnNodeClick" textlink="">
      <xdr:nvSpPr>
        <xdr:cNvPr id="259" name="MC_T_large_better_stable">
          <a:extLst>
            <a:ext uri="{FF2B5EF4-FFF2-40B4-BE49-F238E27FC236}">
              <a16:creationId xmlns:a16="http://schemas.microsoft.com/office/drawing/2014/main" id="{3B6D88C3-50F3-85B4-18DA-2D7C2A9B7D90}"/>
            </a:ext>
          </a:extLst>
        </xdr:cNvPr>
        <xdr:cNvSpPr/>
      </xdr:nvSpPr>
      <xdr:spPr>
        <a:xfrm rot="16200000">
          <a:off x="11363325" y="823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45</xdr:row>
      <xdr:rowOff>109537</xdr:rowOff>
    </xdr:from>
    <xdr:to>
      <xdr:col>5</xdr:col>
      <xdr:colOff>176213</xdr:colOff>
      <xdr:row>46</xdr:row>
      <xdr:rowOff>80962</xdr:rowOff>
    </xdr:to>
    <xdr:sp macro="_xll.MC_OnNodeClick" textlink="">
      <xdr:nvSpPr>
        <xdr:cNvPr id="260" name="MC_T_large_better_fall">
          <a:extLst>
            <a:ext uri="{FF2B5EF4-FFF2-40B4-BE49-F238E27FC236}">
              <a16:creationId xmlns:a16="http://schemas.microsoft.com/office/drawing/2014/main" id="{40F8C27E-615B-8129-C0A7-5B227F76BF94}"/>
            </a:ext>
          </a:extLst>
        </xdr:cNvPr>
        <xdr:cNvSpPr/>
      </xdr:nvSpPr>
      <xdr:spPr>
        <a:xfrm rot="16200000">
          <a:off x="11363325" y="862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261" name="MC_T_large_exp_rise">
          <a:extLst>
            <a:ext uri="{FF2B5EF4-FFF2-40B4-BE49-F238E27FC236}">
              <a16:creationId xmlns:a16="http://schemas.microsoft.com/office/drawing/2014/main" id="{D7AFD96C-80E9-7841-5EF6-6B9BBB94AD62}"/>
            </a:ext>
          </a:extLst>
        </xdr:cNvPr>
        <xdr:cNvSpPr/>
      </xdr:nvSpPr>
      <xdr:spPr>
        <a:xfrm rot="16200000">
          <a:off x="11363325" y="900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49</xdr:row>
      <xdr:rowOff>109538</xdr:rowOff>
    </xdr:from>
    <xdr:to>
      <xdr:col>4</xdr:col>
      <xdr:colOff>180975</xdr:colOff>
      <xdr:row>50</xdr:row>
      <xdr:rowOff>80963</xdr:rowOff>
    </xdr:to>
    <xdr:sp macro="_xll.MC_OnNodeClick" textlink="">
      <xdr:nvSpPr>
        <xdr:cNvPr id="262" name="MC_C_large_rates_exp">
          <a:extLst>
            <a:ext uri="{FF2B5EF4-FFF2-40B4-BE49-F238E27FC236}">
              <a16:creationId xmlns:a16="http://schemas.microsoft.com/office/drawing/2014/main" id="{E1880D17-BFB5-0E63-B285-71301E5AB013}"/>
            </a:ext>
          </a:extLst>
        </xdr:cNvPr>
        <xdr:cNvSpPr/>
      </xdr:nvSpPr>
      <xdr:spPr>
        <a:xfrm>
          <a:off x="8377238" y="9386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51</xdr:row>
      <xdr:rowOff>109537</xdr:rowOff>
    </xdr:from>
    <xdr:to>
      <xdr:col>5</xdr:col>
      <xdr:colOff>176213</xdr:colOff>
      <xdr:row>52</xdr:row>
      <xdr:rowOff>80962</xdr:rowOff>
    </xdr:to>
    <xdr:sp macro="_xll.MC_OnNodeClick" textlink="">
      <xdr:nvSpPr>
        <xdr:cNvPr id="263" name="MC_T_large_exp_stable">
          <a:extLst>
            <a:ext uri="{FF2B5EF4-FFF2-40B4-BE49-F238E27FC236}">
              <a16:creationId xmlns:a16="http://schemas.microsoft.com/office/drawing/2014/main" id="{579C8A96-7483-96BD-B190-0D8597D0CA43}"/>
            </a:ext>
          </a:extLst>
        </xdr:cNvPr>
        <xdr:cNvSpPr/>
      </xdr:nvSpPr>
      <xdr:spPr>
        <a:xfrm rot="16200000">
          <a:off x="11363325" y="976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264" name="MC_T_large_exp_fall">
          <a:extLst>
            <a:ext uri="{FF2B5EF4-FFF2-40B4-BE49-F238E27FC236}">
              <a16:creationId xmlns:a16="http://schemas.microsoft.com/office/drawing/2014/main" id="{390846D3-ECC9-9275-2D70-EA3F294E08B7}"/>
            </a:ext>
          </a:extLst>
        </xdr:cNvPr>
        <xdr:cNvSpPr/>
      </xdr:nvSpPr>
      <xdr:spPr>
        <a:xfrm rot="16200000">
          <a:off x="11363325" y="1014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55</xdr:row>
      <xdr:rowOff>109537</xdr:rowOff>
    </xdr:from>
    <xdr:to>
      <xdr:col>5</xdr:col>
      <xdr:colOff>176213</xdr:colOff>
      <xdr:row>56</xdr:row>
      <xdr:rowOff>80962</xdr:rowOff>
    </xdr:to>
    <xdr:sp macro="_xll.MC_OnNodeClick" textlink="">
      <xdr:nvSpPr>
        <xdr:cNvPr id="265" name="MC_T_large_worse_rise">
          <a:extLst>
            <a:ext uri="{FF2B5EF4-FFF2-40B4-BE49-F238E27FC236}">
              <a16:creationId xmlns:a16="http://schemas.microsoft.com/office/drawing/2014/main" id="{049F00CB-F105-9286-71A3-A8B53A4E5394}"/>
            </a:ext>
          </a:extLst>
        </xdr:cNvPr>
        <xdr:cNvSpPr/>
      </xdr:nvSpPr>
      <xdr:spPr>
        <a:xfrm rot="16200000">
          <a:off x="11363325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57</xdr:row>
      <xdr:rowOff>109538</xdr:rowOff>
    </xdr:from>
    <xdr:to>
      <xdr:col>4</xdr:col>
      <xdr:colOff>180975</xdr:colOff>
      <xdr:row>58</xdr:row>
      <xdr:rowOff>80963</xdr:rowOff>
    </xdr:to>
    <xdr:sp macro="_xll.MC_OnNodeClick" textlink="">
      <xdr:nvSpPr>
        <xdr:cNvPr id="266" name="MC_C_large_rates_worse">
          <a:extLst>
            <a:ext uri="{FF2B5EF4-FFF2-40B4-BE49-F238E27FC236}">
              <a16:creationId xmlns:a16="http://schemas.microsoft.com/office/drawing/2014/main" id="{9012F758-3D44-E751-E070-4E41B0CA2AFD}"/>
            </a:ext>
          </a:extLst>
        </xdr:cNvPr>
        <xdr:cNvSpPr/>
      </xdr:nvSpPr>
      <xdr:spPr>
        <a:xfrm>
          <a:off x="8377238" y="1091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67" name="MC_T_large_worse_stable">
          <a:extLst>
            <a:ext uri="{FF2B5EF4-FFF2-40B4-BE49-F238E27FC236}">
              <a16:creationId xmlns:a16="http://schemas.microsoft.com/office/drawing/2014/main" id="{3196E664-8D1B-A234-83D1-24C4A3C9B29D}"/>
            </a:ext>
          </a:extLst>
        </xdr:cNvPr>
        <xdr:cNvSpPr/>
      </xdr:nvSpPr>
      <xdr:spPr>
        <a:xfrm rot="16200000">
          <a:off x="11363325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61</xdr:row>
      <xdr:rowOff>109537</xdr:rowOff>
    </xdr:from>
    <xdr:to>
      <xdr:col>5</xdr:col>
      <xdr:colOff>176213</xdr:colOff>
      <xdr:row>62</xdr:row>
      <xdr:rowOff>80962</xdr:rowOff>
    </xdr:to>
    <xdr:sp macro="_xll.MC_OnNodeClick" textlink="">
      <xdr:nvSpPr>
        <xdr:cNvPr id="268" name="MC_T_large_worse_fall">
          <a:extLst>
            <a:ext uri="{FF2B5EF4-FFF2-40B4-BE49-F238E27FC236}">
              <a16:creationId xmlns:a16="http://schemas.microsoft.com/office/drawing/2014/main" id="{9C50CFED-792A-52C7-F59F-A9E2BABE6DBF}"/>
            </a:ext>
          </a:extLst>
        </xdr:cNvPr>
        <xdr:cNvSpPr/>
      </xdr:nvSpPr>
      <xdr:spPr>
        <a:xfrm rot="16200000">
          <a:off x="11363325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63</xdr:row>
      <xdr:rowOff>109538</xdr:rowOff>
    </xdr:from>
    <xdr:to>
      <xdr:col>2</xdr:col>
      <xdr:colOff>180975</xdr:colOff>
      <xdr:row>64</xdr:row>
      <xdr:rowOff>80963</xdr:rowOff>
    </xdr:to>
    <xdr:sp macro="_xll.MC_OnNodeClick" textlink="">
      <xdr:nvSpPr>
        <xdr:cNvPr id="269" name="MC_D_root">
          <a:extLst>
            <a:ext uri="{FF2B5EF4-FFF2-40B4-BE49-F238E27FC236}">
              <a16:creationId xmlns:a16="http://schemas.microsoft.com/office/drawing/2014/main" id="{D720A503-148B-5F74-E401-FDF31E559C1C}"/>
            </a:ext>
          </a:extLst>
        </xdr:cNvPr>
        <xdr:cNvSpPr/>
      </xdr:nvSpPr>
      <xdr:spPr>
        <a:xfrm>
          <a:off x="3343275" y="12053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65</xdr:row>
      <xdr:rowOff>109537</xdr:rowOff>
    </xdr:from>
    <xdr:to>
      <xdr:col>4</xdr:col>
      <xdr:colOff>176213</xdr:colOff>
      <xdr:row>66</xdr:row>
      <xdr:rowOff>80962</xdr:rowOff>
    </xdr:to>
    <xdr:sp macro="_xll.MC_OnNodeClick" textlink="">
      <xdr:nvSpPr>
        <xdr:cNvPr id="270" name="MC_T_small_much_better">
          <a:extLst>
            <a:ext uri="{FF2B5EF4-FFF2-40B4-BE49-F238E27FC236}">
              <a16:creationId xmlns:a16="http://schemas.microsoft.com/office/drawing/2014/main" id="{90ECE4BD-B133-5E91-6095-5043A27E0F9B}"/>
            </a:ext>
          </a:extLst>
        </xdr:cNvPr>
        <xdr:cNvSpPr/>
      </xdr:nvSpPr>
      <xdr:spPr>
        <a:xfrm rot="16200000">
          <a:off x="8377238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67</xdr:row>
      <xdr:rowOff>109538</xdr:rowOff>
    </xdr:from>
    <xdr:to>
      <xdr:col>3</xdr:col>
      <xdr:colOff>180975</xdr:colOff>
      <xdr:row>68</xdr:row>
      <xdr:rowOff>80963</xdr:rowOff>
    </xdr:to>
    <xdr:sp macro="_xll.MC_OnNodeClick" textlink="">
      <xdr:nvSpPr>
        <xdr:cNvPr id="271" name="MC_C_small_mortality">
          <a:extLst>
            <a:ext uri="{FF2B5EF4-FFF2-40B4-BE49-F238E27FC236}">
              <a16:creationId xmlns:a16="http://schemas.microsoft.com/office/drawing/2014/main" id="{CC621574-482D-804E-A16E-FBB5B5DB9C78}"/>
            </a:ext>
          </a:extLst>
        </xdr:cNvPr>
        <xdr:cNvSpPr/>
      </xdr:nvSpPr>
      <xdr:spPr>
        <a:xfrm>
          <a:off x="5900738" y="1281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72" name="MC_T_small_better_rise">
          <a:extLst>
            <a:ext uri="{FF2B5EF4-FFF2-40B4-BE49-F238E27FC236}">
              <a16:creationId xmlns:a16="http://schemas.microsoft.com/office/drawing/2014/main" id="{5C26526B-13D0-9C8B-8F59-A29D049E5F1A}"/>
            </a:ext>
          </a:extLst>
        </xdr:cNvPr>
        <xdr:cNvSpPr/>
      </xdr:nvSpPr>
      <xdr:spPr>
        <a:xfrm rot="16200000">
          <a:off x="11363325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71</xdr:row>
      <xdr:rowOff>109538</xdr:rowOff>
    </xdr:from>
    <xdr:to>
      <xdr:col>4</xdr:col>
      <xdr:colOff>180975</xdr:colOff>
      <xdr:row>72</xdr:row>
      <xdr:rowOff>80963</xdr:rowOff>
    </xdr:to>
    <xdr:sp macro="_xll.MC_OnNodeClick" textlink="">
      <xdr:nvSpPr>
        <xdr:cNvPr id="273" name="MC_C_small_rates_better">
          <a:extLst>
            <a:ext uri="{FF2B5EF4-FFF2-40B4-BE49-F238E27FC236}">
              <a16:creationId xmlns:a16="http://schemas.microsoft.com/office/drawing/2014/main" id="{0FB5AE58-CF7D-E90F-C9B5-D4AF8233BF19}"/>
            </a:ext>
          </a:extLst>
        </xdr:cNvPr>
        <xdr:cNvSpPr/>
      </xdr:nvSpPr>
      <xdr:spPr>
        <a:xfrm>
          <a:off x="8377238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74" name="MC_T_small_better_stable">
          <a:extLst>
            <a:ext uri="{FF2B5EF4-FFF2-40B4-BE49-F238E27FC236}">
              <a16:creationId xmlns:a16="http://schemas.microsoft.com/office/drawing/2014/main" id="{0A7DE5A1-DD16-1C82-E187-BD38DDE0F6DB}"/>
            </a:ext>
          </a:extLst>
        </xdr:cNvPr>
        <xdr:cNvSpPr/>
      </xdr:nvSpPr>
      <xdr:spPr>
        <a:xfrm rot="16200000">
          <a:off x="11363325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75" name="MC_T_small_better_fall">
          <a:extLst>
            <a:ext uri="{FF2B5EF4-FFF2-40B4-BE49-F238E27FC236}">
              <a16:creationId xmlns:a16="http://schemas.microsoft.com/office/drawing/2014/main" id="{408C8BAF-A164-4DD0-E05E-6AA99CE4CBAC}"/>
            </a:ext>
          </a:extLst>
        </xdr:cNvPr>
        <xdr:cNvSpPr/>
      </xdr:nvSpPr>
      <xdr:spPr>
        <a:xfrm rot="16200000">
          <a:off x="11363325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77</xdr:row>
      <xdr:rowOff>109537</xdr:rowOff>
    </xdr:from>
    <xdr:to>
      <xdr:col>5</xdr:col>
      <xdr:colOff>176213</xdr:colOff>
      <xdr:row>78</xdr:row>
      <xdr:rowOff>80962</xdr:rowOff>
    </xdr:to>
    <xdr:sp macro="_xll.MC_OnNodeClick" textlink="">
      <xdr:nvSpPr>
        <xdr:cNvPr id="276" name="MC_T_small_exp_rise">
          <a:extLst>
            <a:ext uri="{FF2B5EF4-FFF2-40B4-BE49-F238E27FC236}">
              <a16:creationId xmlns:a16="http://schemas.microsoft.com/office/drawing/2014/main" id="{B9E59019-AA54-5E78-7EB7-D6B7C920F149}"/>
            </a:ext>
          </a:extLst>
        </xdr:cNvPr>
        <xdr:cNvSpPr/>
      </xdr:nvSpPr>
      <xdr:spPr>
        <a:xfrm rot="16200000">
          <a:off x="1136332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79</xdr:row>
      <xdr:rowOff>109538</xdr:rowOff>
    </xdr:from>
    <xdr:to>
      <xdr:col>4</xdr:col>
      <xdr:colOff>180975</xdr:colOff>
      <xdr:row>80</xdr:row>
      <xdr:rowOff>80963</xdr:rowOff>
    </xdr:to>
    <xdr:sp macro="_xll.MC_OnNodeClick" textlink="">
      <xdr:nvSpPr>
        <xdr:cNvPr id="277" name="MC_C_small_rates_exp">
          <a:extLst>
            <a:ext uri="{FF2B5EF4-FFF2-40B4-BE49-F238E27FC236}">
              <a16:creationId xmlns:a16="http://schemas.microsoft.com/office/drawing/2014/main" id="{41982222-A2CD-7F3D-11EB-83A649BF7ADE}"/>
            </a:ext>
          </a:extLst>
        </xdr:cNvPr>
        <xdr:cNvSpPr/>
      </xdr:nvSpPr>
      <xdr:spPr>
        <a:xfrm>
          <a:off x="8377238" y="1510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278" name="MC_T_small_exp_stable">
          <a:extLst>
            <a:ext uri="{FF2B5EF4-FFF2-40B4-BE49-F238E27FC236}">
              <a16:creationId xmlns:a16="http://schemas.microsoft.com/office/drawing/2014/main" id="{D84F8BFA-ABDA-F13C-FBE7-08FA85DCDD26}"/>
            </a:ext>
          </a:extLst>
        </xdr:cNvPr>
        <xdr:cNvSpPr/>
      </xdr:nvSpPr>
      <xdr:spPr>
        <a:xfrm rot="16200000">
          <a:off x="11363325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79" name="MC_T_small_exp_fall">
          <a:extLst>
            <a:ext uri="{FF2B5EF4-FFF2-40B4-BE49-F238E27FC236}">
              <a16:creationId xmlns:a16="http://schemas.microsoft.com/office/drawing/2014/main" id="{9EFEAAD0-F1BA-F0C6-754E-777073AE05C9}"/>
            </a:ext>
          </a:extLst>
        </xdr:cNvPr>
        <xdr:cNvSpPr/>
      </xdr:nvSpPr>
      <xdr:spPr>
        <a:xfrm rot="16200000">
          <a:off x="11363325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85</xdr:row>
      <xdr:rowOff>109537</xdr:rowOff>
    </xdr:from>
    <xdr:to>
      <xdr:col>5</xdr:col>
      <xdr:colOff>176213</xdr:colOff>
      <xdr:row>86</xdr:row>
      <xdr:rowOff>80962</xdr:rowOff>
    </xdr:to>
    <xdr:sp macro="_xll.MC_OnNodeClick" textlink="">
      <xdr:nvSpPr>
        <xdr:cNvPr id="280" name="MC_T_small_worse_rise">
          <a:extLst>
            <a:ext uri="{FF2B5EF4-FFF2-40B4-BE49-F238E27FC236}">
              <a16:creationId xmlns:a16="http://schemas.microsoft.com/office/drawing/2014/main" id="{F62EFB8A-5FB9-33A7-11E4-BA247803F343}"/>
            </a:ext>
          </a:extLst>
        </xdr:cNvPr>
        <xdr:cNvSpPr/>
      </xdr:nvSpPr>
      <xdr:spPr>
        <a:xfrm rot="16200000">
          <a:off x="11363325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87</xdr:row>
      <xdr:rowOff>109538</xdr:rowOff>
    </xdr:from>
    <xdr:to>
      <xdr:col>4</xdr:col>
      <xdr:colOff>180975</xdr:colOff>
      <xdr:row>88</xdr:row>
      <xdr:rowOff>80963</xdr:rowOff>
    </xdr:to>
    <xdr:sp macro="_xll.MC_OnNodeClick" textlink="">
      <xdr:nvSpPr>
        <xdr:cNvPr id="281" name="MC_C_small_rates_worse">
          <a:extLst>
            <a:ext uri="{FF2B5EF4-FFF2-40B4-BE49-F238E27FC236}">
              <a16:creationId xmlns:a16="http://schemas.microsoft.com/office/drawing/2014/main" id="{9BEB0D75-7B32-9E88-1EBA-66D0FBCB2D25}"/>
            </a:ext>
          </a:extLst>
        </xdr:cNvPr>
        <xdr:cNvSpPr/>
      </xdr:nvSpPr>
      <xdr:spPr>
        <a:xfrm>
          <a:off x="8377238" y="1662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89</xdr:row>
      <xdr:rowOff>109537</xdr:rowOff>
    </xdr:from>
    <xdr:to>
      <xdr:col>5</xdr:col>
      <xdr:colOff>176213</xdr:colOff>
      <xdr:row>90</xdr:row>
      <xdr:rowOff>80962</xdr:rowOff>
    </xdr:to>
    <xdr:sp macro="_xll.MC_OnNodeClick" textlink="">
      <xdr:nvSpPr>
        <xdr:cNvPr id="282" name="MC_T_small_worse_stable">
          <a:extLst>
            <a:ext uri="{FF2B5EF4-FFF2-40B4-BE49-F238E27FC236}">
              <a16:creationId xmlns:a16="http://schemas.microsoft.com/office/drawing/2014/main" id="{A14166F0-1D9D-8DA0-B178-B8EB0E201EE5}"/>
            </a:ext>
          </a:extLst>
        </xdr:cNvPr>
        <xdr:cNvSpPr/>
      </xdr:nvSpPr>
      <xdr:spPr>
        <a:xfrm rot="16200000">
          <a:off x="11363325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91</xdr:row>
      <xdr:rowOff>109537</xdr:rowOff>
    </xdr:from>
    <xdr:to>
      <xdr:col>5</xdr:col>
      <xdr:colOff>176213</xdr:colOff>
      <xdr:row>92</xdr:row>
      <xdr:rowOff>80962</xdr:rowOff>
    </xdr:to>
    <xdr:sp macro="_xll.MC_OnNodeClick" textlink="">
      <xdr:nvSpPr>
        <xdr:cNvPr id="283" name="MC_T_small_worse_fall">
          <a:extLst>
            <a:ext uri="{FF2B5EF4-FFF2-40B4-BE49-F238E27FC236}">
              <a16:creationId xmlns:a16="http://schemas.microsoft.com/office/drawing/2014/main" id="{80B21241-896D-99F5-9F7A-6659B328ABAB}"/>
            </a:ext>
          </a:extLst>
        </xdr:cNvPr>
        <xdr:cNvSpPr/>
      </xdr:nvSpPr>
      <xdr:spPr>
        <a:xfrm rot="16200000">
          <a:off x="11363325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93</xdr:row>
      <xdr:rowOff>109537</xdr:rowOff>
    </xdr:from>
    <xdr:to>
      <xdr:col>4</xdr:col>
      <xdr:colOff>176213</xdr:colOff>
      <xdr:row>94</xdr:row>
      <xdr:rowOff>80962</xdr:rowOff>
    </xdr:to>
    <xdr:sp macro="_xll.MC_OnNodeClick" textlink="">
      <xdr:nvSpPr>
        <xdr:cNvPr id="284" name="MC_T_fund_much_better">
          <a:extLst>
            <a:ext uri="{FF2B5EF4-FFF2-40B4-BE49-F238E27FC236}">
              <a16:creationId xmlns:a16="http://schemas.microsoft.com/office/drawing/2014/main" id="{05B95DCE-A2D5-158D-FF3D-4A98428ED8B0}"/>
            </a:ext>
          </a:extLst>
        </xdr:cNvPr>
        <xdr:cNvSpPr/>
      </xdr:nvSpPr>
      <xdr:spPr>
        <a:xfrm rot="16200000">
          <a:off x="8377238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95</xdr:row>
      <xdr:rowOff>109538</xdr:rowOff>
    </xdr:from>
    <xdr:to>
      <xdr:col>3</xdr:col>
      <xdr:colOff>180975</xdr:colOff>
      <xdr:row>96</xdr:row>
      <xdr:rowOff>80963</xdr:rowOff>
    </xdr:to>
    <xdr:sp macro="_xll.MC_OnNodeClick" textlink="">
      <xdr:nvSpPr>
        <xdr:cNvPr id="285" name="MC_C_fund_mortality">
          <a:extLst>
            <a:ext uri="{FF2B5EF4-FFF2-40B4-BE49-F238E27FC236}">
              <a16:creationId xmlns:a16="http://schemas.microsoft.com/office/drawing/2014/main" id="{BFE749E4-E4EF-A7AD-B6B8-6ECC53F179B6}"/>
            </a:ext>
          </a:extLst>
        </xdr:cNvPr>
        <xdr:cNvSpPr/>
      </xdr:nvSpPr>
      <xdr:spPr>
        <a:xfrm>
          <a:off x="5900738" y="1814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97</xdr:row>
      <xdr:rowOff>109537</xdr:rowOff>
    </xdr:from>
    <xdr:to>
      <xdr:col>4</xdr:col>
      <xdr:colOff>176213</xdr:colOff>
      <xdr:row>98</xdr:row>
      <xdr:rowOff>80962</xdr:rowOff>
    </xdr:to>
    <xdr:sp macro="_xll.MC_OnNodeClick" textlink="">
      <xdr:nvSpPr>
        <xdr:cNvPr id="286" name="MC_T_fund_better">
          <a:extLst>
            <a:ext uri="{FF2B5EF4-FFF2-40B4-BE49-F238E27FC236}">
              <a16:creationId xmlns:a16="http://schemas.microsoft.com/office/drawing/2014/main" id="{A8700F33-71E5-0720-C0C6-D5C7CEB6903B}"/>
            </a:ext>
          </a:extLst>
        </xdr:cNvPr>
        <xdr:cNvSpPr/>
      </xdr:nvSpPr>
      <xdr:spPr>
        <a:xfrm rot="16200000">
          <a:off x="8377238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99</xdr:row>
      <xdr:rowOff>109537</xdr:rowOff>
    </xdr:from>
    <xdr:to>
      <xdr:col>5</xdr:col>
      <xdr:colOff>176213</xdr:colOff>
      <xdr:row>100</xdr:row>
      <xdr:rowOff>80962</xdr:rowOff>
    </xdr:to>
    <xdr:sp macro="_xll.MC_OnNodeClick" textlink="">
      <xdr:nvSpPr>
        <xdr:cNvPr id="287" name="MC_T_fund_exp_rise">
          <a:extLst>
            <a:ext uri="{FF2B5EF4-FFF2-40B4-BE49-F238E27FC236}">
              <a16:creationId xmlns:a16="http://schemas.microsoft.com/office/drawing/2014/main" id="{61CA46F8-B430-61F6-A1B1-3E68585EDFEF}"/>
            </a:ext>
          </a:extLst>
        </xdr:cNvPr>
        <xdr:cNvSpPr/>
      </xdr:nvSpPr>
      <xdr:spPr>
        <a:xfrm rot="16200000">
          <a:off x="11363325" y="1890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101</xdr:row>
      <xdr:rowOff>109538</xdr:rowOff>
    </xdr:from>
    <xdr:to>
      <xdr:col>4</xdr:col>
      <xdr:colOff>180975</xdr:colOff>
      <xdr:row>102</xdr:row>
      <xdr:rowOff>80963</xdr:rowOff>
    </xdr:to>
    <xdr:sp macro="_xll.MC_OnNodeClick" textlink="">
      <xdr:nvSpPr>
        <xdr:cNvPr id="288" name="MC_C_fund_rates_exp">
          <a:extLst>
            <a:ext uri="{FF2B5EF4-FFF2-40B4-BE49-F238E27FC236}">
              <a16:creationId xmlns:a16="http://schemas.microsoft.com/office/drawing/2014/main" id="{FACF045C-F8C6-A710-D8D0-1A0AE36D5449}"/>
            </a:ext>
          </a:extLst>
        </xdr:cNvPr>
        <xdr:cNvSpPr/>
      </xdr:nvSpPr>
      <xdr:spPr>
        <a:xfrm>
          <a:off x="8377238" y="1929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103</xdr:row>
      <xdr:rowOff>109537</xdr:rowOff>
    </xdr:from>
    <xdr:to>
      <xdr:col>5</xdr:col>
      <xdr:colOff>176213</xdr:colOff>
      <xdr:row>104</xdr:row>
      <xdr:rowOff>80962</xdr:rowOff>
    </xdr:to>
    <xdr:sp macro="_xll.MC_OnNodeClick" textlink="">
      <xdr:nvSpPr>
        <xdr:cNvPr id="289" name="MC_T_fund_exp_stable">
          <a:extLst>
            <a:ext uri="{FF2B5EF4-FFF2-40B4-BE49-F238E27FC236}">
              <a16:creationId xmlns:a16="http://schemas.microsoft.com/office/drawing/2014/main" id="{C77E6FAA-BAAD-8E62-C514-3588611AAA24}"/>
            </a:ext>
          </a:extLst>
        </xdr:cNvPr>
        <xdr:cNvSpPr/>
      </xdr:nvSpPr>
      <xdr:spPr>
        <a:xfrm rot="16200000">
          <a:off x="11363325" y="1966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105</xdr:row>
      <xdr:rowOff>109537</xdr:rowOff>
    </xdr:from>
    <xdr:to>
      <xdr:col>5</xdr:col>
      <xdr:colOff>176213</xdr:colOff>
      <xdr:row>106</xdr:row>
      <xdr:rowOff>80962</xdr:rowOff>
    </xdr:to>
    <xdr:sp macro="_xll.MC_OnNodeClick" textlink="">
      <xdr:nvSpPr>
        <xdr:cNvPr id="290" name="MC_T_fund_exp_fall">
          <a:extLst>
            <a:ext uri="{FF2B5EF4-FFF2-40B4-BE49-F238E27FC236}">
              <a16:creationId xmlns:a16="http://schemas.microsoft.com/office/drawing/2014/main" id="{B93E12CA-9DC2-D728-1B53-CE4FF2C4F512}"/>
            </a:ext>
          </a:extLst>
        </xdr:cNvPr>
        <xdr:cNvSpPr/>
      </xdr:nvSpPr>
      <xdr:spPr>
        <a:xfrm rot="16200000">
          <a:off x="11363325" y="2005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107</xdr:row>
      <xdr:rowOff>109537</xdr:rowOff>
    </xdr:from>
    <xdr:to>
      <xdr:col>4</xdr:col>
      <xdr:colOff>176213</xdr:colOff>
      <xdr:row>108</xdr:row>
      <xdr:rowOff>80962</xdr:rowOff>
    </xdr:to>
    <xdr:sp macro="_xll.MC_OnNodeClick" textlink="">
      <xdr:nvSpPr>
        <xdr:cNvPr id="291" name="MC_T_fund_worse">
          <a:extLst>
            <a:ext uri="{FF2B5EF4-FFF2-40B4-BE49-F238E27FC236}">
              <a16:creationId xmlns:a16="http://schemas.microsoft.com/office/drawing/2014/main" id="{35051E5B-1C01-90C5-18F6-512F8CF0AD73}"/>
            </a:ext>
          </a:extLst>
        </xdr:cNvPr>
        <xdr:cNvSpPr/>
      </xdr:nvSpPr>
      <xdr:spPr>
        <a:xfrm rot="16200000">
          <a:off x="8377238" y="2043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109</xdr:row>
      <xdr:rowOff>109537</xdr:rowOff>
    </xdr:from>
    <xdr:to>
      <xdr:col>3</xdr:col>
      <xdr:colOff>176213</xdr:colOff>
      <xdr:row>110</xdr:row>
      <xdr:rowOff>80962</xdr:rowOff>
    </xdr:to>
    <xdr:sp macro="_xll.MC_OnNodeClick" textlink="">
      <xdr:nvSpPr>
        <xdr:cNvPr id="292" name="MC_T_no_invest">
          <a:extLst>
            <a:ext uri="{FF2B5EF4-FFF2-40B4-BE49-F238E27FC236}">
              <a16:creationId xmlns:a16="http://schemas.microsoft.com/office/drawing/2014/main" id="{15E15D11-A4F7-2EEB-EB23-DD03276A4EFA}"/>
            </a:ext>
          </a:extLst>
        </xdr:cNvPr>
        <xdr:cNvSpPr/>
      </xdr:nvSpPr>
      <xdr:spPr>
        <a:xfrm rot="16200000">
          <a:off x="5900738" y="2081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925A3-DD69-4A23-9E6F-C3A963E27F09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C7B29-42BE-45D4-B7D9-BE4D5A22C85E}">
  <dimension ref="A1:DL1"/>
  <sheetViews>
    <sheetView workbookViewId="0"/>
  </sheetViews>
  <sheetFormatPr defaultRowHeight="14.25" x14ac:dyDescent="0.45"/>
  <sheetData>
    <row r="1" spans="1:116" x14ac:dyDescent="0.45">
      <c r="A1">
        <f>MC_Tree_1!MC_BP_C_fund_mortality_T_fund_much_better</f>
        <v>0.15</v>
      </c>
      <c r="B1">
        <f>MC_Tree_1!MC_BV_C_fund_mortality_T_fund_much_better</f>
        <v>3000000</v>
      </c>
      <c r="C1">
        <f>MC_Tree_1!MC_BP_C_fund_mortality_T_fund_better</f>
        <v>0.25</v>
      </c>
      <c r="D1">
        <f>MC_Tree_1!MC_BV_C_fund_mortality_T_fund_better</f>
        <v>8000000</v>
      </c>
      <c r="E1">
        <f>MC_Tree_1!MC_BP_C_fund_mortality_C_fund_rates_exp</f>
        <v>0.35</v>
      </c>
      <c r="F1">
        <f>MC_Tree_1!MC_BV_C_fund_mortality_C_fund_rates_exp</f>
        <v>0</v>
      </c>
      <c r="G1">
        <f>MC_Tree_1!MC_BP_C_fund_mortality_T_fund_worse</f>
        <v>0.25</v>
      </c>
      <c r="H1">
        <f>MC_Tree_1!MC_BV_C_fund_mortality_T_fund_worse</f>
        <v>22000000</v>
      </c>
      <c r="I1">
        <f>MC_Tree_1!MC_BP_C_fund_rates_exp_T_fund_exp_rise</f>
        <v>0.35</v>
      </c>
      <c r="J1">
        <f>MC_Tree_1!MC_BV_C_fund_rates_exp_T_fund_exp_rise</f>
        <v>18000000</v>
      </c>
      <c r="K1">
        <f>MC_Tree_1!MC_BP_C_fund_rates_exp_T_fund_exp_stable</f>
        <v>0.4</v>
      </c>
      <c r="L1">
        <f>MC_Tree_1!MC_BV_C_fund_rates_exp_T_fund_exp_stable</f>
        <v>14000000</v>
      </c>
      <c r="M1">
        <f>MC_Tree_1!MC_BP_C_fund_rates_exp_T_fund_exp_fall</f>
        <v>0.25</v>
      </c>
      <c r="N1">
        <f>MC_Tree_1!MC_BV_C_fund_rates_exp_T_fund_exp_fall</f>
        <v>9000000</v>
      </c>
      <c r="O1">
        <f>MC_Tree_1!MC_BP_C_hold_rates_C_hold_reg</f>
        <v>0.35</v>
      </c>
      <c r="P1">
        <f>MC_Tree_1!MC_BV_C_hold_rates_C_hold_reg</f>
        <v>0</v>
      </c>
      <c r="Q1">
        <f>MC_Tree_1!MC_BP_C_hold_rates_T_hold_stable</f>
        <v>0.4</v>
      </c>
      <c r="R1">
        <f>MC_Tree_1!MC_BV_C_hold_rates_T_hold_stable</f>
        <v>50000000</v>
      </c>
      <c r="S1">
        <f>MC_Tree_1!MC_BP_C_hold_rates_T_hold_fall</f>
        <v>0.25</v>
      </c>
      <c r="T1">
        <f>MC_Tree_1!MC_BV_C_hold_rates_T_hold_fall</f>
        <v>-10000000</v>
      </c>
      <c r="U1">
        <f>MC_Tree_1!MC_BP_C_hold_reg_T_hold_rise_fav</f>
        <v>0.3</v>
      </c>
      <c r="V1">
        <f>MC_Tree_1!MC_BV_C_hold_reg_T_hold_rise_fav</f>
        <v>120000000</v>
      </c>
      <c r="W1">
        <f>MC_Tree_1!MC_BP_C_hold_reg_T_hold_rise_nc</f>
        <v>0.5</v>
      </c>
      <c r="X1">
        <f>MC_Tree_1!MC_BV_C_hold_reg_T_hold_rise_nc</f>
        <v>80000000</v>
      </c>
      <c r="Y1">
        <f>MC_Tree_1!MC_BP_C_hold_reg_T_hold_rise_adv</f>
        <v>0.2</v>
      </c>
      <c r="Z1">
        <f>MC_Tree_1!MC_BV_C_hold_reg_T_hold_rise_adv</f>
        <v>30000000</v>
      </c>
      <c r="AA1">
        <f>MC_Tree_1!MC_BP_C_large_mortality_D_large_hold_sell</f>
        <v>0.15</v>
      </c>
      <c r="AB1">
        <f>MC_Tree_1!MC_BV_C_large_mortality_D_large_hold_sell</f>
        <v>0</v>
      </c>
      <c r="AC1">
        <f>MC_Tree_1!MC_BP_C_large_mortality_C_large_rates_better</f>
        <v>0.25</v>
      </c>
      <c r="AD1">
        <f>MC_Tree_1!MC_BV_C_large_mortality_C_large_rates_better</f>
        <v>0</v>
      </c>
      <c r="AE1">
        <f>MC_Tree_1!MC_BP_C_large_mortality_C_large_rates_exp</f>
        <v>0.35</v>
      </c>
      <c r="AF1">
        <f>MC_Tree_1!MC_BV_C_large_mortality_C_large_rates_exp</f>
        <v>0</v>
      </c>
      <c r="AG1">
        <f>MC_Tree_1!MC_BP_C_large_mortality_C_large_rates_worse</f>
        <v>0.25</v>
      </c>
      <c r="AH1">
        <f>MC_Tree_1!MC_BV_C_large_mortality_C_large_rates_worse</f>
        <v>0</v>
      </c>
      <c r="AI1">
        <f>MC_Tree_1!MC_BP_C_large_rates_better_T_large_better_rise</f>
        <v>0.35</v>
      </c>
      <c r="AJ1">
        <f>MC_Tree_1!MC_BV_C_large_rates_better_T_large_better_rise</f>
        <v>180000000</v>
      </c>
      <c r="AK1">
        <f>MC_Tree_1!MC_BP_C_large_rates_better_T_large_better_stable</f>
        <v>0.4</v>
      </c>
      <c r="AL1">
        <f>MC_Tree_1!MC_BV_C_large_rates_better_T_large_better_stable</f>
        <v>140000000</v>
      </c>
      <c r="AM1">
        <f>MC_Tree_1!MC_BP_C_large_rates_better_T_large_better_fall</f>
        <v>0.25</v>
      </c>
      <c r="AN1">
        <f>MC_Tree_1!MC_BV_C_large_rates_better_T_large_better_fall</f>
        <v>100000000</v>
      </c>
      <c r="AO1">
        <f>MC_Tree_1!MC_BP_C_large_rates_exp_T_large_exp_rise</f>
        <v>0.35</v>
      </c>
      <c r="AP1">
        <f>MC_Tree_1!MC_BV_C_large_rates_exp_T_large_exp_rise</f>
        <v>320000000</v>
      </c>
      <c r="AQ1">
        <f>MC_Tree_1!MC_BP_C_large_rates_exp_T_large_exp_stable</f>
        <v>0.4</v>
      </c>
      <c r="AR1">
        <f>MC_Tree_1!MC_BV_C_large_rates_exp_T_large_exp_stable</f>
        <v>270000000</v>
      </c>
      <c r="AS1">
        <f>MC_Tree_1!MC_BP_C_large_rates_exp_T_large_exp_fall</f>
        <v>0.25</v>
      </c>
      <c r="AT1">
        <f>MC_Tree_1!MC_BV_C_large_rates_exp_T_large_exp_fall</f>
        <v>220000000</v>
      </c>
      <c r="AU1">
        <f>MC_Tree_1!MC_BP_C_large_rates_worse_T_large_worse_rise</f>
        <v>0.35</v>
      </c>
      <c r="AV1">
        <f>MC_Tree_1!MC_BV_C_large_rates_worse_T_large_worse_rise</f>
        <v>400000000</v>
      </c>
      <c r="AW1">
        <f>MC_Tree_1!MC_BP_C_large_rates_worse_T_large_worse_stable</f>
        <v>0.4</v>
      </c>
      <c r="AX1">
        <f>MC_Tree_1!MC_BV_C_large_rates_worse_T_large_worse_stable</f>
        <v>340000000</v>
      </c>
      <c r="AY1">
        <f>MC_Tree_1!MC_BP_C_large_rates_worse_T_large_worse_fall</f>
        <v>0.25</v>
      </c>
      <c r="AZ1">
        <f>MC_Tree_1!MC_BV_C_large_rates_worse_T_large_worse_fall</f>
        <v>280000000</v>
      </c>
      <c r="BA1">
        <f>MC_Tree_1!MC_BP_C_small_mortality_T_small_much_better</f>
        <v>0.15</v>
      </c>
      <c r="BB1">
        <f>MC_Tree_1!MC_BV_C_small_mortality_T_small_much_better</f>
        <v>15000000</v>
      </c>
      <c r="BC1">
        <f>MC_Tree_1!MC_BP_C_small_mortality_C_small_rates_better</f>
        <v>0.25</v>
      </c>
      <c r="BD1">
        <f>MC_Tree_1!MC_BV_C_small_mortality_C_small_rates_better</f>
        <v>0</v>
      </c>
      <c r="BE1">
        <f>MC_Tree_1!MC_BP_C_small_mortality_C_small_rates_exp</f>
        <v>0.35</v>
      </c>
      <c r="BF1">
        <f>MC_Tree_1!MC_BV_C_small_mortality_C_small_rates_exp</f>
        <v>0</v>
      </c>
      <c r="BG1">
        <f>MC_Tree_1!MC_BP_C_small_mortality_C_small_rates_worse</f>
        <v>0.25</v>
      </c>
      <c r="BH1">
        <f>MC_Tree_1!MC_BV_C_small_mortality_C_small_rates_worse</f>
        <v>0</v>
      </c>
      <c r="BI1">
        <f>MC_Tree_1!MC_BP_C_small_rates_better_T_small_better_rise</f>
        <v>0.35</v>
      </c>
      <c r="BJ1">
        <f>MC_Tree_1!MC_BV_C_small_rates_better_T_small_better_rise</f>
        <v>40000000</v>
      </c>
      <c r="BK1">
        <f>MC_Tree_1!MC_BP_C_small_rates_better_T_small_better_stable</f>
        <v>0.4</v>
      </c>
      <c r="BL1">
        <f>MC_Tree_1!MC_BV_C_small_rates_better_T_small_better_stable</f>
        <v>30000000</v>
      </c>
      <c r="BM1">
        <f>MC_Tree_1!MC_BP_C_small_rates_better_T_small_better_fall</f>
        <v>0.25</v>
      </c>
      <c r="BN1">
        <f>MC_Tree_1!MC_BV_C_small_rates_better_T_small_better_fall</f>
        <v>18000000</v>
      </c>
      <c r="BO1">
        <f>MC_Tree_1!MC_BP_C_small_rates_exp_T_small_exp_rise</f>
        <v>0.35</v>
      </c>
      <c r="BP1">
        <f>MC_Tree_1!MC_BV_C_small_rates_exp_T_small_exp_rise</f>
        <v>70000000</v>
      </c>
      <c r="BQ1">
        <f>MC_Tree_1!MC_BP_C_small_rates_exp_T_small_exp_stable</f>
        <v>0.4</v>
      </c>
      <c r="BR1">
        <f>MC_Tree_1!MC_BV_C_small_rates_exp_T_small_exp_stable</f>
        <v>55000000</v>
      </c>
      <c r="BS1">
        <f>MC_Tree_1!MC_BP_C_small_rates_exp_T_small_exp_fall</f>
        <v>0.25</v>
      </c>
      <c r="BT1">
        <f>MC_Tree_1!MC_BV_C_small_rates_exp_T_small_exp_fall</f>
        <v>40000000</v>
      </c>
      <c r="BU1">
        <f>MC_Tree_1!MC_BP_C_small_rates_worse_T_small_worse_rise</f>
        <v>0.35</v>
      </c>
      <c r="BV1">
        <f>MC_Tree_1!MC_BV_C_small_rates_worse_T_small_worse_rise</f>
        <v>85000000</v>
      </c>
      <c r="BW1">
        <f>MC_Tree_1!MC_BP_C_small_rates_worse_T_small_worse_stable</f>
        <v>0.4</v>
      </c>
      <c r="BX1">
        <f>MC_Tree_1!MC_BV_C_small_rates_worse_T_small_worse_stable</f>
        <v>70000000</v>
      </c>
      <c r="BY1">
        <f>MC_Tree_1!MC_BP_C_small_rates_worse_T_small_worse_fall</f>
        <v>0.25</v>
      </c>
      <c r="BZ1">
        <f>MC_Tree_1!MC_BV_C_small_rates_worse_T_small_worse_fall</f>
        <v>55000000</v>
      </c>
      <c r="CA1">
        <f>MC_Tree_1!MC_BV_D_large_hold_sell_C_hold_rates</f>
        <v>0</v>
      </c>
      <c r="CB1">
        <f>MC_Tree_1!MC_BV_D_large_hold_sell_T_large_sell_loss</f>
        <v>60000000</v>
      </c>
      <c r="CC1">
        <f>MC_Tree_1!MC_BV_D_root_C_large_mortality</f>
        <v>-200000000</v>
      </c>
      <c r="CD1">
        <f>MC_Tree_1!MC_BV_D_root_C_small_mortality</f>
        <v>-45000000</v>
      </c>
      <c r="CE1">
        <f>MC_Tree_1!MC_BV_D_root_C_fund_mortality</f>
        <v>-10000000</v>
      </c>
      <c r="CF1">
        <f>MC_Tree_1!MC_BV_D_root_T_no_invest</f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D2E3-2F3E-44C6-8FC7-BB6AE6937C59}">
  <dimension ref="B2:D55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25</v>
      </c>
    </row>
    <row r="3" spans="2:2" x14ac:dyDescent="0.45">
      <c r="B3" s="10" t="s">
        <v>26</v>
      </c>
    </row>
    <row r="5" spans="2:2" ht="15.75" x14ac:dyDescent="0.5">
      <c r="B5" s="15" t="s">
        <v>27</v>
      </c>
    </row>
    <row r="7" spans="2:2" x14ac:dyDescent="0.45">
      <c r="B7" t="s">
        <v>28</v>
      </c>
    </row>
    <row r="8" spans="2:2" x14ac:dyDescent="0.45">
      <c r="B8" t="s">
        <v>29</v>
      </c>
    </row>
    <row r="9" spans="2:2" x14ac:dyDescent="0.45">
      <c r="B9" t="s">
        <v>30</v>
      </c>
    </row>
    <row r="10" spans="2:2" x14ac:dyDescent="0.45">
      <c r="B10" t="s">
        <v>31</v>
      </c>
    </row>
    <row r="11" spans="2:2" x14ac:dyDescent="0.45">
      <c r="B11" t="s">
        <v>32</v>
      </c>
    </row>
    <row r="13" spans="2:2" x14ac:dyDescent="0.45">
      <c r="B13" s="8" t="s">
        <v>33</v>
      </c>
    </row>
    <row r="14" spans="2:2" x14ac:dyDescent="0.45">
      <c r="B14" t="s">
        <v>34</v>
      </c>
    </row>
    <row r="15" spans="2:2" x14ac:dyDescent="0.45">
      <c r="B15" t="s">
        <v>35</v>
      </c>
    </row>
    <row r="16" spans="2:2" x14ac:dyDescent="0.45">
      <c r="B16" t="s">
        <v>36</v>
      </c>
    </row>
    <row r="18" spans="2:2" x14ac:dyDescent="0.45">
      <c r="B18" s="8" t="s">
        <v>37</v>
      </c>
    </row>
    <row r="19" spans="2:2" x14ac:dyDescent="0.45">
      <c r="B19" t="s">
        <v>38</v>
      </c>
    </row>
    <row r="20" spans="2:2" x14ac:dyDescent="0.45">
      <c r="B20" t="s">
        <v>39</v>
      </c>
    </row>
    <row r="22" spans="2:2" x14ac:dyDescent="0.45">
      <c r="B22" s="8" t="s">
        <v>40</v>
      </c>
    </row>
    <row r="23" spans="2:2" x14ac:dyDescent="0.45">
      <c r="B23" t="s">
        <v>41</v>
      </c>
    </row>
    <row r="24" spans="2:2" x14ac:dyDescent="0.45">
      <c r="B24" t="s">
        <v>42</v>
      </c>
    </row>
    <row r="26" spans="2:2" x14ac:dyDescent="0.45">
      <c r="B26" s="8" t="s">
        <v>43</v>
      </c>
    </row>
    <row r="27" spans="2:2" x14ac:dyDescent="0.45">
      <c r="B27" t="s">
        <v>44</v>
      </c>
    </row>
    <row r="29" spans="2:2" ht="15.75" x14ac:dyDescent="0.5">
      <c r="B29" s="15" t="s">
        <v>45</v>
      </c>
    </row>
    <row r="31" spans="2:2" x14ac:dyDescent="0.45">
      <c r="B31" t="s">
        <v>46</v>
      </c>
    </row>
    <row r="32" spans="2:2" x14ac:dyDescent="0.45">
      <c r="B32" t="s">
        <v>47</v>
      </c>
    </row>
    <row r="33" spans="2:4" x14ac:dyDescent="0.45">
      <c r="B33" t="s">
        <v>48</v>
      </c>
    </row>
    <row r="36" spans="2:4" ht="15.75" x14ac:dyDescent="0.5">
      <c r="B36" s="15" t="s">
        <v>49</v>
      </c>
    </row>
    <row r="38" spans="2:4" x14ac:dyDescent="0.45">
      <c r="B38" s="11" t="s">
        <v>13</v>
      </c>
      <c r="C38" s="11" t="s">
        <v>14</v>
      </c>
      <c r="D38" s="11" t="s">
        <v>16</v>
      </c>
    </row>
    <row r="39" spans="2:4" x14ac:dyDescent="0.45">
      <c r="B39" s="12" t="s">
        <v>50</v>
      </c>
      <c r="C39" s="16">
        <v>200000000</v>
      </c>
      <c r="D39" s="12" t="s">
        <v>51</v>
      </c>
    </row>
    <row r="40" spans="2:4" x14ac:dyDescent="0.45">
      <c r="B40" s="12" t="s">
        <v>52</v>
      </c>
      <c r="C40" s="16">
        <v>45000000</v>
      </c>
      <c r="D40" s="12" t="s">
        <v>53</v>
      </c>
    </row>
    <row r="41" spans="2:4" x14ac:dyDescent="0.45">
      <c r="B41" s="12" t="s">
        <v>54</v>
      </c>
      <c r="C41" s="16">
        <v>10000000</v>
      </c>
      <c r="D41" s="12" t="s">
        <v>55</v>
      </c>
    </row>
    <row r="42" spans="2:4" x14ac:dyDescent="0.45">
      <c r="B42" s="12" t="s">
        <v>56</v>
      </c>
      <c r="C42" s="17">
        <v>0.15</v>
      </c>
      <c r="D42" s="12" t="s">
        <v>57</v>
      </c>
    </row>
    <row r="43" spans="2:4" x14ac:dyDescent="0.45">
      <c r="B43" s="12" t="s">
        <v>58</v>
      </c>
      <c r="C43" s="17">
        <v>0.25</v>
      </c>
      <c r="D43" s="12" t="s">
        <v>59</v>
      </c>
    </row>
    <row r="44" spans="2:4" x14ac:dyDescent="0.45">
      <c r="B44" s="12" t="s">
        <v>60</v>
      </c>
      <c r="C44" s="17">
        <v>0.35</v>
      </c>
      <c r="D44" s="12" t="s">
        <v>61</v>
      </c>
    </row>
    <row r="45" spans="2:4" x14ac:dyDescent="0.45">
      <c r="B45" s="12" t="s">
        <v>62</v>
      </c>
      <c r="C45" s="17">
        <v>0.25</v>
      </c>
      <c r="D45" s="12" t="s">
        <v>63</v>
      </c>
    </row>
    <row r="46" spans="2:4" x14ac:dyDescent="0.45">
      <c r="B46" s="12" t="s">
        <v>64</v>
      </c>
      <c r="C46" s="17">
        <v>0.35</v>
      </c>
      <c r="D46" s="12" t="s">
        <v>65</v>
      </c>
    </row>
    <row r="47" spans="2:4" x14ac:dyDescent="0.45">
      <c r="B47" s="12" t="s">
        <v>66</v>
      </c>
      <c r="C47" s="16">
        <v>120000000</v>
      </c>
      <c r="D47" s="12" t="s">
        <v>67</v>
      </c>
    </row>
    <row r="48" spans="2:4" x14ac:dyDescent="0.45">
      <c r="B48" s="12" t="s">
        <v>68</v>
      </c>
      <c r="C48" s="16">
        <v>-40000000</v>
      </c>
      <c r="D48" s="12" t="s">
        <v>69</v>
      </c>
    </row>
    <row r="51" spans="2:2" ht="15.75" x14ac:dyDescent="0.5">
      <c r="B51" s="15" t="s">
        <v>70</v>
      </c>
    </row>
    <row r="53" spans="2:2" x14ac:dyDescent="0.45">
      <c r="B53" t="s">
        <v>71</v>
      </c>
    </row>
    <row r="54" spans="2:2" x14ac:dyDescent="0.45">
      <c r="B54" t="s">
        <v>72</v>
      </c>
    </row>
    <row r="55" spans="2:2" x14ac:dyDescent="0.45">
      <c r="B55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B84C-F70C-4838-9579-0FD8B9FC0E4B}">
  <dimension ref="B2:H114"/>
  <sheetViews>
    <sheetView showGridLines="0" workbookViewId="0"/>
  </sheetViews>
  <sheetFormatPr defaultRowHeight="14.25" x14ac:dyDescent="0.45"/>
  <cols>
    <col min="1" max="1" width="8.59765625" customWidth="1"/>
    <col min="2" max="2" width="38.06640625" customWidth="1"/>
    <col min="3" max="3" width="35.796875" customWidth="1"/>
    <col min="4" max="4" width="34.6640625" customWidth="1"/>
    <col min="5" max="5" width="41.796875" customWidth="1"/>
    <col min="6" max="6" width="34.59765625" customWidth="1"/>
    <col min="7" max="7" width="29.06640625" customWidth="1"/>
    <col min="8" max="8" width="32.19921875" customWidth="1"/>
  </cols>
  <sheetData>
    <row r="2" spans="2:5" ht="15" customHeight="1" x14ac:dyDescent="0.55000000000000004">
      <c r="B2" s="9" t="s">
        <v>11</v>
      </c>
    </row>
    <row r="3" spans="2:5" ht="15" customHeight="1" x14ac:dyDescent="0.45">
      <c r="B3" s="10" t="s">
        <v>12</v>
      </c>
    </row>
    <row r="4" spans="2:5" ht="15" customHeight="1" x14ac:dyDescent="0.45"/>
    <row r="5" spans="2:5" ht="15" customHeight="1" x14ac:dyDescent="0.45">
      <c r="B5" s="11" t="s">
        <v>13</v>
      </c>
      <c r="C5" s="11" t="s">
        <v>14</v>
      </c>
      <c r="D5" s="11" t="s">
        <v>15</v>
      </c>
      <c r="E5" s="11" t="s">
        <v>16</v>
      </c>
    </row>
    <row r="6" spans="2:5" ht="15" customHeight="1" x14ac:dyDescent="0.45">
      <c r="B6" s="12" t="s">
        <v>17</v>
      </c>
      <c r="C6" s="13">
        <v>200000000</v>
      </c>
      <c r="D6" s="12" t="s">
        <v>18</v>
      </c>
      <c r="E6" s="12" t="s">
        <v>19</v>
      </c>
    </row>
    <row r="7" spans="2:5" ht="15" customHeight="1" x14ac:dyDescent="0.45">
      <c r="B7" s="12" t="s">
        <v>20</v>
      </c>
      <c r="C7" s="13">
        <v>45000000</v>
      </c>
      <c r="D7" s="12" t="s">
        <v>18</v>
      </c>
      <c r="E7" s="12" t="s">
        <v>19</v>
      </c>
    </row>
    <row r="8" spans="2:5" ht="15" customHeight="1" x14ac:dyDescent="0.45">
      <c r="B8" s="12" t="s">
        <v>21</v>
      </c>
      <c r="C8" s="13">
        <v>10000000</v>
      </c>
      <c r="D8" s="12" t="s">
        <v>18</v>
      </c>
      <c r="E8" s="12" t="s">
        <v>22</v>
      </c>
    </row>
    <row r="9" spans="2:5" ht="15" customHeight="1" x14ac:dyDescent="0.45">
      <c r="B9" s="12" t="s">
        <v>23</v>
      </c>
      <c r="C9" s="13">
        <v>60000000</v>
      </c>
      <c r="D9" s="12" t="s">
        <v>18</v>
      </c>
      <c r="E9" s="12" t="s">
        <v>24</v>
      </c>
    </row>
    <row r="10" spans="2:5" ht="15" customHeight="1" x14ac:dyDescent="0.45"/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5:8" ht="15" customHeight="1" x14ac:dyDescent="0.45">
      <c r="G20" s="5">
        <v>0.3</v>
      </c>
      <c r="H20" s="1">
        <f>_xll.MC_NodeProbability(_MC_Calc_1,"T_hold_rise_fav")</f>
        <v>1.575E-2</v>
      </c>
    </row>
    <row r="21" spans="5:8" ht="15" customHeight="1" x14ac:dyDescent="0.45">
      <c r="G21" s="7">
        <v>120000000</v>
      </c>
      <c r="H21" s="6">
        <f>_xll.MC_NodeValue(_MC_Calc_1,"T_hold_rise_fav")</f>
        <v>-80000000</v>
      </c>
    </row>
    <row r="22" spans="5:8" ht="15" customHeight="1" x14ac:dyDescent="0.45">
      <c r="F22" s="5">
        <v>0.35</v>
      </c>
      <c r="G22" s="2" t="s">
        <v>1</v>
      </c>
    </row>
    <row r="23" spans="5:8" ht="15" customHeight="1" x14ac:dyDescent="0.45">
      <c r="F23" s="7">
        <v>0</v>
      </c>
      <c r="G23" s="6">
        <f>_xll.MC_NodeValue(_MC_Calc_1,"C_hold_reg")</f>
        <v>-118000000</v>
      </c>
    </row>
    <row r="24" spans="5:8" ht="15" customHeight="1" x14ac:dyDescent="0.45">
      <c r="G24" s="5">
        <v>0.5</v>
      </c>
      <c r="H24" s="1">
        <f>_xll.MC_NodeProbability(_MC_Calc_1,"T_hold_rise_nc")</f>
        <v>2.6249999999999999E-2</v>
      </c>
    </row>
    <row r="25" spans="5:8" ht="15" customHeight="1" x14ac:dyDescent="0.45">
      <c r="G25" s="7">
        <v>80000000</v>
      </c>
      <c r="H25" s="6">
        <f>_xll.MC_NodeValue(_MC_Calc_1,"T_hold_rise_nc")</f>
        <v>-120000000</v>
      </c>
    </row>
    <row r="26" spans="5:8" ht="15" customHeight="1" x14ac:dyDescent="0.45">
      <c r="G26" s="5">
        <v>0.2</v>
      </c>
      <c r="H26" s="1">
        <f>_xll.MC_NodeProbability(_MC_Calc_1,"T_hold_rise_adv")</f>
        <v>1.0500000000000001E-2</v>
      </c>
    </row>
    <row r="27" spans="5:8" ht="15" customHeight="1" x14ac:dyDescent="0.45">
      <c r="G27" s="7">
        <v>30000000</v>
      </c>
      <c r="H27" s="6">
        <f>_xll.MC_NodeValue(_MC_Calc_1,"T_hold_rise_adv")</f>
        <v>-170000000</v>
      </c>
    </row>
    <row r="28" spans="5:8" ht="15" customHeight="1" x14ac:dyDescent="0.45">
      <c r="E28" s="4" t="str">
        <f>_xll.MC_NodeDecision(_MC_Calc_1,"C_hold_rates")</f>
        <v/>
      </c>
      <c r="F28" s="2" t="s">
        <v>2</v>
      </c>
    </row>
    <row r="29" spans="5:8" ht="15" customHeight="1" x14ac:dyDescent="0.45">
      <c r="E29" s="7">
        <v>0</v>
      </c>
      <c r="F29" s="6">
        <f>_xll.MC_NodeValue(_MC_Calc_1,"C_hold_rates")</f>
        <v>-153800000</v>
      </c>
    </row>
    <row r="30" spans="5:8" ht="15" customHeight="1" x14ac:dyDescent="0.45">
      <c r="F30" s="5">
        <v>0.4</v>
      </c>
      <c r="G30" s="1">
        <f>_xll.MC_NodeProbability(_MC_Calc_1,"T_hold_stable")</f>
        <v>0.06</v>
      </c>
    </row>
    <row r="31" spans="5:8" ht="15" customHeight="1" x14ac:dyDescent="0.45">
      <c r="F31" s="7">
        <v>50000000</v>
      </c>
      <c r="G31" s="6">
        <f>_xll.MC_NodeValue(_MC_Calc_1,"T_hold_stable")</f>
        <v>-150000000</v>
      </c>
    </row>
    <row r="32" spans="5:8" ht="15" customHeight="1" x14ac:dyDescent="0.45">
      <c r="F32" s="5">
        <v>0.25</v>
      </c>
      <c r="G32" s="1">
        <f>_xll.MC_NodeProbability(_MC_Calc_1,"T_hold_fall")</f>
        <v>3.7499999999999999E-2</v>
      </c>
    </row>
    <row r="33" spans="3:7" ht="15" customHeight="1" x14ac:dyDescent="0.45">
      <c r="F33" s="7">
        <v>-10000000</v>
      </c>
      <c r="G33" s="6">
        <f>_xll.MC_NodeValue(_MC_Calc_1,"T_hold_fall")</f>
        <v>-210000000</v>
      </c>
    </row>
    <row r="34" spans="3:7" ht="15" customHeight="1" x14ac:dyDescent="0.45">
      <c r="D34" s="5">
        <v>0.15</v>
      </c>
      <c r="E34" s="3" t="s">
        <v>3</v>
      </c>
    </row>
    <row r="35" spans="3:7" ht="15" customHeight="1" x14ac:dyDescent="0.45">
      <c r="D35" s="7">
        <v>0</v>
      </c>
      <c r="E35" s="6">
        <f>_xll.MC_NodeValue(_MC_Calc_1,"D_large_hold_sell")</f>
        <v>-140000000</v>
      </c>
    </row>
    <row r="36" spans="3:7" ht="15" customHeight="1" x14ac:dyDescent="0.45">
      <c r="E36" s="4" t="str">
        <f>_xll.MC_NodeDecision(_MC_Calc_1,"T_large_sell_loss")</f>
        <v>optimal</v>
      </c>
      <c r="F36" s="1">
        <f>_xll.MC_NodeProbability(_MC_Calc_1,"T_large_sell_loss")</f>
        <v>0.15</v>
      </c>
    </row>
    <row r="37" spans="3:7" ht="15" customHeight="1" x14ac:dyDescent="0.45">
      <c r="E37" s="7">
        <f>SellAtLossValue</f>
        <v>60000000</v>
      </c>
      <c r="F37" s="6">
        <f>_xll.MC_NodeValue(_MC_Calc_1,"T_large_sell_loss")</f>
        <v>-140000000</v>
      </c>
    </row>
    <row r="38" spans="3:7" ht="15" customHeight="1" x14ac:dyDescent="0.45">
      <c r="C38" s="4" t="str">
        <f>_xll.MC_NodeDecision(_MC_Calc_1,"C_large_mortality")</f>
        <v>optimal</v>
      </c>
      <c r="D38" s="2" t="s">
        <v>4</v>
      </c>
    </row>
    <row r="39" spans="3:7" ht="15" customHeight="1" x14ac:dyDescent="0.45">
      <c r="C39" s="7">
        <f>-BuyLargePortfolio1000Cost</f>
        <v>-200000000</v>
      </c>
      <c r="D39" s="6">
        <f>_xll.MC_NodeValue(_MC_Calc_1,"C_large_mortality")</f>
        <v>27750000</v>
      </c>
    </row>
    <row r="40" spans="3:7" ht="15" customHeight="1" x14ac:dyDescent="0.45">
      <c r="E40" s="5">
        <v>0.35</v>
      </c>
      <c r="F40" s="1">
        <f>_xll.MC_NodeProbability(_MC_Calc_1,"T_large_better_rise")</f>
        <v>8.7499999999999994E-2</v>
      </c>
    </row>
    <row r="41" spans="3:7" ht="15" customHeight="1" x14ac:dyDescent="0.45">
      <c r="E41" s="7">
        <v>180000000</v>
      </c>
      <c r="F41" s="6">
        <f>_xll.MC_NodeValue(_MC_Calc_1,"T_large_better_rise")</f>
        <v>-20000000</v>
      </c>
    </row>
    <row r="42" spans="3:7" ht="15" customHeight="1" x14ac:dyDescent="0.45">
      <c r="D42" s="5">
        <v>0.25</v>
      </c>
      <c r="E42" s="2" t="s">
        <v>5</v>
      </c>
    </row>
    <row r="43" spans="3:7" ht="15" customHeight="1" x14ac:dyDescent="0.45">
      <c r="D43" s="7">
        <v>0</v>
      </c>
      <c r="E43" s="6">
        <f>_xll.MC_NodeValue(_MC_Calc_1,"C_large_rates_better")</f>
        <v>-56000000</v>
      </c>
    </row>
    <row r="44" spans="3:7" ht="15" customHeight="1" x14ac:dyDescent="0.45">
      <c r="E44" s="5">
        <v>0.4</v>
      </c>
      <c r="F44" s="1">
        <f>_xll.MC_NodeProbability(_MC_Calc_1,"T_large_better_stable")</f>
        <v>0.1</v>
      </c>
    </row>
    <row r="45" spans="3:7" ht="15" customHeight="1" x14ac:dyDescent="0.45">
      <c r="E45" s="7">
        <v>140000000</v>
      </c>
      <c r="F45" s="6">
        <f>_xll.MC_NodeValue(_MC_Calc_1,"T_large_better_stable")</f>
        <v>-60000000</v>
      </c>
    </row>
    <row r="46" spans="3:7" ht="15" customHeight="1" x14ac:dyDescent="0.45">
      <c r="E46" s="5">
        <v>0.25</v>
      </c>
      <c r="F46" s="1">
        <f>_xll.MC_NodeProbability(_MC_Calc_1,"T_large_better_fall")</f>
        <v>6.25E-2</v>
      </c>
    </row>
    <row r="47" spans="3:7" ht="15" customHeight="1" x14ac:dyDescent="0.45">
      <c r="E47" s="7">
        <v>100000000</v>
      </c>
      <c r="F47" s="6">
        <f>_xll.MC_NodeValue(_MC_Calc_1,"T_large_better_fall")</f>
        <v>-100000000</v>
      </c>
    </row>
    <row r="48" spans="3:7" ht="15" customHeight="1" x14ac:dyDescent="0.45">
      <c r="E48" s="5">
        <v>0.35</v>
      </c>
      <c r="F48" s="1">
        <f>_xll.MC_NodeProbability(_MC_Calc_1,"T_large_exp_rise")</f>
        <v>0.12249999999999998</v>
      </c>
    </row>
    <row r="49" spans="3:6" ht="15" customHeight="1" x14ac:dyDescent="0.45">
      <c r="E49" s="7">
        <v>320000000</v>
      </c>
      <c r="F49" s="6">
        <f>_xll.MC_NodeValue(_MC_Calc_1,"T_large_exp_rise")</f>
        <v>120000000</v>
      </c>
    </row>
    <row r="50" spans="3:6" ht="15" customHeight="1" x14ac:dyDescent="0.45">
      <c r="D50" s="5">
        <v>0.35</v>
      </c>
      <c r="E50" s="2" t="s">
        <v>6</v>
      </c>
    </row>
    <row r="51" spans="3:6" ht="15" customHeight="1" x14ac:dyDescent="0.45">
      <c r="D51" s="7">
        <v>0</v>
      </c>
      <c r="E51" s="6">
        <f>_xll.MC_NodeValue(_MC_Calc_1,"C_large_rates_exp")</f>
        <v>75000000</v>
      </c>
    </row>
    <row r="52" spans="3:6" ht="15" customHeight="1" x14ac:dyDescent="0.45">
      <c r="E52" s="5">
        <v>0.4</v>
      </c>
      <c r="F52" s="1">
        <f>_xll.MC_NodeProbability(_MC_Calc_1,"T_large_exp_stable")</f>
        <v>0.13999999999999999</v>
      </c>
    </row>
    <row r="53" spans="3:6" ht="15" customHeight="1" x14ac:dyDescent="0.45">
      <c r="E53" s="7">
        <v>270000000</v>
      </c>
      <c r="F53" s="6">
        <f>_xll.MC_NodeValue(_MC_Calc_1,"T_large_exp_stable")</f>
        <v>70000000</v>
      </c>
    </row>
    <row r="54" spans="3:6" ht="15" customHeight="1" x14ac:dyDescent="0.45">
      <c r="E54" s="5">
        <v>0.25</v>
      </c>
      <c r="F54" s="1">
        <f>_xll.MC_NodeProbability(_MC_Calc_1,"T_large_exp_fall")</f>
        <v>8.7499999999999994E-2</v>
      </c>
    </row>
    <row r="55" spans="3:6" ht="15" customHeight="1" x14ac:dyDescent="0.45">
      <c r="E55" s="7">
        <v>220000000</v>
      </c>
      <c r="F55" s="6">
        <f>_xll.MC_NodeValue(_MC_Calc_1,"T_large_exp_fall")</f>
        <v>20000000</v>
      </c>
    </row>
    <row r="56" spans="3:6" ht="15" customHeight="1" x14ac:dyDescent="0.45">
      <c r="E56" s="5">
        <v>0.35</v>
      </c>
      <c r="F56" s="1">
        <f>_xll.MC_NodeProbability(_MC_Calc_1,"T_large_worse_rise")</f>
        <v>8.7499999999999994E-2</v>
      </c>
    </row>
    <row r="57" spans="3:6" ht="15" customHeight="1" x14ac:dyDescent="0.45">
      <c r="E57" s="7">
        <v>400000000</v>
      </c>
      <c r="F57" s="6">
        <f>_xll.MC_NodeValue(_MC_Calc_1,"T_large_worse_rise")</f>
        <v>200000000</v>
      </c>
    </row>
    <row r="58" spans="3:6" ht="15" customHeight="1" x14ac:dyDescent="0.45">
      <c r="D58" s="5">
        <v>0.25</v>
      </c>
      <c r="E58" s="2" t="s">
        <v>7</v>
      </c>
    </row>
    <row r="59" spans="3:6" ht="15" customHeight="1" x14ac:dyDescent="0.45">
      <c r="D59" s="7">
        <v>0</v>
      </c>
      <c r="E59" s="6">
        <f>_xll.MC_NodeValue(_MC_Calc_1,"C_large_rates_worse")</f>
        <v>146000000</v>
      </c>
    </row>
    <row r="60" spans="3:6" ht="15" customHeight="1" x14ac:dyDescent="0.45">
      <c r="E60" s="5">
        <v>0.4</v>
      </c>
      <c r="F60" s="1">
        <f>_xll.MC_NodeProbability(_MC_Calc_1,"T_large_worse_stable")</f>
        <v>0.1</v>
      </c>
    </row>
    <row r="61" spans="3:6" ht="15" customHeight="1" x14ac:dyDescent="0.45">
      <c r="E61" s="7">
        <v>340000000</v>
      </c>
      <c r="F61" s="6">
        <f>_xll.MC_NodeValue(_MC_Calc_1,"T_large_worse_stable")</f>
        <v>140000000</v>
      </c>
    </row>
    <row r="62" spans="3:6" ht="15" customHeight="1" x14ac:dyDescent="0.45">
      <c r="E62" s="5">
        <v>0.25</v>
      </c>
      <c r="F62" s="1">
        <f>_xll.MC_NodeProbability(_MC_Calc_1,"T_large_worse_fall")</f>
        <v>6.25E-2</v>
      </c>
    </row>
    <row r="63" spans="3:6" ht="15" customHeight="1" x14ac:dyDescent="0.45">
      <c r="E63" s="7">
        <v>280000000</v>
      </c>
      <c r="F63" s="6">
        <f>_xll.MC_NodeValue(_MC_Calc_1,"T_large_worse_fall")</f>
        <v>80000000</v>
      </c>
    </row>
    <row r="64" spans="3:6" ht="15" customHeight="1" x14ac:dyDescent="0.45">
      <c r="C64" s="3" t="s">
        <v>8</v>
      </c>
    </row>
    <row r="65" spans="3:6" ht="15" customHeight="1" x14ac:dyDescent="0.45">
      <c r="C65" s="6">
        <f>_xll.MC_NodeValue(_MC_Calc_1,"D_root")</f>
        <v>27750000</v>
      </c>
    </row>
    <row r="66" spans="3:6" ht="15" customHeight="1" x14ac:dyDescent="0.45">
      <c r="D66" s="5">
        <v>0.15</v>
      </c>
      <c r="E66" s="1">
        <f>_xll.MC_NodeProbability(_MC_Calc_1,"T_small_much_better")</f>
        <v>0.15</v>
      </c>
    </row>
    <row r="67" spans="3:6" ht="15" customHeight="1" x14ac:dyDescent="0.45">
      <c r="D67" s="7">
        <v>15000000</v>
      </c>
      <c r="E67" s="6">
        <f>_xll.MC_NodeValue(_MC_Calc_1,"T_small_much_better")</f>
        <v>-30000000</v>
      </c>
    </row>
    <row r="68" spans="3:6" ht="15" customHeight="1" x14ac:dyDescent="0.45">
      <c r="C68" s="4" t="str">
        <f>_xll.MC_NodeDecision(_MC_Calc_1,"C_small_mortality")</f>
        <v/>
      </c>
      <c r="D68" s="2" t="s">
        <v>4</v>
      </c>
    </row>
    <row r="69" spans="3:6" ht="15" customHeight="1" x14ac:dyDescent="0.45">
      <c r="C69" s="7">
        <f>-BuySmallPortfolio200Cost</f>
        <v>-45000000</v>
      </c>
      <c r="D69" s="6">
        <f>_xll.MC_NodeValue(_MC_Calc_1,"C_small_mortality")</f>
        <v>2524999.9999999995</v>
      </c>
    </row>
    <row r="70" spans="3:6" ht="15" customHeight="1" x14ac:dyDescent="0.45">
      <c r="E70" s="5">
        <v>0.35</v>
      </c>
      <c r="F70" s="1">
        <f>_xll.MC_NodeProbability(_MC_Calc_1,"T_small_better_rise")</f>
        <v>8.7499999999999994E-2</v>
      </c>
    </row>
    <row r="71" spans="3:6" ht="15" customHeight="1" x14ac:dyDescent="0.45">
      <c r="E71" s="7">
        <v>40000000</v>
      </c>
      <c r="F71" s="6">
        <f>_xll.MC_NodeValue(_MC_Calc_1,"T_small_better_rise")</f>
        <v>-5000000</v>
      </c>
    </row>
    <row r="72" spans="3:6" ht="15" customHeight="1" x14ac:dyDescent="0.45">
      <c r="D72" s="5">
        <v>0.25</v>
      </c>
      <c r="E72" s="2" t="s">
        <v>5</v>
      </c>
    </row>
    <row r="73" spans="3:6" ht="15" customHeight="1" x14ac:dyDescent="0.45">
      <c r="D73" s="7">
        <v>0</v>
      </c>
      <c r="E73" s="6">
        <f>_xll.MC_NodeValue(_MC_Calc_1,"C_small_rates_better")</f>
        <v>-14500000</v>
      </c>
    </row>
    <row r="74" spans="3:6" ht="15" customHeight="1" x14ac:dyDescent="0.45">
      <c r="E74" s="5">
        <v>0.4</v>
      </c>
      <c r="F74" s="1">
        <f>_xll.MC_NodeProbability(_MC_Calc_1,"T_small_better_stable")</f>
        <v>0.1</v>
      </c>
    </row>
    <row r="75" spans="3:6" ht="15" customHeight="1" x14ac:dyDescent="0.45">
      <c r="E75" s="7">
        <v>30000000</v>
      </c>
      <c r="F75" s="6">
        <f>_xll.MC_NodeValue(_MC_Calc_1,"T_small_better_stable")</f>
        <v>-15000000</v>
      </c>
    </row>
    <row r="76" spans="3:6" ht="15" customHeight="1" x14ac:dyDescent="0.45">
      <c r="E76" s="5">
        <v>0.25</v>
      </c>
      <c r="F76" s="1">
        <f>_xll.MC_NodeProbability(_MC_Calc_1,"T_small_better_fall")</f>
        <v>6.25E-2</v>
      </c>
    </row>
    <row r="77" spans="3:6" ht="15" customHeight="1" x14ac:dyDescent="0.45">
      <c r="E77" s="7">
        <v>18000000</v>
      </c>
      <c r="F77" s="6">
        <f>_xll.MC_NodeValue(_MC_Calc_1,"T_small_better_fall")</f>
        <v>-27000000</v>
      </c>
    </row>
    <row r="78" spans="3:6" ht="15" customHeight="1" x14ac:dyDescent="0.45">
      <c r="E78" s="5">
        <v>0.35</v>
      </c>
      <c r="F78" s="1">
        <f>_xll.MC_NodeProbability(_MC_Calc_1,"T_small_exp_rise")</f>
        <v>0.12249999999999998</v>
      </c>
    </row>
    <row r="79" spans="3:6" ht="15" customHeight="1" x14ac:dyDescent="0.45">
      <c r="E79" s="7">
        <v>70000000</v>
      </c>
      <c r="F79" s="6">
        <f>_xll.MC_NodeValue(_MC_Calc_1,"T_small_exp_rise")</f>
        <v>25000000</v>
      </c>
    </row>
    <row r="80" spans="3:6" ht="15" customHeight="1" x14ac:dyDescent="0.45">
      <c r="D80" s="5">
        <v>0.35</v>
      </c>
      <c r="E80" s="2" t="s">
        <v>6</v>
      </c>
    </row>
    <row r="81" spans="3:6" ht="15" customHeight="1" x14ac:dyDescent="0.45">
      <c r="D81" s="7">
        <v>0</v>
      </c>
      <c r="E81" s="6">
        <f>_xll.MC_NodeValue(_MC_Calc_1,"C_small_rates_exp")</f>
        <v>11500000</v>
      </c>
    </row>
    <row r="82" spans="3:6" ht="15" customHeight="1" x14ac:dyDescent="0.45">
      <c r="E82" s="5">
        <v>0.4</v>
      </c>
      <c r="F82" s="1">
        <f>_xll.MC_NodeProbability(_MC_Calc_1,"T_small_exp_stable")</f>
        <v>0.13999999999999999</v>
      </c>
    </row>
    <row r="83" spans="3:6" ht="15" customHeight="1" x14ac:dyDescent="0.45">
      <c r="E83" s="7">
        <v>55000000</v>
      </c>
      <c r="F83" s="6">
        <f>_xll.MC_NodeValue(_MC_Calc_1,"T_small_exp_stable")</f>
        <v>10000000</v>
      </c>
    </row>
    <row r="84" spans="3:6" ht="15" customHeight="1" x14ac:dyDescent="0.45">
      <c r="E84" s="5">
        <v>0.25</v>
      </c>
      <c r="F84" s="1">
        <f>_xll.MC_NodeProbability(_MC_Calc_1,"T_small_exp_fall")</f>
        <v>8.7499999999999994E-2</v>
      </c>
    </row>
    <row r="85" spans="3:6" ht="15" customHeight="1" x14ac:dyDescent="0.45">
      <c r="E85" s="7">
        <v>40000000</v>
      </c>
      <c r="F85" s="6">
        <f>_xll.MC_NodeValue(_MC_Calc_1,"T_small_exp_fall")</f>
        <v>-5000000</v>
      </c>
    </row>
    <row r="86" spans="3:6" ht="15" customHeight="1" x14ac:dyDescent="0.45">
      <c r="E86" s="5">
        <v>0.35</v>
      </c>
      <c r="F86" s="1">
        <f>_xll.MC_NodeProbability(_MC_Calc_1,"T_small_worse_rise")</f>
        <v>8.7499999999999994E-2</v>
      </c>
    </row>
    <row r="87" spans="3:6" ht="15" customHeight="1" x14ac:dyDescent="0.45">
      <c r="E87" s="7">
        <v>85000000</v>
      </c>
      <c r="F87" s="6">
        <f>_xll.MC_NodeValue(_MC_Calc_1,"T_small_worse_rise")</f>
        <v>40000000</v>
      </c>
    </row>
    <row r="88" spans="3:6" ht="15" customHeight="1" x14ac:dyDescent="0.45">
      <c r="D88" s="5">
        <v>0.25</v>
      </c>
      <c r="E88" s="2" t="s">
        <v>7</v>
      </c>
    </row>
    <row r="89" spans="3:6" ht="15" customHeight="1" x14ac:dyDescent="0.45">
      <c r="D89" s="7">
        <v>0</v>
      </c>
      <c r="E89" s="6">
        <f>_xll.MC_NodeValue(_MC_Calc_1,"C_small_rates_worse")</f>
        <v>26500000</v>
      </c>
    </row>
    <row r="90" spans="3:6" ht="15" customHeight="1" x14ac:dyDescent="0.45">
      <c r="E90" s="5">
        <v>0.4</v>
      </c>
      <c r="F90" s="1">
        <f>_xll.MC_NodeProbability(_MC_Calc_1,"T_small_worse_stable")</f>
        <v>0.1</v>
      </c>
    </row>
    <row r="91" spans="3:6" ht="15" customHeight="1" x14ac:dyDescent="0.45">
      <c r="E91" s="7">
        <v>70000000</v>
      </c>
      <c r="F91" s="6">
        <f>_xll.MC_NodeValue(_MC_Calc_1,"T_small_worse_stable")</f>
        <v>25000000</v>
      </c>
    </row>
    <row r="92" spans="3:6" ht="15" customHeight="1" x14ac:dyDescent="0.45">
      <c r="E92" s="5">
        <v>0.25</v>
      </c>
      <c r="F92" s="1">
        <f>_xll.MC_NodeProbability(_MC_Calc_1,"T_small_worse_fall")</f>
        <v>6.25E-2</v>
      </c>
    </row>
    <row r="93" spans="3:6" ht="15" customHeight="1" x14ac:dyDescent="0.45">
      <c r="E93" s="7">
        <v>55000000</v>
      </c>
      <c r="F93" s="6">
        <f>_xll.MC_NodeValue(_MC_Calc_1,"T_small_worse_fall")</f>
        <v>10000000</v>
      </c>
    </row>
    <row r="94" spans="3:6" ht="15" customHeight="1" x14ac:dyDescent="0.45">
      <c r="D94" s="5">
        <v>0.15</v>
      </c>
      <c r="E94" s="1">
        <f>_xll.MC_NodeProbability(_MC_Calc_1,"T_fund_much_better")</f>
        <v>0.15</v>
      </c>
    </row>
    <row r="95" spans="3:6" ht="15" customHeight="1" x14ac:dyDescent="0.45">
      <c r="D95" s="7">
        <v>3000000</v>
      </c>
      <c r="E95" s="6">
        <f>_xll.MC_NodeValue(_MC_Calc_1,"T_fund_much_better")</f>
        <v>-7000000</v>
      </c>
    </row>
    <row r="96" spans="3:6" ht="15" customHeight="1" x14ac:dyDescent="0.45">
      <c r="C96" s="4" t="str">
        <f>_xll.MC_NodeDecision(_MC_Calc_1,"C_fund_mortality")</f>
        <v/>
      </c>
      <c r="D96" s="2" t="s">
        <v>9</v>
      </c>
    </row>
    <row r="97" spans="3:6" ht="15" customHeight="1" x14ac:dyDescent="0.45">
      <c r="C97" s="7">
        <f>-ParticipateInFundCost</f>
        <v>-10000000</v>
      </c>
      <c r="D97" s="6">
        <f>_xll.MC_NodeValue(_MC_Calc_1,"C_fund_mortality")</f>
        <v>2902500</v>
      </c>
    </row>
    <row r="98" spans="3:6" ht="15" customHeight="1" x14ac:dyDescent="0.45">
      <c r="D98" s="5">
        <v>0.25</v>
      </c>
      <c r="E98" s="1">
        <f>_xll.MC_NodeProbability(_MC_Calc_1,"T_fund_better")</f>
        <v>0.25</v>
      </c>
    </row>
    <row r="99" spans="3:6" ht="15" customHeight="1" x14ac:dyDescent="0.45">
      <c r="D99" s="7">
        <v>8000000</v>
      </c>
      <c r="E99" s="6">
        <f>_xll.MC_NodeValue(_MC_Calc_1,"T_fund_better")</f>
        <v>-2000000</v>
      </c>
    </row>
    <row r="100" spans="3:6" ht="15" customHeight="1" x14ac:dyDescent="0.45">
      <c r="E100" s="5">
        <v>0.35</v>
      </c>
      <c r="F100" s="1">
        <f>_xll.MC_NodeProbability(_MC_Calc_1,"T_fund_exp_rise")</f>
        <v>0.12249999999999998</v>
      </c>
    </row>
    <row r="101" spans="3:6" ht="15" customHeight="1" x14ac:dyDescent="0.45">
      <c r="E101" s="7">
        <v>18000000</v>
      </c>
      <c r="F101" s="6">
        <f>_xll.MC_NodeValue(_MC_Calc_1,"T_fund_exp_rise")</f>
        <v>8000000</v>
      </c>
    </row>
    <row r="102" spans="3:6" ht="15" customHeight="1" x14ac:dyDescent="0.45">
      <c r="D102" s="5">
        <v>0.35</v>
      </c>
      <c r="E102" s="2" t="s">
        <v>10</v>
      </c>
    </row>
    <row r="103" spans="3:6" ht="15" customHeight="1" x14ac:dyDescent="0.45">
      <c r="D103" s="7">
        <v>0</v>
      </c>
      <c r="E103" s="6">
        <f>_xll.MC_NodeValue(_MC_Calc_1,"C_fund_rates_exp")</f>
        <v>4150000</v>
      </c>
    </row>
    <row r="104" spans="3:6" ht="15" customHeight="1" x14ac:dyDescent="0.45">
      <c r="E104" s="5">
        <v>0.4</v>
      </c>
      <c r="F104" s="1">
        <f>_xll.MC_NodeProbability(_MC_Calc_1,"T_fund_exp_stable")</f>
        <v>0.13999999999999999</v>
      </c>
    </row>
    <row r="105" spans="3:6" ht="15" customHeight="1" x14ac:dyDescent="0.45">
      <c r="E105" s="7">
        <v>14000000</v>
      </c>
      <c r="F105" s="6">
        <f>_xll.MC_NodeValue(_MC_Calc_1,"T_fund_exp_stable")</f>
        <v>4000000</v>
      </c>
    </row>
    <row r="106" spans="3:6" ht="15" customHeight="1" x14ac:dyDescent="0.45">
      <c r="E106" s="5">
        <v>0.25</v>
      </c>
      <c r="F106" s="1">
        <f>_xll.MC_NodeProbability(_MC_Calc_1,"T_fund_exp_fall")</f>
        <v>8.7499999999999994E-2</v>
      </c>
    </row>
    <row r="107" spans="3:6" ht="15" customHeight="1" x14ac:dyDescent="0.45">
      <c r="E107" s="7">
        <v>9000000</v>
      </c>
      <c r="F107" s="6">
        <f>_xll.MC_NodeValue(_MC_Calc_1,"T_fund_exp_fall")</f>
        <v>-1000000</v>
      </c>
    </row>
    <row r="108" spans="3:6" ht="15" customHeight="1" x14ac:dyDescent="0.45">
      <c r="D108" s="5">
        <v>0.25</v>
      </c>
      <c r="E108" s="1">
        <f>_xll.MC_NodeProbability(_MC_Calc_1,"T_fund_worse")</f>
        <v>0.25</v>
      </c>
    </row>
    <row r="109" spans="3:6" ht="15" customHeight="1" x14ac:dyDescent="0.45">
      <c r="D109" s="7">
        <v>22000000</v>
      </c>
      <c r="E109" s="6">
        <f>_xll.MC_NodeValue(_MC_Calc_1,"T_fund_worse")</f>
        <v>12000000</v>
      </c>
    </row>
    <row r="110" spans="3:6" ht="15" customHeight="1" x14ac:dyDescent="0.45">
      <c r="C110" s="4" t="str">
        <f>_xll.MC_NodeDecision(_MC_Calc_1,"T_no_invest")</f>
        <v/>
      </c>
      <c r="D110" s="1">
        <f>_xll.MC_NodeProbability(_MC_Calc_1,"T_no_invest")</f>
        <v>1</v>
      </c>
    </row>
    <row r="111" spans="3:6" ht="15" customHeight="1" x14ac:dyDescent="0.45">
      <c r="C111" s="7">
        <v>0</v>
      </c>
      <c r="D111" s="6">
        <f>_xll.MC_NodeValue(_MC_Calc_1,"T_no_invest")</f>
        <v>0</v>
      </c>
    </row>
    <row r="112" spans="3:6" ht="15" customHeight="1" x14ac:dyDescent="0.45"/>
    <row r="113" ht="15" customHeight="1" x14ac:dyDescent="0.45"/>
    <row r="114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187</vt:i4>
      </vt:variant>
    </vt:vector>
  </HeadingPairs>
  <TitlesOfParts>
    <vt:vector size="189" baseType="lpstr">
      <vt:lpstr>Problem</vt:lpstr>
      <vt:lpstr>MC_Tree_1</vt:lpstr>
      <vt:lpstr>_MC_Calc_1</vt:lpstr>
      <vt:lpstr>BuyLargePortfolio1000Cost</vt:lpstr>
      <vt:lpstr>BuySmallPortfolio200Cost</vt:lpstr>
      <vt:lpstr>MC_Tree_1!MC_BD_D_large_hold_sell_C_hold_rates</vt:lpstr>
      <vt:lpstr>MC_Tree_1!MC_BD_D_large_hold_sell_T_large_sell_loss</vt:lpstr>
      <vt:lpstr>MC_Tree_1!MC_BD_D_root_C_fund_mortality</vt:lpstr>
      <vt:lpstr>MC_Tree_1!MC_BD_D_root_C_large_mortality</vt:lpstr>
      <vt:lpstr>MC_Tree_1!MC_BD_D_root_C_small_mortality</vt:lpstr>
      <vt:lpstr>MC_Tree_1!MC_BD_D_root_T_no_invest</vt:lpstr>
      <vt:lpstr>MC_Tree_1!MC_BP_C_fund_mortality_C_fund_rates_exp</vt:lpstr>
      <vt:lpstr>MC_Tree_1!MC_BP_C_fund_mortality_T_fund_better</vt:lpstr>
      <vt:lpstr>MC_Tree_1!MC_BP_C_fund_mortality_T_fund_much_better</vt:lpstr>
      <vt:lpstr>MC_Tree_1!MC_BP_C_fund_mortality_T_fund_worse</vt:lpstr>
      <vt:lpstr>MC_Tree_1!MC_BP_C_fund_rates_exp_T_fund_exp_fall</vt:lpstr>
      <vt:lpstr>MC_Tree_1!MC_BP_C_fund_rates_exp_T_fund_exp_rise</vt:lpstr>
      <vt:lpstr>MC_Tree_1!MC_BP_C_fund_rates_exp_T_fund_exp_stable</vt:lpstr>
      <vt:lpstr>MC_Tree_1!MC_BP_C_hold_rates_C_hold_reg</vt:lpstr>
      <vt:lpstr>MC_Tree_1!MC_BP_C_hold_rates_T_hold_fall</vt:lpstr>
      <vt:lpstr>MC_Tree_1!MC_BP_C_hold_rates_T_hold_stable</vt:lpstr>
      <vt:lpstr>MC_Tree_1!MC_BP_C_hold_reg_T_hold_rise_adv</vt:lpstr>
      <vt:lpstr>MC_Tree_1!MC_BP_C_hold_reg_T_hold_rise_fav</vt:lpstr>
      <vt:lpstr>MC_Tree_1!MC_BP_C_hold_reg_T_hold_rise_nc</vt:lpstr>
      <vt:lpstr>MC_Tree_1!MC_BP_C_large_mortality_C_large_rates_better</vt:lpstr>
      <vt:lpstr>MC_Tree_1!MC_BP_C_large_mortality_C_large_rates_exp</vt:lpstr>
      <vt:lpstr>MC_Tree_1!MC_BP_C_large_mortality_C_large_rates_worse</vt:lpstr>
      <vt:lpstr>MC_Tree_1!MC_BP_C_large_mortality_D_large_hold_sell</vt:lpstr>
      <vt:lpstr>MC_Tree_1!MC_BP_C_large_rates_better_T_large_better_fall</vt:lpstr>
      <vt:lpstr>MC_Tree_1!MC_BP_C_large_rates_better_T_large_better_rise</vt:lpstr>
      <vt:lpstr>MC_Tree_1!MC_BP_C_large_rates_better_T_large_better_stable</vt:lpstr>
      <vt:lpstr>MC_Tree_1!MC_BP_C_large_rates_exp_T_large_exp_fall</vt:lpstr>
      <vt:lpstr>MC_Tree_1!MC_BP_C_large_rates_exp_T_large_exp_rise</vt:lpstr>
      <vt:lpstr>MC_Tree_1!MC_BP_C_large_rates_exp_T_large_exp_stable</vt:lpstr>
      <vt:lpstr>MC_Tree_1!MC_BP_C_large_rates_worse_T_large_worse_fall</vt:lpstr>
      <vt:lpstr>MC_Tree_1!MC_BP_C_large_rates_worse_T_large_worse_rise</vt:lpstr>
      <vt:lpstr>MC_Tree_1!MC_BP_C_large_rates_worse_T_large_worse_stable</vt:lpstr>
      <vt:lpstr>MC_Tree_1!MC_BP_C_small_mortality_C_small_rates_better</vt:lpstr>
      <vt:lpstr>MC_Tree_1!MC_BP_C_small_mortality_C_small_rates_exp</vt:lpstr>
      <vt:lpstr>MC_Tree_1!MC_BP_C_small_mortality_C_small_rates_worse</vt:lpstr>
      <vt:lpstr>MC_Tree_1!MC_BP_C_small_mortality_T_small_much_better</vt:lpstr>
      <vt:lpstr>MC_Tree_1!MC_BP_C_small_rates_better_T_small_better_fall</vt:lpstr>
      <vt:lpstr>MC_Tree_1!MC_BP_C_small_rates_better_T_small_better_rise</vt:lpstr>
      <vt:lpstr>MC_Tree_1!MC_BP_C_small_rates_better_T_small_better_stable</vt:lpstr>
      <vt:lpstr>MC_Tree_1!MC_BP_C_small_rates_exp_T_small_exp_fall</vt:lpstr>
      <vt:lpstr>MC_Tree_1!MC_BP_C_small_rates_exp_T_small_exp_rise</vt:lpstr>
      <vt:lpstr>MC_Tree_1!MC_BP_C_small_rates_exp_T_small_exp_stable</vt:lpstr>
      <vt:lpstr>MC_Tree_1!MC_BP_C_small_rates_worse_T_small_worse_fall</vt:lpstr>
      <vt:lpstr>MC_Tree_1!MC_BP_C_small_rates_worse_T_small_worse_rise</vt:lpstr>
      <vt:lpstr>MC_Tree_1!MC_BP_C_small_rates_worse_T_small_worse_stable</vt:lpstr>
      <vt:lpstr>MC_Tree_1!MC_BV_C_fund_mortality_C_fund_rates_exp</vt:lpstr>
      <vt:lpstr>MC_Tree_1!MC_BV_C_fund_mortality_T_fund_better</vt:lpstr>
      <vt:lpstr>MC_Tree_1!MC_BV_C_fund_mortality_T_fund_much_better</vt:lpstr>
      <vt:lpstr>MC_Tree_1!MC_BV_C_fund_mortality_T_fund_worse</vt:lpstr>
      <vt:lpstr>MC_Tree_1!MC_BV_C_fund_rates_exp_T_fund_exp_fall</vt:lpstr>
      <vt:lpstr>MC_Tree_1!MC_BV_C_fund_rates_exp_T_fund_exp_rise</vt:lpstr>
      <vt:lpstr>MC_Tree_1!MC_BV_C_fund_rates_exp_T_fund_exp_stable</vt:lpstr>
      <vt:lpstr>MC_Tree_1!MC_BV_C_hold_rates_C_hold_reg</vt:lpstr>
      <vt:lpstr>MC_Tree_1!MC_BV_C_hold_rates_T_hold_fall</vt:lpstr>
      <vt:lpstr>MC_Tree_1!MC_BV_C_hold_rates_T_hold_stable</vt:lpstr>
      <vt:lpstr>MC_Tree_1!MC_BV_C_hold_reg_T_hold_rise_adv</vt:lpstr>
      <vt:lpstr>MC_Tree_1!MC_BV_C_hold_reg_T_hold_rise_fav</vt:lpstr>
      <vt:lpstr>MC_Tree_1!MC_BV_C_hold_reg_T_hold_rise_nc</vt:lpstr>
      <vt:lpstr>MC_Tree_1!MC_BV_C_large_mortality_C_large_rates_better</vt:lpstr>
      <vt:lpstr>MC_Tree_1!MC_BV_C_large_mortality_C_large_rates_exp</vt:lpstr>
      <vt:lpstr>MC_Tree_1!MC_BV_C_large_mortality_C_large_rates_worse</vt:lpstr>
      <vt:lpstr>MC_Tree_1!MC_BV_C_large_mortality_D_large_hold_sell</vt:lpstr>
      <vt:lpstr>MC_Tree_1!MC_BV_C_large_rates_better_T_large_better_fall</vt:lpstr>
      <vt:lpstr>MC_Tree_1!MC_BV_C_large_rates_better_T_large_better_rise</vt:lpstr>
      <vt:lpstr>MC_Tree_1!MC_BV_C_large_rates_better_T_large_better_stable</vt:lpstr>
      <vt:lpstr>MC_Tree_1!MC_BV_C_large_rates_exp_T_large_exp_fall</vt:lpstr>
      <vt:lpstr>MC_Tree_1!MC_BV_C_large_rates_exp_T_large_exp_rise</vt:lpstr>
      <vt:lpstr>MC_Tree_1!MC_BV_C_large_rates_exp_T_large_exp_stable</vt:lpstr>
      <vt:lpstr>MC_Tree_1!MC_BV_C_large_rates_worse_T_large_worse_fall</vt:lpstr>
      <vt:lpstr>MC_Tree_1!MC_BV_C_large_rates_worse_T_large_worse_rise</vt:lpstr>
      <vt:lpstr>MC_Tree_1!MC_BV_C_large_rates_worse_T_large_worse_stable</vt:lpstr>
      <vt:lpstr>MC_Tree_1!MC_BV_C_small_mortality_C_small_rates_better</vt:lpstr>
      <vt:lpstr>MC_Tree_1!MC_BV_C_small_mortality_C_small_rates_exp</vt:lpstr>
      <vt:lpstr>MC_Tree_1!MC_BV_C_small_mortality_C_small_rates_worse</vt:lpstr>
      <vt:lpstr>MC_Tree_1!MC_BV_C_small_mortality_T_small_much_better</vt:lpstr>
      <vt:lpstr>MC_Tree_1!MC_BV_C_small_rates_better_T_small_better_fall</vt:lpstr>
      <vt:lpstr>MC_Tree_1!MC_BV_C_small_rates_better_T_small_better_rise</vt:lpstr>
      <vt:lpstr>MC_Tree_1!MC_BV_C_small_rates_better_T_small_better_stable</vt:lpstr>
      <vt:lpstr>MC_Tree_1!MC_BV_C_small_rates_exp_T_small_exp_fall</vt:lpstr>
      <vt:lpstr>MC_Tree_1!MC_BV_C_small_rates_exp_T_small_exp_rise</vt:lpstr>
      <vt:lpstr>MC_Tree_1!MC_BV_C_small_rates_exp_T_small_exp_stable</vt:lpstr>
      <vt:lpstr>MC_Tree_1!MC_BV_C_small_rates_worse_T_small_worse_fall</vt:lpstr>
      <vt:lpstr>MC_Tree_1!MC_BV_C_small_rates_worse_T_small_worse_rise</vt:lpstr>
      <vt:lpstr>MC_Tree_1!MC_BV_C_small_rates_worse_T_small_worse_stable</vt:lpstr>
      <vt:lpstr>MC_Tree_1!MC_BV_D_large_hold_sell_C_hold_rates</vt:lpstr>
      <vt:lpstr>MC_Tree_1!MC_BV_D_large_hold_sell_T_large_sell_loss</vt:lpstr>
      <vt:lpstr>MC_Tree_1!MC_BV_D_root_C_fund_mortality</vt:lpstr>
      <vt:lpstr>MC_Tree_1!MC_BV_D_root_C_large_mortality</vt:lpstr>
      <vt:lpstr>MC_Tree_1!MC_BV_D_root_C_small_mortality</vt:lpstr>
      <vt:lpstr>MC_Tree_1!MC_BV_D_root_T_no_invest</vt:lpstr>
      <vt:lpstr>MC_Tree_1!MC_N_C_fund_mortality</vt:lpstr>
      <vt:lpstr>MC_Tree_1!MC_N_C_fund_rates_exp</vt:lpstr>
      <vt:lpstr>MC_Tree_1!MC_N_C_hold_rates</vt:lpstr>
      <vt:lpstr>MC_Tree_1!MC_N_C_hold_reg</vt:lpstr>
      <vt:lpstr>MC_Tree_1!MC_N_C_large_mortality</vt:lpstr>
      <vt:lpstr>MC_Tree_1!MC_N_C_large_rates_better</vt:lpstr>
      <vt:lpstr>MC_Tree_1!MC_N_C_large_rates_exp</vt:lpstr>
      <vt:lpstr>MC_Tree_1!MC_N_C_large_rates_worse</vt:lpstr>
      <vt:lpstr>MC_Tree_1!MC_N_C_small_mortality</vt:lpstr>
      <vt:lpstr>MC_Tree_1!MC_N_C_small_rates_better</vt:lpstr>
      <vt:lpstr>MC_Tree_1!MC_N_C_small_rates_exp</vt:lpstr>
      <vt:lpstr>MC_Tree_1!MC_N_C_small_rates_worse</vt:lpstr>
      <vt:lpstr>MC_Tree_1!MC_N_D_large_hold_sell</vt:lpstr>
      <vt:lpstr>MC_Tree_1!MC_N_D_root</vt:lpstr>
      <vt:lpstr>MC_Tree_1!MC_NP_T_fund_better</vt:lpstr>
      <vt:lpstr>MC_Tree_1!MC_NP_T_fund_exp_fall</vt:lpstr>
      <vt:lpstr>MC_Tree_1!MC_NP_T_fund_exp_rise</vt:lpstr>
      <vt:lpstr>MC_Tree_1!MC_NP_T_fund_exp_stable</vt:lpstr>
      <vt:lpstr>MC_Tree_1!MC_NP_T_fund_much_better</vt:lpstr>
      <vt:lpstr>MC_Tree_1!MC_NP_T_fund_worse</vt:lpstr>
      <vt:lpstr>MC_Tree_1!MC_NP_T_hold_fall</vt:lpstr>
      <vt:lpstr>MC_Tree_1!MC_NP_T_hold_rise_adv</vt:lpstr>
      <vt:lpstr>MC_Tree_1!MC_NP_T_hold_rise_fav</vt:lpstr>
      <vt:lpstr>MC_Tree_1!MC_NP_T_hold_rise_nc</vt:lpstr>
      <vt:lpstr>MC_Tree_1!MC_NP_T_hold_stable</vt:lpstr>
      <vt:lpstr>MC_Tree_1!MC_NP_T_large_better_fall</vt:lpstr>
      <vt:lpstr>MC_Tree_1!MC_NP_T_large_better_rise</vt:lpstr>
      <vt:lpstr>MC_Tree_1!MC_NP_T_large_better_stable</vt:lpstr>
      <vt:lpstr>MC_Tree_1!MC_NP_T_large_exp_fall</vt:lpstr>
      <vt:lpstr>MC_Tree_1!MC_NP_T_large_exp_rise</vt:lpstr>
      <vt:lpstr>MC_Tree_1!MC_NP_T_large_exp_stable</vt:lpstr>
      <vt:lpstr>MC_Tree_1!MC_NP_T_large_sell_loss</vt:lpstr>
      <vt:lpstr>MC_Tree_1!MC_NP_T_large_worse_fall</vt:lpstr>
      <vt:lpstr>MC_Tree_1!MC_NP_T_large_worse_rise</vt:lpstr>
      <vt:lpstr>MC_Tree_1!MC_NP_T_large_worse_stable</vt:lpstr>
      <vt:lpstr>MC_Tree_1!MC_NP_T_no_invest</vt:lpstr>
      <vt:lpstr>MC_Tree_1!MC_NP_T_small_better_fall</vt:lpstr>
      <vt:lpstr>MC_Tree_1!MC_NP_T_small_better_rise</vt:lpstr>
      <vt:lpstr>MC_Tree_1!MC_NP_T_small_better_stable</vt:lpstr>
      <vt:lpstr>MC_Tree_1!MC_NP_T_small_exp_fall</vt:lpstr>
      <vt:lpstr>MC_Tree_1!MC_NP_T_small_exp_rise</vt:lpstr>
      <vt:lpstr>MC_Tree_1!MC_NP_T_small_exp_stable</vt:lpstr>
      <vt:lpstr>MC_Tree_1!MC_NP_T_small_much_better</vt:lpstr>
      <vt:lpstr>MC_Tree_1!MC_NP_T_small_worse_fall</vt:lpstr>
      <vt:lpstr>MC_Tree_1!MC_NP_T_small_worse_rise</vt:lpstr>
      <vt:lpstr>MC_Tree_1!MC_NP_T_small_worse_stable</vt:lpstr>
      <vt:lpstr>MC_Tree_1!MC_V_C_fund_mortality</vt:lpstr>
      <vt:lpstr>MC_Tree_1!MC_V_C_fund_rates_exp</vt:lpstr>
      <vt:lpstr>MC_Tree_1!MC_V_C_hold_rates</vt:lpstr>
      <vt:lpstr>MC_Tree_1!MC_V_C_hold_reg</vt:lpstr>
      <vt:lpstr>MC_Tree_1!MC_V_C_large_mortality</vt:lpstr>
      <vt:lpstr>MC_Tree_1!MC_V_C_large_rates_better</vt:lpstr>
      <vt:lpstr>MC_Tree_1!MC_V_C_large_rates_exp</vt:lpstr>
      <vt:lpstr>MC_Tree_1!MC_V_C_large_rates_worse</vt:lpstr>
      <vt:lpstr>MC_Tree_1!MC_V_C_small_mortality</vt:lpstr>
      <vt:lpstr>MC_Tree_1!MC_V_C_small_rates_better</vt:lpstr>
      <vt:lpstr>MC_Tree_1!MC_V_C_small_rates_exp</vt:lpstr>
      <vt:lpstr>MC_Tree_1!MC_V_C_small_rates_worse</vt:lpstr>
      <vt:lpstr>MC_Tree_1!MC_V_D_large_hold_sell</vt:lpstr>
      <vt:lpstr>MC_Tree_1!MC_V_D_root</vt:lpstr>
      <vt:lpstr>MC_Tree_1!MC_V_T_fund_better</vt:lpstr>
      <vt:lpstr>MC_Tree_1!MC_V_T_fund_exp_fall</vt:lpstr>
      <vt:lpstr>MC_Tree_1!MC_V_T_fund_exp_rise</vt:lpstr>
      <vt:lpstr>MC_Tree_1!MC_V_T_fund_exp_stable</vt:lpstr>
      <vt:lpstr>MC_Tree_1!MC_V_T_fund_much_better</vt:lpstr>
      <vt:lpstr>MC_Tree_1!MC_V_T_fund_worse</vt:lpstr>
      <vt:lpstr>MC_Tree_1!MC_V_T_hold_fall</vt:lpstr>
      <vt:lpstr>MC_Tree_1!MC_V_T_hold_rise_adv</vt:lpstr>
      <vt:lpstr>MC_Tree_1!MC_V_T_hold_rise_fav</vt:lpstr>
      <vt:lpstr>MC_Tree_1!MC_V_T_hold_rise_nc</vt:lpstr>
      <vt:lpstr>MC_Tree_1!MC_V_T_hold_stable</vt:lpstr>
      <vt:lpstr>MC_Tree_1!MC_V_T_large_better_fall</vt:lpstr>
      <vt:lpstr>MC_Tree_1!MC_V_T_large_better_rise</vt:lpstr>
      <vt:lpstr>MC_Tree_1!MC_V_T_large_better_stable</vt:lpstr>
      <vt:lpstr>MC_Tree_1!MC_V_T_large_exp_fall</vt:lpstr>
      <vt:lpstr>MC_Tree_1!MC_V_T_large_exp_rise</vt:lpstr>
      <vt:lpstr>MC_Tree_1!MC_V_T_large_exp_stable</vt:lpstr>
      <vt:lpstr>MC_Tree_1!MC_V_T_large_sell_loss</vt:lpstr>
      <vt:lpstr>MC_Tree_1!MC_V_T_large_worse_fall</vt:lpstr>
      <vt:lpstr>MC_Tree_1!MC_V_T_large_worse_rise</vt:lpstr>
      <vt:lpstr>MC_Tree_1!MC_V_T_large_worse_stable</vt:lpstr>
      <vt:lpstr>MC_Tree_1!MC_V_T_no_invest</vt:lpstr>
      <vt:lpstr>MC_Tree_1!MC_V_T_small_better_fall</vt:lpstr>
      <vt:lpstr>MC_Tree_1!MC_V_T_small_better_rise</vt:lpstr>
      <vt:lpstr>MC_Tree_1!MC_V_T_small_better_stable</vt:lpstr>
      <vt:lpstr>MC_Tree_1!MC_V_T_small_exp_fall</vt:lpstr>
      <vt:lpstr>MC_Tree_1!MC_V_T_small_exp_rise</vt:lpstr>
      <vt:lpstr>MC_Tree_1!MC_V_T_small_exp_stable</vt:lpstr>
      <vt:lpstr>MC_Tree_1!MC_V_T_small_much_better</vt:lpstr>
      <vt:lpstr>MC_Tree_1!MC_V_T_small_worse_fall</vt:lpstr>
      <vt:lpstr>MC_Tree_1!MC_V_T_small_worse_rise</vt:lpstr>
      <vt:lpstr>MC_Tree_1!MC_V_T_small_worse_stable</vt:lpstr>
      <vt:lpstr>ParticipateInFundCost</vt:lpstr>
      <vt:lpstr>SellAtLossValue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2026-03-27T14:36:17Z</dcterms:created>
  <dcterms:modified xsi:type="dcterms:W3CDTF">2026-03-27T14:36:32Z</dcterms:modified>
</cp:coreProperties>
</file>