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opt\models\Insurance\"/>
    </mc:Choice>
  </mc:AlternateContent>
  <xr:revisionPtr revIDLastSave="0" documentId="8_{E3650C14-9EFE-44BE-A516-2A3CB8A107FC}"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Decisions" sheetId="3" r:id="rId3"/>
    <sheet name="Claims" sheetId="4" r:id="rId4"/>
    <sheet name="Programme" sheetId="5" r:id="rId5"/>
    <sheet name="Results" sheetId="6" r:id="rId6"/>
    <sheet name="ModelRiskOptimizer" sheetId="7" state="veryHidden" r:id="rId7"/>
    <sheet name="ModelRiskDSN" sheetId="9" state="hidden" r:id="rId8"/>
    <sheet name="ModelRiskSYS1" sheetId="10" state="hidden" r:id="rId9"/>
    <sheet name="ModelRiskCharts" sheetId="11" state="hidden" r:id="rId10"/>
  </sheets>
  <definedNames>
    <definedName name="Capital">Inputs!$D$29</definedName>
    <definedName name="Checks">Programme!$D$55:$D$59</definedName>
    <definedName name="Comm_Plan">Programme!$E$33</definedName>
    <definedName name="Comm_Start">Programme!$D$33</definedName>
    <definedName name="Cost_Plan">Programme!$E$35</definedName>
    <definedName name="Cost_Start">Programme!$D$35</definedName>
    <definedName name="Cover">Decisions!$D$12</definedName>
    <definedName name="Cover_Hi">Decisions!$G$12</definedName>
    <definedName name="Cover_Lo">Decisions!$F$12</definedName>
    <definedName name="Cover_Start">Decisions!$E$12</definedName>
    <definedName name="ExpClaims">Claims!$D$12</definedName>
    <definedName name="Expenses">Programme!$D$30</definedName>
    <definedName name="ExpRatio">Inputs!$D$24</definedName>
    <definedName name="Freq">Claims!$D$10</definedName>
    <definedName name="FreqMean">Inputs!$D$11</definedName>
    <definedName name="Gross">Claims!$E$119</definedName>
    <definedName name="Kept_Plan">Programme!$E$43</definedName>
    <definedName name="Kept_Start">Programme!$D$43</definedName>
    <definedName name="Left_Plan">Programme!$E$41</definedName>
    <definedName name="Left_Start">Programme!$D$41</definedName>
    <definedName name="M0_c0_cell" hidden="1">Programme!$D$49</definedName>
    <definedName name="M0_c0_rhsA" hidden="1">Inputs!$D$30</definedName>
    <definedName name="M0_c1_cell" hidden="1">Programme!$E$14</definedName>
    <definedName name="M0_c1_fml" hidden="1">Programme!$E$14</definedName>
    <definedName name="M0_o0_cell" hidden="1">Programme!$D$49</definedName>
    <definedName name="M0_v0_cell" hidden="1">Decisions!$D$11</definedName>
    <definedName name="M0_v0_max" hidden="1">Decisions!$G$11</definedName>
    <definedName name="M0_v0_min" hidden="1">Decisions!$F$11</definedName>
    <definedName name="M0_v1_cell" hidden="1">Decisions!$D$12</definedName>
    <definedName name="M0_v1_max" hidden="1">Decisions!$G$12</definedName>
    <definedName name="M0_v1_min" hidden="1">Decisions!$F$12</definedName>
    <definedName name="M0_v2_cell" hidden="1">Decisions!$D$13</definedName>
    <definedName name="M0_v2_max" hidden="1">Decisions!$G$13</definedName>
    <definedName name="M0_v2_min" hidden="1">Decisions!$F$13</definedName>
    <definedName name="MaxNetRet">Inputs!$D$31</definedName>
    <definedName name="MinResult">Inputs!$D$30</definedName>
    <definedName name="NetOK_Plan">Programme!$E$14</definedName>
    <definedName name="NetOK_Start">Programme!$D$14</definedName>
    <definedName name="NetRet_Plan">Programme!$E$13</definedName>
    <definedName name="NetRet_Start">Programme!$D$13</definedName>
    <definedName name="OptRun_Best">Decisions!$D$31</definedName>
    <definedName name="OptRun_Date">Decisions!$D$24</definedName>
    <definedName name="OptRun_Engine">Decisions!$D$25</definedName>
    <definedName name="OptRun_Feasible">Decisions!$D$30</definedName>
    <definedName name="OptRun_Samples">Decisions!$D$27</definedName>
    <definedName name="OptRun_Seconds">Decisions!$D$28</definedName>
    <definedName name="OptRun_Stop">Decisions!$D$29</definedName>
    <definedName name="OptRun_Trials">Decisions!$D$26</definedName>
    <definedName name="Out_Loss_Plan">Programme!$D$51</definedName>
    <definedName name="Out_Loss_Start">Programme!$D$50</definedName>
    <definedName name="Out_Result_Plan">Programme!$D$49</definedName>
    <definedName name="Out_Result_Start">Programme!$D$48</definedName>
    <definedName name="ParetoB">Claims!$D$9</definedName>
    <definedName name="Premium">Inputs!$D$23</definedName>
    <definedName name="PremLeft_Plan">Programme!$E$31</definedName>
    <definedName name="PremLeft_Start">Programme!$D$31</definedName>
    <definedName name="_xlnm.Print_Area" localSheetId="5">Results!$A$1:$R$49</definedName>
    <definedName name="_xlnm.Print_Titles" localSheetId="3">Claims!$1:$4</definedName>
    <definedName name="_xlnm.Print_Titles" localSheetId="2">Decisions!$1:$4</definedName>
    <definedName name="_xlnm.Print_Titles" localSheetId="1">Inputs!$1:$4</definedName>
    <definedName name="_xlnm.Print_Titles" localSheetId="5">Results!$1:$4</definedName>
    <definedName name="QSComm">Inputs!$D$19</definedName>
    <definedName name="QSEL_Plan">Programme!$E$34</definedName>
    <definedName name="QSEL_Start">Programme!$D$34</definedName>
    <definedName name="QSPrem_Plan">Programme!$E$32</definedName>
    <definedName name="QSPrem_Start">Programme!$D$32</definedName>
    <definedName name="QSRec_Plan">Programme!$E$42</definedName>
    <definedName name="QSRec_Start">Programme!$D$42</definedName>
    <definedName name="QSShare">Decisions!$D$13</definedName>
    <definedName name="QSShare_Hi">Decisions!$G$13</definedName>
    <definedName name="QSShare_Lo">Decisions!$F$13</definedName>
    <definedName name="QSShare_Start">Decisions!$E$13</definedName>
    <definedName name="Rec_Plan">Programme!$E$40</definedName>
    <definedName name="Rec_Start">Programme!$D$40</definedName>
    <definedName name="Retention">Decisions!$D$11</definedName>
    <definedName name="Retention_Hi">Decisions!$G$11</definedName>
    <definedName name="Retention_Lo">Decisions!$F$11</definedName>
    <definedName name="Retention_Start">Decisions!$E$11</definedName>
    <definedName name="ROL_Plan">Programme!$E$25</definedName>
    <definedName name="ROL_Start">Programme!$D$25</definedName>
    <definedName name="Sev">Claims!$D$11</definedName>
    <definedName name="SevMean">Inputs!$D$12</definedName>
    <definedName name="SevShape">Inputs!$D$13</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heta">Inputs!$D$18</definedName>
    <definedName name="Top_Plan">Programme!$E$11</definedName>
    <definedName name="Top_Start">Programme!$D$11</definedName>
    <definedName name="XLEL_Plan">Programme!$E$21</definedName>
    <definedName name="XLEL_Start">Programme!$D$21</definedName>
    <definedName name="XLLoad_Plan">Programme!$E$24</definedName>
    <definedName name="XLLoad_Start">Programme!$D$24</definedName>
    <definedName name="XLM_Plan">Programme!$E$19</definedName>
    <definedName name="XLM_Start">Programme!$D$19</definedName>
    <definedName name="XLPrem_Plan">Programme!$E$23</definedName>
    <definedName name="XLPrem_Start">Programme!$D$23</definedName>
    <definedName name="XLS_Plan">Programme!$E$20</definedName>
    <definedName name="XLS_Start">Programme!$D$20</definedName>
    <definedName name="XLSD_Plan">Programme!$E$22</definedName>
    <definedName name="XLSD_Start">Programme!$D$22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4" l="1" a="1"/>
  <c r="D10" i="4" s="1"/>
  <c r="C113" i="6"/>
  <c r="C112" i="6"/>
  <c r="C111" i="6"/>
  <c r="C110" i="6"/>
  <c r="C109" i="6"/>
  <c r="C108" i="6"/>
  <c r="C107"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E25" i="6"/>
  <c r="D25" i="6"/>
  <c r="E14" i="6"/>
  <c r="D14" i="6"/>
  <c r="F14" i="6" s="1"/>
  <c r="E13" i="6"/>
  <c r="D13" i="6"/>
  <c r="E12" i="6"/>
  <c r="F12" i="6" s="1"/>
  <c r="D12" i="6"/>
  <c r="D59" i="5"/>
  <c r="D58" i="5"/>
  <c r="D56" i="5"/>
  <c r="D55" i="5"/>
  <c r="E30" i="5"/>
  <c r="D30" i="5"/>
  <c r="E13" i="5"/>
  <c r="E18" i="6" s="1"/>
  <c r="D13" i="5"/>
  <c r="D14" i="5" s="1"/>
  <c r="D18" i="6"/>
  <c r="E12" i="5"/>
  <c r="D12" i="5"/>
  <c r="E11" i="5"/>
  <c r="E17" i="6" s="1"/>
  <c r="F17" i="6" s="1"/>
  <c r="D11" i="5"/>
  <c r="D17" i="6" s="1"/>
  <c r="E10" i="5"/>
  <c r="D10" i="5"/>
  <c r="E9" i="5"/>
  <c r="D9" i="5"/>
  <c r="D12" i="4"/>
  <c r="D9" i="4"/>
  <c r="D11" i="4" a="1"/>
  <c r="D11" i="4" s="1"/>
  <c r="D30" i="2"/>
  <c r="F66" i="6" s="1"/>
  <c r="F103" i="6"/>
  <c r="F62" i="6"/>
  <c r="F64" i="6"/>
  <c r="F78" i="6"/>
  <c r="F80" i="6"/>
  <c r="F96" i="6"/>
  <c r="F98" i="6"/>
  <c r="F63" i="6"/>
  <c r="F65" i="6"/>
  <c r="F79" i="6"/>
  <c r="F81" i="6"/>
  <c r="F95" i="6"/>
  <c r="F97" i="6"/>
  <c r="D19" i="5" a="1"/>
  <c r="E20" i="5" a="1"/>
  <c r="E19" i="5" a="1"/>
  <c r="D20" i="5" a="1"/>
  <c r="E18" i="4" a="1"/>
  <c r="F13" i="6" l="1"/>
  <c r="F91" i="6"/>
  <c r="F75" i="6"/>
  <c r="F59" i="6"/>
  <c r="F88" i="6"/>
  <c r="F92" i="6"/>
  <c r="F74" i="6"/>
  <c r="F56" i="6"/>
  <c r="F89" i="6"/>
  <c r="F57" i="6"/>
  <c r="F58" i="6"/>
  <c r="F90" i="6"/>
  <c r="F72" i="6"/>
  <c r="F87" i="6"/>
  <c r="F71" i="6"/>
  <c r="F55" i="6"/>
  <c r="F104" i="6"/>
  <c r="F86" i="6"/>
  <c r="F70" i="6"/>
  <c r="F18" i="6"/>
  <c r="F101" i="6"/>
  <c r="F85" i="6"/>
  <c r="F69" i="6"/>
  <c r="E24" i="6"/>
  <c r="F102" i="6"/>
  <c r="F84" i="6"/>
  <c r="F68" i="6"/>
  <c r="E14" i="5"/>
  <c r="G20" i="3" s="1"/>
  <c r="F93" i="6"/>
  <c r="F77" i="6"/>
  <c r="F61" i="6"/>
  <c r="G19" i="3"/>
  <c r="F94" i="6"/>
  <c r="F76" i="6"/>
  <c r="F60" i="6"/>
  <c r="D57" i="5"/>
  <c r="B7" i="6" s="1"/>
  <c r="F73" i="6"/>
  <c r="F99" i="6"/>
  <c r="F83" i="6"/>
  <c r="F67" i="6"/>
  <c r="D24" i="6"/>
  <c r="F100" i="6"/>
  <c r="F82" i="6"/>
  <c r="D20" i="5"/>
  <c r="E19" i="5"/>
  <c r="E21" i="5" s="1"/>
  <c r="E31" i="6" s="1"/>
  <c r="E20" i="5"/>
  <c r="E22" i="5" s="1"/>
  <c r="D19" i="5"/>
  <c r="D21" i="5" s="1"/>
  <c r="D31" i="6" s="1"/>
  <c r="E107" i="4"/>
  <c r="E43" i="4"/>
  <c r="E74" i="4"/>
  <c r="E113" i="4"/>
  <c r="E49" i="4"/>
  <c r="E94" i="4"/>
  <c r="E88" i="4"/>
  <c r="E24" i="4"/>
  <c r="E55" i="4"/>
  <c r="E30" i="4"/>
  <c r="E21" i="4"/>
  <c r="E53" i="4"/>
  <c r="E45" i="4"/>
  <c r="E19" i="4"/>
  <c r="E25" i="4"/>
  <c r="E95" i="4"/>
  <c r="E52" i="4"/>
  <c r="E76" i="4"/>
  <c r="E34" i="4"/>
  <c r="E87" i="4"/>
  <c r="E29" i="4"/>
  <c r="E46" i="4"/>
  <c r="E99" i="4"/>
  <c r="E35" i="4"/>
  <c r="E66" i="4"/>
  <c r="E105" i="4"/>
  <c r="E41" i="4"/>
  <c r="E86" i="4"/>
  <c r="E80" i="4"/>
  <c r="E111" i="4"/>
  <c r="E47" i="4"/>
  <c r="E109" i="4"/>
  <c r="E61" i="4"/>
  <c r="E93" i="4"/>
  <c r="E22" i="4"/>
  <c r="E83" i="4"/>
  <c r="E42" i="4"/>
  <c r="E89" i="4"/>
  <c r="E70" i="4"/>
  <c r="E64" i="4"/>
  <c r="E31" i="4"/>
  <c r="E85" i="4"/>
  <c r="E20" i="4"/>
  <c r="E75" i="4"/>
  <c r="E114" i="4"/>
  <c r="E81" i="4"/>
  <c r="E18" i="4"/>
  <c r="E62" i="4"/>
  <c r="E56" i="4"/>
  <c r="E23" i="4"/>
  <c r="E54" i="4"/>
  <c r="E67" i="4"/>
  <c r="E106" i="4"/>
  <c r="E98" i="4"/>
  <c r="E73" i="4"/>
  <c r="E118" i="4"/>
  <c r="E112" i="4"/>
  <c r="E48" i="4"/>
  <c r="E79" i="4"/>
  <c r="E92" i="4"/>
  <c r="E100" i="4"/>
  <c r="E36" i="4"/>
  <c r="E28" i="4"/>
  <c r="E59" i="4"/>
  <c r="E90" i="4"/>
  <c r="E50" i="4"/>
  <c r="E65" i="4"/>
  <c r="E110" i="4"/>
  <c r="E104" i="4"/>
  <c r="E40" i="4"/>
  <c r="E71" i="4"/>
  <c r="E60" i="4"/>
  <c r="E68" i="4"/>
  <c r="E116" i="4"/>
  <c r="E101" i="4"/>
  <c r="E115" i="4"/>
  <c r="E91" i="4"/>
  <c r="E27" i="4"/>
  <c r="E58" i="4"/>
  <c r="E97" i="4"/>
  <c r="E33" i="4"/>
  <c r="E78" i="4"/>
  <c r="E72" i="4"/>
  <c r="E103" i="4"/>
  <c r="E39" i="4"/>
  <c r="E77" i="4"/>
  <c r="E117" i="4"/>
  <c r="E108" i="4"/>
  <c r="E38" i="4"/>
  <c r="E51" i="4"/>
  <c r="E82" i="4"/>
  <c r="E26" i="4"/>
  <c r="E57" i="4"/>
  <c r="E102" i="4"/>
  <c r="E96" i="4"/>
  <c r="E32" i="4"/>
  <c r="E63" i="4"/>
  <c r="E37" i="4"/>
  <c r="E44" i="4"/>
  <c r="E84" i="4"/>
  <c r="E69" i="4"/>
  <c r="F31" i="6" l="1"/>
  <c r="D34" i="5"/>
  <c r="D35" i="6" s="1"/>
  <c r="E119" i="4"/>
  <c r="D40" i="5"/>
  <c r="E40" i="5"/>
  <c r="E23" i="5"/>
  <c r="E32" i="6" s="1"/>
  <c r="F32" i="6" s="1"/>
  <c r="E24" i="5"/>
  <c r="E33" i="6" s="1"/>
  <c r="E34" i="5"/>
  <c r="E35" i="6" s="1"/>
  <c r="F35" i="6" s="1"/>
  <c r="D22" i="5"/>
  <c r="D23" i="5" s="1"/>
  <c r="D32" i="6" s="1"/>
  <c r="D31" i="5" l="1"/>
  <c r="D32" i="5" s="1"/>
  <c r="D25" i="5"/>
  <c r="D24" i="5"/>
  <c r="D33" i="6" s="1"/>
  <c r="F33" i="6" s="1"/>
  <c r="E25" i="5"/>
  <c r="E31" i="5"/>
  <c r="E32" i="5" s="1"/>
  <c r="D41" i="5"/>
  <c r="E41" i="5"/>
  <c r="E33" i="5" l="1"/>
  <c r="E34" i="6"/>
  <c r="D33" i="5"/>
  <c r="D35" i="5" s="1"/>
  <c r="D36" i="6" s="1"/>
  <c r="D34" i="6"/>
  <c r="E35" i="5"/>
  <c r="E36" i="6" s="1"/>
  <c r="F36" i="6" s="1"/>
  <c r="G36" i="6" s="1"/>
  <c r="E42" i="5"/>
  <c r="E43" i="5" s="1"/>
  <c r="D49" i="5" s="1" a="1"/>
  <c r="D49" i="5" s="1"/>
  <c r="D42" i="5"/>
  <c r="D43" i="5" s="1"/>
  <c r="D48" i="5" s="1" a="1"/>
  <c r="D48" i="5" s="1"/>
  <c r="D78" i="6" a="1"/>
  <c r="D85" i="6" a="1"/>
  <c r="D69" i="6" a="1"/>
  <c r="D72" i="6" a="1"/>
  <c r="D83" i="6" a="1"/>
  <c r="D104" i="6" a="1"/>
  <c r="D86" i="6" a="1"/>
  <c r="D60" i="6" a="1"/>
  <c r="D79" i="6" a="1"/>
  <c r="D98" i="6" a="1"/>
  <c r="D23" i="6" a="1"/>
  <c r="D62" i="6" a="1"/>
  <c r="D93" i="6" a="1"/>
  <c r="D77" i="6" a="1"/>
  <c r="D59" i="6" a="1"/>
  <c r="D76" i="6" a="1"/>
  <c r="D68" i="6" a="1"/>
  <c r="D63" i="6" a="1"/>
  <c r="D92" i="6" a="1"/>
  <c r="D61" i="6" a="1"/>
  <c r="D56" i="6" a="1"/>
  <c r="D91" i="6" a="1"/>
  <c r="D75" i="6" a="1"/>
  <c r="D57" i="6" a="1"/>
  <c r="D70" i="6" a="1"/>
  <c r="D88" i="6" a="1"/>
  <c r="D20" i="6" a="1"/>
  <c r="D80" i="6" a="1"/>
  <c r="D94" i="6" a="1"/>
  <c r="D74" i="6" a="1"/>
  <c r="D81" i="6" a="1"/>
  <c r="D100" i="6" a="1"/>
  <c r="D82" i="6" a="1"/>
  <c r="D90" i="6" a="1"/>
  <c r="D102" i="6" a="1"/>
  <c r="D19" i="6" a="1"/>
  <c r="D89" i="6" a="1"/>
  <c r="D73" i="6" a="1"/>
  <c r="D55" i="6" a="1"/>
  <c r="D64" i="6" a="1"/>
  <c r="D101" i="6" a="1"/>
  <c r="D21" i="6" a="1"/>
  <c r="D99" i="6" a="1"/>
  <c r="D67" i="6" a="1"/>
  <c r="D66" i="6" a="1"/>
  <c r="D97" i="6" a="1"/>
  <c r="D65" i="6" a="1"/>
  <c r="D95" i="6" a="1"/>
  <c r="D84" i="6" a="1"/>
  <c r="D96" i="6" a="1"/>
  <c r="D103" i="6" a="1"/>
  <c r="D87" i="6" a="1"/>
  <c r="D71" i="6" a="1"/>
  <c r="D22" i="6" a="1"/>
  <c r="D58" i="6" a="1"/>
  <c r="E91" i="6" a="1"/>
  <c r="E100" i="6" a="1"/>
  <c r="E73" i="6" a="1"/>
  <c r="E82" i="6" a="1"/>
  <c r="E103" i="6" a="1"/>
  <c r="E55" i="6" a="1"/>
  <c r="E101" i="6" a="1"/>
  <c r="E94" i="6" a="1"/>
  <c r="E99" i="6" a="1"/>
  <c r="E83" i="6" a="1"/>
  <c r="E67" i="6" a="1"/>
  <c r="E20" i="6" a="1"/>
  <c r="E92" i="6" a="1"/>
  <c r="E76" i="6" a="1"/>
  <c r="E60" i="6" a="1"/>
  <c r="E84" i="6" a="1"/>
  <c r="E22" i="6" a="1"/>
  <c r="E62" i="6" a="1"/>
  <c r="E97" i="6" a="1"/>
  <c r="E81" i="6" a="1"/>
  <c r="E65" i="6" a="1"/>
  <c r="B6" i="6" a="1"/>
  <c r="E90" i="6" a="1"/>
  <c r="E74" i="6" a="1"/>
  <c r="E58" i="6" a="1"/>
  <c r="E75" i="6" a="1"/>
  <c r="E68" i="6" a="1"/>
  <c r="E57" i="6" a="1"/>
  <c r="E66" i="6" a="1"/>
  <c r="E71" i="6" a="1"/>
  <c r="E96" i="6" a="1"/>
  <c r="E64" i="6" a="1"/>
  <c r="E85" i="6" a="1"/>
  <c r="E95" i="6" a="1"/>
  <c r="E79" i="6" a="1"/>
  <c r="E63" i="6" a="1"/>
  <c r="E104" i="6" a="1"/>
  <c r="E88" i="6" a="1"/>
  <c r="E72" i="6" a="1"/>
  <c r="E56" i="6" a="1"/>
  <c r="E59" i="6" a="1"/>
  <c r="E21" i="6" a="1"/>
  <c r="E89" i="6" a="1"/>
  <c r="E98" i="6" a="1"/>
  <c r="E19" i="6" a="1"/>
  <c r="E87" i="6" a="1"/>
  <c r="E80" i="6" a="1"/>
  <c r="E69" i="6" a="1"/>
  <c r="E78" i="6" a="1"/>
  <c r="E93" i="6" a="1"/>
  <c r="E77" i="6" a="1"/>
  <c r="E61" i="6" a="1"/>
  <c r="E102" i="6" a="1"/>
  <c r="E86" i="6" a="1"/>
  <c r="E70" i="6" a="1"/>
  <c r="E23" i="6" a="1"/>
  <c r="F34" i="6" l="1"/>
  <c r="E23" i="6"/>
  <c r="E70" i="6"/>
  <c r="E86" i="6"/>
  <c r="E102" i="6"/>
  <c r="E61" i="6"/>
  <c r="E77" i="6"/>
  <c r="E93" i="6"/>
  <c r="E78" i="6"/>
  <c r="E69" i="6"/>
  <c r="E80" i="6"/>
  <c r="E87" i="6"/>
  <c r="E19" i="6"/>
  <c r="E98" i="6"/>
  <c r="E89" i="6"/>
  <c r="E21" i="6"/>
  <c r="F21" i="6" s="1"/>
  <c r="G21" i="6" s="1"/>
  <c r="E59" i="6"/>
  <c r="E56" i="6"/>
  <c r="E72" i="6"/>
  <c r="E88" i="6"/>
  <c r="E104" i="6"/>
  <c r="E63" i="6"/>
  <c r="E79" i="6"/>
  <c r="E95" i="6"/>
  <c r="E85" i="6"/>
  <c r="E64" i="6"/>
  <c r="E96" i="6"/>
  <c r="E71" i="6"/>
  <c r="E66" i="6"/>
  <c r="E57" i="6"/>
  <c r="E68" i="6"/>
  <c r="E75" i="6"/>
  <c r="E58" i="6"/>
  <c r="E74" i="6"/>
  <c r="E90" i="6"/>
  <c r="B6" i="6"/>
  <c r="E65" i="6"/>
  <c r="E81" i="6"/>
  <c r="E97" i="6"/>
  <c r="E62" i="6"/>
  <c r="E22" i="6"/>
  <c r="E84" i="6"/>
  <c r="E60" i="6"/>
  <c r="E76" i="6"/>
  <c r="E92" i="6"/>
  <c r="E20" i="6"/>
  <c r="E67" i="6"/>
  <c r="E83" i="6"/>
  <c r="E99" i="6"/>
  <c r="E94" i="6"/>
  <c r="E101" i="6"/>
  <c r="E55" i="6"/>
  <c r="E103" i="6"/>
  <c r="E82" i="6"/>
  <c r="E73" i="6"/>
  <c r="E100" i="6"/>
  <c r="E91" i="6"/>
  <c r="D58" i="6"/>
  <c r="D22" i="6"/>
  <c r="D71" i="6"/>
  <c r="D87" i="6"/>
  <c r="D103" i="6"/>
  <c r="D96" i="6"/>
  <c r="D84" i="6"/>
  <c r="D95" i="6"/>
  <c r="D65" i="6"/>
  <c r="D97" i="6"/>
  <c r="D66" i="6"/>
  <c r="D67" i="6"/>
  <c r="D99" i="6"/>
  <c r="D21" i="6"/>
  <c r="D101" i="6"/>
  <c r="D64" i="6"/>
  <c r="D55" i="6"/>
  <c r="D73" i="6"/>
  <c r="D89" i="6"/>
  <c r="D19" i="6"/>
  <c r="D102" i="6"/>
  <c r="D90" i="6"/>
  <c r="D82" i="6"/>
  <c r="D100" i="6"/>
  <c r="D81" i="6"/>
  <c r="D74" i="6"/>
  <c r="D94" i="6"/>
  <c r="D80" i="6"/>
  <c r="D20" i="6"/>
  <c r="D88" i="6"/>
  <c r="D70" i="6"/>
  <c r="D57" i="6"/>
  <c r="D75" i="6"/>
  <c r="D91" i="6"/>
  <c r="D56" i="6"/>
  <c r="D61" i="6"/>
  <c r="D92" i="6"/>
  <c r="D63" i="6"/>
  <c r="D68" i="6"/>
  <c r="D76" i="6"/>
  <c r="D59" i="6"/>
  <c r="D77" i="6"/>
  <c r="D93" i="6"/>
  <c r="D62" i="6"/>
  <c r="D23" i="6"/>
  <c r="D98" i="6"/>
  <c r="D79" i="6"/>
  <c r="D60" i="6"/>
  <c r="D86" i="6"/>
  <c r="D104" i="6"/>
  <c r="D83" i="6"/>
  <c r="D72" i="6"/>
  <c r="D69" i="6"/>
  <c r="D85" i="6"/>
  <c r="D78" i="6"/>
  <c r="D51" i="5" a="1"/>
  <c r="D51" i="5" s="1"/>
  <c r="D50" i="5" a="1"/>
  <c r="D50" i="5" s="1"/>
  <c r="D113" i="6" a="1"/>
  <c r="D108" i="6" a="1"/>
  <c r="D112" i="6" a="1"/>
  <c r="D111" i="6" a="1"/>
  <c r="D109" i="6" a="1"/>
  <c r="D107" i="6" a="1"/>
  <c r="D110" i="6" a="1"/>
  <c r="E109" i="6" a="1"/>
  <c r="E107" i="6" a="1"/>
  <c r="E112" i="6" a="1"/>
  <c r="E110" i="6" a="1"/>
  <c r="E108" i="6" a="1"/>
  <c r="E111" i="6" a="1"/>
  <c r="E113" i="6" a="1"/>
  <c r="F22" i="6" l="1"/>
  <c r="G22" i="6" s="1"/>
  <c r="F20" i="6"/>
  <c r="G20" i="6" s="1"/>
  <c r="E113" i="6"/>
  <c r="E111" i="6"/>
  <c r="E108" i="6"/>
  <c r="E110" i="6"/>
  <c r="E112" i="6"/>
  <c r="E107" i="6"/>
  <c r="E109" i="6"/>
  <c r="D110" i="6"/>
  <c r="D107" i="6"/>
  <c r="D109" i="6"/>
  <c r="D111" i="6"/>
  <c r="D112" i="6"/>
  <c r="D108" i="6"/>
  <c r="D113" i="6"/>
  <c r="F19" i="6"/>
  <c r="G19" i="6" s="1"/>
  <c r="F23" i="6"/>
  <c r="G23"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<sst xmlns="http://schemas.openxmlformats.org/spreadsheetml/2006/main" count="602" uniqueCount="456">
  <si>
    <t>Reinsurance Programme Chosen by the Optimizer</t>
  </si>
  <si>
    <t>ModelRisk example  ·  Insurance  ·  IN-09</t>
  </si>
  <si>
    <t>Which retention, cover and quota share keep the 1-in-200 loss within the capital at the least cost?</t>
  </si>
  <si>
    <t>Next:  Inputs  ▸</t>
  </si>
  <si>
    <t>Model card</t>
  </si>
  <si>
    <t>Industry</t>
  </si>
  <si>
    <t>Insurance</t>
  </si>
  <si>
    <t>Difficulty</t>
  </si>
  <si>
    <t>★★★★☆   Each year's claims added up in bands, so that any layer is a sum of bands; the layer priced from its exact mean and standard deviation; the retention, the cover and the quota share chosen together by the ModelRisk Optimizer within a 1-in-200 capital limit.</t>
  </si>
  <si>
    <t>Business question</t>
  </si>
  <si>
    <t>A commercial property insurer writes US$42 million of premium and expects about 60 claims a year, a few of them very large. It holds US$10 million of capital against its underwriting. Which excess-of-loss retention and cover, and which quota share, keep the 1-in-200 loss within that capital while giving up as little of the expected profit as possible?</t>
  </si>
  <si>
    <t>Who it is for</t>
  </si>
  <si>
    <t>Reinsurance buyers, underwriters, capital and pricing actuaries, finance teams of insurers.</t>
  </si>
  <si>
    <t>Main outputs</t>
  </si>
  <si>
    <t>The Optimizer's retention, cover and quota share against a starting plan (the broker's programme in IN-03) · for both: the mean, 1-in-20 and 1-in-200 underwriting result, its spread and the chance of a loss · each programme's price and expected cost · the loss exceeded once in 5 to 500 years.</t>
  </si>
  <si>
    <t>ModelRisk techniques</t>
  </si>
  <si>
    <t>The ModelRisk Optimizer: three decisions on the broker's steps, the mean result maximised, a percentile limit (the 1-in-200 result) and a formula limit (the net retention) · claims as Poisson and Pareto objects · the year's claims in bands of US$0.5 million (VoseAggregateTranche), so any layer is a sum of bands · the layer priced from its exact mean and standard deviation (VoseDeductObject) · both plans on the same claims.</t>
  </si>
  <si>
    <t>File</t>
  </si>
  <si>
    <t>IN-09 Reinsurance programme chosen by the Optimizer  ·  Version 1.0  ·  October 2026  ·  built with ModelRisk 10</t>
  </si>
  <si>
    <t>The business question</t>
  </si>
  <si>
    <t>IN-03 compared four reinsurance programmes for a commercial property insurer with about 60 claims a year, most small, a few very large. The insurer holds US$10 million of capital against its underwriting, so a 1-in-200 year must lose no more than that. The broker's programme loses about US$15 million in such a year. Here the ModelRisk Optimizer chooses the retention, the cover and the quota share together.</t>
  </si>
  <si>
    <t>How the model works</t>
  </si>
  <si>
    <t>Five sheets after this one, read from left to right. Each one feeds the next.</t>
  </si>
  <si>
    <t>1  Inputs</t>
  </si>
  <si>
    <t>The expected number of claims, the average claim and how heavy the tail of claim sizes is; the reinsurers' margin on a layer and the quota share's commission; the premium and the expense ratio; the capital the insurer holds and the most of one claim it will keep.</t>
  </si>
  <si>
    <t>2  Decisions</t>
  </si>
  <si>
    <t>The three cells the Optimizer changes — the retention, the cover above it and the quota share — with their bounds and steps, the starting plan (the broker's programme), the goal (the highest mean result) and the limits (the 1-in-200 result within the capital, and the net retention).</t>
  </si>
  <si>
    <t>3  Claims</t>
  </si>
  <si>
    <t>Each iteration draws the year's claims once. VoseAggregateTranche adds up, over every claim, the part that falls in each band of US$0.5 million up to US$50 million, and the part above. A layer from any retention to any top on these steps pays the sum of its bands.</t>
  </si>
  <si>
    <t>4  Programme</t>
  </si>
  <si>
    <t>For each plan: the layer's exact mean and standard deviation (VoseDeductObject) and its price; the quota share's premium and commission; this year's recoveries, the claims kept and the underwriting result, an output.</t>
  </si>
  <si>
    <t>5  Results</t>
  </si>
  <si>
    <t>Both plans on the same simulated years: the mean, 1-in-20 and 1-in-200 result, its spread and the chance of a loss; each programme's price and expected cost; the loss exceeded once in 5 to 500 years.</t>
  </si>
  <si>
    <t>How to use it</t>
  </si>
  <si>
    <t>Step 1</t>
  </si>
  <si>
    <t>Enter your claims assumptions, the reinsurers' prices, your premium, the capital you hold and your largest net retention on the Inputs sheet.</t>
  </si>
  <si>
    <t>Step 2</t>
  </si>
  <si>
    <t>On the ModelRisk ribbon, open the Optimizer: the task is saved in this workbook. Press Start. When it finishes, apply the best solution: the retention, cover and quota share on the Decisions sheet change.</t>
  </si>
  <si>
    <t>Step 3</t>
  </si>
  <si>
    <t>Run a simulation from the ModelRisk ribbon (10,000 samples with a fixed seed are set) to compare the new programme with the starting plan on the Results sheet.</t>
  </si>
  <si>
    <t>Step 4</t>
  </si>
  <si>
    <t>To watch the search from the beginning, copy the starting plan onto the plan in use first.</t>
  </si>
  <si>
    <t>Workbook map</t>
  </si>
  <si>
    <t>Inputs</t>
  </si>
  <si>
    <t>Claims, reinsurance prices, premium and expenses, the capital and the largest net retention.</t>
  </si>
  <si>
    <t>Decisions</t>
  </si>
  <si>
    <t>The plan in use, the starting plan, the bounds, the goal and limits, and the Optimizer's last run.</t>
  </si>
  <si>
    <t>Claims</t>
  </si>
  <si>
    <t>The claim distributions; this year's claims in bands of US$0.5 million.</t>
  </si>
  <si>
    <t>Programme</t>
  </si>
  <si>
    <t>Each plan's layer, prices, recoveries and result; outputs and checks.</t>
  </si>
  <si>
    <t>Results</t>
  </si>
  <si>
    <t>The plan in use against the starting plan; what each costs; the loss exceeded once in T years.</t>
  </si>
  <si>
    <t>Colour key</t>
  </si>
  <si>
    <t>Input</t>
  </si>
  <si>
    <t>An assumption you may change. Only these cells are inputs.</t>
  </si>
  <si>
    <t>Uncertain variable</t>
  </si>
  <si>
    <t>A ModelRisk distribution: a new random value is drawn at every recalculation (F9) and every simulation sample.</t>
  </si>
  <si>
    <t>Decision</t>
  </si>
  <si>
    <t>A cell the ModelRisk Optimizer changes: it tries values within the bounds and keeps the best plan found.</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</si>
  <si>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</si>
  <si>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</si>
  <si>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</si>
  <si>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</si>
  <si>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</si>
  <si>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</si>
  <si>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</si>
  <si>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</si>
  <si>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claim sizes, retention and cover in US$ thousand.</t>
  </si>
  <si>
    <t>Excess of loss</t>
  </si>
  <si>
    <t>A layer '23,000 xs 2,000' pays the part of each claim above US$2m, up to US$23m: the slice of every claim between the retention, US$2m, and the top, US$25m.</t>
  </si>
  <si>
    <t>Quota share</t>
  </si>
  <si>
    <t>The reinsurer takes a fixed share of the premium and of the claims left after the layer, and pays back a ceding commission on its share of the premium.</t>
  </si>
  <si>
    <t>Net retention</t>
  </si>
  <si>
    <t>The most of one claim the insurer keeps below the top: retention × (1 − quota share).</t>
  </si>
  <si>
    <t>Result</t>
  </si>
  <si>
    <t>Underwriting result = premium − expenses − reinsurance premiums + commission − claims kept; before investment income and tax.</t>
  </si>
  <si>
    <t>1-in-200</t>
  </si>
  <si>
    <t>The 0.5th percentile of the result: the loss exceeded in one year in 200, against which the capital is held.</t>
  </si>
  <si>
    <t>Key assumptions and limitations</t>
  </si>
  <si>
    <t>Claim numbers are Poisson; claim sizes are independent and Pareto (type 2), heavy-tailed, as in IN-03.</t>
  </si>
  <si>
    <t>Layer price</t>
  </si>
  <si>
    <t>Expected loss + 0.25 × the standard deviation of the layer's annual loss. This reproduces the broker's two quotes in IN-03 (1.25 and 2 × expected loss); priced as one layer, the broker's two cost about US$0.2m less.</t>
  </si>
  <si>
    <t>Layer</t>
  </si>
  <si>
    <t>One per-risk layer with unlimited free reinstatements; the part of a claim above the top stays with the insurer. Retention and cover move in steps of US$0.5m, as the broker quotes them.</t>
  </si>
  <si>
    <t>It shares what the insurer keeps after the layer and pays for its share of the layer's price; the commission does not depend on the share, and at most 50% can be placed.</t>
  </si>
  <si>
    <t>Goal</t>
  </si>
  <si>
    <t>The capital is fixed for the year, so its cost does not change with the programme: the best programme has the highest mean result whose 1-in-200 loss stays within the capital.</t>
  </si>
  <si>
    <t>Optimizer</t>
  </si>
  <si>
    <t>Each plan the Optimizer tries is judged on the same 10,000 simulated years (common random numbers, seed 1) as the simulation on the Results sheet, so plans are compared fairly and the limit the Optimizer met holds on the Results sheet too.</t>
  </si>
  <si>
    <t>Data</t>
  </si>
  <si>
    <t>The book and all figures are invented for this example.</t>
  </si>
  <si>
    <t>ModelRisk functions used</t>
  </si>
  <si>
    <t>ModelRisk Optimizer</t>
  </si>
  <si>
    <t>Chooses the retention, cover and quota share: the highest mean result, the 1-in-200 result at least minus the capital, the net retention within its limit.</t>
  </si>
  <si>
    <t>VosePoissonObject, VosePareto2Object</t>
  </si>
  <si>
    <t>The claim number and claim size distributions as objects.</t>
  </si>
  <si>
    <t>VoseAggregateTranche</t>
  </si>
  <si>
    <t>Adds up, over every claim of the year, the part that falls in each of 101 bands (an array over 101 cells).</t>
  </si>
  <si>
    <t>VoseDeductObject, VoseMean, VoseStdev</t>
  </si>
  <si>
    <t>The layer's payment on one claim, and its exact mean and standard deviation: they set the layer's price.</t>
  </si>
  <si>
    <t>VoseSimMean, VoseSimStdev</t>
  </si>
  <si>
    <t>The mean and the spread of both plans' results on the Results sheet.</t>
  </si>
  <si>
    <t>VoseSimPercentile, VoseSimProbability</t>
  </si>
  <si>
    <t>The 1-in-20 and 1-in-200 results, the chance of a loss, and the data behind the charts.</t>
  </si>
  <si>
    <t>Further reading</t>
  </si>
  <si>
    <t>Reinsurance</t>
  </si>
  <si>
    <t>Albrecher, H., Beirlant, J. &amp; Teugels, J. L. (2017). Reinsurance: Actuarial and Statistical Aspects. Wiley — premium principles and the choice of a reinsurance programme.</t>
  </si>
  <si>
    <t>Layers and limits</t>
  </si>
  <si>
    <t>Klugman, S. A., Panjer, H. H. &amp; Willmot, G. E. (2019). Loss Models: From Data to Decisions, 5th edition. Wiley — coverage modifications.</t>
  </si>
  <si>
    <t>Companion model</t>
  </si>
  <si>
    <t>IN-03 Reinsurance programme: excess of loss and quota share — the same insurer, with four programmes compared side by side.</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</si>
  <si>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</si>
  <si>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</si>
  <si>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</si>
  <si>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Decisions  ▸</t>
  </si>
  <si>
    <t>How to read this sheet:  yellow cells are inputs.</t>
  </si>
  <si>
    <t>1   Claims</t>
  </si>
  <si>
    <t>How many claims a year, and how large (as in IN-03).</t>
  </si>
  <si>
    <t>Assumption</t>
  </si>
  <si>
    <t>Unit</t>
  </si>
  <si>
    <t>Value in model</t>
  </si>
  <si>
    <t>Uncertainty</t>
  </si>
  <si>
    <t>Basis / source (illustrative)</t>
  </si>
  <si>
    <t>Expected number of claims</t>
  </si>
  <si>
    <t>claims a year</t>
  </si>
  <si>
    <t>Fixed</t>
  </si>
  <si>
    <t>Policies in force × claim rate, from the claims history.</t>
  </si>
  <si>
    <t>Average claim</t>
  </si>
  <si>
    <t>US$ thousand</t>
  </si>
  <si>
    <t>Claims history, inflated to next year's prices.</t>
  </si>
  <si>
    <t>Tail of the claim sizes  (Pareto shape)</t>
  </si>
  <si>
    <t>lower = heavier</t>
  </si>
  <si>
    <t>Fitted to the large claims (as in IN-02). Must be above 1.</t>
  </si>
  <si>
    <t>2   Reinsurance prices</t>
  </si>
  <si>
    <t>What the reinsurers charge for a layer and pay back on a quota share.</t>
  </si>
  <si>
    <t>Layer price: margin over the expected loss</t>
  </si>
  <si>
    <t>× std deviation</t>
  </si>
  <si>
    <t>Price = expected loss + this × standard deviation. 0.25 reproduces the broker's quotes in IN-03.</t>
  </si>
  <si>
    <t>Quota share: ceding commission</t>
  </si>
  <si>
    <t>of ceded premium</t>
  </si>
  <si>
    <t>Paid back by the reinsurer for the insurer's cost of writing the business.</t>
  </si>
  <si>
    <t>3   Premium and expenses</t>
  </si>
  <si>
    <t>Gross premium</t>
  </si>
  <si>
    <t>US$m</t>
  </si>
  <si>
    <t>Written next year.</t>
  </si>
  <si>
    <t>Expense ratio</t>
  </si>
  <si>
    <t>of gross premium</t>
  </si>
  <si>
    <t>Brokers' commission and administration.</t>
  </si>
  <si>
    <t>4   Capital and underwriting policy</t>
  </si>
  <si>
    <t>The limits the Optimizer must respect.</t>
  </si>
  <si>
    <t>Capital held against the underwriting</t>
  </si>
  <si>
    <t>Set by the board: a 1-in-200 year must not lose more.</t>
  </si>
  <si>
    <t>Worst 1-in-200 result allowed</t>
  </si>
  <si>
    <t>Calculated</t>
  </si>
  <si>
    <t>Minus the capital: the Optimizer's limit on the 0.5th percentile of the result.</t>
  </si>
  <si>
    <t>Largest net retention on one claim</t>
  </si>
  <si>
    <t>The most of any one claim the insurer keeps: retention × (1 − quota share).</t>
  </si>
  <si>
    <t>DECISIONS   ·   The cells the ModelRisk Optimizer changes, the plan they are compared with, and what the Optimizer is asked to do.</t>
  </si>
  <si>
    <t>◂  Inputs</t>
  </si>
  <si>
    <t>Next:  Claims  ▸</t>
  </si>
  <si>
    <t>How to read this sheet:  the blue cells are the plan in use — the cells the Optimizer changes. The yellow Starting plan is the plan it is compared with on the Results sheet; Lowest and Highest bound the search.  To watch the Optimizer search from the starting plan, copy the Starting plan column onto Plan in use (Paste Values), then ModelRisk ▸ Optimizer ▸ Start.</t>
  </si>
  <si>
    <t>1   The reinsurance programme</t>
  </si>
  <si>
    <t>The Optimizer changes the blue cells. The starting plan is the broker's programme in IN-03: its two layers as one, 23,000 xs 2,000, and a 30% quota share.</t>
  </si>
  <si>
    <t>Plan in use</t>
  </si>
  <si>
    <t>Starting plan</t>
  </si>
  <si>
    <t>Lowest</t>
  </si>
  <si>
    <t>Highest</t>
  </si>
  <si>
    <t>Kind</t>
  </si>
  <si>
    <t>Notes</t>
  </si>
  <si>
    <t>Retention</t>
  </si>
  <si>
    <t>From a list, steps of 500</t>
  </si>
  <si>
    <t>The insurer keeps each claim up to this amount.</t>
  </si>
  <si>
    <t>Cover above the retention</t>
  </si>
  <si>
    <t>The width of the layer: its top is retention + cover.</t>
  </si>
  <si>
    <t>share ceded</t>
  </si>
  <si>
    <t>From a list, steps of 5%</t>
  </si>
  <si>
    <t>Ceded after the layer; 50% is the most that can be placed.</t>
  </si>
  <si>
    <t>2   Goal and limits</t>
  </si>
  <si>
    <t>What the Optimizer is asked to do. It judges every plan it tries by these statistics of a simulation of that plan.</t>
  </si>
  <si>
    <t>Statistic</t>
  </si>
  <si>
    <t>Limit</t>
  </si>
  <si>
    <t>Output cell</t>
  </si>
  <si>
    <t>Maximise:  Underwriting result of the plan in use</t>
  </si>
  <si>
    <t>the mean</t>
  </si>
  <si>
    <t>Programme!D49</t>
  </si>
  <si>
    <t>Keep:  1-in-200 result  at least</t>
  </si>
  <si>
    <t>the 0.5th percentile  ·  the input Worst 1-in-200 result allowed</t>
  </si>
  <si>
    <t>Keep:  Net retention on one claim</t>
  </si>
  <si>
    <t>true in every plan tried:  at most the largest net retention</t>
  </si>
  <si>
    <t>Programme!E14</t>
  </si>
  <si>
    <t>3   The Optimizer's run</t>
  </si>
  <si>
    <t>Recorded when this workbook was built: the run that chose the plan in use. A run of your own shows its results in the Optimizer window instead.</t>
  </si>
  <si>
    <t>Run on</t>
  </si>
  <si>
    <t>Method the Optimizer chose</t>
  </si>
  <si>
    <t>Plans tried  (one simulation each)</t>
  </si>
  <si>
    <t>Samples in each trial</t>
  </si>
  <si>
    <t>Run time, seconds</t>
  </si>
  <si>
    <t>Why it stopped</t>
  </si>
  <si>
    <t>Every limit met by the best plan</t>
  </si>
  <si>
    <t>Goal at the best plan, during the run</t>
  </si>
  <si>
    <t>CLAIMS   ·   The claim distributions, and this year's claims added up in bands of US$0.5 million.</t>
  </si>
  <si>
    <t>◂  Decisions</t>
  </si>
  <si>
    <t>Next:  Programme  ▸</t>
  </si>
  <si>
    <t>Claim numbers and claim sizes as ModelRisk distribution objects.</t>
  </si>
  <si>
    <t>Quantity</t>
  </si>
  <si>
    <t>Value</t>
  </si>
  <si>
    <t>How it is calculated</t>
  </si>
  <si>
    <t>Pareto scale b</t>
  </si>
  <si>
    <t>Gives the average claim: mean = b ÷ (shape − 1)</t>
  </si>
  <si>
    <t>Frequency  (claims in the year)</t>
  </si>
  <si>
    <t>object</t>
  </si>
  <si>
    <t>Poisson: claims arrive independently</t>
  </si>
  <si>
    <t>Severity  (one claim)</t>
  </si>
  <si>
    <t>Pareto (type 2): many small claims, a few very large ones</t>
  </si>
  <si>
    <t>Expected claims</t>
  </si>
  <si>
    <t>US$m a year</t>
  </si>
  <si>
    <t>Claims a year × average claim</t>
  </si>
  <si>
    <t>2   This year's claims, in bands of US$0.5 million</t>
  </si>
  <si>
    <t>Every claim of the simulated year split into slices; each row adds up one slice over all the claims. Press F9 for another year.</t>
  </si>
  <si>
    <t>Band</t>
  </si>
  <si>
    <t>From</t>
  </si>
  <si>
    <t>To</t>
  </si>
  <si>
    <t>This year</t>
  </si>
  <si>
    <t>What happens</t>
  </si>
  <si>
    <t>the layer</t>
  </si>
  <si>
    <t>0 – 0.5</t>
  </si>
  <si>
    <t>VoseAggregateTranche(frequency, severity, {From}, {To}): the part of every claim of the year</t>
  </si>
  <si>
    <t>0.5 – 1</t>
  </si>
  <si>
    <t>that falls in each band, added up — one array over the 101 cells.</t>
  </si>
  <si>
    <t>1 – 1.5</t>
  </si>
  <si>
    <t>A layer pays the bands from its retention to its top: on the Programme sheet,</t>
  </si>
  <si>
    <t>1.5 – 2</t>
  </si>
  <si>
    <t>a sum over these rows. Retention and cover therefore move in steps of 500.</t>
  </si>
  <si>
    <t>2 – 2.5</t>
  </si>
  <si>
    <t>Shaded blue: the bands each plan's layer pays.</t>
  </si>
  <si>
    <t>2.5 – 3</t>
  </si>
  <si>
    <t>Shaded amber: above the top of the programme, back with the insurer.</t>
  </si>
  <si>
    <t>3 – 3.5</t>
  </si>
  <si>
    <t>The last band, above US$50m, has no top (10¹², the top the function needs).</t>
  </si>
  <si>
    <t>3.5 – 4</t>
  </si>
  <si>
    <t>4 – 4.5</t>
  </si>
  <si>
    <t>4.5 – 5</t>
  </si>
  <si>
    <t>5 – 5.5</t>
  </si>
  <si>
    <t>5.5 – 6</t>
  </si>
  <si>
    <t>6 – 6.5</t>
  </si>
  <si>
    <t>6.5 – 7</t>
  </si>
  <si>
    <t>7 – 7.5</t>
  </si>
  <si>
    <t>7.5 – 8</t>
  </si>
  <si>
    <t>8 – 8.5</t>
  </si>
  <si>
    <t>8.5 – 9</t>
  </si>
  <si>
    <t>9 – 9.5</t>
  </si>
  <si>
    <t>9.5 – 10</t>
  </si>
  <si>
    <t>10 – 10.5</t>
  </si>
  <si>
    <t>10.5 – 11</t>
  </si>
  <si>
    <t>11 – 11.5</t>
  </si>
  <si>
    <t>11.5 – 12</t>
  </si>
  <si>
    <t>12 – 12.5</t>
  </si>
  <si>
    <t>12.5 – 13</t>
  </si>
  <si>
    <t>13 – 13.5</t>
  </si>
  <si>
    <t>13.5 – 14</t>
  </si>
  <si>
    <t>14 – 14.5</t>
  </si>
  <si>
    <t>14.5 – 15</t>
  </si>
  <si>
    <t>15 – 15.5</t>
  </si>
  <si>
    <t>15.5 – 16</t>
  </si>
  <si>
    <t>16 – 16.5</t>
  </si>
  <si>
    <t>16.5 – 17</t>
  </si>
  <si>
    <t>17 – 17.5</t>
  </si>
  <si>
    <t>17.5 – 18</t>
  </si>
  <si>
    <t>18 – 18.5</t>
  </si>
  <si>
    <t>18.5 – 19</t>
  </si>
  <si>
    <t>19 – 19.5</t>
  </si>
  <si>
    <t>19.5 – 20</t>
  </si>
  <si>
    <t>20 – 20.5</t>
  </si>
  <si>
    <t>20.5 – 21</t>
  </si>
  <si>
    <t>21 – 21.5</t>
  </si>
  <si>
    <t>21.5 – 22</t>
  </si>
  <si>
    <t>22 – 22.5</t>
  </si>
  <si>
    <t>22.5 – 23</t>
  </si>
  <si>
    <t>23 – 23.5</t>
  </si>
  <si>
    <t>23.5 – 24</t>
  </si>
  <si>
    <t>24 – 24.5</t>
  </si>
  <si>
    <t>24.5 – 25</t>
  </si>
  <si>
    <t>25 – 25.5</t>
  </si>
  <si>
    <t>25.5 – 26</t>
  </si>
  <si>
    <t>26 – 26.5</t>
  </si>
  <si>
    <t>26.5 – 27</t>
  </si>
  <si>
    <t>27 – 27.5</t>
  </si>
  <si>
    <t>27.5 – 28</t>
  </si>
  <si>
    <t>28 – 28.5</t>
  </si>
  <si>
    <t>28.5 – 29</t>
  </si>
  <si>
    <t>29 – 29.5</t>
  </si>
  <si>
    <t>29.5 – 30</t>
  </si>
  <si>
    <t>30 – 30.5</t>
  </si>
  <si>
    <t>30.5 – 31</t>
  </si>
  <si>
    <t>31 – 31.5</t>
  </si>
  <si>
    <t>31.5 – 32</t>
  </si>
  <si>
    <t>32 – 32.5</t>
  </si>
  <si>
    <t>32.5 – 33</t>
  </si>
  <si>
    <t>33 – 33.5</t>
  </si>
  <si>
    <t>33.5 – 34</t>
  </si>
  <si>
    <t>34 – 34.5</t>
  </si>
  <si>
    <t>34.5 – 35</t>
  </si>
  <si>
    <t>35 – 35.5</t>
  </si>
  <si>
    <t>35.5 – 36</t>
  </si>
  <si>
    <t>36 – 36.5</t>
  </si>
  <si>
    <t>36.5 – 37</t>
  </si>
  <si>
    <t>37 – 37.5</t>
  </si>
  <si>
    <t>37.5 – 38</t>
  </si>
  <si>
    <t>38 – 38.5</t>
  </si>
  <si>
    <t>38.5 – 39</t>
  </si>
  <si>
    <t>39 – 39.5</t>
  </si>
  <si>
    <t>39.5 – 40</t>
  </si>
  <si>
    <t>40 – 40.5</t>
  </si>
  <si>
    <t>40.5 – 41</t>
  </si>
  <si>
    <t>41 – 41.5</t>
  </si>
  <si>
    <t>41.5 – 42</t>
  </si>
  <si>
    <t>42 – 42.5</t>
  </si>
  <si>
    <t>42.5 – 43</t>
  </si>
  <si>
    <t>43 – 43.5</t>
  </si>
  <si>
    <t>43.5 – 44</t>
  </si>
  <si>
    <t>44 – 44.5</t>
  </si>
  <si>
    <t>44.5 – 45</t>
  </si>
  <si>
    <t>45 – 45.5</t>
  </si>
  <si>
    <t>45.5 – 46</t>
  </si>
  <si>
    <t>46 – 46.5</t>
  </si>
  <si>
    <t>46.5 – 47</t>
  </si>
  <si>
    <t>47 – 47.5</t>
  </si>
  <si>
    <t>47.5 – 48</t>
  </si>
  <si>
    <t>48 – 48.5</t>
  </si>
  <si>
    <t>48.5 – 49</t>
  </si>
  <si>
    <t>49 – 49.5</t>
  </si>
  <si>
    <t>49.5 – 50</t>
  </si>
  <si>
    <t>Above 50</t>
  </si>
  <si>
    <t>All claims</t>
  </si>
  <si>
    <t>The year's gross claims, before reinsurance</t>
  </si>
  <si>
    <t>PROGRAMME   ·   Each plan's layer and its price, its quota share, and this year's recoveries and result.</t>
  </si>
  <si>
    <t>◂  Claims</t>
  </si>
  <si>
    <t>Next:  Results  ▸</t>
  </si>
  <si>
    <t>1   The two programmes</t>
  </si>
  <si>
    <t>The starting plan and the plan in use, read from the Decisions sheet.</t>
  </si>
  <si>
    <t>Decisions sheet</t>
  </si>
  <si>
    <t>Top of the programme</t>
  </si>
  <si>
    <t>Retention + cover: above it, a claim comes back to the insurer</t>
  </si>
  <si>
    <t>Net retention on one claim</t>
  </si>
  <si>
    <t>Retention × (1 − quota share): the most of one claim kept below the top</t>
  </si>
  <si>
    <t>Within the largest net retention</t>
  </si>
  <si>
    <t>TRUE when the net retention is at most the limit on the Inputs sheet</t>
  </si>
  <si>
    <t>2   Excess-of-loss price</t>
  </si>
  <si>
    <t>Calculated exactly from the claim size distribution, not simulated: the price is paid whatever the claims.</t>
  </si>
  <si>
    <t>Layer's payment on one claim: mean</t>
  </si>
  <si>
    <t>VoseMean(VoseDeductObject(severity, retention, cover, TRUE)), zeros included</t>
  </si>
  <si>
    <t>Layer's payment on one claim: std deviation</t>
  </si>
  <si>
    <t>VoseStdev of the same object</t>
  </si>
  <si>
    <t>Expected loss to the layer</t>
  </si>
  <si>
    <t>Claims a year × mean payment on one claim</t>
  </si>
  <si>
    <t>Standard deviation of the layer's annual loss</t>
  </si>
  <si>
    <t>√(claims a year × mean square payment): Poisson claim numbers</t>
  </si>
  <si>
    <t>Expected loss + margin × standard deviation</t>
  </si>
  <si>
    <t>Price ÷ expected loss</t>
  </si>
  <si>
    <t>×</t>
  </si>
  <si>
    <t>A layer rarely hit is charged a larger multiple of its expected loss</t>
  </si>
  <si>
    <t>Rate on line</t>
  </si>
  <si>
    <t>of the cover</t>
  </si>
  <si>
    <t>Price ÷ cover: how the market quotes a layer</t>
  </si>
  <si>
    <t>3   Quota share and expected cost</t>
  </si>
  <si>
    <t>The quota share takes its share of what is left after the layer.</t>
  </si>
  <si>
    <t>Expenses</t>
  </si>
  <si>
    <t>Expense ratio × gross premium; the same in both plans</t>
  </si>
  <si>
    <t>Premium left after the layer</t>
  </si>
  <si>
    <t>What the quota share takes its share of</t>
  </si>
  <si>
    <t>Quota share premium</t>
  </si>
  <si>
    <t>Share × premium left</t>
  </si>
  <si>
    <t>Ceding commission</t>
  </si>
  <si>
    <t>Commission × quota share premium</t>
  </si>
  <si>
    <t>Expected claims ceded to the quota share</t>
  </si>
  <si>
    <t>Share × expected claims left after the layer</t>
  </si>
  <si>
    <t>Expected cost of the programme</t>
  </si>
  <si>
    <t>The reinsurers' expected margin: what the programme takes from the mean result</t>
  </si>
  <si>
    <t>4   This year</t>
  </si>
  <si>
    <t>Both plans meet the same simulated claims. Press F9 to draw another year.</t>
  </si>
  <si>
    <t>Layer recoveries</t>
  </si>
  <si>
    <t>The bands from the retention to the top (Claims sheet), added up</t>
  </si>
  <si>
    <t>Claims left after the layer</t>
  </si>
  <si>
    <t>Gross claims − layer recoveries: below the retention, and above the top</t>
  </si>
  <si>
    <t>Quota share recoveries</t>
  </si>
  <si>
    <t>Share × claims left</t>
  </si>
  <si>
    <t>Claims kept by the insurer</t>
  </si>
  <si>
    <t>Claims left − quota share recoveries</t>
  </si>
  <si>
    <t>5   Value in this iteration</t>
  </si>
  <si>
    <t>Key outputs, recorded by ModelRisk at every sample (VoseOutput). Their statistics appear on the Results sheet.</t>
  </si>
  <si>
    <t>Output</t>
  </si>
  <si>
    <t>Meaning</t>
  </si>
  <si>
    <t>Result:  starting plan</t>
  </si>
  <si>
    <t>Premium − expenses − layer price − quota share premium + commission − claims kept</t>
  </si>
  <si>
    <t>Result:  plan in use</t>
  </si>
  <si>
    <t>Loss:  starting plan</t>
  </si>
  <si>
    <t>Minus the result: for the chart of the loss exceeded once in T years</t>
  </si>
  <si>
    <t>Loss:  plan in use</t>
  </si>
  <si>
    <t>6   Model checks</t>
  </si>
  <si>
    <t>Should all read OK. A CHECK means an input has been set outside the range the model is built for.</t>
  </si>
  <si>
    <t>The plan in use is within the bounds on the Decisions sheet</t>
  </si>
  <si>
    <t>Retention and cover of both plans fall on the bands  (multiples of 500)</t>
  </si>
  <si>
    <t>The top of both programmes is within the bands  (US$50m at most)</t>
  </si>
  <si>
    <t>The Pareto shape is above 1  (the average claim exists)</t>
  </si>
  <si>
    <t>The quota shares and the commission are between 0% and 100%</t>
  </si>
  <si>
    <t>RESULTS   ·   Filled in automatically from the last simulation. Run a simulation after changing any input.</t>
  </si>
  <si>
    <t>◂  Programme</t>
  </si>
  <si>
    <t>1   The plan in use against the starting plan</t>
  </si>
  <si>
    <t>Loss exceeded once in T years</t>
  </si>
  <si>
    <t>The two programmes, and how each does on the same simulated years.</t>
  </si>
  <si>
    <t>Change</t>
  </si>
  <si>
    <t>Measure</t>
  </si>
  <si>
    <t>Mean result</t>
  </si>
  <si>
    <t>1-in-20 result</t>
  </si>
  <si>
    <t>1-in-200 result</t>
  </si>
  <si>
    <t>Standard deviation of the result</t>
  </si>
  <si>
    <t>Chance of a loss</t>
  </si>
  <si>
    <t>of years</t>
  </si>
  <si>
    <t>Worst 1-in-200 result allowed  (− capital)</t>
  </si>
  <si>
    <t>Largest net retention allowed</t>
  </si>
  <si>
    <t>1-in-20 and 1-in-200: the 5th and 0.5th percentiles of the result.  Net retention = retention × (1 − quota share).</t>
  </si>
  <si>
    <t>2   What each programme costs</t>
  </si>
  <si>
    <t>Underwriting result — cumulative probability</t>
  </si>
  <si>
    <t>Exact, not simulated: the reinsurers' expected margin, by which the programme lowers the mean result.</t>
  </si>
  <si>
    <t>Layer: expected loss</t>
  </si>
  <si>
    <t>Layer: price</t>
  </si>
  <si>
    <t>Layer: price ÷ expected loss</t>
  </si>
  <si>
    <t>Quota share: premium less commission</t>
  </si>
  <si>
    <t>Quota share: expected claims ceded</t>
  </si>
  <si>
    <t>Cost = layer price − its expected loss + quota share premium − commission − its expected claims.</t>
  </si>
  <si>
    <t>3   How to read these results</t>
  </si>
  <si>
    <t>•  The broker's programme, a layer from US$2m to US$25m and a 30% quota share, loses about US$14m in the 1-in-200 year: well over the US$10m of capital the insurer holds.</t>
  </si>
  <si>
    <t>•  The Optimizer raises the quota share to 45% and the retention to US$3m. Ceding 45% of every claim keeps the net retention on one claim at about US$1.65m, inside the US$2m allowed. The quota share is cheap here: its commission more than covers the insurer's expenses.</t>
  </si>
  <si>
    <t>•  The higher retention drops the busiest part of the layer, from US$2m to US$3m, whose price is mostly the claims it pays back. The saving pays for the larger quota share and a higher top, US$30m. The 1-in-200 loss falls to just inside the capital, about US$9.8m, and the expected cost of the programme stays about the same.</t>
  </si>
  <si>
    <t>•  Here the plan in use is better on every measure: a slightly higher mean result, less spread, a smaller chance of a loss and a much smaller 1-in-200 loss. Raising the top of the broker's programme would also meet the capital, but at a higher cost than either.</t>
  </si>
  <si>
    <t>•  Claims above the top still come back to the insurer, and the limit looks at the 1-in-200 year only: check the 1-in-500 loss on the chart, and the top against the largest sums insured. Change the capital or the largest net retention and run the Optimizer again: the best mix of layer and quota share changes with them.</t>
  </si>
  <si>
    <t>Chart data</t>
  </si>
  <si>
    <t>Statistics of the last simulation behind the charts and the ranking above. Grouped: click + in the left margin to show them.</t>
  </si>
  <si>
    <t>Cumulative probability</t>
  </si>
  <si>
    <t>Exceedance</t>
  </si>
  <si>
    <t>Out_Result_Start</t>
  </si>
  <si>
    <t>Out_Result_Plan</t>
  </si>
  <si>
    <t>line at MinResult</t>
  </si>
  <si>
    <t>Return period (years)</t>
  </si>
  <si>
    <t>Percentile</t>
  </si>
  <si>
    <t>Out_Loss_Start</t>
  </si>
  <si>
    <t>Out_Loss_Plan</t>
  </si>
  <si>
    <t>MROPTREPO/2.0</t>
  </si>
  <si>
    <t>{"format_version":"1.0","model":"Reinsurance programme: retention, cover and quota share","settings":{"engineKind":0,"optimizationType":0,"useTurboSimulation":true,"gaPopulation":0,"gaProbCrossover":0.8,"gaProbMutation":0.1,"gaSelection":0,"gaTournamentSize":3,"gaElitism":2,"cmaSigma":0.3,"cmaPopulation":0,"cmaUseIPOP":true,"cmaPolishDampStart":0.7,"cmaPolishDampGrowth":0.15,"nelderMeadTol":1e-06,"nelderMeadInitStep":0.05,"bfgsGradH":1e-06,"bfgsStepConvergence":true,"brentTol":1e-13,"projGradConvergenceTol":0.0001,"projGradConvergenceWindow":5,"useCRN":true,"crnSeed":1,"useRandomSeed":false,"useFixedTwister":false,"finalFullMcConfirm":false,"gaProjectLinearConstraints":false,"pathfinderRobust":false,"pathfinderSurrogate":true,"pathfinderGradient":true,"pathfinderCheapExplore":false,"pathfinderFeasGate":true,"pathfinderLeanDescent":true,"pathfinderSoftConstraint":false,"adaptScheme":2,"repMin":200,"repMax":5000,"repFinalTopN":5,"varianceTrancheEpsPct":0.02,"varianceTrancheThreshold":0.8,"varianceTrancheMinK":5,"preFlightEnabled":true,"deterministicSamples":1,"samplingType":3,"userSamples":10000,"conDefType":0,"conDefPenaltyKind":0,"conDefWeight":1.0,"conDefEvalTime":0,"conDefPrecision":0.0,"macroAtOptStart":"","macroBeforeTrial":"","macroAfterTrial":"","macroAtOptEnd":"","useMacroAtOptStart":false,"useMacroBeforeTrial":false,"useMacroAfterTrial":false,"useMacroAtOptEnd":false},"stop":{"maxIterations":400,"maxTimeSeconds":1200.0,"parameterTolerance":1.0,"toleranceUnit":1,"stagnationTrials":120,"stagnationDeviation":1e-06,"stagnationUnit":0,"stopOnError":false,"stopFormulaEnabled":false,"stopFormulaRef":""},"adj":{"variables":[{"cell":{"sheet":"Decisions","row":10,"col":3},"type":2,"min":1000.0,"max":6000.0,"groupIndex":-1,"label":"Retention","discreteSet":[],"step":500.0,"minCell":{"sheet":"Decisions","row":10,"col":5},"maxCell":{"sheet":"Decisions","row":10,"col":6}},{"cell":{"sheet":"Decisions","row":11,"col":3},"type":2,"min":0.0,"max":40000.0,"groupIndex":-1,"label":"Cover above the retention","discreteSet":[],"step":500.0,"minCell":{"sheet":"Decisions","row":11,"col":5},"maxCell":{"sheet":"Decisions","row":11,"col":6}},{"cell":{"sheet":"Decisions","row":12,"col":3},"type":2,"min":0.0,"max":0.5,"groupIndex":-1,"label":"Quota share","discreteSet":[],"step":0.05,"minCell":{"sheet":"Decisions","row":12,"col":5},"maxCell":{"sheet":"Decisions","row":12,"col":6}}],"groups":[]},"objectives":[{"name":"Underwriting result of the plan in use","cell":{"sheet":"Programme","row":48,"col":3},"stat":{"kind":0,"param1":0.0,"param2":0.0},"mode":0,"targetValue":0.0}],"constraints":[{"name":"1-in-200 result","cell":{"sheet":"Programme","row":48,"col":3},"type":0,"softWeight":1.0,"penaltyKind":0,"sixSigma":0,"precision":0.0,"stat":{"kind":7,"param1":0.005,"param2":0.0},"op":1,"rhsA":-10.0,"rhsB":0.0,"formulaCellRef":"","evalTime":2,"rhsACell":{"sheet":"Inputs","row":29,"col":3}},{"name":"Net retention on one claim","cell":{"sheet":"Programme","row":13,"col":4},"type":0,"softWeight":1.0,"penaltyKind":0,"sixSigma":0,"precision":0.0,"stat":{"kind":0,"param1":0.0,"param2":0.0},"op":7,"rhsA":0.0,"rhsB":0.0,"formulaCellRef":"Programme!$E$14","evalTime":2}],"frontier":{"sweptIndex":-1,"lo":0.0,"hi":0.0,"nPoints":5}}</t>
  </si>
  <si>
    <t>Base scenario</t>
  </si>
  <si>
    <t>no further improvement</t>
  </si>
  <si>
    <t>Yes</t>
  </si>
  <si>
    <t>Vertex Detector</t>
  </si>
  <si>
    <t>2026-10-13</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</si>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</sst>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_);\(#,##0\);&quot;–&quot;_)"/>
    <numFmt numFmtId="165" formatCode="#,##0.0_);\(#,##0.0\);&quot;–&quot;_)"/>
    <numFmt numFmtId="166" formatCode="#,##0_);\(#,##0\);0_)"/>
    <numFmt numFmtId="167" formatCode="#,##0.0"/>
    <numFmt numFmtId="168" formatCode="#,##0.00_);\(#,##0.00\);&quot;–&quot;_)"/>
    <numFmt numFmtId="169" formatCode="&quot;no limit&quot;"/>
    <numFmt numFmtId="170" formatCode="0.0%"/>
    <numFmt numFmtId="171" formatCode="#,##0_);\(#,##0\);&quot;–&quot;_);&quot;–&quot;"/>
    <numFmt numFmtId="172" formatCode="#,##0_);\(#,##0\);0_);&quot;–&quot;"/>
    <numFmt numFmtId="173" formatCode="0%;\-0%;0%;&quot;–&quot;"/>
    <numFmt numFmtId="174" formatCode="#,##0.00_);\(#,##0.00\);&quot;–&quot;_);&quot;–&quot;"/>
    <numFmt numFmtId="175" formatCode="0.0%;\-0.0%;0.0%;&quot;–&quot;"/>
    <numFmt numFmtId="176" formatCode="0.00;\-0.00;0.00;&quot;–&quot;"/>
  </numFmts>
  <fonts count="23" x14ac:knownFonts="1">
    <font>
      <sz val="11"/>
      <color theme="1"/>
      <name val="Calibri"/>
      <family val="2"/>
      <scheme val="minor"/>
    </font>
    <font>
      <sz val="10"/>
      <color rgb="FF0E4F92"/>
      <name val="Calibri"/>
      <family val="2"/>
      <charset val="204"/>
    </font>
    <font>
      <sz val="10"/>
      <color rgb="FF9A3412"/>
      <name val="Calibri"/>
      <family val="2"/>
      <charset val="204"/>
    </font>
    <font>
      <sz val="10"/>
      <color rgb="FF0F2A47"/>
      <name val="Calibri"/>
      <family val="2"/>
      <charset val="204"/>
    </font>
    <font>
      <b/>
      <sz val="10"/>
      <color rgb="FF14532D"/>
      <name val="Calibri"/>
      <family val="2"/>
      <charset val="204"/>
    </font>
    <font>
      <b/>
      <sz val="10"/>
      <color rgb="FF0E4F92"/>
      <name val="Calibri"/>
      <family val="2"/>
      <charset val="204"/>
    </font>
    <font>
      <b/>
      <sz val="16"/>
      <color rgb="FFFFFFFF"/>
      <name val="Calibri"/>
      <family val="2"/>
      <charset val="204"/>
    </font>
    <font>
      <sz val="10"/>
      <color rgb="FFD6E2F0"/>
      <name val="Calibri"/>
      <family val="2"/>
      <charset val="204"/>
    </font>
    <font>
      <sz val="9"/>
      <color rgb="FFD6E2F0"/>
      <name val="Calibri"/>
      <family val="2"/>
      <charset val="204"/>
    </font>
    <font>
      <u/>
      <sz val="9"/>
      <color rgb="FF0E4F92"/>
      <name val="Calibri"/>
      <family val="2"/>
      <charset val="204"/>
    </font>
    <font>
      <b/>
      <sz val="20"/>
      <color rgb="FFFFFFFF"/>
      <name val="Calibri"/>
      <family val="2"/>
      <charset val="204"/>
    </font>
    <font>
      <b/>
      <sz val="12"/>
      <color rgb="FF0E4F92"/>
      <name val="Calibri"/>
      <family val="2"/>
      <charset val="204"/>
    </font>
    <font>
      <b/>
      <sz val="10"/>
      <color rgb="FF3F5876"/>
      <name val="Calibri"/>
      <family val="2"/>
      <charset val="204"/>
    </font>
    <font>
      <b/>
      <sz val="10"/>
      <color rgb="FF0F2A47"/>
      <name val="Calibri"/>
      <family val="2"/>
      <charset val="204"/>
    </font>
    <font>
      <i/>
      <sz val="9"/>
      <color rgb="FF3F5876"/>
      <name val="Calibri"/>
      <family val="2"/>
      <charset val="204"/>
    </font>
    <font>
      <u/>
      <sz val="10"/>
      <color rgb="FF0E4F92"/>
      <name val="Calibri"/>
      <family val="2"/>
      <charset val="204"/>
    </font>
    <font>
      <i/>
      <sz val="9"/>
      <color rgb="FF8AA0BA"/>
      <name val="Calibri"/>
      <family val="2"/>
      <charset val="204"/>
    </font>
    <font>
      <b/>
      <sz val="9"/>
      <color rgb="FF3F5876"/>
      <name val="Calibri"/>
      <family val="2"/>
      <charset val="204"/>
    </font>
    <font>
      <sz val="9"/>
      <color rgb="FF3F5876"/>
      <name val="Calibri"/>
      <family val="2"/>
      <charset val="204"/>
    </font>
    <font>
      <sz val="8"/>
      <color rgb="FF3F5876"/>
      <name val="Calibri"/>
      <family val="2"/>
      <charset val="204"/>
    </font>
    <font>
      <b/>
      <sz val="10"/>
      <color rgb="FF15803D"/>
      <name val="Calibri"/>
      <family val="2"/>
      <charset val="204"/>
    </font>
    <font>
      <b/>
      <sz val="9"/>
      <color rgb="FF15803D"/>
      <name val="Calibri"/>
      <family val="2"/>
      <charset val="204"/>
    </font>
    <font>
      <b/>
      <sz val="11"/>
      <color rgb="FF0E4F92"/>
      <name val="Calibri"/>
      <family val="2"/>
      <charset val="204"/>
    </font>
  </fonts>
  <fills count="9">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DBEAFE"/>
        <bgColor rgb="FFDBEAFE"/>
      </patternFill>
    </fill>
    <fill>
      <patternFill patternType="solid">
        <fgColor rgb="FF0E4F92"/>
        <bgColor rgb="FF0E4F92"/>
      </patternFill>
    </fill>
    <fill>
      <patternFill patternType="solid">
        <fgColor rgb="FFEEF1F5"/>
        <bgColor rgb="FFEEF1F5"/>
      </patternFill>
    </fill>
  </fills>
  <borders count="14">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style="thin">
        <color rgb="FF0E4F92"/>
      </left>
      <right style="thin">
        <color rgb="FF0E4F92"/>
      </right>
      <top style="thin">
        <color rgb="FF0E4F92"/>
      </top>
      <bottom style="thin">
        <color rgb="FF0E4F92"/>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0E4F92"/>
      </left>
      <right style="thin">
        <color rgb="FF0E4F92"/>
      </right>
      <top style="thin">
        <color rgb="FF0E4F92"/>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7">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xf numFmtId="0" fontId="5" fillId="6" borderId="4">
      <alignment horizontal="right" vertical="center"/>
    </xf>
  </cellStyleXfs>
  <cellXfs count="98">
    <xf numFmtId="0" fontId="0" fillId="0" borderId="0" xfId="0"/>
    <xf numFmtId="0" fontId="0" fillId="7" borderId="0" xfId="0" applyFill="1"/>
    <xf numFmtId="0" fontId="10" fillId="7" borderId="0" xfId="0" applyFont="1" applyFill="1" applyAlignment="1">
      <alignment vertical="center"/>
    </xf>
    <xf numFmtId="0" fontId="8" fillId="7" borderId="0" xfId="0" applyFont="1" applyFill="1" applyAlignment="1">
      <alignment horizontal="right" vertical="center"/>
    </xf>
    <xf numFmtId="0" fontId="7" fillId="7" borderId="0" xfId="0" applyFont="1" applyFill="1" applyAlignment="1">
      <alignment vertical="center"/>
    </xf>
    <xf numFmtId="0" fontId="0" fillId="8" borderId="5" xfId="0" applyFill="1" applyBorder="1"/>
    <xf numFmtId="0" fontId="9" fillId="8" borderId="5" xfId="0" applyFont="1" applyFill="1" applyBorder="1" applyAlignment="1">
      <alignment horizontal="right" vertical="center"/>
    </xf>
    <xf numFmtId="0" fontId="11" fillId="0" borderId="6" xfId="0" applyFont="1" applyBorder="1"/>
    <xf numFmtId="0" fontId="0" fillId="0" borderId="6" xfId="0" applyBorder="1"/>
    <xf numFmtId="0" fontId="12" fillId="0" borderId="7" xfId="0" applyFont="1" applyBorder="1" applyAlignment="1">
      <alignment horizontal="left" vertical="top" indent="1"/>
    </xf>
    <xf numFmtId="0" fontId="3" fillId="0" borderId="7" xfId="0" applyFont="1" applyBorder="1" applyAlignment="1">
      <alignment horizontal="left" vertical="top" wrapText="1" indent="1"/>
    </xf>
    <xf numFmtId="0" fontId="13" fillId="0" borderId="7" xfId="0" applyFont="1" applyBorder="1" applyAlignment="1">
      <alignment horizontal="left" vertical="top" wrapText="1" indent="1"/>
    </xf>
    <xf numFmtId="0" fontId="3" fillId="0" borderId="0" xfId="0" applyFont="1" applyAlignment="1">
      <alignment horizontal="left" vertical="top" wrapText="1" indent="1"/>
    </xf>
    <xf numFmtId="0" fontId="14" fillId="0" borderId="0" xfId="0" applyFont="1" applyAlignment="1">
      <alignment vertical="center"/>
    </xf>
    <xf numFmtId="0" fontId="15" fillId="0" borderId="7"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5" fillId="6" borderId="4" xfId="6"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5" fillId="0" borderId="7" xfId="0" applyFont="1" applyBorder="1" applyAlignment="1">
      <alignment horizontal="left" vertical="top" wrapText="1" indent="1"/>
    </xf>
    <xf numFmtId="0" fontId="6" fillId="7" borderId="0" xfId="0" applyFont="1" applyFill="1" applyAlignment="1">
      <alignment vertical="center"/>
    </xf>
    <xf numFmtId="0" fontId="9" fillId="8" borderId="5" xfId="0" applyFont="1" applyFill="1" applyBorder="1" applyAlignment="1">
      <alignment vertical="center"/>
    </xf>
    <xf numFmtId="0" fontId="17" fillId="8" borderId="5" xfId="0" applyFont="1" applyFill="1" applyBorder="1" applyAlignment="1">
      <alignment horizontal="left" vertical="center" wrapText="1" indent="1"/>
    </xf>
    <xf numFmtId="0" fontId="17" fillId="8" borderId="5" xfId="0" applyFont="1" applyFill="1" applyBorder="1" applyAlignment="1">
      <alignment horizontal="right" vertical="center" wrapText="1"/>
    </xf>
    <xf numFmtId="0" fontId="3" fillId="0" borderId="7" xfId="0" applyFont="1" applyBorder="1" applyAlignment="1">
      <alignment horizontal="left" vertical="center" indent="1"/>
    </xf>
    <xf numFmtId="0" fontId="18" fillId="0" borderId="7" xfId="0" applyFont="1" applyBorder="1" applyAlignment="1">
      <alignment horizontal="left" vertical="center" indent="1"/>
    </xf>
    <xf numFmtId="164" fontId="1" fillId="2" borderId="8" xfId="1" applyNumberFormat="1" applyBorder="1">
      <alignment horizontal="right" vertical="center"/>
    </xf>
    <xf numFmtId="0" fontId="0" fillId="0" borderId="7" xfId="0" applyBorder="1"/>
    <xf numFmtId="0" fontId="18" fillId="0" borderId="7" xfId="0" applyFont="1" applyBorder="1" applyAlignment="1">
      <alignment horizontal="left" vertical="center" wrapText="1" indent="1"/>
    </xf>
    <xf numFmtId="165" fontId="1" fillId="2" borderId="8" xfId="1" applyNumberFormat="1" applyBorder="1">
      <alignment horizontal="right" vertical="center"/>
    </xf>
    <xf numFmtId="2" fontId="1" fillId="2" borderId="8" xfId="1" applyNumberFormat="1" applyBorder="1">
      <alignment horizontal="right" vertical="center"/>
    </xf>
    <xf numFmtId="9" fontId="1" fillId="2" borderId="8" xfId="1" applyNumberFormat="1" applyBorder="1">
      <alignment horizontal="right" vertical="center"/>
    </xf>
    <xf numFmtId="165" fontId="3" fillId="0" borderId="9" xfId="3" applyNumberFormat="1" applyBorder="1">
      <alignment horizontal="right" vertical="center"/>
    </xf>
    <xf numFmtId="0" fontId="17" fillId="8" borderId="5" xfId="0" applyFont="1" applyFill="1" applyBorder="1" applyAlignment="1">
      <alignment horizontal="left" vertical="center" indent="1"/>
    </xf>
    <xf numFmtId="0" fontId="17" fillId="8" borderId="5" xfId="0" applyFont="1" applyFill="1" applyBorder="1" applyAlignment="1">
      <alignment horizontal="right" vertical="center"/>
    </xf>
    <xf numFmtId="164" fontId="5" fillId="6" borderId="10" xfId="6" applyNumberFormat="1" applyBorder="1">
      <alignment horizontal="right" vertical="center"/>
    </xf>
    <xf numFmtId="166" fontId="5" fillId="6" borderId="10" xfId="6" applyNumberFormat="1" applyBorder="1">
      <alignment horizontal="right" vertical="center"/>
    </xf>
    <xf numFmtId="166" fontId="1" fillId="2" borderId="8" xfId="1" applyNumberFormat="1" applyBorder="1">
      <alignment horizontal="right" vertical="center"/>
    </xf>
    <xf numFmtId="9" fontId="5" fillId="6" borderId="10" xfId="6" applyNumberFormat="1" applyBorder="1">
      <alignment horizontal="right" vertical="center"/>
    </xf>
    <xf numFmtId="0" fontId="13" fillId="0" borderId="7" xfId="0" applyFont="1" applyBorder="1" applyAlignment="1">
      <alignment horizontal="left" vertical="center" indent="1"/>
    </xf>
    <xf numFmtId="0" fontId="13" fillId="0" borderId="7" xfId="0" applyFont="1" applyBorder="1" applyAlignment="1">
      <alignment horizontal="right" vertical="center"/>
    </xf>
    <xf numFmtId="0" fontId="3" fillId="0" borderId="9" xfId="3" applyBorder="1">
      <alignment horizontal="right" vertical="center"/>
    </xf>
    <xf numFmtId="3" fontId="3" fillId="0" borderId="9" xfId="3" applyNumberFormat="1" applyBorder="1">
      <alignment horizontal="right" vertical="center"/>
    </xf>
    <xf numFmtId="167" fontId="3" fillId="0" borderId="9" xfId="3" applyNumberFormat="1" applyBorder="1">
      <alignment horizontal="right" vertical="center"/>
    </xf>
    <xf numFmtId="4" fontId="3" fillId="0" borderId="9" xfId="3" applyNumberFormat="1" applyBorder="1">
      <alignment horizontal="right" vertical="center"/>
    </xf>
    <xf numFmtId="164" fontId="3" fillId="0" borderId="9" xfId="3" applyNumberFormat="1" applyBorder="1">
      <alignment horizontal="right" vertical="center"/>
    </xf>
    <xf numFmtId="0" fontId="3" fillId="0" borderId="9" xfId="3" applyBorder="1" applyAlignment="1">
      <alignment horizontal="left" vertical="center" indent="1"/>
    </xf>
    <xf numFmtId="168" fontId="3" fillId="0" borderId="9" xfId="3" applyNumberFormat="1" applyBorder="1">
      <alignment horizontal="right" vertical="center"/>
    </xf>
    <xf numFmtId="0" fontId="17" fillId="8" borderId="2" xfId="0" applyFont="1" applyFill="1" applyBorder="1" applyAlignment="1">
      <alignment horizontal="left" vertical="center" indent="1"/>
    </xf>
    <xf numFmtId="0" fontId="17" fillId="8" borderId="2" xfId="0" applyFont="1" applyFill="1" applyBorder="1" applyAlignment="1">
      <alignment horizontal="right" vertical="center"/>
    </xf>
    <xf numFmtId="0" fontId="17" fillId="8" borderId="2" xfId="0" applyFont="1" applyFill="1" applyBorder="1" applyAlignment="1">
      <alignment horizontal="center" vertical="center"/>
    </xf>
    <xf numFmtId="0" fontId="19" fillId="8" borderId="5" xfId="0" applyFont="1" applyFill="1" applyBorder="1" applyAlignment="1">
      <alignment horizontal="right" vertical="center"/>
    </xf>
    <xf numFmtId="0" fontId="19" fillId="8" borderId="5" xfId="0" applyFont="1" applyFill="1" applyBorder="1" applyAlignment="1">
      <alignment horizontal="center" vertical="center"/>
    </xf>
    <xf numFmtId="166" fontId="3" fillId="0" borderId="9" xfId="3" applyNumberFormat="1" applyBorder="1">
      <alignment horizontal="right" vertical="center"/>
    </xf>
    <xf numFmtId="168" fontId="2" fillId="3" borderId="8" xfId="2" applyNumberFormat="1" applyBorder="1">
      <alignment horizontal="right" vertical="center"/>
    </xf>
    <xf numFmtId="0" fontId="18" fillId="0" borderId="0" xfId="0" applyFont="1" applyAlignment="1">
      <alignment horizontal="left" vertical="center" indent="1"/>
    </xf>
    <xf numFmtId="169" fontId="3" fillId="0" borderId="9" xfId="3" applyNumberFormat="1" applyBorder="1">
      <alignment horizontal="right" vertical="center"/>
    </xf>
    <xf numFmtId="0" fontId="13" fillId="0" borderId="11" xfId="0" applyFont="1" applyBorder="1" applyAlignment="1">
      <alignment horizontal="left" vertical="center" indent="1"/>
    </xf>
    <xf numFmtId="0" fontId="0" fillId="0" borderId="11" xfId="0" applyBorder="1"/>
    <xf numFmtId="168" fontId="13" fillId="0" borderId="11" xfId="3" applyNumberFormat="1" applyFont="1" applyBorder="1">
      <alignment horizontal="right" vertical="center"/>
    </xf>
    <xf numFmtId="9" fontId="3" fillId="0" borderId="9" xfId="3" applyNumberFormat="1" applyBorder="1">
      <alignment horizontal="right" vertical="center"/>
    </xf>
    <xf numFmtId="2" fontId="3" fillId="0" borderId="9" xfId="3" applyNumberFormat="1" applyBorder="1">
      <alignment horizontal="right" vertical="center"/>
    </xf>
    <xf numFmtId="170" fontId="3" fillId="0" borderId="9" xfId="3" applyNumberFormat="1" applyBorder="1">
      <alignment horizontal="right" vertical="center"/>
    </xf>
    <xf numFmtId="168" fontId="4" fillId="4" borderId="12" xfId="4" applyNumberFormat="1" applyBorder="1">
      <alignment horizontal="right" vertical="center"/>
    </xf>
    <xf numFmtId="0" fontId="20" fillId="0" borderId="7" xfId="0" applyFont="1" applyBorder="1" applyAlignment="1">
      <alignment horizontal="center" vertical="center"/>
    </xf>
    <xf numFmtId="0" fontId="5" fillId="5" borderId="13" xfId="0" applyFont="1" applyFill="1" applyBorder="1" applyAlignment="1">
      <alignment horizontal="left" vertical="center" indent="1"/>
    </xf>
    <xf numFmtId="0" fontId="0" fillId="5" borderId="13" xfId="0" applyFill="1" applyBorder="1"/>
    <xf numFmtId="0" fontId="22" fillId="0" borderId="6" xfId="0" applyFont="1" applyBorder="1"/>
    <xf numFmtId="164" fontId="5" fillId="0" borderId="9" xfId="3" applyNumberFormat="1" applyFont="1" applyBorder="1">
      <alignment horizontal="right" vertical="center"/>
    </xf>
    <xf numFmtId="171" fontId="3" fillId="0" borderId="9" xfId="3" applyNumberFormat="1" applyBorder="1">
      <alignment horizontal="right" vertical="center"/>
    </xf>
    <xf numFmtId="166" fontId="5" fillId="0" borderId="9" xfId="3" applyNumberFormat="1" applyFont="1" applyBorder="1">
      <alignment horizontal="right" vertical="center"/>
    </xf>
    <xf numFmtId="172" fontId="3" fillId="0" borderId="9" xfId="3" applyNumberFormat="1" applyBorder="1">
      <alignment horizontal="right" vertical="center"/>
    </xf>
    <xf numFmtId="9" fontId="5" fillId="0" borderId="9" xfId="3" applyNumberFormat="1" applyFont="1" applyBorder="1">
      <alignment horizontal="right" vertical="center"/>
    </xf>
    <xf numFmtId="173" fontId="3" fillId="0" borderId="9" xfId="3" applyNumberFormat="1" applyBorder="1">
      <alignment horizontal="right" vertical="center"/>
    </xf>
    <xf numFmtId="171" fontId="1" fillId="5" borderId="8" xfId="5" applyNumberFormat="1" applyBorder="1">
      <alignment horizontal="right" vertical="center"/>
    </xf>
    <xf numFmtId="174" fontId="1" fillId="5" borderId="8" xfId="5" applyNumberFormat="1" applyBorder="1">
      <alignment horizontal="right" vertical="center"/>
    </xf>
    <xf numFmtId="174" fontId="3" fillId="0" borderId="9" xfId="3" applyNumberFormat="1" applyBorder="1">
      <alignment horizontal="right" vertical="center"/>
    </xf>
    <xf numFmtId="0" fontId="21" fillId="0" borderId="7" xfId="0" applyFont="1" applyBorder="1" applyAlignment="1">
      <alignment horizontal="right" vertical="center"/>
    </xf>
    <xf numFmtId="175" fontId="1" fillId="5" borderId="8" xfId="5" applyNumberFormat="1" applyBorder="1">
      <alignment horizontal="right" vertical="center"/>
    </xf>
    <xf numFmtId="175" fontId="3" fillId="0" borderId="9" xfId="3" applyNumberFormat="1" applyBorder="1">
      <alignment horizontal="right" vertical="center"/>
    </xf>
    <xf numFmtId="0" fontId="14" fillId="0" borderId="0" xfId="0" applyFont="1" applyAlignment="1">
      <alignment horizontal="left" vertical="center" indent="1"/>
    </xf>
    <xf numFmtId="176" fontId="1" fillId="5" borderId="8" xfId="5" applyNumberFormat="1" applyBorder="1">
      <alignment horizontal="right" vertical="center"/>
    </xf>
    <xf numFmtId="176" fontId="3" fillId="0" borderId="9" xfId="3"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3" fontId="3" fillId="0" borderId="2" xfId="3" applyNumberFormat="1">
      <alignment horizontal="right" vertical="center"/>
    </xf>
    <xf numFmtId="170" fontId="3" fillId="0" borderId="2" xfId="3" applyNumberFormat="1">
      <alignment horizontal="right" vertical="center"/>
    </xf>
    <xf numFmtId="49" fontId="0" fillId="0" borderId="0" xfId="0" applyNumberFormat="1"/>
    <xf numFmtId="0" fontId="16" fillId="0" borderId="0" xfId="0" applyFont="1"/>
    <xf numFmtId="0" fontId="0" fillId="0" borderId="0" xfId="0"/>
    <xf numFmtId="0" fontId="3" fillId="0" borderId="0" xfId="0" applyFont="1" applyAlignment="1">
      <alignment horizontal="left" vertical="top" wrapText="1" indent="1"/>
    </xf>
    <xf numFmtId="0" fontId="14" fillId="0" borderId="0" xfId="0" applyFont="1" applyAlignment="1">
      <alignment horizontal="left" vertical="center" wrapText="1" indent="1"/>
    </xf>
    <xf numFmtId="0" fontId="18" fillId="0" borderId="7" xfId="0" applyFont="1" applyBorder="1" applyAlignment="1">
      <alignment horizontal="left" vertical="center" indent="1"/>
    </xf>
    <xf numFmtId="0" fontId="0" fillId="0" borderId="7" xfId="0" applyBorder="1"/>
    <xf numFmtId="0" fontId="3" fillId="0" borderId="9" xfId="3" quotePrefix="1" applyBorder="1">
      <alignment horizontal="right" vertical="center"/>
    </xf>
    <xf numFmtId="0" fontId="0" fillId="0" borderId="0" xfId="0" applyAlignment="1"/>
  </cellXfs>
  <cellStyles count="7">
    <cellStyle name="Normal" xfId="0" builtinId="0"/>
    <cellStyle name="Vose Calculation" xfId="3" xr:uid="{00000000-0005-0000-0000-000003000000}"/>
    <cellStyle name="Vose Decision" xfId="6" xr:uid="{00000000-0005-0000-0000-000006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9">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ill>
        <patternFill patternType="solid">
          <fgColor rgb="FFFEF3C7"/>
          <bgColor rgb="FFFEF3C7"/>
        </patternFill>
      </fill>
    </dxf>
    <dxf>
      <fill>
        <patternFill patternType="solid">
          <fgColor rgb="FFDBEAFE"/>
          <bgColor rgb="FFDBEAFE"/>
        </patternFill>
      </fill>
    </dxf>
    <dxf>
      <fill>
        <patternFill patternType="solid">
          <fgColor rgb="FFFEF3C7"/>
          <bgColor rgb="FFFEF3C7"/>
        </patternFill>
      </fill>
    </dxf>
    <dxf>
      <fill>
        <patternFill patternType="solid">
          <fgColor rgb="FFDBEAFE"/>
          <bgColor rgb="FFDBEAF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Starting plan</c:v>
          </c:tx>
          <c:spPr>
            <a:ln w="22000">
              <a:solidFill>
                <a:srgbClr val="0E4F92"/>
              </a:solidFill>
              <a:prstDash val="solid"/>
            </a:ln>
          </c:spPr>
          <c:marker>
            <c:symbol val="circle"/>
            <c:size val="4"/>
            <c:spPr>
              <a:solidFill>
                <a:srgbClr val="0E4F92"/>
              </a:solidFill>
              <a:ln>
                <a:solidFill>
                  <a:srgbClr val="0E4F92"/>
                </a:solidFill>
                <a:prstDash val="solid"/>
              </a:ln>
            </c:spPr>
          </c:marker>
          <c:xVal>
            <c:numRef>
              <c:f>Results!$B$107:$B$113</c:f>
              <c:numCache>
                <c:formatCode>#,##0</c:formatCode>
                <c:ptCount val="7"/>
                <c:pt idx="0">
                  <c:v>5</c:v>
                </c:pt>
                <c:pt idx="1">
                  <c:v>10</c:v>
                </c:pt>
                <c:pt idx="2">
                  <c:v>20</c:v>
                </c:pt>
                <c:pt idx="3">
                  <c:v>50</c:v>
                </c:pt>
                <c:pt idx="4">
                  <c:v>100</c:v>
                </c:pt>
                <c:pt idx="5">
                  <c:v>200</c:v>
                </c:pt>
                <c:pt idx="6">
                  <c:v>500</c:v>
                </c:pt>
              </c:numCache>
            </c:numRef>
          </c:xVal>
          <c:yVal>
            <c:numRef>
              <c:f>Results!$D$107:$D$113</c:f>
              <c:numCache>
                <c:formatCode>#,##0.00</c:formatCode>
                <c:ptCount val="7"/>
                <c:pt idx="0">
                  <c:v>1.1366432884560282</c:v>
                </c:pt>
                <c:pt idx="1">
                  <c:v>2.9388485747097874</c:v>
                </c:pt>
                <c:pt idx="2">
                  <c:v>4.5954741774119157</c:v>
                </c:pt>
                <c:pt idx="3">
                  <c:v>6.7647830768005015</c:v>
                </c:pt>
                <c:pt idx="4">
                  <c:v>9.0018675558091559</c:v>
                </c:pt>
                <c:pt idx="5">
                  <c:v>14.195595312079487</c:v>
                </c:pt>
                <c:pt idx="6">
                  <c:v>31.362168474469339</c:v>
                </c:pt>
              </c:numCache>
            </c:numRef>
          </c:yVal>
          <c:smooth val="0"/>
          <c:extLst>
            <c:ext xmlns:c16="http://schemas.microsoft.com/office/drawing/2014/chart" uri="{C3380CC4-5D6E-409C-BE32-E72D297353CC}">
              <c16:uniqueId val="{00000000-1701-43AC-8914-261BA8F2106C}"/>
            </c:ext>
          </c:extLst>
        </c:ser>
        <c:ser>
          <c:idx val="1"/>
          <c:order val="1"/>
          <c:tx>
            <c:v>Plan in use</c:v>
          </c:tx>
          <c:spPr>
            <a:ln w="22000">
              <a:solidFill>
                <a:srgbClr val="B45309"/>
              </a:solidFill>
              <a:prstDash val="solid"/>
            </a:ln>
          </c:spPr>
          <c:marker>
            <c:symbol val="circle"/>
            <c:size val="4"/>
            <c:spPr>
              <a:solidFill>
                <a:srgbClr val="B45309"/>
              </a:solidFill>
              <a:ln>
                <a:solidFill>
                  <a:srgbClr val="B45309"/>
                </a:solidFill>
                <a:prstDash val="solid"/>
              </a:ln>
            </c:spPr>
          </c:marker>
          <c:xVal>
            <c:numRef>
              <c:f>Results!$B$107:$B$113</c:f>
              <c:numCache>
                <c:formatCode>#,##0</c:formatCode>
                <c:ptCount val="7"/>
                <c:pt idx="0">
                  <c:v>5</c:v>
                </c:pt>
                <c:pt idx="1">
                  <c:v>10</c:v>
                </c:pt>
                <c:pt idx="2">
                  <c:v>20</c:v>
                </c:pt>
                <c:pt idx="3">
                  <c:v>50</c:v>
                </c:pt>
                <c:pt idx="4">
                  <c:v>100</c:v>
                </c:pt>
                <c:pt idx="5">
                  <c:v>200</c:v>
                </c:pt>
                <c:pt idx="6">
                  <c:v>500</c:v>
                </c:pt>
              </c:numCache>
            </c:numRef>
          </c:xVal>
          <c:yVal>
            <c:numRef>
              <c:f>Results!$E$107:$E$113</c:f>
              <c:numCache>
                <c:formatCode>#,##0.00</c:formatCode>
                <c:ptCount val="7"/>
                <c:pt idx="0">
                  <c:v>0.88472003647740038</c:v>
                </c:pt>
                <c:pt idx="1">
                  <c:v>2.464839893465264</c:v>
                </c:pt>
                <c:pt idx="2">
                  <c:v>4.0586203625095187</c:v>
                </c:pt>
                <c:pt idx="3">
                  <c:v>5.9086934858901934</c:v>
                </c:pt>
                <c:pt idx="4">
                  <c:v>7.4465764840389959</c:v>
                </c:pt>
                <c:pt idx="5">
                  <c:v>9.7846865683178841</c:v>
                </c:pt>
                <c:pt idx="6">
                  <c:v>21.793932589627847</c:v>
                </c:pt>
              </c:numCache>
            </c:numRef>
          </c:yVal>
          <c:smooth val="0"/>
          <c:extLst>
            <c:ext xmlns:c16="http://schemas.microsoft.com/office/drawing/2014/chart" uri="{C3380CC4-5D6E-409C-BE32-E72D297353CC}">
              <c16:uniqueId val="{00000001-1701-43AC-8914-261BA8F2106C}"/>
            </c:ext>
          </c:extLst>
        </c:ser>
        <c:dLbls>
          <c:showLegendKey val="0"/>
          <c:showVal val="0"/>
          <c:showCatName val="0"/>
          <c:showSerName val="0"/>
          <c:showPercent val="0"/>
          <c:showBubbleSize val="0"/>
        </c:dLbls>
        <c:axId val="10"/>
        <c:axId val="20"/>
      </c:scatterChart>
      <c:valAx>
        <c:axId val="10"/>
        <c:scaling>
          <c:logBase val="10"/>
          <c:orientation val="minMax"/>
          <c:max val="1000"/>
          <c:min val="1"/>
        </c:scaling>
        <c:delete val="0"/>
        <c:axPos val="b"/>
        <c:title>
          <c:tx>
            <c:rich>
              <a:bodyPr/>
              <a:lstStyle/>
              <a:p>
                <a:pPr>
                  <a:defRPr/>
                </a:pPr>
                <a:r>
                  <a:rPr lang="en-US"/>
                  <a:t>Return period (years, logarithmic scale)</a:t>
                </a:r>
              </a:p>
            </c:rich>
          </c:tx>
          <c:overlay val="0"/>
        </c:title>
        <c:numFmt formatCode="#,##0" sourceLinked="0"/>
        <c:majorTickMark val="none"/>
        <c:minorTickMark val="none"/>
        <c:tickLblPos val="nextTo"/>
        <c:crossAx val="20"/>
        <c:crosses val="autoZero"/>
        <c:crossBetween val="midCat"/>
      </c:valAx>
      <c:valAx>
        <c:axId val="20"/>
        <c:scaling>
          <c:orientation val="minMax"/>
          <c:min val="0"/>
        </c:scaling>
        <c:delete val="0"/>
        <c:axPos val="l"/>
        <c:majorGridlines>
          <c:spPr>
            <a:ln>
              <a:solidFill>
                <a:srgbClr val="E4E9F0"/>
              </a:solidFill>
              <a:prstDash val="solid"/>
            </a:ln>
          </c:spPr>
        </c:majorGridlines>
        <c:title>
          <c:tx>
            <c:rich>
              <a:bodyPr/>
              <a:lstStyle/>
              <a:p>
                <a:pPr>
                  <a:defRPr/>
                </a:pPr>
                <a:r>
                  <a:rPr lang="en-US"/>
                  <a:t>US$m loss</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Starting plan</c:v>
          </c:tx>
          <c:spPr>
            <a:ln w="25400">
              <a:solidFill>
                <a:srgbClr val="0E4F92"/>
              </a:solidFill>
              <a:prstDash val="solid"/>
            </a:ln>
          </c:spPr>
          <c:marker>
            <c:symbol val="none"/>
          </c:marker>
          <c:xVal>
            <c:numRef>
              <c:f>Results!$D$55:$D$104</c:f>
              <c:numCache>
                <c:formatCode>#,##0.00</c:formatCode>
                <c:ptCount val="50"/>
                <c:pt idx="0">
                  <c:v>-9.0279480983675846</c:v>
                </c:pt>
                <c:pt idx="1">
                  <c:v>-5.7229419291379564</c:v>
                </c:pt>
                <c:pt idx="2">
                  <c:v>-4.596926730509221</c:v>
                </c:pt>
                <c:pt idx="3">
                  <c:v>-3.8517869122939565</c:v>
                </c:pt>
                <c:pt idx="4">
                  <c:v>-3.2223231265615446</c:v>
                </c:pt>
                <c:pt idx="5">
                  <c:v>-2.7389684454864671</c:v>
                </c:pt>
                <c:pt idx="6">
                  <c:v>-2.2911652416949515</c:v>
                </c:pt>
                <c:pt idx="7">
                  <c:v>-1.9220744200188982</c:v>
                </c:pt>
                <c:pt idx="8">
                  <c:v>-1.5826376449266739</c:v>
                </c:pt>
                <c:pt idx="9">
                  <c:v>-1.290992718056966</c:v>
                </c:pt>
                <c:pt idx="10">
                  <c:v>-1.0121920685716681</c:v>
                </c:pt>
                <c:pt idx="11">
                  <c:v>-0.7485918576073054</c:v>
                </c:pt>
                <c:pt idx="12">
                  <c:v>-0.51182841030346182</c:v>
                </c:pt>
                <c:pt idx="13">
                  <c:v>-0.25368814267390505</c:v>
                </c:pt>
                <c:pt idx="14">
                  <c:v>-2.6256767605552511E-3</c:v>
                </c:pt>
                <c:pt idx="15">
                  <c:v>0.21285702344124147</c:v>
                </c:pt>
                <c:pt idx="16">
                  <c:v>0.44692919512045037</c:v>
                </c:pt>
                <c:pt idx="17">
                  <c:v>0.64981058488779908</c:v>
                </c:pt>
                <c:pt idx="18">
                  <c:v>0.86110802941749043</c:v>
                </c:pt>
                <c:pt idx="19">
                  <c:v>1.0725817077385891</c:v>
                </c:pt>
                <c:pt idx="20">
                  <c:v>1.2572470131097226</c:v>
                </c:pt>
                <c:pt idx="21">
                  <c:v>1.4625558277467299</c:v>
                </c:pt>
                <c:pt idx="22">
                  <c:v>1.6402845772019887</c:v>
                </c:pt>
                <c:pt idx="23">
                  <c:v>1.8073917516359579</c:v>
                </c:pt>
                <c:pt idx="24">
                  <c:v>1.9831539821928139</c:v>
                </c:pt>
                <c:pt idx="25">
                  <c:v>2.1920068458963335</c:v>
                </c:pt>
                <c:pt idx="26">
                  <c:v>2.3648871000914831</c:v>
                </c:pt>
                <c:pt idx="27">
                  <c:v>2.5639734667111718</c:v>
                </c:pt>
                <c:pt idx="28">
                  <c:v>2.7558635162005451</c:v>
                </c:pt>
                <c:pt idx="29">
                  <c:v>2.9268452337937525</c:v>
                </c:pt>
                <c:pt idx="30">
                  <c:v>3.1217603153872098</c:v>
                </c:pt>
                <c:pt idx="31">
                  <c:v>3.3076531667446147</c:v>
                </c:pt>
                <c:pt idx="32">
                  <c:v>3.4891394413006118</c:v>
                </c:pt>
                <c:pt idx="33">
                  <c:v>3.675338314412647</c:v>
                </c:pt>
                <c:pt idx="34">
                  <c:v>3.8406998555573644</c:v>
                </c:pt>
                <c:pt idx="35">
                  <c:v>4.0262478069850047</c:v>
                </c:pt>
                <c:pt idx="36">
                  <c:v>4.1998108371438736</c:v>
                </c:pt>
                <c:pt idx="37">
                  <c:v>4.4224638605214004</c:v>
                </c:pt>
                <c:pt idx="38">
                  <c:v>4.6092961101769472</c:v>
                </c:pt>
                <c:pt idx="39">
                  <c:v>4.8497047193785043</c:v>
                </c:pt>
                <c:pt idx="40">
                  <c:v>5.063262547291405</c:v>
                </c:pt>
                <c:pt idx="41">
                  <c:v>5.2956581876765814</c:v>
                </c:pt>
                <c:pt idx="42">
                  <c:v>5.5767488596323993</c:v>
                </c:pt>
                <c:pt idx="43">
                  <c:v>5.8579817560499894</c:v>
                </c:pt>
                <c:pt idx="44">
                  <c:v>6.1323626063632091</c:v>
                </c:pt>
                <c:pt idx="45">
                  <c:v>6.4610011302460446</c:v>
                </c:pt>
                <c:pt idx="46">
                  <c:v>6.8655530554502313</c:v>
                </c:pt>
                <c:pt idx="47">
                  <c:v>7.4461528743741887</c:v>
                </c:pt>
                <c:pt idx="48">
                  <c:v>8.1281197451944358</c:v>
                </c:pt>
                <c:pt idx="49">
                  <c:v>9.376709426421872</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5A32-47A6-833D-D5DFC8918239}"/>
            </c:ext>
          </c:extLst>
        </c:ser>
        <c:ser>
          <c:idx val="1"/>
          <c:order val="1"/>
          <c:tx>
            <c:v>Plan in use</c:v>
          </c:tx>
          <c:spPr>
            <a:ln w="25400">
              <a:solidFill>
                <a:srgbClr val="B45309"/>
              </a:solidFill>
              <a:prstDash val="dash"/>
            </a:ln>
          </c:spPr>
          <c:marker>
            <c:symbol val="none"/>
          </c:marker>
          <c:xVal>
            <c:numRef>
              <c:f>Results!$E$55:$E$104</c:f>
              <c:numCache>
                <c:formatCode>#,##0.00</c:formatCode>
                <c:ptCount val="50"/>
                <c:pt idx="0">
                  <c:v>-7.4468922808268623</c:v>
                </c:pt>
                <c:pt idx="1">
                  <c:v>-4.9438246484306418</c:v>
                </c:pt>
                <c:pt idx="2">
                  <c:v>-4.0633286782643765</c:v>
                </c:pt>
                <c:pt idx="3">
                  <c:v>-3.313004763270154</c:v>
                </c:pt>
                <c:pt idx="4">
                  <c:v>-2.7152071229161443</c:v>
                </c:pt>
                <c:pt idx="5">
                  <c:v>-2.2609476145094369</c:v>
                </c:pt>
                <c:pt idx="6">
                  <c:v>-1.925410199421453</c:v>
                </c:pt>
                <c:pt idx="7">
                  <c:v>-1.5848587452633467</c:v>
                </c:pt>
                <c:pt idx="8">
                  <c:v>-1.2940607515770743</c:v>
                </c:pt>
                <c:pt idx="9">
                  <c:v>-1.011305781880079</c:v>
                </c:pt>
                <c:pt idx="10">
                  <c:v>-0.76596004640072834</c:v>
                </c:pt>
                <c:pt idx="11">
                  <c:v>-0.52193439939714636</c:v>
                </c:pt>
                <c:pt idx="12">
                  <c:v>-0.29487753808612283</c:v>
                </c:pt>
                <c:pt idx="13">
                  <c:v>-5.21063871394567E-2</c:v>
                </c:pt>
                <c:pt idx="14">
                  <c:v>0.153413978316852</c:v>
                </c:pt>
                <c:pt idx="15">
                  <c:v>0.36479420624345593</c:v>
                </c:pt>
                <c:pt idx="16">
                  <c:v>0.55680071427461897</c:v>
                </c:pt>
                <c:pt idx="17">
                  <c:v>0.74274228791837515</c:v>
                </c:pt>
                <c:pt idx="18">
                  <c:v>0.92968452727423667</c:v>
                </c:pt>
                <c:pt idx="19">
                  <c:v>1.0961816728236187</c:v>
                </c:pt>
                <c:pt idx="20">
                  <c:v>1.2819739944786264</c:v>
                </c:pt>
                <c:pt idx="21">
                  <c:v>1.4351200765630523</c:v>
                </c:pt>
                <c:pt idx="22">
                  <c:v>1.5921453566689934</c:v>
                </c:pt>
                <c:pt idx="23">
                  <c:v>1.7531355189390414</c:v>
                </c:pt>
                <c:pt idx="24">
                  <c:v>1.9169932161908854</c:v>
                </c:pt>
                <c:pt idx="25">
                  <c:v>2.0987164031043868</c:v>
                </c:pt>
                <c:pt idx="26">
                  <c:v>2.2864973324591293</c:v>
                </c:pt>
                <c:pt idx="27">
                  <c:v>2.4559482593381201</c:v>
                </c:pt>
                <c:pt idx="28">
                  <c:v>2.6129241782327561</c:v>
                </c:pt>
                <c:pt idx="29">
                  <c:v>2.7846652904269646</c:v>
                </c:pt>
                <c:pt idx="30">
                  <c:v>2.9494379807293249</c:v>
                </c:pt>
                <c:pt idx="31">
                  <c:v>3.1176931176959553</c:v>
                </c:pt>
                <c:pt idx="32">
                  <c:v>3.2955169997773819</c:v>
                </c:pt>
                <c:pt idx="33">
                  <c:v>3.4558491405954204</c:v>
                </c:pt>
                <c:pt idx="34">
                  <c:v>3.6228424405937663</c:v>
                </c:pt>
                <c:pt idx="35">
                  <c:v>3.7894026316636058</c:v>
                </c:pt>
                <c:pt idx="36">
                  <c:v>3.9655407468843329</c:v>
                </c:pt>
                <c:pt idx="37">
                  <c:v>4.1171451622703046</c:v>
                </c:pt>
                <c:pt idx="38">
                  <c:v>4.2773703427149616</c:v>
                </c:pt>
                <c:pt idx="39">
                  <c:v>4.4776866111642128</c:v>
                </c:pt>
                <c:pt idx="40">
                  <c:v>4.6816223033234223</c:v>
                </c:pt>
                <c:pt idx="41">
                  <c:v>4.8941225232834551</c:v>
                </c:pt>
                <c:pt idx="42">
                  <c:v>5.1076277258287117</c:v>
                </c:pt>
                <c:pt idx="43">
                  <c:v>5.3569416639829086</c:v>
                </c:pt>
                <c:pt idx="44">
                  <c:v>5.6255326798772263</c:v>
                </c:pt>
                <c:pt idx="45">
                  <c:v>5.9219835026507859</c:v>
                </c:pt>
                <c:pt idx="46">
                  <c:v>6.2927185338554814</c:v>
                </c:pt>
                <c:pt idx="47">
                  <c:v>6.7683159752025031</c:v>
                </c:pt>
                <c:pt idx="48">
                  <c:v>7.3174303740865803</c:v>
                </c:pt>
                <c:pt idx="49">
                  <c:v>8.3803156791974018</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5A32-47A6-833D-D5DFC8918239}"/>
            </c:ext>
          </c:extLst>
        </c:ser>
        <c:ser>
          <c:idx val="2"/>
          <c:order val="2"/>
          <c:tx>
            <c:v>Worst 1-in-200 result allowed</c:v>
          </c:tx>
          <c:spPr>
            <a:ln w="19050">
              <a:solidFill>
                <a:srgbClr val="B91C1C"/>
              </a:solidFill>
              <a:prstDash val="sysDash"/>
            </a:ln>
          </c:spPr>
          <c:marker>
            <c:symbol val="none"/>
          </c:marker>
          <c:xVal>
            <c:numRef>
              <c:f>Results!$F$55:$F$104</c:f>
              <c:numCache>
                <c:formatCode>#,##0.00</c:formatCode>
                <c:ptCount val="50"/>
                <c:pt idx="0">
                  <c:v>-10</c:v>
                </c:pt>
                <c:pt idx="1">
                  <c:v>-10</c:v>
                </c:pt>
                <c:pt idx="2">
                  <c:v>-10</c:v>
                </c:pt>
                <c:pt idx="3">
                  <c:v>-10</c:v>
                </c:pt>
                <c:pt idx="4">
                  <c:v>-10</c:v>
                </c:pt>
                <c:pt idx="5">
                  <c:v>-10</c:v>
                </c:pt>
                <c:pt idx="6">
                  <c:v>-10</c:v>
                </c:pt>
                <c:pt idx="7">
                  <c:v>-10</c:v>
                </c:pt>
                <c:pt idx="8">
                  <c:v>-10</c:v>
                </c:pt>
                <c:pt idx="9">
                  <c:v>-10</c:v>
                </c:pt>
                <c:pt idx="10">
                  <c:v>-10</c:v>
                </c:pt>
                <c:pt idx="11">
                  <c:v>-10</c:v>
                </c:pt>
                <c:pt idx="12">
                  <c:v>-10</c:v>
                </c:pt>
                <c:pt idx="13">
                  <c:v>-10</c:v>
                </c:pt>
                <c:pt idx="14">
                  <c:v>-10</c:v>
                </c:pt>
                <c:pt idx="15">
                  <c:v>-10</c:v>
                </c:pt>
                <c:pt idx="16">
                  <c:v>-10</c:v>
                </c:pt>
                <c:pt idx="17">
                  <c:v>-10</c:v>
                </c:pt>
                <c:pt idx="18">
                  <c:v>-10</c:v>
                </c:pt>
                <c:pt idx="19">
                  <c:v>-10</c:v>
                </c:pt>
                <c:pt idx="20">
                  <c:v>-10</c:v>
                </c:pt>
                <c:pt idx="21">
                  <c:v>-10</c:v>
                </c:pt>
                <c:pt idx="22">
                  <c:v>-10</c:v>
                </c:pt>
                <c:pt idx="23">
                  <c:v>-10</c:v>
                </c:pt>
                <c:pt idx="24">
                  <c:v>-10</c:v>
                </c:pt>
                <c:pt idx="25">
                  <c:v>-10</c:v>
                </c:pt>
                <c:pt idx="26">
                  <c:v>-10</c:v>
                </c:pt>
                <c:pt idx="27">
                  <c:v>-10</c:v>
                </c:pt>
                <c:pt idx="28">
                  <c:v>-10</c:v>
                </c:pt>
                <c:pt idx="29">
                  <c:v>-10</c:v>
                </c:pt>
                <c:pt idx="30">
                  <c:v>-10</c:v>
                </c:pt>
                <c:pt idx="31">
                  <c:v>-10</c:v>
                </c:pt>
                <c:pt idx="32">
                  <c:v>-10</c:v>
                </c:pt>
                <c:pt idx="33">
                  <c:v>-10</c:v>
                </c:pt>
                <c:pt idx="34">
                  <c:v>-10</c:v>
                </c:pt>
                <c:pt idx="35">
                  <c:v>-10</c:v>
                </c:pt>
                <c:pt idx="36">
                  <c:v>-10</c:v>
                </c:pt>
                <c:pt idx="37">
                  <c:v>-10</c:v>
                </c:pt>
                <c:pt idx="38">
                  <c:v>-10</c:v>
                </c:pt>
                <c:pt idx="39">
                  <c:v>-10</c:v>
                </c:pt>
                <c:pt idx="40">
                  <c:v>-10</c:v>
                </c:pt>
                <c:pt idx="41">
                  <c:v>-10</c:v>
                </c:pt>
                <c:pt idx="42">
                  <c:v>-10</c:v>
                </c:pt>
                <c:pt idx="43">
                  <c:v>-10</c:v>
                </c:pt>
                <c:pt idx="44">
                  <c:v>-10</c:v>
                </c:pt>
                <c:pt idx="45">
                  <c:v>-10</c:v>
                </c:pt>
                <c:pt idx="46">
                  <c:v>-10</c:v>
                </c:pt>
                <c:pt idx="47">
                  <c:v>-10</c:v>
                </c:pt>
                <c:pt idx="48">
                  <c:v>-10</c:v>
                </c:pt>
                <c:pt idx="49">
                  <c:v>-10</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5A32-47A6-833D-D5DFC8918239}"/>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28</xdr:row>
      <xdr:rowOff>0</xdr:rowOff>
    </xdr:from>
    <xdr:ext cx="6263999" cy="2664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85"/>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44" customHeight="1" x14ac:dyDescent="0.45">
      <c r="B16" s="92" t="s">
        <v>20</v>
      </c>
      <c r="C16" s="91"/>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26.25" x14ac:dyDescent="0.45">
      <c r="B29" s="9" t="s">
        <v>25</v>
      </c>
      <c r="C29" s="10" t="s">
        <v>26</v>
      </c>
    </row>
    <row r="30" spans="2:3" ht="26.25" x14ac:dyDescent="0.45">
      <c r="B30" s="9" t="s">
        <v>27</v>
      </c>
      <c r="C30" s="10" t="s">
        <v>28</v>
      </c>
    </row>
    <row r="31" spans="2:3" ht="26.25" x14ac:dyDescent="0.45">
      <c r="B31" s="9" t="s">
        <v>29</v>
      </c>
      <c r="C31" s="10" t="s">
        <v>30</v>
      </c>
    </row>
    <row r="32" spans="2:3" ht="26.25" x14ac:dyDescent="0.45">
      <c r="B32" s="9" t="s">
        <v>31</v>
      </c>
      <c r="C32" s="10" t="s">
        <v>32</v>
      </c>
    </row>
    <row r="33" spans="2:3" ht="12" customHeight="1" x14ac:dyDescent="0.45"/>
    <row r="34" spans="2:3" ht="22.05" customHeight="1" x14ac:dyDescent="0.5">
      <c r="B34" s="7" t="s">
        <v>33</v>
      </c>
      <c r="C34" s="8"/>
    </row>
    <row r="35" spans="2:3" x14ac:dyDescent="0.45">
      <c r="B35" s="9" t="s">
        <v>34</v>
      </c>
      <c r="C35" s="10" t="s">
        <v>35</v>
      </c>
    </row>
    <row r="36" spans="2:3" ht="26.25" x14ac:dyDescent="0.45">
      <c r="B36" s="9" t="s">
        <v>36</v>
      </c>
      <c r="C36" s="10" t="s">
        <v>37</v>
      </c>
    </row>
    <row r="37" spans="2:3" ht="26.25" x14ac:dyDescent="0.45">
      <c r="B37" s="9" t="s">
        <v>38</v>
      </c>
      <c r="C37" s="10" t="s">
        <v>39</v>
      </c>
    </row>
    <row r="38" spans="2:3" x14ac:dyDescent="0.45">
      <c r="B38" s="9" t="s">
        <v>40</v>
      </c>
      <c r="C38" s="10" t="s">
        <v>41</v>
      </c>
    </row>
    <row r="39" spans="2:3" ht="12" customHeight="1" x14ac:dyDescent="0.45"/>
    <row r="40" spans="2:3" ht="22.05" customHeight="1" x14ac:dyDescent="0.5">
      <c r="B40" s="7" t="s">
        <v>42</v>
      </c>
      <c r="C40" s="8"/>
    </row>
    <row r="41" spans="2:3" x14ac:dyDescent="0.45">
      <c r="B41" s="14" t="s">
        <v>43</v>
      </c>
      <c r="C41" s="10" t="s">
        <v>44</v>
      </c>
    </row>
    <row r="42" spans="2:3" x14ac:dyDescent="0.45">
      <c r="B42" s="14" t="s">
        <v>45</v>
      </c>
      <c r="C42" s="10" t="s">
        <v>46</v>
      </c>
    </row>
    <row r="43" spans="2:3" x14ac:dyDescent="0.45">
      <c r="B43" s="14" t="s">
        <v>47</v>
      </c>
      <c r="C43" s="10" t="s">
        <v>48</v>
      </c>
    </row>
    <row r="44" spans="2:3" x14ac:dyDescent="0.45">
      <c r="B44" s="14" t="s">
        <v>49</v>
      </c>
      <c r="C44" s="10" t="s">
        <v>50</v>
      </c>
    </row>
    <row r="45" spans="2:3" x14ac:dyDescent="0.45">
      <c r="B45" s="14" t="s">
        <v>51</v>
      </c>
      <c r="C45" s="10" t="s">
        <v>52</v>
      </c>
    </row>
    <row r="46" spans="2:3" ht="12" customHeight="1" x14ac:dyDescent="0.45"/>
    <row r="47" spans="2:3" ht="22.05" customHeight="1" x14ac:dyDescent="0.5">
      <c r="B47" s="7" t="s">
        <v>53</v>
      </c>
      <c r="C47" s="8"/>
    </row>
    <row r="48" spans="2:3" x14ac:dyDescent="0.45">
      <c r="B48" s="15" t="s">
        <v>54</v>
      </c>
      <c r="C48" s="12" t="s">
        <v>55</v>
      </c>
    </row>
    <row r="49" spans="2:3" x14ac:dyDescent="0.45">
      <c r="B49" s="16" t="s">
        <v>56</v>
      </c>
      <c r="C49" s="12" t="s">
        <v>57</v>
      </c>
    </row>
    <row r="50" spans="2:3" x14ac:dyDescent="0.45">
      <c r="B50" s="17" t="s">
        <v>58</v>
      </c>
      <c r="C50" s="12" t="s">
        <v>59</v>
      </c>
    </row>
    <row r="51" spans="2:3" x14ac:dyDescent="0.45">
      <c r="B51" s="18" t="s">
        <v>60</v>
      </c>
      <c r="C51" s="12" t="s">
        <v>61</v>
      </c>
    </row>
    <row r="52" spans="2:3" x14ac:dyDescent="0.45">
      <c r="B52" s="19" t="s">
        <v>62</v>
      </c>
      <c r="C52" s="12" t="s">
        <v>63</v>
      </c>
    </row>
    <row r="53" spans="2:3" x14ac:dyDescent="0.45">
      <c r="B53" s="20" t="s">
        <v>64</v>
      </c>
      <c r="C53" s="12" t="s">
        <v>65</v>
      </c>
    </row>
    <row r="54" spans="2:3" ht="12" customHeight="1" x14ac:dyDescent="0.45"/>
    <row r="55" spans="2:3" ht="22.05" customHeight="1" x14ac:dyDescent="0.5">
      <c r="B55" s="7" t="s">
        <v>66</v>
      </c>
      <c r="C55" s="8"/>
    </row>
    <row r="56" spans="2:3" x14ac:dyDescent="0.45">
      <c r="B56" s="9" t="s">
        <v>67</v>
      </c>
      <c r="C56" s="10" t="s">
        <v>68</v>
      </c>
    </row>
    <row r="57" spans="2:3" ht="26.25" x14ac:dyDescent="0.45">
      <c r="B57" s="9" t="s">
        <v>69</v>
      </c>
      <c r="C57" s="10" t="s">
        <v>70</v>
      </c>
    </row>
    <row r="58" spans="2:3" ht="26.25" x14ac:dyDescent="0.45">
      <c r="B58" s="9" t="s">
        <v>71</v>
      </c>
      <c r="C58" s="10" t="s">
        <v>72</v>
      </c>
    </row>
    <row r="59" spans="2:3" x14ac:dyDescent="0.45">
      <c r="B59" s="9" t="s">
        <v>73</v>
      </c>
      <c r="C59" s="10" t="s">
        <v>74</v>
      </c>
    </row>
    <row r="60" spans="2:3" x14ac:dyDescent="0.45">
      <c r="B60" s="9" t="s">
        <v>75</v>
      </c>
      <c r="C60" s="10" t="s">
        <v>76</v>
      </c>
    </row>
    <row r="61" spans="2:3" x14ac:dyDescent="0.45">
      <c r="B61" s="9" t="s">
        <v>77</v>
      </c>
      <c r="C61" s="10" t="s">
        <v>78</v>
      </c>
    </row>
    <row r="62" spans="2:3" ht="12" customHeight="1" x14ac:dyDescent="0.45"/>
    <row r="63" spans="2:3" ht="22.05" customHeight="1" x14ac:dyDescent="0.5">
      <c r="B63" s="7" t="s">
        <v>79</v>
      </c>
      <c r="C63" s="8"/>
    </row>
    <row r="64" spans="2:3" x14ac:dyDescent="0.45">
      <c r="B64" s="9" t="s">
        <v>47</v>
      </c>
      <c r="C64" s="10" t="s">
        <v>80</v>
      </c>
    </row>
    <row r="65" spans="2:3" ht="26.25" x14ac:dyDescent="0.45">
      <c r="B65" s="9" t="s">
        <v>81</v>
      </c>
      <c r="C65" s="10" t="s">
        <v>82</v>
      </c>
    </row>
    <row r="66" spans="2:3" ht="26.25" x14ac:dyDescent="0.45">
      <c r="B66" s="9" t="s">
        <v>83</v>
      </c>
      <c r="C66" s="10" t="s">
        <v>84</v>
      </c>
    </row>
    <row r="67" spans="2:3" ht="26.25" x14ac:dyDescent="0.45">
      <c r="B67" s="9" t="s">
        <v>71</v>
      </c>
      <c r="C67" s="10" t="s">
        <v>85</v>
      </c>
    </row>
    <row r="68" spans="2:3" ht="26.25" x14ac:dyDescent="0.45">
      <c r="B68" s="9" t="s">
        <v>86</v>
      </c>
      <c r="C68" s="10" t="s">
        <v>87</v>
      </c>
    </row>
    <row r="69" spans="2:3" ht="26.25" x14ac:dyDescent="0.45">
      <c r="B69" s="9" t="s">
        <v>88</v>
      </c>
      <c r="C69" s="10" t="s">
        <v>89</v>
      </c>
    </row>
    <row r="70" spans="2:3" x14ac:dyDescent="0.45">
      <c r="B70" s="9" t="s">
        <v>90</v>
      </c>
      <c r="C70" s="10" t="s">
        <v>91</v>
      </c>
    </row>
    <row r="71" spans="2:3" ht="12" customHeight="1" x14ac:dyDescent="0.45"/>
    <row r="72" spans="2:3" ht="22.05" customHeight="1" x14ac:dyDescent="0.5">
      <c r="B72" s="7" t="s">
        <v>92</v>
      </c>
      <c r="C72" s="8"/>
    </row>
    <row r="73" spans="2:3" ht="26.25" x14ac:dyDescent="0.45">
      <c r="B73" s="21" t="s">
        <v>93</v>
      </c>
      <c r="C73" s="10" t="s">
        <v>94</v>
      </c>
    </row>
    <row r="74" spans="2:3" ht="26.25" x14ac:dyDescent="0.45">
      <c r="B74" s="21" t="s">
        <v>95</v>
      </c>
      <c r="C74" s="10" t="s">
        <v>96</v>
      </c>
    </row>
    <row r="75" spans="2:3" x14ac:dyDescent="0.45">
      <c r="B75" s="21" t="s">
        <v>97</v>
      </c>
      <c r="C75" s="10" t="s">
        <v>98</v>
      </c>
    </row>
    <row r="76" spans="2:3" ht="26.25" x14ac:dyDescent="0.45">
      <c r="B76" s="21" t="s">
        <v>99</v>
      </c>
      <c r="C76" s="10" t="s">
        <v>100</v>
      </c>
    </row>
    <row r="77" spans="2:3" x14ac:dyDescent="0.45">
      <c r="B77" s="21" t="s">
        <v>101</v>
      </c>
      <c r="C77" s="10" t="s">
        <v>102</v>
      </c>
    </row>
    <row r="78" spans="2:3" ht="26.25" x14ac:dyDescent="0.45">
      <c r="B78" s="21" t="s">
        <v>103</v>
      </c>
      <c r="C78" s="10" t="s">
        <v>104</v>
      </c>
    </row>
    <row r="79" spans="2:3" ht="12" customHeight="1" x14ac:dyDescent="0.45"/>
    <row r="80" spans="2:3" ht="22.05" customHeight="1" x14ac:dyDescent="0.5">
      <c r="B80" s="7" t="s">
        <v>105</v>
      </c>
      <c r="C80" s="8"/>
    </row>
    <row r="81" spans="2:3" ht="26.25" x14ac:dyDescent="0.45">
      <c r="B81" s="9" t="s">
        <v>106</v>
      </c>
      <c r="C81" s="10" t="s">
        <v>107</v>
      </c>
    </row>
    <row r="82" spans="2:3" x14ac:dyDescent="0.45">
      <c r="B82" s="9" t="s">
        <v>108</v>
      </c>
      <c r="C82" s="10" t="s">
        <v>109</v>
      </c>
    </row>
    <row r="83" spans="2:3" x14ac:dyDescent="0.45">
      <c r="B83" s="9" t="s">
        <v>110</v>
      </c>
      <c r="C83" s="10" t="s">
        <v>111</v>
      </c>
    </row>
    <row r="84" spans="2:3" ht="16.05" customHeight="1" x14ac:dyDescent="0.45"/>
    <row r="85" spans="2:3" x14ac:dyDescent="0.45">
      <c r="B85" s="90" t="s">
        <v>112</v>
      </c>
      <c r="C85" s="91"/>
    </row>
  </sheetData>
  <mergeCells count="2">
    <mergeCell ref="B85:C85"/>
    <mergeCell ref="B16:C16"/>
  </mergeCells>
  <hyperlinks>
    <hyperlink ref="D4" location="'Inputs'!A1" display="Next:  Inputs  ▸" xr:uid="{00000000-0004-0000-0000-000000000000}"/>
    <hyperlink ref="B41" location="'Inputs'!A1" display="Inputs" xr:uid="{00000000-0004-0000-0000-000001000000}"/>
    <hyperlink ref="B42" location="'Decisions'!A1" display="Decisions" xr:uid="{00000000-0004-0000-0000-000002000000}"/>
    <hyperlink ref="B43" location="'Claims'!A1" display="Claims" xr:uid="{00000000-0004-0000-0000-000003000000}"/>
    <hyperlink ref="B44" location="'Programme'!A1" display="Programme" xr:uid="{00000000-0004-0000-0000-000004000000}"/>
    <hyperlink ref="B45" location="'Results'!A1" display="Results" xr:uid="{00000000-0004-0000-0000-000005000000}"/>
  </hyperlinks>
  <printOptions horizontalCentered="1"/>
  <pageMargins left="0.4" right="0.4" top="0.5" bottom="0.6" header="0.25" footer="0.25"/>
  <pageSetup paperSize="9" fitToHeight="0" orientation="portrait"/>
  <headerFooter>
    <oddFooter>&amp;L&amp;K3F5876&amp;8&amp;F · &amp;A&amp;R&amp;K3F5876&amp;8Page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2"/>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2" t="s">
        <v>0</v>
      </c>
      <c r="C2" s="1"/>
      <c r="D2" s="1"/>
      <c r="E2" s="1"/>
      <c r="F2" s="1"/>
      <c r="G2" s="1"/>
      <c r="H2" s="1"/>
      <c r="I2" s="1"/>
      <c r="J2" s="3" t="s">
        <v>1</v>
      </c>
    </row>
    <row r="3" spans="1:10" ht="20" customHeight="1" x14ac:dyDescent="0.45">
      <c r="A3" s="1"/>
      <c r="B3" s="4" t="s">
        <v>113</v>
      </c>
      <c r="C3" s="1"/>
      <c r="D3" s="1"/>
      <c r="E3" s="1"/>
      <c r="F3" s="1"/>
      <c r="G3" s="1"/>
      <c r="H3" s="1"/>
      <c r="I3" s="1"/>
      <c r="J3" s="1"/>
    </row>
    <row r="4" spans="1:10" ht="20" customHeight="1" x14ac:dyDescent="0.45">
      <c r="A4" s="5"/>
      <c r="B4" s="23" t="s">
        <v>114</v>
      </c>
      <c r="C4" s="5"/>
      <c r="D4" s="5"/>
      <c r="E4" s="5"/>
      <c r="F4" s="5"/>
      <c r="G4" s="5"/>
      <c r="H4" s="5"/>
      <c r="I4" s="5"/>
      <c r="J4" s="6" t="s">
        <v>115</v>
      </c>
    </row>
    <row r="5" spans="1:10" ht="8" customHeight="1" x14ac:dyDescent="0.45"/>
    <row r="6" spans="1:10" ht="20" customHeight="1" x14ac:dyDescent="0.45">
      <c r="B6" s="93" t="s">
        <v>116</v>
      </c>
      <c r="C6" s="91"/>
      <c r="D6" s="91"/>
      <c r="E6" s="91"/>
      <c r="F6" s="91"/>
      <c r="G6" s="91"/>
      <c r="H6" s="91"/>
      <c r="I6" s="91"/>
      <c r="J6" s="91"/>
    </row>
    <row r="7" spans="1:10" ht="6" customHeight="1" x14ac:dyDescent="0.45"/>
    <row r="8" spans="1:10" ht="22.05" customHeight="1" x14ac:dyDescent="0.5">
      <c r="B8" s="7" t="s">
        <v>117</v>
      </c>
      <c r="C8" s="8"/>
      <c r="D8" s="8"/>
      <c r="E8" s="8"/>
      <c r="F8" s="8"/>
      <c r="G8" s="8"/>
      <c r="H8" s="8"/>
      <c r="I8" s="8"/>
      <c r="J8" s="8"/>
    </row>
    <row r="9" spans="1:10" ht="18" customHeight="1" x14ac:dyDescent="0.45">
      <c r="B9" s="13" t="s">
        <v>118</v>
      </c>
    </row>
    <row r="10" spans="1:10" ht="18" customHeight="1" x14ac:dyDescent="0.45">
      <c r="B10" s="24" t="s">
        <v>119</v>
      </c>
      <c r="C10" s="24" t="s">
        <v>120</v>
      </c>
      <c r="D10" s="25" t="s">
        <v>121</v>
      </c>
      <c r="E10" s="24" t="s">
        <v>122</v>
      </c>
      <c r="F10" s="5"/>
      <c r="G10" s="5"/>
      <c r="H10" s="5"/>
      <c r="I10" s="5"/>
      <c r="J10" s="24" t="s">
        <v>123</v>
      </c>
    </row>
    <row r="11" spans="1:10" x14ac:dyDescent="0.45">
      <c r="B11" s="26" t="s">
        <v>124</v>
      </c>
      <c r="C11" s="27" t="s">
        <v>125</v>
      </c>
      <c r="D11" s="28">
        <v>60</v>
      </c>
      <c r="E11" s="27" t="s">
        <v>126</v>
      </c>
      <c r="F11" s="29"/>
      <c r="G11" s="29"/>
      <c r="H11" s="29"/>
      <c r="I11" s="29"/>
      <c r="J11" s="30" t="s">
        <v>127</v>
      </c>
    </row>
    <row r="12" spans="1:10" x14ac:dyDescent="0.45">
      <c r="B12" s="26" t="s">
        <v>128</v>
      </c>
      <c r="C12" s="27" t="s">
        <v>129</v>
      </c>
      <c r="D12" s="28">
        <v>500</v>
      </c>
      <c r="E12" s="27" t="s">
        <v>126</v>
      </c>
      <c r="F12" s="29"/>
      <c r="G12" s="29"/>
      <c r="H12" s="29"/>
      <c r="I12" s="29"/>
      <c r="J12" s="30" t="s">
        <v>130</v>
      </c>
    </row>
    <row r="13" spans="1:10" x14ac:dyDescent="0.45">
      <c r="B13" s="26" t="s">
        <v>131</v>
      </c>
      <c r="C13" s="27" t="s">
        <v>132</v>
      </c>
      <c r="D13" s="31">
        <v>2.2000000000000002</v>
      </c>
      <c r="E13" s="27" t="s">
        <v>126</v>
      </c>
      <c r="F13" s="29"/>
      <c r="G13" s="29"/>
      <c r="H13" s="29"/>
      <c r="I13" s="29"/>
      <c r="J13" s="30" t="s">
        <v>133</v>
      </c>
    </row>
    <row r="14" spans="1:10" ht="8" customHeight="1" x14ac:dyDescent="0.45"/>
    <row r="15" spans="1:10" ht="22.05" customHeight="1" x14ac:dyDescent="0.5">
      <c r="B15" s="7" t="s">
        <v>134</v>
      </c>
      <c r="C15" s="8"/>
      <c r="D15" s="8"/>
      <c r="E15" s="8"/>
      <c r="F15" s="8"/>
      <c r="G15" s="8"/>
      <c r="H15" s="8"/>
      <c r="I15" s="8"/>
      <c r="J15" s="8"/>
    </row>
    <row r="16" spans="1:10" ht="18" customHeight="1" x14ac:dyDescent="0.45">
      <c r="B16" s="13" t="s">
        <v>135</v>
      </c>
    </row>
    <row r="17" spans="2:10" ht="18" customHeight="1" x14ac:dyDescent="0.45">
      <c r="B17" s="24" t="s">
        <v>119</v>
      </c>
      <c r="C17" s="24" t="s">
        <v>120</v>
      </c>
      <c r="D17" s="25" t="s">
        <v>121</v>
      </c>
      <c r="E17" s="24" t="s">
        <v>122</v>
      </c>
      <c r="F17" s="5"/>
      <c r="G17" s="5"/>
      <c r="H17" s="5"/>
      <c r="I17" s="5"/>
      <c r="J17" s="24" t="s">
        <v>123</v>
      </c>
    </row>
    <row r="18" spans="2:10" ht="23.25" x14ac:dyDescent="0.45">
      <c r="B18" s="26" t="s">
        <v>136</v>
      </c>
      <c r="C18" s="27" t="s">
        <v>137</v>
      </c>
      <c r="D18" s="32">
        <v>0.25</v>
      </c>
      <c r="E18" s="27" t="s">
        <v>126</v>
      </c>
      <c r="F18" s="29"/>
      <c r="G18" s="29"/>
      <c r="H18" s="29"/>
      <c r="I18" s="29"/>
      <c r="J18" s="30" t="s">
        <v>138</v>
      </c>
    </row>
    <row r="19" spans="2:10" x14ac:dyDescent="0.45">
      <c r="B19" s="26" t="s">
        <v>139</v>
      </c>
      <c r="C19" s="27" t="s">
        <v>140</v>
      </c>
      <c r="D19" s="33">
        <v>0.25</v>
      </c>
      <c r="E19" s="27" t="s">
        <v>126</v>
      </c>
      <c r="F19" s="29"/>
      <c r="G19" s="29"/>
      <c r="H19" s="29"/>
      <c r="I19" s="29"/>
      <c r="J19" s="30" t="s">
        <v>141</v>
      </c>
    </row>
    <row r="20" spans="2:10" ht="8" customHeight="1" x14ac:dyDescent="0.45"/>
    <row r="21" spans="2:10" ht="22.05" customHeight="1" x14ac:dyDescent="0.5">
      <c r="B21" s="7" t="s">
        <v>142</v>
      </c>
      <c r="C21" s="8"/>
      <c r="D21" s="8"/>
      <c r="E21" s="8"/>
      <c r="F21" s="8"/>
      <c r="G21" s="8"/>
      <c r="H21" s="8"/>
      <c r="I21" s="8"/>
      <c r="J21" s="8"/>
    </row>
    <row r="22" spans="2:10" ht="18" customHeight="1" x14ac:dyDescent="0.45">
      <c r="B22" s="24" t="s">
        <v>119</v>
      </c>
      <c r="C22" s="24" t="s">
        <v>120</v>
      </c>
      <c r="D22" s="25" t="s">
        <v>121</v>
      </c>
      <c r="E22" s="24" t="s">
        <v>122</v>
      </c>
      <c r="F22" s="5"/>
      <c r="G22" s="5"/>
      <c r="H22" s="5"/>
      <c r="I22" s="5"/>
      <c r="J22" s="24" t="s">
        <v>123</v>
      </c>
    </row>
    <row r="23" spans="2:10" x14ac:dyDescent="0.45">
      <c r="B23" s="26" t="s">
        <v>143</v>
      </c>
      <c r="C23" s="27" t="s">
        <v>144</v>
      </c>
      <c r="D23" s="31">
        <v>42</v>
      </c>
      <c r="E23" s="27" t="s">
        <v>126</v>
      </c>
      <c r="F23" s="29"/>
      <c r="G23" s="29"/>
      <c r="H23" s="29"/>
      <c r="I23" s="29"/>
      <c r="J23" s="30" t="s">
        <v>145</v>
      </c>
    </row>
    <row r="24" spans="2:10" x14ac:dyDescent="0.45">
      <c r="B24" s="26" t="s">
        <v>146</v>
      </c>
      <c r="C24" s="27" t="s">
        <v>147</v>
      </c>
      <c r="D24" s="33">
        <v>0.2</v>
      </c>
      <c r="E24" s="27" t="s">
        <v>126</v>
      </c>
      <c r="F24" s="29"/>
      <c r="G24" s="29"/>
      <c r="H24" s="29"/>
      <c r="I24" s="29"/>
      <c r="J24" s="30" t="s">
        <v>148</v>
      </c>
    </row>
    <row r="25" spans="2:10" ht="8" customHeight="1" x14ac:dyDescent="0.45"/>
    <row r="26" spans="2:10" ht="22.05" customHeight="1" x14ac:dyDescent="0.5">
      <c r="B26" s="7" t="s">
        <v>149</v>
      </c>
      <c r="C26" s="8"/>
      <c r="D26" s="8"/>
      <c r="E26" s="8"/>
      <c r="F26" s="8"/>
      <c r="G26" s="8"/>
      <c r="H26" s="8"/>
      <c r="I26" s="8"/>
      <c r="J26" s="8"/>
    </row>
    <row r="27" spans="2:10" ht="18" customHeight="1" x14ac:dyDescent="0.45">
      <c r="B27" s="13" t="s">
        <v>150</v>
      </c>
    </row>
    <row r="28" spans="2:10" ht="18" customHeight="1" x14ac:dyDescent="0.45">
      <c r="B28" s="24" t="s">
        <v>119</v>
      </c>
      <c r="C28" s="24" t="s">
        <v>120</v>
      </c>
      <c r="D28" s="25" t="s">
        <v>121</v>
      </c>
      <c r="E28" s="24" t="s">
        <v>122</v>
      </c>
      <c r="F28" s="5"/>
      <c r="G28" s="5"/>
      <c r="H28" s="5"/>
      <c r="I28" s="5"/>
      <c r="J28" s="24" t="s">
        <v>123</v>
      </c>
    </row>
    <row r="29" spans="2:10" x14ac:dyDescent="0.45">
      <c r="B29" s="26" t="s">
        <v>151</v>
      </c>
      <c r="C29" s="27" t="s">
        <v>144</v>
      </c>
      <c r="D29" s="31">
        <v>10</v>
      </c>
      <c r="E29" s="27" t="s">
        <v>126</v>
      </c>
      <c r="F29" s="29"/>
      <c r="G29" s="29"/>
      <c r="H29" s="29"/>
      <c r="I29" s="29"/>
      <c r="J29" s="30" t="s">
        <v>152</v>
      </c>
    </row>
    <row r="30" spans="2:10" x14ac:dyDescent="0.45">
      <c r="B30" s="26" t="s">
        <v>153</v>
      </c>
      <c r="C30" s="27" t="s">
        <v>144</v>
      </c>
      <c r="D30" s="34">
        <f>-Capital</f>
        <v>-10</v>
      </c>
      <c r="E30" s="27" t="s">
        <v>154</v>
      </c>
      <c r="F30" s="29"/>
      <c r="G30" s="29"/>
      <c r="H30" s="29"/>
      <c r="I30" s="29"/>
      <c r="J30" s="30" t="s">
        <v>155</v>
      </c>
    </row>
    <row r="31" spans="2:10" x14ac:dyDescent="0.45">
      <c r="B31" s="26" t="s">
        <v>156</v>
      </c>
      <c r="C31" s="27" t="s">
        <v>129</v>
      </c>
      <c r="D31" s="28">
        <v>2000</v>
      </c>
      <c r="E31" s="27" t="s">
        <v>126</v>
      </c>
      <c r="F31" s="29"/>
      <c r="G31" s="29"/>
      <c r="H31" s="29"/>
      <c r="I31" s="29"/>
      <c r="J31" s="30" t="s">
        <v>157</v>
      </c>
    </row>
    <row r="32" spans="2:10" ht="8" customHeight="1" x14ac:dyDescent="0.45"/>
  </sheetData>
  <mergeCells count="1">
    <mergeCell ref="B6:J6"/>
  </mergeCells>
  <dataValidations count="2">
    <dataValidation type="decimal" operator="greaterThan" showErrorMessage="1" errorTitle="Positive value" error="Enter a value greater than zero." sqref="D31 D29 D23 D18 D11:D13" xr:uid="{00000000-0002-0000-0100-000000000000}">
      <formula1>0</formula1>
    </dataValidation>
    <dataValidation type="decimal" showErrorMessage="1" errorTitle="Probability" error="Enter a value between 0% and 100%." sqref="D19 D24" xr:uid="{00000000-0002-0000-0100-000004000000}">
      <formula1>0</formula1>
      <formula2>1</formula2>
    </dataValidation>
  </dataValidations>
  <hyperlinks>
    <hyperlink ref="B4" location="'About'!A1" display="◂  About" xr:uid="{00000000-0004-0000-0100-000000000000}"/>
    <hyperlink ref="J4" location="'Decisions'!A1" display="Next:  Decisions  ▸" xr:uid="{00000000-0004-0000-01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0A800"/>
    <pageSetUpPr fitToPage="1"/>
  </sheetPr>
  <dimension ref="A1:I32"/>
  <sheetViews>
    <sheetView showGridLines="0" workbookViewId="0">
      <pane ySplit="5" topLeftCell="A6" activePane="bottomLeft" state="frozen"/>
      <selection pane="bottomLeft"/>
    </sheetView>
  </sheetViews>
  <sheetFormatPr defaultRowHeight="14.25" x14ac:dyDescent="0.45"/>
  <cols>
    <col min="1" max="1" width="2" customWidth="1"/>
    <col min="2" max="2" width="42" customWidth="1"/>
    <col min="3" max="3" width="16" customWidth="1"/>
    <col min="4" max="5" width="13" customWidth="1"/>
    <col min="6" max="7" width="11" customWidth="1"/>
    <col min="8" max="8" width="20" customWidth="1"/>
    <col min="9" max="9" width="49" customWidth="1"/>
    <col min="11" max="11" width="9.06640625" customWidth="1"/>
  </cols>
  <sheetData>
    <row r="1" spans="1:9" ht="6" customHeight="1" x14ac:dyDescent="0.45"/>
    <row r="2" spans="1:9" ht="30" customHeight="1" x14ac:dyDescent="0.45">
      <c r="A2" s="1"/>
      <c r="B2" s="22" t="s">
        <v>0</v>
      </c>
      <c r="C2" s="1"/>
      <c r="D2" s="1"/>
      <c r="E2" s="1"/>
      <c r="F2" s="1"/>
      <c r="G2" s="1"/>
      <c r="H2" s="1"/>
      <c r="I2" s="3" t="s">
        <v>1</v>
      </c>
    </row>
    <row r="3" spans="1:9" ht="20" customHeight="1" x14ac:dyDescent="0.45">
      <c r="A3" s="1"/>
      <c r="B3" s="4" t="s">
        <v>158</v>
      </c>
      <c r="C3" s="1"/>
      <c r="D3" s="1"/>
      <c r="E3" s="1"/>
      <c r="F3" s="1"/>
      <c r="G3" s="1"/>
      <c r="H3" s="1"/>
      <c r="I3" s="1"/>
    </row>
    <row r="4" spans="1:9" ht="20" customHeight="1" x14ac:dyDescent="0.45">
      <c r="A4" s="5"/>
      <c r="B4" s="23" t="s">
        <v>159</v>
      </c>
      <c r="C4" s="5"/>
      <c r="D4" s="5"/>
      <c r="E4" s="5"/>
      <c r="F4" s="5"/>
      <c r="G4" s="5"/>
      <c r="H4" s="5"/>
      <c r="I4" s="6" t="s">
        <v>160</v>
      </c>
    </row>
    <row r="5" spans="1:9" ht="8" customHeight="1" x14ac:dyDescent="0.45"/>
    <row r="6" spans="1:9" ht="30" customHeight="1" x14ac:dyDescent="0.45">
      <c r="B6" s="93" t="s">
        <v>161</v>
      </c>
      <c r="C6" s="91"/>
      <c r="D6" s="91"/>
      <c r="E6" s="91"/>
      <c r="F6" s="91"/>
      <c r="G6" s="91"/>
      <c r="H6" s="91"/>
      <c r="I6" s="91"/>
    </row>
    <row r="7" spans="1:9" ht="6" customHeight="1" x14ac:dyDescent="0.45"/>
    <row r="8" spans="1:9" ht="22.05" customHeight="1" x14ac:dyDescent="0.5">
      <c r="B8" s="7" t="s">
        <v>162</v>
      </c>
      <c r="C8" s="8"/>
      <c r="D8" s="8"/>
      <c r="E8" s="8"/>
      <c r="F8" s="8"/>
      <c r="G8" s="8"/>
      <c r="H8" s="8"/>
      <c r="I8" s="8"/>
    </row>
    <row r="9" spans="1:9" ht="18" customHeight="1" x14ac:dyDescent="0.45">
      <c r="B9" s="13" t="s">
        <v>163</v>
      </c>
    </row>
    <row r="10" spans="1:9" ht="18" customHeight="1" x14ac:dyDescent="0.45">
      <c r="B10" s="35" t="s">
        <v>58</v>
      </c>
      <c r="C10" s="35" t="s">
        <v>120</v>
      </c>
      <c r="D10" s="36" t="s">
        <v>164</v>
      </c>
      <c r="E10" s="36" t="s">
        <v>165</v>
      </c>
      <c r="F10" s="36" t="s">
        <v>166</v>
      </c>
      <c r="G10" s="36" t="s">
        <v>167</v>
      </c>
      <c r="H10" s="35" t="s">
        <v>168</v>
      </c>
      <c r="I10" s="35" t="s">
        <v>169</v>
      </c>
    </row>
    <row r="11" spans="1:9" x14ac:dyDescent="0.45">
      <c r="B11" s="26" t="s">
        <v>170</v>
      </c>
      <c r="C11" s="27" t="s">
        <v>129</v>
      </c>
      <c r="D11" s="37">
        <v>3000</v>
      </c>
      <c r="E11" s="28">
        <v>2000</v>
      </c>
      <c r="F11" s="28">
        <v>1000</v>
      </c>
      <c r="G11" s="28">
        <v>6000</v>
      </c>
      <c r="H11" s="27" t="s">
        <v>171</v>
      </c>
      <c r="I11" s="27" t="s">
        <v>172</v>
      </c>
    </row>
    <row r="12" spans="1:9" x14ac:dyDescent="0.45">
      <c r="B12" s="26" t="s">
        <v>173</v>
      </c>
      <c r="C12" s="27" t="s">
        <v>129</v>
      </c>
      <c r="D12" s="38">
        <v>27000</v>
      </c>
      <c r="E12" s="39">
        <v>23000</v>
      </c>
      <c r="F12" s="39">
        <v>0</v>
      </c>
      <c r="G12" s="39">
        <v>40000</v>
      </c>
      <c r="H12" s="27" t="s">
        <v>171</v>
      </c>
      <c r="I12" s="27" t="s">
        <v>174</v>
      </c>
    </row>
    <row r="13" spans="1:9" x14ac:dyDescent="0.45">
      <c r="B13" s="26" t="s">
        <v>71</v>
      </c>
      <c r="C13" s="27" t="s">
        <v>175</v>
      </c>
      <c r="D13" s="40">
        <v>0.45</v>
      </c>
      <c r="E13" s="33">
        <v>0.3</v>
      </c>
      <c r="F13" s="33">
        <v>0</v>
      </c>
      <c r="G13" s="33">
        <v>0.5</v>
      </c>
      <c r="H13" s="27" t="s">
        <v>176</v>
      </c>
      <c r="I13" s="27" t="s">
        <v>177</v>
      </c>
    </row>
    <row r="14" spans="1:9" ht="8" customHeight="1" x14ac:dyDescent="0.45"/>
    <row r="15" spans="1:9" ht="22.05" customHeight="1" x14ac:dyDescent="0.5">
      <c r="B15" s="7" t="s">
        <v>178</v>
      </c>
      <c r="C15" s="8"/>
      <c r="D15" s="8"/>
      <c r="E15" s="8"/>
      <c r="F15" s="8"/>
      <c r="G15" s="8"/>
      <c r="H15" s="8"/>
      <c r="I15" s="8"/>
    </row>
    <row r="16" spans="1:9" ht="18" customHeight="1" x14ac:dyDescent="0.45">
      <c r="B16" s="13" t="s">
        <v>179</v>
      </c>
    </row>
    <row r="17" spans="2:9" ht="18" customHeight="1" x14ac:dyDescent="0.45">
      <c r="B17" s="35"/>
      <c r="C17" s="35" t="s">
        <v>180</v>
      </c>
      <c r="D17" s="5"/>
      <c r="E17" s="5"/>
      <c r="F17" s="5"/>
      <c r="G17" s="36" t="s">
        <v>181</v>
      </c>
      <c r="H17" s="5"/>
      <c r="I17" s="35" t="s">
        <v>182</v>
      </c>
    </row>
    <row r="18" spans="2:9" x14ac:dyDescent="0.45">
      <c r="B18" s="41" t="s">
        <v>183</v>
      </c>
      <c r="C18" s="94" t="s">
        <v>184</v>
      </c>
      <c r="D18" s="95"/>
      <c r="E18" s="95"/>
      <c r="F18" s="95"/>
      <c r="G18" s="29"/>
      <c r="H18" s="29"/>
      <c r="I18" s="27" t="s">
        <v>185</v>
      </c>
    </row>
    <row r="19" spans="2:9" x14ac:dyDescent="0.45">
      <c r="B19" s="26" t="s">
        <v>186</v>
      </c>
      <c r="C19" s="94" t="s">
        <v>187</v>
      </c>
      <c r="D19" s="95"/>
      <c r="E19" s="95"/>
      <c r="F19" s="95"/>
      <c r="G19" s="34">
        <f>MinResult</f>
        <v>-10</v>
      </c>
      <c r="H19" s="29"/>
      <c r="I19" s="27" t="s">
        <v>185</v>
      </c>
    </row>
    <row r="20" spans="2:9" x14ac:dyDescent="0.45">
      <c r="B20" s="26" t="s">
        <v>188</v>
      </c>
      <c r="C20" s="94" t="s">
        <v>189</v>
      </c>
      <c r="D20" s="95"/>
      <c r="E20" s="95"/>
      <c r="F20" s="95"/>
      <c r="G20" s="42" t="str">
        <f>IF(NetOK_Plan,"✔  yes","✗  no")</f>
        <v>✔  yes</v>
      </c>
      <c r="H20" s="29"/>
      <c r="I20" s="27" t="s">
        <v>190</v>
      </c>
    </row>
    <row r="21" spans="2:9" ht="8" customHeight="1" x14ac:dyDescent="0.45"/>
    <row r="22" spans="2:9" ht="22.05" customHeight="1" x14ac:dyDescent="0.5">
      <c r="B22" s="7" t="s">
        <v>191</v>
      </c>
      <c r="C22" s="8"/>
      <c r="D22" s="8"/>
      <c r="E22" s="8"/>
      <c r="F22" s="8"/>
      <c r="G22" s="8"/>
      <c r="H22" s="8"/>
      <c r="I22" s="8"/>
    </row>
    <row r="23" spans="2:9" ht="18" customHeight="1" x14ac:dyDescent="0.45">
      <c r="B23" s="13" t="s">
        <v>192</v>
      </c>
    </row>
    <row r="24" spans="2:9" x14ac:dyDescent="0.45">
      <c r="B24" s="26" t="s">
        <v>193</v>
      </c>
      <c r="C24" s="29"/>
      <c r="D24" s="96" t="s">
        <v>454</v>
      </c>
      <c r="E24" s="29"/>
      <c r="F24" s="29"/>
      <c r="G24" s="29"/>
      <c r="H24" s="29"/>
      <c r="I24" s="29"/>
    </row>
    <row r="25" spans="2:9" x14ac:dyDescent="0.45">
      <c r="B25" s="26" t="s">
        <v>194</v>
      </c>
      <c r="C25" s="29"/>
      <c r="D25" s="43" t="s">
        <v>453</v>
      </c>
      <c r="E25" s="29"/>
      <c r="F25" s="29"/>
      <c r="G25" s="29"/>
      <c r="H25" s="29"/>
      <c r="I25" s="29"/>
    </row>
    <row r="26" spans="2:9" x14ac:dyDescent="0.45">
      <c r="B26" s="26" t="s">
        <v>195</v>
      </c>
      <c r="C26" s="29"/>
      <c r="D26" s="44">
        <v>124</v>
      </c>
      <c r="E26" s="29"/>
      <c r="F26" s="29"/>
      <c r="G26" s="29"/>
      <c r="H26" s="29"/>
      <c r="I26" s="29"/>
    </row>
    <row r="27" spans="2:9" x14ac:dyDescent="0.45">
      <c r="B27" s="26" t="s">
        <v>196</v>
      </c>
      <c r="C27" s="29"/>
      <c r="D27" s="44">
        <v>10000</v>
      </c>
      <c r="E27" s="29"/>
      <c r="F27" s="29"/>
      <c r="G27" s="29"/>
      <c r="H27" s="29"/>
      <c r="I27" s="29"/>
    </row>
    <row r="28" spans="2:9" x14ac:dyDescent="0.45">
      <c r="B28" s="26" t="s">
        <v>197</v>
      </c>
      <c r="C28" s="29"/>
      <c r="D28" s="45">
        <v>13.6</v>
      </c>
      <c r="E28" s="29"/>
      <c r="F28" s="29"/>
      <c r="G28" s="29"/>
      <c r="H28" s="29"/>
      <c r="I28" s="29"/>
    </row>
    <row r="29" spans="2:9" x14ac:dyDescent="0.45">
      <c r="B29" s="26" t="s">
        <v>198</v>
      </c>
      <c r="C29" s="29"/>
      <c r="D29" s="43" t="s">
        <v>451</v>
      </c>
      <c r="E29" s="29"/>
      <c r="F29" s="29"/>
      <c r="G29" s="29"/>
      <c r="H29" s="29"/>
      <c r="I29" s="29"/>
    </row>
    <row r="30" spans="2:9" x14ac:dyDescent="0.45">
      <c r="B30" s="26" t="s">
        <v>199</v>
      </c>
      <c r="C30" s="29"/>
      <c r="D30" s="43" t="s">
        <v>452</v>
      </c>
      <c r="E30" s="29"/>
      <c r="F30" s="29"/>
      <c r="G30" s="29"/>
      <c r="H30" s="29"/>
      <c r="I30" s="29"/>
    </row>
    <row r="31" spans="2:9" x14ac:dyDescent="0.45">
      <c r="B31" s="26" t="s">
        <v>200</v>
      </c>
      <c r="C31" s="29"/>
      <c r="D31" s="46">
        <v>1.662593403</v>
      </c>
      <c r="E31" s="29"/>
      <c r="F31" s="29"/>
      <c r="G31" s="29"/>
      <c r="H31" s="29"/>
      <c r="I31" s="29"/>
    </row>
    <row r="32" spans="2:9" ht="14" customHeight="1" x14ac:dyDescent="0.45"/>
  </sheetData>
  <mergeCells count="4">
    <mergeCell ref="C19:F19"/>
    <mergeCell ref="B6:I6"/>
    <mergeCell ref="C18:F18"/>
    <mergeCell ref="C20:F20"/>
  </mergeCells>
  <dataValidations count="3">
    <dataValidation type="decimal" showErrorMessage="1" errorTitle="Decision" error="Enter a value from 1000 to 6000." sqref="D11:E11" xr:uid="{00000000-0002-0000-0200-000000000000}">
      <formula1>1000</formula1>
      <formula2>6000</formula2>
    </dataValidation>
    <dataValidation type="decimal" showErrorMessage="1" errorTitle="Decision" error="Enter a value from 0 to 40000." sqref="D12:E12" xr:uid="{00000000-0002-0000-0200-000001000000}">
      <formula1>0</formula1>
      <formula2>40000</formula2>
    </dataValidation>
    <dataValidation type="decimal" showErrorMessage="1" errorTitle="Decision" error="Enter a value from 0 to 0.5." sqref="D13:E13" xr:uid="{00000000-0002-0000-0200-000002000000}">
      <formula1>0</formula1>
      <formula2>0.5</formula2>
    </dataValidation>
  </dataValidations>
  <hyperlinks>
    <hyperlink ref="B4" location="'Inputs'!A1" display="◂  Inputs" xr:uid="{00000000-0004-0000-0200-000000000000}"/>
    <hyperlink ref="I4" location="'Claims'!A1" display="Next:  Claims  ▸" xr:uid="{00000000-0004-0000-02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I120"/>
  <sheetViews>
    <sheetView showGridLines="0" workbookViewId="0">
      <pane ySplit="5" topLeftCell="A6" activePane="bottomLeft" state="frozen"/>
      <selection pane="bottomLeft"/>
    </sheetView>
  </sheetViews>
  <sheetFormatPr defaultRowHeight="14.25" x14ac:dyDescent="0.45"/>
  <cols>
    <col min="1" max="1" width="2" customWidth="1"/>
    <col min="2" max="2" width="40" customWidth="1"/>
    <col min="3" max="5" width="13" customWidth="1"/>
    <col min="6" max="7" width="12" customWidth="1"/>
    <col min="8" max="8" width="3" customWidth="1"/>
    <col min="9" max="9" width="60" customWidth="1"/>
  </cols>
  <sheetData>
    <row r="1" spans="1:9" ht="6" customHeight="1" x14ac:dyDescent="0.45"/>
    <row r="2" spans="1:9" ht="30" customHeight="1" x14ac:dyDescent="0.45">
      <c r="A2" s="1"/>
      <c r="B2" s="22" t="s">
        <v>0</v>
      </c>
      <c r="C2" s="1"/>
      <c r="D2" s="1"/>
      <c r="E2" s="1"/>
      <c r="F2" s="1"/>
      <c r="G2" s="1"/>
      <c r="H2" s="1"/>
      <c r="I2" s="3" t="s">
        <v>1</v>
      </c>
    </row>
    <row r="3" spans="1:9" ht="20" customHeight="1" x14ac:dyDescent="0.45">
      <c r="A3" s="1"/>
      <c r="B3" s="4" t="s">
        <v>201</v>
      </c>
      <c r="C3" s="1"/>
      <c r="D3" s="1"/>
      <c r="E3" s="1"/>
      <c r="F3" s="1"/>
      <c r="G3" s="1"/>
      <c r="H3" s="1"/>
      <c r="I3" s="1"/>
    </row>
    <row r="4" spans="1:9" ht="20" customHeight="1" x14ac:dyDescent="0.45">
      <c r="A4" s="5"/>
      <c r="B4" s="23" t="s">
        <v>202</v>
      </c>
      <c r="C4" s="5"/>
      <c r="D4" s="5"/>
      <c r="E4" s="5"/>
      <c r="F4" s="5"/>
      <c r="G4" s="5"/>
      <c r="H4" s="5"/>
      <c r="I4" s="6" t="s">
        <v>203</v>
      </c>
    </row>
    <row r="5" spans="1:9" ht="8" customHeight="1" x14ac:dyDescent="0.45"/>
    <row r="6" spans="1:9" ht="22.05" customHeight="1" x14ac:dyDescent="0.5">
      <c r="B6" s="7" t="s">
        <v>117</v>
      </c>
      <c r="C6" s="8"/>
      <c r="D6" s="8"/>
      <c r="E6" s="8"/>
      <c r="F6" s="8"/>
      <c r="G6" s="8"/>
      <c r="H6" s="8"/>
      <c r="I6" s="8"/>
    </row>
    <row r="7" spans="1:9" ht="18" customHeight="1" x14ac:dyDescent="0.45">
      <c r="B7" s="13" t="s">
        <v>204</v>
      </c>
    </row>
    <row r="8" spans="1:9" ht="18" customHeight="1" x14ac:dyDescent="0.45">
      <c r="B8" s="35" t="s">
        <v>205</v>
      </c>
      <c r="C8" s="35" t="s">
        <v>120</v>
      </c>
      <c r="D8" s="36" t="s">
        <v>206</v>
      </c>
      <c r="E8" s="5"/>
      <c r="F8" s="5"/>
      <c r="G8" s="5"/>
      <c r="H8" s="5"/>
      <c r="I8" s="35" t="s">
        <v>207</v>
      </c>
    </row>
    <row r="9" spans="1:9" x14ac:dyDescent="0.45">
      <c r="B9" s="26" t="s">
        <v>208</v>
      </c>
      <c r="C9" s="27" t="s">
        <v>129</v>
      </c>
      <c r="D9" s="47">
        <f>SevMean*(SevShape-1)</f>
        <v>600.00000000000011</v>
      </c>
      <c r="E9" s="29"/>
      <c r="F9" s="29"/>
      <c r="G9" s="29"/>
      <c r="H9" s="29"/>
      <c r="I9" s="27" t="s">
        <v>209</v>
      </c>
    </row>
    <row r="10" spans="1:9" x14ac:dyDescent="0.45">
      <c r="B10" s="26" t="s">
        <v>210</v>
      </c>
      <c r="C10" s="27" t="s">
        <v>211</v>
      </c>
      <c r="D10" s="48" t="str" cm="1">
        <f t="array" ref="D10">_xll.VosePoissonObject(FreqMean)</f>
        <v>VosePoisson(60)</v>
      </c>
      <c r="E10" s="29"/>
      <c r="F10" s="29"/>
      <c r="G10" s="29"/>
      <c r="H10" s="29"/>
      <c r="I10" s="27" t="s">
        <v>212</v>
      </c>
    </row>
    <row r="11" spans="1:9" x14ac:dyDescent="0.45">
      <c r="B11" s="26" t="s">
        <v>213</v>
      </c>
      <c r="C11" s="27" t="s">
        <v>211</v>
      </c>
      <c r="D11" s="48" t="str" cm="1">
        <f t="array" ref="D11">_xll.VosePareto2Object(ParetoB,SevShape)</f>
        <v>VosePareto2(600,2.2)</v>
      </c>
      <c r="E11" s="29"/>
      <c r="F11" s="29"/>
      <c r="G11" s="29"/>
      <c r="H11" s="29"/>
      <c r="I11" s="27" t="s">
        <v>214</v>
      </c>
    </row>
    <row r="12" spans="1:9" x14ac:dyDescent="0.45">
      <c r="B12" s="26" t="s">
        <v>215</v>
      </c>
      <c r="C12" s="27" t="s">
        <v>216</v>
      </c>
      <c r="D12" s="49">
        <f>FreqMean*SevMean/1000</f>
        <v>30</v>
      </c>
      <c r="E12" s="29"/>
      <c r="F12" s="29"/>
      <c r="G12" s="29"/>
      <c r="H12" s="29"/>
      <c r="I12" s="27" t="s">
        <v>217</v>
      </c>
    </row>
    <row r="13" spans="1:9" ht="8" customHeight="1" x14ac:dyDescent="0.45"/>
    <row r="14" spans="1:9" ht="22.05" customHeight="1" x14ac:dyDescent="0.5">
      <c r="B14" s="7" t="s">
        <v>218</v>
      </c>
      <c r="C14" s="8"/>
      <c r="D14" s="8"/>
      <c r="E14" s="8"/>
      <c r="F14" s="8"/>
      <c r="G14" s="8"/>
      <c r="H14" s="8"/>
      <c r="I14" s="8"/>
    </row>
    <row r="15" spans="1:9" ht="18" customHeight="1" x14ac:dyDescent="0.45">
      <c r="B15" s="13" t="s">
        <v>219</v>
      </c>
    </row>
    <row r="16" spans="1:9" ht="18" customHeight="1" x14ac:dyDescent="0.45">
      <c r="B16" s="50" t="s">
        <v>220</v>
      </c>
      <c r="C16" s="51" t="s">
        <v>221</v>
      </c>
      <c r="D16" s="51" t="s">
        <v>222</v>
      </c>
      <c r="E16" s="51" t="s">
        <v>223</v>
      </c>
      <c r="F16" s="52" t="s">
        <v>165</v>
      </c>
      <c r="G16" s="52" t="s">
        <v>164</v>
      </c>
      <c r="H16" s="5"/>
      <c r="I16" s="35" t="s">
        <v>224</v>
      </c>
    </row>
    <row r="17" spans="2:9" x14ac:dyDescent="0.45">
      <c r="B17" s="53" t="s">
        <v>144</v>
      </c>
      <c r="C17" s="53" t="s">
        <v>129</v>
      </c>
      <c r="D17" s="53" t="s">
        <v>129</v>
      </c>
      <c r="E17" s="53" t="s">
        <v>144</v>
      </c>
      <c r="F17" s="54" t="s">
        <v>225</v>
      </c>
      <c r="G17" s="54" t="s">
        <v>225</v>
      </c>
    </row>
    <row r="18" spans="2:9" x14ac:dyDescent="0.45">
      <c r="B18" s="26" t="s">
        <v>226</v>
      </c>
      <c r="C18" s="55">
        <v>0</v>
      </c>
      <c r="D18" s="47">
        <v>500</v>
      </c>
      <c r="E18" s="56">
        <f t="array" aca="1" ref="E18:E118" ca="1">_xll.VoseAggregateTranche(Freq,Sev,C18:C118,D18:D118)/1000</f>
        <v>13.938248038980204</v>
      </c>
      <c r="I18" s="57" t="s">
        <v>227</v>
      </c>
    </row>
    <row r="19" spans="2:9" x14ac:dyDescent="0.45">
      <c r="B19" s="26" t="s">
        <v>228</v>
      </c>
      <c r="C19" s="55">
        <v>500</v>
      </c>
      <c r="D19" s="47">
        <v>1000</v>
      </c>
      <c r="E19" s="56">
        <f ca="1"/>
        <v>5.108905617692022</v>
      </c>
      <c r="I19" s="57" t="s">
        <v>229</v>
      </c>
    </row>
    <row r="20" spans="2:9" x14ac:dyDescent="0.45">
      <c r="B20" s="26" t="s">
        <v>230</v>
      </c>
      <c r="C20" s="55">
        <v>1000</v>
      </c>
      <c r="D20" s="47">
        <v>1500</v>
      </c>
      <c r="E20" s="56">
        <f ca="1"/>
        <v>2.6926996895690793</v>
      </c>
      <c r="I20" s="57" t="s">
        <v>231</v>
      </c>
    </row>
    <row r="21" spans="2:9" x14ac:dyDescent="0.45">
      <c r="B21" s="26" t="s">
        <v>232</v>
      </c>
      <c r="C21" s="55">
        <v>1500</v>
      </c>
      <c r="D21" s="47">
        <v>2000</v>
      </c>
      <c r="E21" s="56">
        <f ca="1"/>
        <v>1.6808092631614864</v>
      </c>
      <c r="I21" s="57" t="s">
        <v>233</v>
      </c>
    </row>
    <row r="22" spans="2:9" x14ac:dyDescent="0.45">
      <c r="B22" s="26" t="s">
        <v>234</v>
      </c>
      <c r="C22" s="55">
        <v>2000</v>
      </c>
      <c r="D22" s="47">
        <v>2500</v>
      </c>
      <c r="E22" s="56">
        <f ca="1"/>
        <v>0.59139198335432408</v>
      </c>
      <c r="I22" s="57" t="s">
        <v>235</v>
      </c>
    </row>
    <row r="23" spans="2:9" x14ac:dyDescent="0.45">
      <c r="B23" s="26" t="s">
        <v>236</v>
      </c>
      <c r="C23" s="55">
        <v>2500</v>
      </c>
      <c r="D23" s="47">
        <v>3000</v>
      </c>
      <c r="E23" s="56">
        <f ca="1"/>
        <v>0.27369533713860167</v>
      </c>
      <c r="I23" s="57" t="s">
        <v>237</v>
      </c>
    </row>
    <row r="24" spans="2:9" x14ac:dyDescent="0.45">
      <c r="B24" s="26" t="s">
        <v>238</v>
      </c>
      <c r="C24" s="55">
        <v>3000</v>
      </c>
      <c r="D24" s="47">
        <v>3500</v>
      </c>
      <c r="E24" s="56">
        <f ca="1"/>
        <v>0</v>
      </c>
      <c r="I24" s="57" t="s">
        <v>239</v>
      </c>
    </row>
    <row r="25" spans="2:9" x14ac:dyDescent="0.45">
      <c r="B25" s="26" t="s">
        <v>240</v>
      </c>
      <c r="C25" s="55">
        <v>3500</v>
      </c>
      <c r="D25" s="47">
        <v>4000</v>
      </c>
      <c r="E25" s="56">
        <f ca="1"/>
        <v>0</v>
      </c>
    </row>
    <row r="26" spans="2:9" x14ac:dyDescent="0.45">
      <c r="B26" s="26" t="s">
        <v>241</v>
      </c>
      <c r="C26" s="55">
        <v>4000</v>
      </c>
      <c r="D26" s="47">
        <v>4500</v>
      </c>
      <c r="E26" s="56">
        <f ca="1"/>
        <v>0</v>
      </c>
    </row>
    <row r="27" spans="2:9" x14ac:dyDescent="0.45">
      <c r="B27" s="26" t="s">
        <v>242</v>
      </c>
      <c r="C27" s="55">
        <v>4500</v>
      </c>
      <c r="D27" s="47">
        <v>5000</v>
      </c>
      <c r="E27" s="56">
        <f ca="1"/>
        <v>0</v>
      </c>
    </row>
    <row r="28" spans="2:9" x14ac:dyDescent="0.45">
      <c r="B28" s="26" t="s">
        <v>243</v>
      </c>
      <c r="C28" s="55">
        <v>5000</v>
      </c>
      <c r="D28" s="47">
        <v>5500</v>
      </c>
      <c r="E28" s="56">
        <f ca="1"/>
        <v>0</v>
      </c>
    </row>
    <row r="29" spans="2:9" x14ac:dyDescent="0.45">
      <c r="B29" s="26" t="s">
        <v>244</v>
      </c>
      <c r="C29" s="55">
        <v>5500</v>
      </c>
      <c r="D29" s="47">
        <v>6000</v>
      </c>
      <c r="E29" s="56">
        <f ca="1"/>
        <v>0</v>
      </c>
    </row>
    <row r="30" spans="2:9" x14ac:dyDescent="0.45">
      <c r="B30" s="26" t="s">
        <v>245</v>
      </c>
      <c r="C30" s="55">
        <v>6000</v>
      </c>
      <c r="D30" s="47">
        <v>6500</v>
      </c>
      <c r="E30" s="56">
        <f ca="1"/>
        <v>0</v>
      </c>
    </row>
    <row r="31" spans="2:9" x14ac:dyDescent="0.45">
      <c r="B31" s="26" t="s">
        <v>246</v>
      </c>
      <c r="C31" s="55">
        <v>6500</v>
      </c>
      <c r="D31" s="47">
        <v>7000</v>
      </c>
      <c r="E31" s="56">
        <f ca="1"/>
        <v>0</v>
      </c>
    </row>
    <row r="32" spans="2:9" x14ac:dyDescent="0.45">
      <c r="B32" s="26" t="s">
        <v>247</v>
      </c>
      <c r="C32" s="55">
        <v>7000</v>
      </c>
      <c r="D32" s="47">
        <v>7500</v>
      </c>
      <c r="E32" s="56">
        <f ca="1"/>
        <v>0</v>
      </c>
    </row>
    <row r="33" spans="2:5" x14ac:dyDescent="0.45">
      <c r="B33" s="26" t="s">
        <v>248</v>
      </c>
      <c r="C33" s="55">
        <v>7500</v>
      </c>
      <c r="D33" s="47">
        <v>8000</v>
      </c>
      <c r="E33" s="56">
        <f ca="1"/>
        <v>0</v>
      </c>
    </row>
    <row r="34" spans="2:5" x14ac:dyDescent="0.45">
      <c r="B34" s="26" t="s">
        <v>249</v>
      </c>
      <c r="C34" s="55">
        <v>8000</v>
      </c>
      <c r="D34" s="47">
        <v>8500</v>
      </c>
      <c r="E34" s="56">
        <f ca="1"/>
        <v>0</v>
      </c>
    </row>
    <row r="35" spans="2:5" x14ac:dyDescent="0.45">
      <c r="B35" s="26" t="s">
        <v>250</v>
      </c>
      <c r="C35" s="55">
        <v>8500</v>
      </c>
      <c r="D35" s="47">
        <v>9000</v>
      </c>
      <c r="E35" s="56">
        <f ca="1"/>
        <v>0</v>
      </c>
    </row>
    <row r="36" spans="2:5" x14ac:dyDescent="0.45">
      <c r="B36" s="26" t="s">
        <v>251</v>
      </c>
      <c r="C36" s="55">
        <v>9000</v>
      </c>
      <c r="D36" s="47">
        <v>9500</v>
      </c>
      <c r="E36" s="56">
        <f ca="1"/>
        <v>0</v>
      </c>
    </row>
    <row r="37" spans="2:5" x14ac:dyDescent="0.45">
      <c r="B37" s="26" t="s">
        <v>252</v>
      </c>
      <c r="C37" s="55">
        <v>9500</v>
      </c>
      <c r="D37" s="47">
        <v>10000</v>
      </c>
      <c r="E37" s="56">
        <f ca="1"/>
        <v>0</v>
      </c>
    </row>
    <row r="38" spans="2:5" x14ac:dyDescent="0.45">
      <c r="B38" s="26" t="s">
        <v>253</v>
      </c>
      <c r="C38" s="55">
        <v>10000</v>
      </c>
      <c r="D38" s="47">
        <v>10500</v>
      </c>
      <c r="E38" s="56">
        <f ca="1"/>
        <v>0</v>
      </c>
    </row>
    <row r="39" spans="2:5" x14ac:dyDescent="0.45">
      <c r="B39" s="26" t="s">
        <v>254</v>
      </c>
      <c r="C39" s="55">
        <v>10500</v>
      </c>
      <c r="D39" s="47">
        <v>11000</v>
      </c>
      <c r="E39" s="56">
        <f ca="1"/>
        <v>0</v>
      </c>
    </row>
    <row r="40" spans="2:5" x14ac:dyDescent="0.45">
      <c r="B40" s="26" t="s">
        <v>255</v>
      </c>
      <c r="C40" s="55">
        <v>11000</v>
      </c>
      <c r="D40" s="47">
        <v>11500</v>
      </c>
      <c r="E40" s="56">
        <f ca="1"/>
        <v>0</v>
      </c>
    </row>
    <row r="41" spans="2:5" x14ac:dyDescent="0.45">
      <c r="B41" s="26" t="s">
        <v>256</v>
      </c>
      <c r="C41" s="55">
        <v>11500</v>
      </c>
      <c r="D41" s="47">
        <v>12000</v>
      </c>
      <c r="E41" s="56">
        <f ca="1"/>
        <v>0</v>
      </c>
    </row>
    <row r="42" spans="2:5" x14ac:dyDescent="0.45">
      <c r="B42" s="26" t="s">
        <v>257</v>
      </c>
      <c r="C42" s="55">
        <v>12000</v>
      </c>
      <c r="D42" s="47">
        <v>12500</v>
      </c>
      <c r="E42" s="56">
        <f ca="1"/>
        <v>0</v>
      </c>
    </row>
    <row r="43" spans="2:5" x14ac:dyDescent="0.45">
      <c r="B43" s="26" t="s">
        <v>258</v>
      </c>
      <c r="C43" s="55">
        <v>12500</v>
      </c>
      <c r="D43" s="47">
        <v>13000</v>
      </c>
      <c r="E43" s="56">
        <f ca="1"/>
        <v>0</v>
      </c>
    </row>
    <row r="44" spans="2:5" x14ac:dyDescent="0.45">
      <c r="B44" s="26" t="s">
        <v>259</v>
      </c>
      <c r="C44" s="55">
        <v>13000</v>
      </c>
      <c r="D44" s="47">
        <v>13500</v>
      </c>
      <c r="E44" s="56">
        <f ca="1"/>
        <v>0</v>
      </c>
    </row>
    <row r="45" spans="2:5" x14ac:dyDescent="0.45">
      <c r="B45" s="26" t="s">
        <v>260</v>
      </c>
      <c r="C45" s="55">
        <v>13500</v>
      </c>
      <c r="D45" s="47">
        <v>14000</v>
      </c>
      <c r="E45" s="56">
        <f ca="1"/>
        <v>0</v>
      </c>
    </row>
    <row r="46" spans="2:5" x14ac:dyDescent="0.45">
      <c r="B46" s="26" t="s">
        <v>261</v>
      </c>
      <c r="C46" s="55">
        <v>14000</v>
      </c>
      <c r="D46" s="47">
        <v>14500</v>
      </c>
      <c r="E46" s="56">
        <f ca="1"/>
        <v>0</v>
      </c>
    </row>
    <row r="47" spans="2:5" x14ac:dyDescent="0.45">
      <c r="B47" s="26" t="s">
        <v>262</v>
      </c>
      <c r="C47" s="55">
        <v>14500</v>
      </c>
      <c r="D47" s="47">
        <v>15000</v>
      </c>
      <c r="E47" s="56">
        <f ca="1"/>
        <v>0</v>
      </c>
    </row>
    <row r="48" spans="2:5" x14ac:dyDescent="0.45">
      <c r="B48" s="26" t="s">
        <v>263</v>
      </c>
      <c r="C48" s="55">
        <v>15000</v>
      </c>
      <c r="D48" s="47">
        <v>15500</v>
      </c>
      <c r="E48" s="56">
        <f ca="1"/>
        <v>0</v>
      </c>
    </row>
    <row r="49" spans="2:5" x14ac:dyDescent="0.45">
      <c r="B49" s="26" t="s">
        <v>264</v>
      </c>
      <c r="C49" s="55">
        <v>15500</v>
      </c>
      <c r="D49" s="47">
        <v>16000</v>
      </c>
      <c r="E49" s="56">
        <f ca="1"/>
        <v>0</v>
      </c>
    </row>
    <row r="50" spans="2:5" x14ac:dyDescent="0.45">
      <c r="B50" s="26" t="s">
        <v>265</v>
      </c>
      <c r="C50" s="55">
        <v>16000</v>
      </c>
      <c r="D50" s="47">
        <v>16500</v>
      </c>
      <c r="E50" s="56">
        <f ca="1"/>
        <v>0</v>
      </c>
    </row>
    <row r="51" spans="2:5" x14ac:dyDescent="0.45">
      <c r="B51" s="26" t="s">
        <v>266</v>
      </c>
      <c r="C51" s="55">
        <v>16500</v>
      </c>
      <c r="D51" s="47">
        <v>17000</v>
      </c>
      <c r="E51" s="56">
        <f ca="1"/>
        <v>0</v>
      </c>
    </row>
    <row r="52" spans="2:5" x14ac:dyDescent="0.45">
      <c r="B52" s="26" t="s">
        <v>267</v>
      </c>
      <c r="C52" s="55">
        <v>17000</v>
      </c>
      <c r="D52" s="47">
        <v>17500</v>
      </c>
      <c r="E52" s="56">
        <f ca="1"/>
        <v>0</v>
      </c>
    </row>
    <row r="53" spans="2:5" x14ac:dyDescent="0.45">
      <c r="B53" s="26" t="s">
        <v>268</v>
      </c>
      <c r="C53" s="55">
        <v>17500</v>
      </c>
      <c r="D53" s="47">
        <v>18000</v>
      </c>
      <c r="E53" s="56">
        <f ca="1"/>
        <v>0</v>
      </c>
    </row>
    <row r="54" spans="2:5" x14ac:dyDescent="0.45">
      <c r="B54" s="26" t="s">
        <v>269</v>
      </c>
      <c r="C54" s="55">
        <v>18000</v>
      </c>
      <c r="D54" s="47">
        <v>18500</v>
      </c>
      <c r="E54" s="56">
        <f ca="1"/>
        <v>0</v>
      </c>
    </row>
    <row r="55" spans="2:5" x14ac:dyDescent="0.45">
      <c r="B55" s="26" t="s">
        <v>270</v>
      </c>
      <c r="C55" s="55">
        <v>18500</v>
      </c>
      <c r="D55" s="47">
        <v>19000</v>
      </c>
      <c r="E55" s="56">
        <f ca="1"/>
        <v>0</v>
      </c>
    </row>
    <row r="56" spans="2:5" x14ac:dyDescent="0.45">
      <c r="B56" s="26" t="s">
        <v>271</v>
      </c>
      <c r="C56" s="55">
        <v>19000</v>
      </c>
      <c r="D56" s="47">
        <v>19500</v>
      </c>
      <c r="E56" s="56">
        <f ca="1"/>
        <v>0</v>
      </c>
    </row>
    <row r="57" spans="2:5" x14ac:dyDescent="0.45">
      <c r="B57" s="26" t="s">
        <v>272</v>
      </c>
      <c r="C57" s="55">
        <v>19500</v>
      </c>
      <c r="D57" s="47">
        <v>20000</v>
      </c>
      <c r="E57" s="56">
        <f ca="1"/>
        <v>0</v>
      </c>
    </row>
    <row r="58" spans="2:5" x14ac:dyDescent="0.45">
      <c r="B58" s="26" t="s">
        <v>273</v>
      </c>
      <c r="C58" s="55">
        <v>20000</v>
      </c>
      <c r="D58" s="47">
        <v>20500</v>
      </c>
      <c r="E58" s="56">
        <f ca="1"/>
        <v>0</v>
      </c>
    </row>
    <row r="59" spans="2:5" x14ac:dyDescent="0.45">
      <c r="B59" s="26" t="s">
        <v>274</v>
      </c>
      <c r="C59" s="55">
        <v>20500</v>
      </c>
      <c r="D59" s="47">
        <v>21000</v>
      </c>
      <c r="E59" s="56">
        <f ca="1"/>
        <v>0</v>
      </c>
    </row>
    <row r="60" spans="2:5" x14ac:dyDescent="0.45">
      <c r="B60" s="26" t="s">
        <v>275</v>
      </c>
      <c r="C60" s="55">
        <v>21000</v>
      </c>
      <c r="D60" s="47">
        <v>21500</v>
      </c>
      <c r="E60" s="56">
        <f ca="1"/>
        <v>0</v>
      </c>
    </row>
    <row r="61" spans="2:5" x14ac:dyDescent="0.45">
      <c r="B61" s="26" t="s">
        <v>276</v>
      </c>
      <c r="C61" s="55">
        <v>21500</v>
      </c>
      <c r="D61" s="47">
        <v>22000</v>
      </c>
      <c r="E61" s="56">
        <f ca="1"/>
        <v>0</v>
      </c>
    </row>
    <row r="62" spans="2:5" x14ac:dyDescent="0.45">
      <c r="B62" s="26" t="s">
        <v>277</v>
      </c>
      <c r="C62" s="55">
        <v>22000</v>
      </c>
      <c r="D62" s="47">
        <v>22500</v>
      </c>
      <c r="E62" s="56">
        <f ca="1"/>
        <v>0</v>
      </c>
    </row>
    <row r="63" spans="2:5" x14ac:dyDescent="0.45">
      <c r="B63" s="26" t="s">
        <v>278</v>
      </c>
      <c r="C63" s="55">
        <v>22500</v>
      </c>
      <c r="D63" s="47">
        <v>23000</v>
      </c>
      <c r="E63" s="56">
        <f ca="1"/>
        <v>0</v>
      </c>
    </row>
    <row r="64" spans="2:5" x14ac:dyDescent="0.45">
      <c r="B64" s="26" t="s">
        <v>279</v>
      </c>
      <c r="C64" s="55">
        <v>23000</v>
      </c>
      <c r="D64" s="47">
        <v>23500</v>
      </c>
      <c r="E64" s="56">
        <f ca="1"/>
        <v>0</v>
      </c>
    </row>
    <row r="65" spans="2:5" x14ac:dyDescent="0.45">
      <c r="B65" s="26" t="s">
        <v>280</v>
      </c>
      <c r="C65" s="55">
        <v>23500</v>
      </c>
      <c r="D65" s="47">
        <v>24000</v>
      </c>
      <c r="E65" s="56">
        <f ca="1"/>
        <v>0</v>
      </c>
    </row>
    <row r="66" spans="2:5" x14ac:dyDescent="0.45">
      <c r="B66" s="26" t="s">
        <v>281</v>
      </c>
      <c r="C66" s="55">
        <v>24000</v>
      </c>
      <c r="D66" s="47">
        <v>24500</v>
      </c>
      <c r="E66" s="56">
        <f ca="1"/>
        <v>0</v>
      </c>
    </row>
    <row r="67" spans="2:5" x14ac:dyDescent="0.45">
      <c r="B67" s="26" t="s">
        <v>282</v>
      </c>
      <c r="C67" s="55">
        <v>24500</v>
      </c>
      <c r="D67" s="47">
        <v>25000</v>
      </c>
      <c r="E67" s="56">
        <f ca="1"/>
        <v>0</v>
      </c>
    </row>
    <row r="68" spans="2:5" x14ac:dyDescent="0.45">
      <c r="B68" s="26" t="s">
        <v>283</v>
      </c>
      <c r="C68" s="55">
        <v>25000</v>
      </c>
      <c r="D68" s="47">
        <v>25500</v>
      </c>
      <c r="E68" s="56">
        <f ca="1"/>
        <v>0</v>
      </c>
    </row>
    <row r="69" spans="2:5" x14ac:dyDescent="0.45">
      <c r="B69" s="26" t="s">
        <v>284</v>
      </c>
      <c r="C69" s="55">
        <v>25500</v>
      </c>
      <c r="D69" s="47">
        <v>26000</v>
      </c>
      <c r="E69" s="56">
        <f ca="1"/>
        <v>0</v>
      </c>
    </row>
    <row r="70" spans="2:5" x14ac:dyDescent="0.45">
      <c r="B70" s="26" t="s">
        <v>285</v>
      </c>
      <c r="C70" s="55">
        <v>26000</v>
      </c>
      <c r="D70" s="47">
        <v>26500</v>
      </c>
      <c r="E70" s="56">
        <f ca="1"/>
        <v>0</v>
      </c>
    </row>
    <row r="71" spans="2:5" x14ac:dyDescent="0.45">
      <c r="B71" s="26" t="s">
        <v>286</v>
      </c>
      <c r="C71" s="55">
        <v>26500</v>
      </c>
      <c r="D71" s="47">
        <v>27000</v>
      </c>
      <c r="E71" s="56">
        <f ca="1"/>
        <v>0</v>
      </c>
    </row>
    <row r="72" spans="2:5" x14ac:dyDescent="0.45">
      <c r="B72" s="26" t="s">
        <v>287</v>
      </c>
      <c r="C72" s="55">
        <v>27000</v>
      </c>
      <c r="D72" s="47">
        <v>27500</v>
      </c>
      <c r="E72" s="56">
        <f ca="1"/>
        <v>0</v>
      </c>
    </row>
    <row r="73" spans="2:5" x14ac:dyDescent="0.45">
      <c r="B73" s="26" t="s">
        <v>288</v>
      </c>
      <c r="C73" s="55">
        <v>27500</v>
      </c>
      <c r="D73" s="47">
        <v>28000</v>
      </c>
      <c r="E73" s="56">
        <f ca="1"/>
        <v>0</v>
      </c>
    </row>
    <row r="74" spans="2:5" x14ac:dyDescent="0.45">
      <c r="B74" s="26" t="s">
        <v>289</v>
      </c>
      <c r="C74" s="55">
        <v>28000</v>
      </c>
      <c r="D74" s="47">
        <v>28500</v>
      </c>
      <c r="E74" s="56">
        <f ca="1"/>
        <v>0</v>
      </c>
    </row>
    <row r="75" spans="2:5" x14ac:dyDescent="0.45">
      <c r="B75" s="26" t="s">
        <v>290</v>
      </c>
      <c r="C75" s="55">
        <v>28500</v>
      </c>
      <c r="D75" s="47">
        <v>29000</v>
      </c>
      <c r="E75" s="56">
        <f ca="1"/>
        <v>0</v>
      </c>
    </row>
    <row r="76" spans="2:5" x14ac:dyDescent="0.45">
      <c r="B76" s="26" t="s">
        <v>291</v>
      </c>
      <c r="C76" s="55">
        <v>29000</v>
      </c>
      <c r="D76" s="47">
        <v>29500</v>
      </c>
      <c r="E76" s="56">
        <f ca="1"/>
        <v>0</v>
      </c>
    </row>
    <row r="77" spans="2:5" x14ac:dyDescent="0.45">
      <c r="B77" s="26" t="s">
        <v>292</v>
      </c>
      <c r="C77" s="55">
        <v>29500</v>
      </c>
      <c r="D77" s="47">
        <v>30000</v>
      </c>
      <c r="E77" s="56">
        <f ca="1"/>
        <v>0</v>
      </c>
    </row>
    <row r="78" spans="2:5" x14ac:dyDescent="0.45">
      <c r="B78" s="26" t="s">
        <v>293</v>
      </c>
      <c r="C78" s="55">
        <v>30000</v>
      </c>
      <c r="D78" s="47">
        <v>30500</v>
      </c>
      <c r="E78" s="56">
        <f ca="1"/>
        <v>0</v>
      </c>
    </row>
    <row r="79" spans="2:5" x14ac:dyDescent="0.45">
      <c r="B79" s="26" t="s">
        <v>294</v>
      </c>
      <c r="C79" s="55">
        <v>30500</v>
      </c>
      <c r="D79" s="47">
        <v>31000</v>
      </c>
      <c r="E79" s="56">
        <f ca="1"/>
        <v>0</v>
      </c>
    </row>
    <row r="80" spans="2:5" x14ac:dyDescent="0.45">
      <c r="B80" s="26" t="s">
        <v>295</v>
      </c>
      <c r="C80" s="55">
        <v>31000</v>
      </c>
      <c r="D80" s="47">
        <v>31500</v>
      </c>
      <c r="E80" s="56">
        <f ca="1"/>
        <v>0</v>
      </c>
    </row>
    <row r="81" spans="2:5" x14ac:dyDescent="0.45">
      <c r="B81" s="26" t="s">
        <v>296</v>
      </c>
      <c r="C81" s="55">
        <v>31500</v>
      </c>
      <c r="D81" s="47">
        <v>32000</v>
      </c>
      <c r="E81" s="56">
        <f ca="1"/>
        <v>0</v>
      </c>
    </row>
    <row r="82" spans="2:5" x14ac:dyDescent="0.45">
      <c r="B82" s="26" t="s">
        <v>297</v>
      </c>
      <c r="C82" s="55">
        <v>32000</v>
      </c>
      <c r="D82" s="47">
        <v>32500</v>
      </c>
      <c r="E82" s="56">
        <f ca="1"/>
        <v>0</v>
      </c>
    </row>
    <row r="83" spans="2:5" x14ac:dyDescent="0.45">
      <c r="B83" s="26" t="s">
        <v>298</v>
      </c>
      <c r="C83" s="55">
        <v>32500</v>
      </c>
      <c r="D83" s="47">
        <v>33000</v>
      </c>
      <c r="E83" s="56">
        <f ca="1"/>
        <v>0</v>
      </c>
    </row>
    <row r="84" spans="2:5" x14ac:dyDescent="0.45">
      <c r="B84" s="26" t="s">
        <v>299</v>
      </c>
      <c r="C84" s="55">
        <v>33000</v>
      </c>
      <c r="D84" s="47">
        <v>33500</v>
      </c>
      <c r="E84" s="56">
        <f ca="1"/>
        <v>0</v>
      </c>
    </row>
    <row r="85" spans="2:5" x14ac:dyDescent="0.45">
      <c r="B85" s="26" t="s">
        <v>300</v>
      </c>
      <c r="C85" s="55">
        <v>33500</v>
      </c>
      <c r="D85" s="47">
        <v>34000</v>
      </c>
      <c r="E85" s="56">
        <f ca="1"/>
        <v>0</v>
      </c>
    </row>
    <row r="86" spans="2:5" x14ac:dyDescent="0.45">
      <c r="B86" s="26" t="s">
        <v>301</v>
      </c>
      <c r="C86" s="55">
        <v>34000</v>
      </c>
      <c r="D86" s="47">
        <v>34500</v>
      </c>
      <c r="E86" s="56">
        <f ca="1"/>
        <v>0</v>
      </c>
    </row>
    <row r="87" spans="2:5" x14ac:dyDescent="0.45">
      <c r="B87" s="26" t="s">
        <v>302</v>
      </c>
      <c r="C87" s="55">
        <v>34500</v>
      </c>
      <c r="D87" s="47">
        <v>35000</v>
      </c>
      <c r="E87" s="56">
        <f ca="1"/>
        <v>0</v>
      </c>
    </row>
    <row r="88" spans="2:5" x14ac:dyDescent="0.45">
      <c r="B88" s="26" t="s">
        <v>303</v>
      </c>
      <c r="C88" s="55">
        <v>35000</v>
      </c>
      <c r="D88" s="47">
        <v>35500</v>
      </c>
      <c r="E88" s="56">
        <f ca="1"/>
        <v>0</v>
      </c>
    </row>
    <row r="89" spans="2:5" x14ac:dyDescent="0.45">
      <c r="B89" s="26" t="s">
        <v>304</v>
      </c>
      <c r="C89" s="55">
        <v>35500</v>
      </c>
      <c r="D89" s="47">
        <v>36000</v>
      </c>
      <c r="E89" s="56">
        <f ca="1"/>
        <v>0</v>
      </c>
    </row>
    <row r="90" spans="2:5" x14ac:dyDescent="0.45">
      <c r="B90" s="26" t="s">
        <v>305</v>
      </c>
      <c r="C90" s="55">
        <v>36000</v>
      </c>
      <c r="D90" s="47">
        <v>36500</v>
      </c>
      <c r="E90" s="56">
        <f ca="1"/>
        <v>0</v>
      </c>
    </row>
    <row r="91" spans="2:5" x14ac:dyDescent="0.45">
      <c r="B91" s="26" t="s">
        <v>306</v>
      </c>
      <c r="C91" s="55">
        <v>36500</v>
      </c>
      <c r="D91" s="47">
        <v>37000</v>
      </c>
      <c r="E91" s="56">
        <f ca="1"/>
        <v>0</v>
      </c>
    </row>
    <row r="92" spans="2:5" x14ac:dyDescent="0.45">
      <c r="B92" s="26" t="s">
        <v>307</v>
      </c>
      <c r="C92" s="55">
        <v>37000</v>
      </c>
      <c r="D92" s="47">
        <v>37500</v>
      </c>
      <c r="E92" s="56">
        <f ca="1"/>
        <v>0</v>
      </c>
    </row>
    <row r="93" spans="2:5" x14ac:dyDescent="0.45">
      <c r="B93" s="26" t="s">
        <v>308</v>
      </c>
      <c r="C93" s="55">
        <v>37500</v>
      </c>
      <c r="D93" s="47">
        <v>38000</v>
      </c>
      <c r="E93" s="56">
        <f ca="1"/>
        <v>0</v>
      </c>
    </row>
    <row r="94" spans="2:5" x14ac:dyDescent="0.45">
      <c r="B94" s="26" t="s">
        <v>309</v>
      </c>
      <c r="C94" s="55">
        <v>38000</v>
      </c>
      <c r="D94" s="47">
        <v>38500</v>
      </c>
      <c r="E94" s="56">
        <f ca="1"/>
        <v>0</v>
      </c>
    </row>
    <row r="95" spans="2:5" x14ac:dyDescent="0.45">
      <c r="B95" s="26" t="s">
        <v>310</v>
      </c>
      <c r="C95" s="55">
        <v>38500</v>
      </c>
      <c r="D95" s="47">
        <v>39000</v>
      </c>
      <c r="E95" s="56">
        <f ca="1"/>
        <v>0</v>
      </c>
    </row>
    <row r="96" spans="2:5" x14ac:dyDescent="0.45">
      <c r="B96" s="26" t="s">
        <v>311</v>
      </c>
      <c r="C96" s="55">
        <v>39000</v>
      </c>
      <c r="D96" s="47">
        <v>39500</v>
      </c>
      <c r="E96" s="56">
        <f ca="1"/>
        <v>0</v>
      </c>
    </row>
    <row r="97" spans="2:5" x14ac:dyDescent="0.45">
      <c r="B97" s="26" t="s">
        <v>312</v>
      </c>
      <c r="C97" s="55">
        <v>39500</v>
      </c>
      <c r="D97" s="47">
        <v>40000</v>
      </c>
      <c r="E97" s="56">
        <f ca="1"/>
        <v>0</v>
      </c>
    </row>
    <row r="98" spans="2:5" x14ac:dyDescent="0.45">
      <c r="B98" s="26" t="s">
        <v>313</v>
      </c>
      <c r="C98" s="55">
        <v>40000</v>
      </c>
      <c r="D98" s="47">
        <v>40500</v>
      </c>
      <c r="E98" s="56">
        <f ca="1"/>
        <v>0</v>
      </c>
    </row>
    <row r="99" spans="2:5" x14ac:dyDescent="0.45">
      <c r="B99" s="26" t="s">
        <v>314</v>
      </c>
      <c r="C99" s="55">
        <v>40500</v>
      </c>
      <c r="D99" s="47">
        <v>41000</v>
      </c>
      <c r="E99" s="56">
        <f ca="1"/>
        <v>0</v>
      </c>
    </row>
    <row r="100" spans="2:5" x14ac:dyDescent="0.45">
      <c r="B100" s="26" t="s">
        <v>315</v>
      </c>
      <c r="C100" s="55">
        <v>41000</v>
      </c>
      <c r="D100" s="47">
        <v>41500</v>
      </c>
      <c r="E100" s="56">
        <f ca="1"/>
        <v>0</v>
      </c>
    </row>
    <row r="101" spans="2:5" x14ac:dyDescent="0.45">
      <c r="B101" s="26" t="s">
        <v>316</v>
      </c>
      <c r="C101" s="55">
        <v>41500</v>
      </c>
      <c r="D101" s="47">
        <v>42000</v>
      </c>
      <c r="E101" s="56">
        <f ca="1"/>
        <v>0</v>
      </c>
    </row>
    <row r="102" spans="2:5" x14ac:dyDescent="0.45">
      <c r="B102" s="26" t="s">
        <v>317</v>
      </c>
      <c r="C102" s="55">
        <v>42000</v>
      </c>
      <c r="D102" s="47">
        <v>42500</v>
      </c>
      <c r="E102" s="56">
        <f ca="1"/>
        <v>0</v>
      </c>
    </row>
    <row r="103" spans="2:5" x14ac:dyDescent="0.45">
      <c r="B103" s="26" t="s">
        <v>318</v>
      </c>
      <c r="C103" s="55">
        <v>42500</v>
      </c>
      <c r="D103" s="47">
        <v>43000</v>
      </c>
      <c r="E103" s="56">
        <f ca="1"/>
        <v>0</v>
      </c>
    </row>
    <row r="104" spans="2:5" x14ac:dyDescent="0.45">
      <c r="B104" s="26" t="s">
        <v>319</v>
      </c>
      <c r="C104" s="55">
        <v>43000</v>
      </c>
      <c r="D104" s="47">
        <v>43500</v>
      </c>
      <c r="E104" s="56">
        <f ca="1"/>
        <v>0</v>
      </c>
    </row>
    <row r="105" spans="2:5" x14ac:dyDescent="0.45">
      <c r="B105" s="26" t="s">
        <v>320</v>
      </c>
      <c r="C105" s="55">
        <v>43500</v>
      </c>
      <c r="D105" s="47">
        <v>44000</v>
      </c>
      <c r="E105" s="56">
        <f ca="1"/>
        <v>0</v>
      </c>
    </row>
    <row r="106" spans="2:5" x14ac:dyDescent="0.45">
      <c r="B106" s="26" t="s">
        <v>321</v>
      </c>
      <c r="C106" s="55">
        <v>44000</v>
      </c>
      <c r="D106" s="47">
        <v>44500</v>
      </c>
      <c r="E106" s="56">
        <f ca="1"/>
        <v>0</v>
      </c>
    </row>
    <row r="107" spans="2:5" x14ac:dyDescent="0.45">
      <c r="B107" s="26" t="s">
        <v>322</v>
      </c>
      <c r="C107" s="55">
        <v>44500</v>
      </c>
      <c r="D107" s="47">
        <v>45000</v>
      </c>
      <c r="E107" s="56">
        <f ca="1"/>
        <v>0</v>
      </c>
    </row>
    <row r="108" spans="2:5" x14ac:dyDescent="0.45">
      <c r="B108" s="26" t="s">
        <v>323</v>
      </c>
      <c r="C108" s="55">
        <v>45000</v>
      </c>
      <c r="D108" s="47">
        <v>45500</v>
      </c>
      <c r="E108" s="56">
        <f ca="1"/>
        <v>0</v>
      </c>
    </row>
    <row r="109" spans="2:5" x14ac:dyDescent="0.45">
      <c r="B109" s="26" t="s">
        <v>324</v>
      </c>
      <c r="C109" s="55">
        <v>45500</v>
      </c>
      <c r="D109" s="47">
        <v>46000</v>
      </c>
      <c r="E109" s="56">
        <f ca="1"/>
        <v>0</v>
      </c>
    </row>
    <row r="110" spans="2:5" x14ac:dyDescent="0.45">
      <c r="B110" s="26" t="s">
        <v>325</v>
      </c>
      <c r="C110" s="55">
        <v>46000</v>
      </c>
      <c r="D110" s="47">
        <v>46500</v>
      </c>
      <c r="E110" s="56">
        <f ca="1"/>
        <v>0</v>
      </c>
    </row>
    <row r="111" spans="2:5" x14ac:dyDescent="0.45">
      <c r="B111" s="26" t="s">
        <v>326</v>
      </c>
      <c r="C111" s="55">
        <v>46500</v>
      </c>
      <c r="D111" s="47">
        <v>47000</v>
      </c>
      <c r="E111" s="56">
        <f ca="1"/>
        <v>0</v>
      </c>
    </row>
    <row r="112" spans="2:5" x14ac:dyDescent="0.45">
      <c r="B112" s="26" t="s">
        <v>327</v>
      </c>
      <c r="C112" s="55">
        <v>47000</v>
      </c>
      <c r="D112" s="47">
        <v>47500</v>
      </c>
      <c r="E112" s="56">
        <f ca="1"/>
        <v>0</v>
      </c>
    </row>
    <row r="113" spans="2:9" x14ac:dyDescent="0.45">
      <c r="B113" s="26" t="s">
        <v>328</v>
      </c>
      <c r="C113" s="55">
        <v>47500</v>
      </c>
      <c r="D113" s="47">
        <v>48000</v>
      </c>
      <c r="E113" s="56">
        <f ca="1"/>
        <v>0</v>
      </c>
    </row>
    <row r="114" spans="2:9" x14ac:dyDescent="0.45">
      <c r="B114" s="26" t="s">
        <v>329</v>
      </c>
      <c r="C114" s="55">
        <v>48000</v>
      </c>
      <c r="D114" s="47">
        <v>48500</v>
      </c>
      <c r="E114" s="56">
        <f ca="1"/>
        <v>0</v>
      </c>
    </row>
    <row r="115" spans="2:9" x14ac:dyDescent="0.45">
      <c r="B115" s="26" t="s">
        <v>330</v>
      </c>
      <c r="C115" s="55">
        <v>48500</v>
      </c>
      <c r="D115" s="47">
        <v>49000</v>
      </c>
      <c r="E115" s="56">
        <f ca="1"/>
        <v>0</v>
      </c>
    </row>
    <row r="116" spans="2:9" x14ac:dyDescent="0.45">
      <c r="B116" s="26" t="s">
        <v>331</v>
      </c>
      <c r="C116" s="55">
        <v>49000</v>
      </c>
      <c r="D116" s="47">
        <v>49500</v>
      </c>
      <c r="E116" s="56">
        <f ca="1"/>
        <v>0</v>
      </c>
    </row>
    <row r="117" spans="2:9" x14ac:dyDescent="0.45">
      <c r="B117" s="26" t="s">
        <v>332</v>
      </c>
      <c r="C117" s="55">
        <v>49500</v>
      </c>
      <c r="D117" s="47">
        <v>50000</v>
      </c>
      <c r="E117" s="56">
        <f ca="1"/>
        <v>0</v>
      </c>
    </row>
    <row r="118" spans="2:9" x14ac:dyDescent="0.45">
      <c r="B118" s="26" t="s">
        <v>333</v>
      </c>
      <c r="C118" s="55">
        <v>50000</v>
      </c>
      <c r="D118" s="58">
        <v>1000000000000</v>
      </c>
      <c r="E118" s="56">
        <f ca="1"/>
        <v>0</v>
      </c>
    </row>
    <row r="119" spans="2:9" x14ac:dyDescent="0.45">
      <c r="B119" s="59" t="s">
        <v>334</v>
      </c>
      <c r="C119" s="60"/>
      <c r="D119" s="60"/>
      <c r="E119" s="61">
        <f ca="1">SUM(E18:E118)</f>
        <v>24.285749929895715</v>
      </c>
      <c r="I119" s="57" t="s">
        <v>335</v>
      </c>
    </row>
    <row r="120" spans="2:9" ht="14" customHeight="1" x14ac:dyDescent="0.45"/>
  </sheetData>
  <conditionalFormatting sqref="F18:F118">
    <cfRule type="expression" dxfId="8" priority="1" stopIfTrue="1">
      <formula>AND($C18&gt;=Retention_Start,$D18&lt;=Top_Start)</formula>
    </cfRule>
    <cfRule type="expression" dxfId="7" priority="2" stopIfTrue="1">
      <formula>$C18&gt;=Top_Start</formula>
    </cfRule>
  </conditionalFormatting>
  <conditionalFormatting sqref="G18:G118">
    <cfRule type="expression" dxfId="6" priority="3" stopIfTrue="1">
      <formula>AND($C18&gt;=Retention,$D18&lt;=Top_Plan)</formula>
    </cfRule>
    <cfRule type="expression" dxfId="5" priority="4" stopIfTrue="1">
      <formula>$C18&gt;=Top_Plan</formula>
    </cfRule>
  </conditionalFormatting>
  <hyperlinks>
    <hyperlink ref="B4" location="'Decisions'!A1" display="◂  Decisions" xr:uid="{00000000-0004-0000-0300-000000000000}"/>
    <hyperlink ref="I4" location="'Programme'!A1" display="Next:  Programme  ▸" xr:uid="{00000000-0004-0000-03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AA0BA"/>
    <pageSetUpPr fitToPage="1"/>
  </sheetPr>
  <dimension ref="A1:G60"/>
  <sheetViews>
    <sheetView showGridLines="0" workbookViewId="0"/>
  </sheetViews>
  <sheetFormatPr defaultRowHeight="14.25" x14ac:dyDescent="0.45"/>
  <cols>
    <col min="1" max="1" width="2" customWidth="1"/>
    <col min="2" max="2" width="46" customWidth="1"/>
    <col min="3" max="3" width="16" customWidth="1"/>
    <col min="4" max="5" width="13" customWidth="1"/>
    <col min="6" max="6" width="3" customWidth="1"/>
    <col min="7" max="7" width="64" customWidth="1"/>
  </cols>
  <sheetData>
    <row r="1" spans="1:7" ht="6" customHeight="1" x14ac:dyDescent="0.45"/>
    <row r="2" spans="1:7" ht="30" customHeight="1" x14ac:dyDescent="0.45">
      <c r="A2" s="1"/>
      <c r="B2" s="22" t="s">
        <v>0</v>
      </c>
      <c r="C2" s="1"/>
      <c r="D2" s="1"/>
      <c r="E2" s="1"/>
      <c r="F2" s="1"/>
      <c r="G2" s="3" t="s">
        <v>1</v>
      </c>
    </row>
    <row r="3" spans="1:7" ht="20" customHeight="1" x14ac:dyDescent="0.45">
      <c r="A3" s="1"/>
      <c r="B3" s="4" t="s">
        <v>336</v>
      </c>
      <c r="C3" s="1"/>
      <c r="D3" s="1"/>
      <c r="E3" s="1"/>
      <c r="F3" s="1"/>
      <c r="G3" s="1"/>
    </row>
    <row r="4" spans="1:7" ht="20" customHeight="1" x14ac:dyDescent="0.45">
      <c r="A4" s="5"/>
      <c r="B4" s="23" t="s">
        <v>337</v>
      </c>
      <c r="C4" s="5"/>
      <c r="D4" s="5"/>
      <c r="E4" s="5"/>
      <c r="F4" s="5"/>
      <c r="G4" s="6" t="s">
        <v>338</v>
      </c>
    </row>
    <row r="5" spans="1:7" ht="8" customHeight="1" x14ac:dyDescent="0.45"/>
    <row r="6" spans="1:7" ht="22.05" customHeight="1" x14ac:dyDescent="0.5">
      <c r="B6" s="7" t="s">
        <v>339</v>
      </c>
      <c r="C6" s="8"/>
      <c r="D6" s="8"/>
      <c r="E6" s="8"/>
      <c r="F6" s="8"/>
      <c r="G6" s="8"/>
    </row>
    <row r="7" spans="1:7" ht="18" customHeight="1" x14ac:dyDescent="0.45">
      <c r="B7" s="13" t="s">
        <v>340</v>
      </c>
    </row>
    <row r="8" spans="1:7" ht="18" customHeight="1" x14ac:dyDescent="0.45">
      <c r="B8" s="35" t="s">
        <v>205</v>
      </c>
      <c r="C8" s="35" t="s">
        <v>120</v>
      </c>
      <c r="D8" s="36" t="s">
        <v>165</v>
      </c>
      <c r="E8" s="36" t="s">
        <v>164</v>
      </c>
      <c r="F8" s="5"/>
      <c r="G8" s="35" t="s">
        <v>207</v>
      </c>
    </row>
    <row r="9" spans="1:7" x14ac:dyDescent="0.45">
      <c r="B9" s="26" t="s">
        <v>170</v>
      </c>
      <c r="C9" s="27" t="s">
        <v>129</v>
      </c>
      <c r="D9" s="47">
        <f>Retention_Start</f>
        <v>2000</v>
      </c>
      <c r="E9" s="47">
        <f>Retention</f>
        <v>3000</v>
      </c>
      <c r="F9" s="29"/>
      <c r="G9" s="27" t="s">
        <v>341</v>
      </c>
    </row>
    <row r="10" spans="1:7" x14ac:dyDescent="0.45">
      <c r="B10" s="26" t="s">
        <v>173</v>
      </c>
      <c r="C10" s="27" t="s">
        <v>129</v>
      </c>
      <c r="D10" s="47">
        <f>Cover_Start</f>
        <v>23000</v>
      </c>
      <c r="E10" s="47">
        <f>Cover</f>
        <v>27000</v>
      </c>
      <c r="F10" s="29"/>
      <c r="G10" s="27" t="s">
        <v>341</v>
      </c>
    </row>
    <row r="11" spans="1:7" x14ac:dyDescent="0.45">
      <c r="B11" s="26" t="s">
        <v>342</v>
      </c>
      <c r="C11" s="27" t="s">
        <v>129</v>
      </c>
      <c r="D11" s="47">
        <f>Retention_Start+Cover_Start</f>
        <v>25000</v>
      </c>
      <c r="E11" s="47">
        <f>Retention+Cover</f>
        <v>30000</v>
      </c>
      <c r="F11" s="29"/>
      <c r="G11" s="27" t="s">
        <v>343</v>
      </c>
    </row>
    <row r="12" spans="1:7" x14ac:dyDescent="0.45">
      <c r="B12" s="26" t="s">
        <v>71</v>
      </c>
      <c r="C12" s="27" t="s">
        <v>175</v>
      </c>
      <c r="D12" s="62">
        <f>QSShare_Start</f>
        <v>0.3</v>
      </c>
      <c r="E12" s="62">
        <f>QSShare</f>
        <v>0.45</v>
      </c>
      <c r="F12" s="29"/>
      <c r="G12" s="27" t="s">
        <v>341</v>
      </c>
    </row>
    <row r="13" spans="1:7" x14ac:dyDescent="0.45">
      <c r="B13" s="26" t="s">
        <v>344</v>
      </c>
      <c r="C13" s="27" t="s">
        <v>129</v>
      </c>
      <c r="D13" s="47">
        <f>ROUND(Retention_Start*(1-QSShare_Start),0)</f>
        <v>1400</v>
      </c>
      <c r="E13" s="47">
        <f>ROUND(Retention*(1-QSShare),0)</f>
        <v>1650</v>
      </c>
      <c r="F13" s="29"/>
      <c r="G13" s="27" t="s">
        <v>345</v>
      </c>
    </row>
    <row r="14" spans="1:7" x14ac:dyDescent="0.45">
      <c r="B14" s="26" t="s">
        <v>346</v>
      </c>
      <c r="C14" s="27"/>
      <c r="D14" s="43" t="b">
        <f>NetRet_Start&lt;=MaxNetRet</f>
        <v>1</v>
      </c>
      <c r="E14" s="43" t="b">
        <f>NetRet_Plan&lt;=MaxNetRet</f>
        <v>1</v>
      </c>
      <c r="F14" s="29"/>
      <c r="G14" s="27" t="s">
        <v>347</v>
      </c>
    </row>
    <row r="15" spans="1:7" ht="8" customHeight="1" x14ac:dyDescent="0.45"/>
    <row r="16" spans="1:7" ht="22.05" customHeight="1" x14ac:dyDescent="0.5">
      <c r="B16" s="7" t="s">
        <v>348</v>
      </c>
      <c r="C16" s="8"/>
      <c r="D16" s="8"/>
      <c r="E16" s="8"/>
      <c r="F16" s="8"/>
      <c r="G16" s="8"/>
    </row>
    <row r="17" spans="2:7" ht="18" customHeight="1" x14ac:dyDescent="0.45">
      <c r="B17" s="13" t="s">
        <v>349</v>
      </c>
    </row>
    <row r="18" spans="2:7" ht="18" customHeight="1" x14ac:dyDescent="0.45">
      <c r="B18" s="35" t="s">
        <v>205</v>
      </c>
      <c r="C18" s="35" t="s">
        <v>120</v>
      </c>
      <c r="D18" s="36" t="s">
        <v>165</v>
      </c>
      <c r="E18" s="36" t="s">
        <v>164</v>
      </c>
      <c r="F18" s="5"/>
      <c r="G18" s="35" t="s">
        <v>207</v>
      </c>
    </row>
    <row r="19" spans="2:7" x14ac:dyDescent="0.45">
      <c r="B19" s="26" t="s">
        <v>350</v>
      </c>
      <c r="C19" s="27" t="s">
        <v>129</v>
      </c>
      <c r="D19" s="34" cm="1">
        <f t="array" ref="D19">IF(Cover_Start&gt;0,_xll.VoseMean(_xll.VoseDeductObject(Sev,Retention_Start,Cover_Start,TRUE)),0)</f>
        <v>80.524699252067279</v>
      </c>
      <c r="E19" s="34" cm="1">
        <f t="array" ref="E19">IF(Cover&gt;0,_xll.VoseMean(_xll.VoseDeductObject(Sev,Retention,Cover,TRUE)),0)</f>
        <v>53.7699318046391</v>
      </c>
      <c r="F19" s="29"/>
      <c r="G19" s="27" t="s">
        <v>351</v>
      </c>
    </row>
    <row r="20" spans="2:7" x14ac:dyDescent="0.45">
      <c r="B20" s="26" t="s">
        <v>352</v>
      </c>
      <c r="C20" s="27" t="s">
        <v>129</v>
      </c>
      <c r="D20" s="34" cm="1">
        <f t="array" ref="D20">IF(Cover_Start&gt;0,_xll.VoseStDev(_xll.VoseDeductObject(Sev,Retention_Start,Cover_Start,TRUE)),0)</f>
        <v>748.59296763454358</v>
      </c>
      <c r="E20" s="34" cm="1">
        <f t="array" ref="E20">IF(Cover&gt;0,_xll.VoseStDev(_xll.VoseDeductObject(Sev,Retention,Cover,TRUE)),0)</f>
        <v>697.1026016812109</v>
      </c>
      <c r="F20" s="29"/>
      <c r="G20" s="27" t="s">
        <v>353</v>
      </c>
    </row>
    <row r="21" spans="2:7" x14ac:dyDescent="0.45">
      <c r="B21" s="26" t="s">
        <v>354</v>
      </c>
      <c r="C21" s="27" t="s">
        <v>216</v>
      </c>
      <c r="D21" s="49">
        <f>FreqMean*XLM_Start/1000</f>
        <v>4.8314819551240369</v>
      </c>
      <c r="E21" s="49">
        <f>FreqMean*XLM_Plan/1000</f>
        <v>3.226195908278346</v>
      </c>
      <c r="F21" s="29"/>
      <c r="G21" s="27" t="s">
        <v>355</v>
      </c>
    </row>
    <row r="22" spans="2:7" x14ac:dyDescent="0.45">
      <c r="B22" s="26" t="s">
        <v>356</v>
      </c>
      <c r="C22" s="27" t="s">
        <v>144</v>
      </c>
      <c r="D22" s="49">
        <f>SQRT(FreqMean*(XLS_Start^2+XLM_Start^2))/1000</f>
        <v>5.8320270492249708</v>
      </c>
      <c r="E22" s="49">
        <f>SQRT(FreqMean*(XLS_Plan^2+XLM_Plan^2))/1000</f>
        <v>5.4157727583623103</v>
      </c>
      <c r="F22" s="29"/>
      <c r="G22" s="27" t="s">
        <v>357</v>
      </c>
    </row>
    <row r="23" spans="2:7" x14ac:dyDescent="0.45">
      <c r="B23" s="26" t="s">
        <v>81</v>
      </c>
      <c r="C23" s="27" t="s">
        <v>216</v>
      </c>
      <c r="D23" s="49">
        <f>XLEL_Start+Theta*XLSD_Start</f>
        <v>6.2894887174302792</v>
      </c>
      <c r="E23" s="49">
        <f>XLEL_Plan+Theta*XLSD_Plan</f>
        <v>4.5801390978689236</v>
      </c>
      <c r="F23" s="29"/>
      <c r="G23" s="27" t="s">
        <v>358</v>
      </c>
    </row>
    <row r="24" spans="2:7" x14ac:dyDescent="0.45">
      <c r="B24" s="26" t="s">
        <v>359</v>
      </c>
      <c r="C24" s="27" t="s">
        <v>360</v>
      </c>
      <c r="D24" s="63">
        <f>IF(XLEL_Start&gt;0,XLPrem_Start/XLEL_Start,"–")</f>
        <v>1.3017721634580359</v>
      </c>
      <c r="E24" s="63">
        <f>IF(XLEL_Plan&gt;0,XLPrem_Plan/XLEL_Plan,"–")</f>
        <v>1.4196717211488583</v>
      </c>
      <c r="F24" s="29"/>
      <c r="G24" s="27" t="s">
        <v>361</v>
      </c>
    </row>
    <row r="25" spans="2:7" x14ac:dyDescent="0.45">
      <c r="B25" s="26" t="s">
        <v>362</v>
      </c>
      <c r="C25" s="27" t="s">
        <v>363</v>
      </c>
      <c r="D25" s="64">
        <f>IF(Cover_Start&gt;0,XLPrem_Start/(Cover_Start/1000),"–")</f>
        <v>0.27345603119262085</v>
      </c>
      <c r="E25" s="64">
        <f>IF(Cover&gt;0,XLPrem_Plan/(Cover/1000),"–")</f>
        <v>0.16963478140255273</v>
      </c>
      <c r="F25" s="29"/>
      <c r="G25" s="27" t="s">
        <v>364</v>
      </c>
    </row>
    <row r="26" spans="2:7" ht="8" customHeight="1" x14ac:dyDescent="0.45"/>
    <row r="27" spans="2:7" ht="22.05" customHeight="1" x14ac:dyDescent="0.5">
      <c r="B27" s="7" t="s">
        <v>365</v>
      </c>
      <c r="C27" s="8"/>
      <c r="D27" s="8"/>
      <c r="E27" s="8"/>
      <c r="F27" s="8"/>
      <c r="G27" s="8"/>
    </row>
    <row r="28" spans="2:7" ht="18" customHeight="1" x14ac:dyDescent="0.45">
      <c r="B28" s="13" t="s">
        <v>366</v>
      </c>
    </row>
    <row r="29" spans="2:7" ht="18" customHeight="1" x14ac:dyDescent="0.45">
      <c r="B29" s="35" t="s">
        <v>205</v>
      </c>
      <c r="C29" s="35" t="s">
        <v>120</v>
      </c>
      <c r="D29" s="36" t="s">
        <v>165</v>
      </c>
      <c r="E29" s="36" t="s">
        <v>164</v>
      </c>
      <c r="F29" s="5"/>
      <c r="G29" s="35" t="s">
        <v>207</v>
      </c>
    </row>
    <row r="30" spans="2:7" x14ac:dyDescent="0.45">
      <c r="B30" s="26" t="s">
        <v>367</v>
      </c>
      <c r="C30" s="27" t="s">
        <v>144</v>
      </c>
      <c r="D30" s="49">
        <f>ExpRatio*Premium</f>
        <v>8.4</v>
      </c>
      <c r="E30" s="49">
        <f>ExpRatio*Premium</f>
        <v>8.4</v>
      </c>
      <c r="F30" s="29"/>
      <c r="G30" s="27" t="s">
        <v>368</v>
      </c>
    </row>
    <row r="31" spans="2:7" x14ac:dyDescent="0.45">
      <c r="B31" s="26" t="s">
        <v>369</v>
      </c>
      <c r="C31" s="27" t="s">
        <v>144</v>
      </c>
      <c r="D31" s="49">
        <f>Premium-XLPrem_Start</f>
        <v>35.710511282569719</v>
      </c>
      <c r="E31" s="49">
        <f>Premium-XLPrem_Plan</f>
        <v>37.419860902131077</v>
      </c>
      <c r="F31" s="29"/>
      <c r="G31" s="27" t="s">
        <v>370</v>
      </c>
    </row>
    <row r="32" spans="2:7" x14ac:dyDescent="0.45">
      <c r="B32" s="26" t="s">
        <v>371</v>
      </c>
      <c r="C32" s="27" t="s">
        <v>144</v>
      </c>
      <c r="D32" s="49">
        <f>QSShare_Start*PremLeft_Start</f>
        <v>10.713153384770916</v>
      </c>
      <c r="E32" s="49">
        <f>QSShare*PremLeft_Plan</f>
        <v>16.838937405958987</v>
      </c>
      <c r="F32" s="29"/>
      <c r="G32" s="27" t="s">
        <v>372</v>
      </c>
    </row>
    <row r="33" spans="2:7" x14ac:dyDescent="0.45">
      <c r="B33" s="26" t="s">
        <v>373</v>
      </c>
      <c r="C33" s="27" t="s">
        <v>144</v>
      </c>
      <c r="D33" s="49">
        <f>QSComm*QSPrem_Start</f>
        <v>2.6782883461927289</v>
      </c>
      <c r="E33" s="49">
        <f>QSComm*QSPrem_Plan</f>
        <v>4.2097343514897467</v>
      </c>
      <c r="F33" s="29"/>
      <c r="G33" s="27" t="s">
        <v>374</v>
      </c>
    </row>
    <row r="34" spans="2:7" x14ac:dyDescent="0.45">
      <c r="B34" s="26" t="s">
        <v>375</v>
      </c>
      <c r="C34" s="27" t="s">
        <v>216</v>
      </c>
      <c r="D34" s="49">
        <f>QSShare_Start*(ExpClaims-XLEL_Start)</f>
        <v>7.5505554134627886</v>
      </c>
      <c r="E34" s="49">
        <f>QSShare*(ExpClaims-XLEL_Plan)</f>
        <v>12.048211841274744</v>
      </c>
      <c r="F34" s="29"/>
      <c r="G34" s="27" t="s">
        <v>376</v>
      </c>
    </row>
    <row r="35" spans="2:7" x14ac:dyDescent="0.45">
      <c r="B35" s="26" t="s">
        <v>377</v>
      </c>
      <c r="C35" s="27" t="s">
        <v>216</v>
      </c>
      <c r="D35" s="49">
        <f>(XLPrem_Start-XLEL_Start)+(QSPrem_Start-Comm_Start-QSEL_Start)</f>
        <v>1.9423163874216396</v>
      </c>
      <c r="E35" s="49">
        <f>(XLPrem_Plan-XLEL_Plan)+(QSPrem_Plan-Comm_Plan-QSEL_Plan)</f>
        <v>1.9349344027850734</v>
      </c>
      <c r="F35" s="29"/>
      <c r="G35" s="27" t="s">
        <v>378</v>
      </c>
    </row>
    <row r="36" spans="2:7" ht="8" customHeight="1" x14ac:dyDescent="0.45"/>
    <row r="37" spans="2:7" ht="22.05" customHeight="1" x14ac:dyDescent="0.5">
      <c r="B37" s="7" t="s">
        <v>379</v>
      </c>
      <c r="C37" s="8"/>
      <c r="D37" s="8"/>
      <c r="E37" s="8"/>
      <c r="F37" s="8"/>
      <c r="G37" s="8"/>
    </row>
    <row r="38" spans="2:7" ht="18" customHeight="1" x14ac:dyDescent="0.45">
      <c r="B38" s="13" t="s">
        <v>380</v>
      </c>
    </row>
    <row r="39" spans="2:7" ht="18" customHeight="1" x14ac:dyDescent="0.45">
      <c r="B39" s="35" t="s">
        <v>205</v>
      </c>
      <c r="C39" s="35" t="s">
        <v>120</v>
      </c>
      <c r="D39" s="36" t="s">
        <v>165</v>
      </c>
      <c r="E39" s="36" t="s">
        <v>164</v>
      </c>
      <c r="F39" s="5"/>
      <c r="G39" s="35" t="s">
        <v>207</v>
      </c>
    </row>
    <row r="40" spans="2:7" x14ac:dyDescent="0.45">
      <c r="B40" s="26" t="s">
        <v>381</v>
      </c>
      <c r="C40" s="27" t="s">
        <v>144</v>
      </c>
      <c r="D40" s="49">
        <f ca="1">SUMPRODUCT((Claims!$C$18:$C$118&gt;=Retention_Start)*(Claims!$D$18:$D$118&lt;=Top_Start)*Claims!$E$18:$E$118)</f>
        <v>0.86508732049292569</v>
      </c>
      <c r="E40" s="49">
        <f ca="1">SUMPRODUCT((Claims!$C$18:$C$118&gt;=Retention)*(Claims!$D$18:$D$118&lt;=Top_Plan)*Claims!$E$18:$E$118)</f>
        <v>0</v>
      </c>
      <c r="F40" s="29"/>
      <c r="G40" s="27" t="s">
        <v>382</v>
      </c>
    </row>
    <row r="41" spans="2:7" x14ac:dyDescent="0.45">
      <c r="B41" s="26" t="s">
        <v>383</v>
      </c>
      <c r="C41" s="27" t="s">
        <v>144</v>
      </c>
      <c r="D41" s="49">
        <f ca="1">Gross-Rec_Start</f>
        <v>23.42066260940279</v>
      </c>
      <c r="E41" s="49">
        <f ca="1">Gross-Rec_Plan</f>
        <v>24.285749929895715</v>
      </c>
      <c r="F41" s="29"/>
      <c r="G41" s="27" t="s">
        <v>384</v>
      </c>
    </row>
    <row r="42" spans="2:7" x14ac:dyDescent="0.45">
      <c r="B42" s="26" t="s">
        <v>385</v>
      </c>
      <c r="C42" s="27" t="s">
        <v>144</v>
      </c>
      <c r="D42" s="49">
        <f ca="1">QSShare_Start*Left_Start</f>
        <v>7.0261987828208365</v>
      </c>
      <c r="E42" s="49">
        <f ca="1">QSShare*Left_Plan</f>
        <v>10.928587468453072</v>
      </c>
      <c r="F42" s="29"/>
      <c r="G42" s="27" t="s">
        <v>386</v>
      </c>
    </row>
    <row r="43" spans="2:7" x14ac:dyDescent="0.45">
      <c r="B43" s="26" t="s">
        <v>387</v>
      </c>
      <c r="C43" s="27" t="s">
        <v>144</v>
      </c>
      <c r="D43" s="49">
        <f ca="1">Left_Start-QSRec_Start</f>
        <v>16.394463826581955</v>
      </c>
      <c r="E43" s="49">
        <f ca="1">Left_Plan-QSRec_Plan</f>
        <v>13.357162461442643</v>
      </c>
      <c r="F43" s="29"/>
      <c r="G43" s="27" t="s">
        <v>388</v>
      </c>
    </row>
    <row r="44" spans="2:7" ht="8" customHeight="1" x14ac:dyDescent="0.45"/>
    <row r="45" spans="2:7" ht="22.05" customHeight="1" x14ac:dyDescent="0.5">
      <c r="B45" s="7" t="s">
        <v>389</v>
      </c>
      <c r="C45" s="8"/>
      <c r="D45" s="8"/>
      <c r="E45" s="8"/>
      <c r="F45" s="8"/>
      <c r="G45" s="8"/>
    </row>
    <row r="46" spans="2:7" ht="18" customHeight="1" x14ac:dyDescent="0.45">
      <c r="B46" s="13" t="s">
        <v>390</v>
      </c>
    </row>
    <row r="47" spans="2:7" ht="18" customHeight="1" x14ac:dyDescent="0.45">
      <c r="B47" s="35" t="s">
        <v>391</v>
      </c>
      <c r="C47" s="35" t="s">
        <v>120</v>
      </c>
      <c r="D47" s="36" t="s">
        <v>206</v>
      </c>
      <c r="E47" s="5"/>
      <c r="F47" s="5"/>
      <c r="G47" s="35" t="s">
        <v>392</v>
      </c>
    </row>
    <row r="48" spans="2:7" x14ac:dyDescent="0.45">
      <c r="B48" s="26" t="s">
        <v>393</v>
      </c>
      <c r="C48" s="27" t="s">
        <v>144</v>
      </c>
      <c r="D48" s="65" cm="1">
        <f t="array" aca="1" ref="D48" ca="1">_xll.VoseOutput("Result, starting plan","US$m")+Premium-Expenses-XLPrem_Start-QSPrem_Start+Comm_Start-Kept_Start</f>
        <v>2.8811824174095797</v>
      </c>
      <c r="E48" s="29"/>
      <c r="F48" s="29"/>
      <c r="G48" s="27" t="s">
        <v>394</v>
      </c>
    </row>
    <row r="49" spans="2:7" x14ac:dyDescent="0.45">
      <c r="B49" s="26" t="s">
        <v>395</v>
      </c>
      <c r="C49" s="27" t="s">
        <v>144</v>
      </c>
      <c r="D49" s="65" cm="1">
        <f t="array" aca="1" ref="D49" ca="1">_xll.VoseOutput("Result, plan in use","US$m")+Premium-Expenses-XLPrem_Plan-QSPrem_Plan+Comm_Plan-Kept_Plan</f>
        <v>3.0334953862191956</v>
      </c>
      <c r="E49" s="29"/>
      <c r="F49" s="29"/>
      <c r="G49" s="27" t="s">
        <v>394</v>
      </c>
    </row>
    <row r="50" spans="2:7" x14ac:dyDescent="0.45">
      <c r="B50" s="26" t="s">
        <v>396</v>
      </c>
      <c r="C50" s="27" t="s">
        <v>144</v>
      </c>
      <c r="D50" s="65" cm="1">
        <f t="array" aca="1" ref="D50" ca="1">_xll.VoseOutput("Loss, starting plan","US$m")+0-Out_Result_Start</f>
        <v>-2.8811824174095797</v>
      </c>
      <c r="E50" s="29"/>
      <c r="F50" s="29"/>
      <c r="G50" s="27" t="s">
        <v>397</v>
      </c>
    </row>
    <row r="51" spans="2:7" x14ac:dyDescent="0.45">
      <c r="B51" s="26" t="s">
        <v>398</v>
      </c>
      <c r="C51" s="27" t="s">
        <v>144</v>
      </c>
      <c r="D51" s="65" cm="1">
        <f t="array" aca="1" ref="D51" ca="1">_xll.VoseOutput("Loss, plan in use","US$m")+0-Out_Result_Plan</f>
        <v>-3.0334953862191956</v>
      </c>
      <c r="E51" s="29"/>
      <c r="F51" s="29"/>
      <c r="G51" s="27" t="s">
        <v>397</v>
      </c>
    </row>
    <row r="52" spans="2:7" ht="8" customHeight="1" x14ac:dyDescent="0.45"/>
    <row r="53" spans="2:7" ht="22.05" customHeight="1" x14ac:dyDescent="0.5">
      <c r="B53" s="7" t="s">
        <v>399</v>
      </c>
      <c r="C53" s="8"/>
      <c r="D53" s="8"/>
      <c r="E53" s="8"/>
      <c r="F53" s="8"/>
      <c r="G53" s="8"/>
    </row>
    <row r="54" spans="2:7" ht="18" customHeight="1" x14ac:dyDescent="0.45">
      <c r="B54" s="13" t="s">
        <v>400</v>
      </c>
    </row>
    <row r="55" spans="2:7" x14ac:dyDescent="0.45">
      <c r="B55" s="26" t="s">
        <v>401</v>
      </c>
      <c r="C55" s="29"/>
      <c r="D55" s="66" t="str">
        <f>IF(AND(Retention&gt;=Retention_Lo,Retention&lt;=Retention_Hi,Cover&gt;=Cover_Lo,Cover&lt;=Cover_Hi,QSShare&gt;=QSShare_Lo,QSShare&lt;=QSShare_Hi),"OK","CHECK")</f>
        <v>OK</v>
      </c>
      <c r="E55" s="29"/>
      <c r="F55" s="29"/>
      <c r="G55" s="29"/>
    </row>
    <row r="56" spans="2:7" x14ac:dyDescent="0.45">
      <c r="B56" s="26" t="s">
        <v>402</v>
      </c>
      <c r="C56" s="29"/>
      <c r="D56" s="66" t="str">
        <f>IF(AND(MOD(Retention,500)=0,MOD(Cover,500)=0,MOD(Retention_Start,500)=0,MOD(Cover_Start,500)=0),"OK","CHECK")</f>
        <v>OK</v>
      </c>
      <c r="E56" s="29"/>
      <c r="F56" s="29"/>
      <c r="G56" s="29"/>
    </row>
    <row r="57" spans="2:7" x14ac:dyDescent="0.45">
      <c r="B57" s="26" t="s">
        <v>403</v>
      </c>
      <c r="C57" s="29"/>
      <c r="D57" s="66" t="str">
        <f>IF(MAX(Top_Start,Top_Plan)&lt;=50000,"OK","CHECK")</f>
        <v>OK</v>
      </c>
      <c r="E57" s="29"/>
      <c r="F57" s="29"/>
      <c r="G57" s="29"/>
    </row>
    <row r="58" spans="2:7" x14ac:dyDescent="0.45">
      <c r="B58" s="26" t="s">
        <v>404</v>
      </c>
      <c r="C58" s="29"/>
      <c r="D58" s="66" t="str">
        <f>IF(SevShape&gt;1,"OK","CHECK")</f>
        <v>OK</v>
      </c>
      <c r="E58" s="29"/>
      <c r="F58" s="29"/>
      <c r="G58" s="29"/>
    </row>
    <row r="59" spans="2:7" x14ac:dyDescent="0.45">
      <c r="B59" s="26" t="s">
        <v>405</v>
      </c>
      <c r="C59" s="29"/>
      <c r="D59" s="66" t="str">
        <f>IF(AND(QSShare&gt;=0,QSShare&lt;=1,QSShare_Start&gt;=0,QSShare_Start&lt;=1,QSComm&gt;=0,QSComm&lt;=1),"OK","CHECK")</f>
        <v>OK</v>
      </c>
      <c r="E59" s="29"/>
      <c r="F59" s="29"/>
      <c r="G59" s="29"/>
    </row>
    <row r="60" spans="2:7" ht="14" customHeight="1" x14ac:dyDescent="0.45"/>
  </sheetData>
  <conditionalFormatting sqref="D55:D59">
    <cfRule type="expression" dxfId="4" priority="1">
      <formula>D55="CHECK"</formula>
    </cfRule>
  </conditionalFormatting>
  <hyperlinks>
    <hyperlink ref="B4" location="'Claims'!A1" display="◂  Claims" xr:uid="{00000000-0004-0000-0400-000000000000}"/>
    <hyperlink ref="G4" location="'Results'!A1" display="Next:  Results  ▸" xr:uid="{00000000-0004-0000-04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rowBreaks count="1" manualBreakCount="1">
    <brk id="3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5803D"/>
    <outlinePr summaryBelow="0"/>
    <pageSetUpPr fitToPage="1"/>
  </sheetPr>
  <dimension ref="A1:R113"/>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0" customWidth="1"/>
    <col min="3" max="3" width="14"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2" t="s">
        <v>0</v>
      </c>
      <c r="C2" s="1"/>
      <c r="D2" s="1"/>
      <c r="E2" s="1"/>
      <c r="F2" s="1"/>
      <c r="G2" s="1"/>
      <c r="H2" s="1"/>
      <c r="I2" s="1"/>
      <c r="J2" s="1"/>
      <c r="K2" s="1"/>
      <c r="L2" s="1"/>
      <c r="M2" s="1"/>
      <c r="N2" s="1"/>
      <c r="O2" s="1"/>
      <c r="P2" s="1"/>
      <c r="Q2" s="1"/>
      <c r="R2" s="3" t="s">
        <v>1</v>
      </c>
    </row>
    <row r="3" spans="1:18" ht="20" customHeight="1" x14ac:dyDescent="0.45">
      <c r="A3" s="1"/>
      <c r="B3" s="4" t="s">
        <v>406</v>
      </c>
      <c r="C3" s="1"/>
      <c r="D3" s="1"/>
      <c r="E3" s="1"/>
      <c r="F3" s="1"/>
      <c r="G3" s="1"/>
      <c r="H3" s="1"/>
      <c r="I3" s="1"/>
      <c r="J3" s="1"/>
      <c r="K3" s="1"/>
      <c r="L3" s="1"/>
      <c r="M3" s="1"/>
      <c r="N3" s="1"/>
      <c r="O3" s="1"/>
      <c r="P3" s="1"/>
      <c r="Q3" s="1"/>
      <c r="R3" s="1"/>
    </row>
    <row r="4" spans="1:18" ht="20" customHeight="1" x14ac:dyDescent="0.45">
      <c r="A4" s="5"/>
      <c r="B4" s="23" t="s">
        <v>407</v>
      </c>
      <c r="C4" s="5"/>
      <c r="D4" s="5"/>
      <c r="E4" s="5"/>
      <c r="F4" s="5"/>
      <c r="G4" s="5"/>
      <c r="H4" s="5"/>
      <c r="I4" s="5"/>
      <c r="J4" s="5"/>
      <c r="K4" s="5"/>
      <c r="L4" s="5"/>
      <c r="M4" s="5"/>
      <c r="N4" s="5"/>
      <c r="O4" s="5"/>
      <c r="P4" s="5"/>
      <c r="Q4" s="5"/>
      <c r="R4" s="5"/>
    </row>
    <row r="5" spans="1:18" ht="8" customHeight="1" x14ac:dyDescent="0.45"/>
    <row r="6" spans="1:18" ht="26" customHeight="1" x14ac:dyDescent="0.45">
      <c r="B6" s="67" t="str" cm="1">
        <f t="array" aca="1" ref="B6" ca="1">IF(ISNUMBER(_xll.VoseSimMean(Out_Result_Plan)),"✔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8"/>
      <c r="D6" s="68"/>
      <c r="E6" s="68"/>
      <c r="F6" s="68"/>
      <c r="G6" s="68"/>
    </row>
    <row r="7" spans="1:18" x14ac:dyDescent="0.45">
      <c r="B7" s="57"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408</v>
      </c>
      <c r="C9" s="8"/>
      <c r="D9" s="8"/>
      <c r="E9" s="8"/>
      <c r="F9" s="8"/>
      <c r="G9" s="8"/>
      <c r="I9" s="69" t="s">
        <v>409</v>
      </c>
      <c r="J9" s="8"/>
      <c r="K9" s="8"/>
      <c r="L9" s="8"/>
      <c r="M9" s="8"/>
      <c r="N9" s="8"/>
      <c r="O9" s="8"/>
      <c r="P9" s="8"/>
      <c r="Q9" s="8"/>
      <c r="R9" s="8"/>
    </row>
    <row r="10" spans="1:18" ht="18" customHeight="1" x14ac:dyDescent="0.45">
      <c r="B10" s="13" t="s">
        <v>410</v>
      </c>
    </row>
    <row r="11" spans="1:18" ht="18" customHeight="1" x14ac:dyDescent="0.45">
      <c r="B11" s="24" t="s">
        <v>58</v>
      </c>
      <c r="C11" s="24" t="s">
        <v>120</v>
      </c>
      <c r="D11" s="25" t="s">
        <v>165</v>
      </c>
      <c r="E11" s="25" t="s">
        <v>164</v>
      </c>
      <c r="F11" s="25" t="s">
        <v>411</v>
      </c>
      <c r="G11" s="5"/>
    </row>
    <row r="12" spans="1:18" x14ac:dyDescent="0.45">
      <c r="B12" s="26" t="s">
        <v>170</v>
      </c>
      <c r="C12" s="27" t="s">
        <v>129</v>
      </c>
      <c r="D12" s="47">
        <f>Retention_Start</f>
        <v>2000</v>
      </c>
      <c r="E12" s="70">
        <f>Retention</f>
        <v>3000</v>
      </c>
      <c r="F12" s="71">
        <f>E12-D12</f>
        <v>1000</v>
      </c>
      <c r="G12" s="29"/>
    </row>
    <row r="13" spans="1:18" x14ac:dyDescent="0.45">
      <c r="B13" s="26" t="s">
        <v>173</v>
      </c>
      <c r="C13" s="27" t="s">
        <v>129</v>
      </c>
      <c r="D13" s="55">
        <f>Cover_Start</f>
        <v>23000</v>
      </c>
      <c r="E13" s="72">
        <f>Cover</f>
        <v>27000</v>
      </c>
      <c r="F13" s="73">
        <f>E13-D13</f>
        <v>4000</v>
      </c>
      <c r="G13" s="29"/>
    </row>
    <row r="14" spans="1:18" x14ac:dyDescent="0.45">
      <c r="B14" s="26" t="s">
        <v>71</v>
      </c>
      <c r="C14" s="27" t="s">
        <v>175</v>
      </c>
      <c r="D14" s="62">
        <f>QSShare_Start</f>
        <v>0.3</v>
      </c>
      <c r="E14" s="74">
        <f>QSShare</f>
        <v>0.45</v>
      </c>
      <c r="F14" s="75">
        <f>E14-D14</f>
        <v>0.15000000000000002</v>
      </c>
      <c r="G14" s="29"/>
    </row>
    <row r="15" spans="1:18" ht="6" customHeight="1" x14ac:dyDescent="0.45"/>
    <row r="16" spans="1:18" ht="28.05" customHeight="1" x14ac:dyDescent="0.45">
      <c r="B16" s="24" t="s">
        <v>412</v>
      </c>
      <c r="C16" s="24" t="s">
        <v>120</v>
      </c>
      <c r="D16" s="25" t="s">
        <v>165</v>
      </c>
      <c r="E16" s="25" t="s">
        <v>164</v>
      </c>
      <c r="F16" s="25" t="s">
        <v>411</v>
      </c>
      <c r="G16" s="25"/>
    </row>
    <row r="17" spans="2:18" x14ac:dyDescent="0.45">
      <c r="B17" s="26" t="s">
        <v>342</v>
      </c>
      <c r="C17" s="27" t="s">
        <v>129</v>
      </c>
      <c r="D17" s="76">
        <f>Top_Start</f>
        <v>25000</v>
      </c>
      <c r="E17" s="76">
        <f>Top_Plan</f>
        <v>30000</v>
      </c>
      <c r="F17" s="71">
        <f t="shared" ref="F17:F23" si="0">IFERROR(E17-D17,"–")</f>
        <v>5000</v>
      </c>
      <c r="G17" s="29"/>
    </row>
    <row r="18" spans="2:18" x14ac:dyDescent="0.45">
      <c r="B18" s="26" t="s">
        <v>344</v>
      </c>
      <c r="C18" s="27" t="s">
        <v>129</v>
      </c>
      <c r="D18" s="76">
        <f>NetRet_Start</f>
        <v>1400</v>
      </c>
      <c r="E18" s="76">
        <f>NetRet_Plan</f>
        <v>1650</v>
      </c>
      <c r="F18" s="71">
        <f t="shared" si="0"/>
        <v>250</v>
      </c>
      <c r="G18" s="29"/>
    </row>
    <row r="19" spans="2:18" x14ac:dyDescent="0.45">
      <c r="B19" s="26" t="s">
        <v>413</v>
      </c>
      <c r="C19" s="27" t="s">
        <v>216</v>
      </c>
      <c r="D19" s="77" cm="1">
        <f t="array" aca="1" ref="D19" ca="1">_xll.VoseSimMean(Out_Result_Start)</f>
        <v>1.6479110700908635</v>
      </c>
      <c r="E19" s="77" cm="1">
        <f t="array" aca="1" ref="E19" ca="1">_xll.VoseSimMean(Out_Result_Plan)</f>
        <v>1.6646537149801366</v>
      </c>
      <c r="F19" s="78">
        <f t="shared" ca="1" si="0"/>
        <v>1.6742644889273128E-2</v>
      </c>
      <c r="G19" s="79" t="str">
        <f ca="1">IF(ISNUMBER(F19),IF(F19&gt;0,"✔ better",IF(F19=0,"same","")),"")</f>
        <v>✔ better</v>
      </c>
    </row>
    <row r="20" spans="2:18" x14ac:dyDescent="0.45">
      <c r="B20" s="26" t="s">
        <v>414</v>
      </c>
      <c r="C20" s="27" t="s">
        <v>144</v>
      </c>
      <c r="D20" s="77" cm="1">
        <f t="array" aca="1" ref="D20" ca="1">_xll.VoseSimPercentile(Out_Result_Start,0.05)</f>
        <v>-4.596926730509221</v>
      </c>
      <c r="E20" s="77" cm="1">
        <f t="array" aca="1" ref="E20" ca="1">_xll.VoseSimPercentile(Out_Result_Plan,0.05)</f>
        <v>-4.0633286782643765</v>
      </c>
      <c r="F20" s="78">
        <f t="shared" ca="1" si="0"/>
        <v>0.53359805224484447</v>
      </c>
      <c r="G20" s="79" t="str">
        <f ca="1">IF(ISNUMBER(F20),IF(F20&gt;0,"✔ better",IF(F20=0,"same","")),"")</f>
        <v>✔ better</v>
      </c>
    </row>
    <row r="21" spans="2:18" x14ac:dyDescent="0.45">
      <c r="B21" s="26" t="s">
        <v>415</v>
      </c>
      <c r="C21" s="27" t="s">
        <v>144</v>
      </c>
      <c r="D21" s="77" cm="1">
        <f t="array" aca="1" ref="D21" ca="1">_xll.VoseSimPercentile(Out_Result_Start,0.005)</f>
        <v>-14.353865429422545</v>
      </c>
      <c r="E21" s="77" cm="1">
        <f t="array" aca="1" ref="E21" ca="1">_xll.VoseSimPercentile(Out_Result_Plan,0.005)</f>
        <v>-9.8348304472729886</v>
      </c>
      <c r="F21" s="78">
        <f t="shared" ca="1" si="0"/>
        <v>4.5190349821495559</v>
      </c>
      <c r="G21" s="79" t="str">
        <f ca="1">IF(ISNUMBER(F21),IF(F21&gt;0,"✔ better",IF(F21=0,"same","")),"")</f>
        <v>✔ better</v>
      </c>
    </row>
    <row r="22" spans="2:18" x14ac:dyDescent="0.45">
      <c r="B22" s="26" t="s">
        <v>416</v>
      </c>
      <c r="C22" s="27" t="s">
        <v>144</v>
      </c>
      <c r="D22" s="77" cm="1">
        <f t="array" aca="1" ref="D22" ca="1">_xll.VoseSimStdev(Out_Result_Start)</f>
        <v>6.0581662148791571</v>
      </c>
      <c r="E22" s="77" cm="1">
        <f t="array" aca="1" ref="E22" ca="1">_xll.VoseSimStdev(Out_Result_Plan)</f>
        <v>4.9049423855310552</v>
      </c>
      <c r="F22" s="78">
        <f t="shared" ca="1" si="0"/>
        <v>-1.1532238293481019</v>
      </c>
      <c r="G22" s="79" t="str">
        <f ca="1">IF(ISNUMBER(F22),IF(F22&lt;0,"✔ better",IF(F22=0,"same","")),"")</f>
        <v>✔ better</v>
      </c>
    </row>
    <row r="23" spans="2:18" x14ac:dyDescent="0.45">
      <c r="B23" s="26" t="s">
        <v>417</v>
      </c>
      <c r="C23" s="27" t="s">
        <v>418</v>
      </c>
      <c r="D23" s="80" cm="1">
        <f t="array" aca="1" ref="D23" ca="1">_xll.VoseSimProbability(Out_Result_Start,0)</f>
        <v>0.29047095290470953</v>
      </c>
      <c r="E23" s="80" cm="1">
        <f t="array" aca="1" ref="E23" ca="1">_xll.VoseSimProbability(Out_Result_Plan,0)</f>
        <v>0.27517248275172485</v>
      </c>
      <c r="F23" s="81">
        <f t="shared" ca="1" si="0"/>
        <v>-1.5298470152984689E-2</v>
      </c>
      <c r="G23" s="79" t="str">
        <f ca="1">IF(ISNUMBER(F23),IF(F23&lt;0,"✔ better",IF(F23=0,"same","")),"")</f>
        <v>✔ better</v>
      </c>
    </row>
    <row r="24" spans="2:18" x14ac:dyDescent="0.45">
      <c r="B24" s="26" t="s">
        <v>419</v>
      </c>
      <c r="C24" s="27" t="s">
        <v>144</v>
      </c>
      <c r="D24" s="49">
        <f>MinResult</f>
        <v>-10</v>
      </c>
      <c r="E24" s="49">
        <f>MinResult</f>
        <v>-10</v>
      </c>
      <c r="F24" s="29"/>
      <c r="G24" s="29"/>
    </row>
    <row r="25" spans="2:18" x14ac:dyDescent="0.45">
      <c r="B25" s="26" t="s">
        <v>420</v>
      </c>
      <c r="C25" s="27" t="s">
        <v>129</v>
      </c>
      <c r="D25" s="47">
        <f>MaxNetRet</f>
        <v>2000</v>
      </c>
      <c r="E25" s="47">
        <f>MaxNetRet</f>
        <v>2000</v>
      </c>
      <c r="F25" s="29"/>
      <c r="G25" s="29"/>
    </row>
    <row r="26" spans="2:18" x14ac:dyDescent="0.45">
      <c r="B26" s="82" t="s">
        <v>421</v>
      </c>
    </row>
    <row r="27" spans="2:18" ht="8" customHeight="1" x14ac:dyDescent="0.45"/>
    <row r="28" spans="2:18" ht="22.05" customHeight="1" x14ac:dyDescent="0.5">
      <c r="B28" s="7" t="s">
        <v>422</v>
      </c>
      <c r="C28" s="8"/>
      <c r="D28" s="8"/>
      <c r="E28" s="8"/>
      <c r="F28" s="8"/>
      <c r="G28" s="8"/>
      <c r="I28" s="69" t="s">
        <v>423</v>
      </c>
      <c r="J28" s="8"/>
      <c r="K28" s="8"/>
      <c r="L28" s="8"/>
      <c r="M28" s="8"/>
      <c r="N28" s="8"/>
      <c r="O28" s="8"/>
      <c r="P28" s="8"/>
      <c r="Q28" s="8"/>
      <c r="R28" s="8"/>
    </row>
    <row r="29" spans="2:18" ht="18" customHeight="1" x14ac:dyDescent="0.45">
      <c r="B29" s="13" t="s">
        <v>424</v>
      </c>
    </row>
    <row r="30" spans="2:18" ht="28.05" customHeight="1" x14ac:dyDescent="0.45">
      <c r="B30" s="24" t="s">
        <v>412</v>
      </c>
      <c r="C30" s="24" t="s">
        <v>120</v>
      </c>
      <c r="D30" s="25" t="s">
        <v>165</v>
      </c>
      <c r="E30" s="25" t="s">
        <v>164</v>
      </c>
      <c r="F30" s="25" t="s">
        <v>411</v>
      </c>
      <c r="G30" s="25"/>
    </row>
    <row r="31" spans="2:18" x14ac:dyDescent="0.45">
      <c r="B31" s="26" t="s">
        <v>425</v>
      </c>
      <c r="C31" s="27" t="s">
        <v>216</v>
      </c>
      <c r="D31" s="77">
        <f>XLEL_Start</f>
        <v>4.8314819551240369</v>
      </c>
      <c r="E31" s="77">
        <f>XLEL_Plan</f>
        <v>3.226195908278346</v>
      </c>
      <c r="F31" s="78">
        <f t="shared" ref="F31:F36" si="1">IFERROR(E31-D31,"–")</f>
        <v>-1.6052860468456909</v>
      </c>
      <c r="G31" s="29"/>
    </row>
    <row r="32" spans="2:18" x14ac:dyDescent="0.45">
      <c r="B32" s="26" t="s">
        <v>426</v>
      </c>
      <c r="C32" s="27" t="s">
        <v>216</v>
      </c>
      <c r="D32" s="77">
        <f>XLPrem_Start</f>
        <v>6.2894887174302792</v>
      </c>
      <c r="E32" s="77">
        <f>XLPrem_Plan</f>
        <v>4.5801390978689236</v>
      </c>
      <c r="F32" s="78">
        <f t="shared" si="1"/>
        <v>-1.7093496195613556</v>
      </c>
      <c r="G32" s="29"/>
    </row>
    <row r="33" spans="2:7" x14ac:dyDescent="0.45">
      <c r="B33" s="26" t="s">
        <v>427</v>
      </c>
      <c r="C33" s="27" t="s">
        <v>360</v>
      </c>
      <c r="D33" s="83">
        <f>XLLoad_Start</f>
        <v>1.3017721634580359</v>
      </c>
      <c r="E33" s="83">
        <f>XLLoad_Plan</f>
        <v>1.4196717211488583</v>
      </c>
      <c r="F33" s="84">
        <f t="shared" si="1"/>
        <v>0.11789955769082239</v>
      </c>
      <c r="G33" s="29"/>
    </row>
    <row r="34" spans="2:7" x14ac:dyDescent="0.45">
      <c r="B34" s="26" t="s">
        <v>428</v>
      </c>
      <c r="C34" s="27" t="s">
        <v>216</v>
      </c>
      <c r="D34" s="77">
        <f>QSPrem_Start-Comm_Start</f>
        <v>8.0348650385781859</v>
      </c>
      <c r="E34" s="77">
        <f>QSPrem_Plan-Comm_Plan</f>
        <v>12.62920305446924</v>
      </c>
      <c r="F34" s="78">
        <f t="shared" si="1"/>
        <v>4.5943380158910543</v>
      </c>
      <c r="G34" s="29"/>
    </row>
    <row r="35" spans="2:7" x14ac:dyDescent="0.45">
      <c r="B35" s="26" t="s">
        <v>429</v>
      </c>
      <c r="C35" s="27" t="s">
        <v>216</v>
      </c>
      <c r="D35" s="77">
        <f>QSEL_Start</f>
        <v>7.5505554134627886</v>
      </c>
      <c r="E35" s="77">
        <f>QSEL_Plan</f>
        <v>12.048211841274744</v>
      </c>
      <c r="F35" s="78">
        <f t="shared" si="1"/>
        <v>4.4976564278119557</v>
      </c>
      <c r="G35" s="29"/>
    </row>
    <row r="36" spans="2:7" x14ac:dyDescent="0.45">
      <c r="B36" s="26" t="s">
        <v>377</v>
      </c>
      <c r="C36" s="27" t="s">
        <v>216</v>
      </c>
      <c r="D36" s="77">
        <f>Cost_Start</f>
        <v>1.9423163874216396</v>
      </c>
      <c r="E36" s="77">
        <f>Cost_Plan</f>
        <v>1.9349344027850734</v>
      </c>
      <c r="F36" s="78">
        <f t="shared" si="1"/>
        <v>-7.3819846365661412E-3</v>
      </c>
      <c r="G36" s="79" t="str">
        <f>IF(ISNUMBER(F36),IF(F36&lt;0,"✔ better",IF(F36=0,"same","")),"")</f>
        <v>✔ better</v>
      </c>
    </row>
    <row r="37" spans="2:7" x14ac:dyDescent="0.45">
      <c r="B37" s="82" t="s">
        <v>430</v>
      </c>
    </row>
    <row r="38" spans="2:7" ht="8" customHeight="1" x14ac:dyDescent="0.45"/>
    <row r="44" spans="2:7" ht="22.05" customHeight="1" x14ac:dyDescent="0.5">
      <c r="B44" s="7" t="s">
        <v>431</v>
      </c>
      <c r="C44" s="8"/>
      <c r="D44" s="8"/>
      <c r="E44" s="8"/>
      <c r="F44" s="8"/>
      <c r="G44" s="8"/>
    </row>
    <row r="45" spans="2:7" ht="32" customHeight="1" x14ac:dyDescent="0.45">
      <c r="B45" s="92" t="s">
        <v>432</v>
      </c>
      <c r="C45" s="91"/>
      <c r="D45" s="91"/>
      <c r="E45" s="91"/>
      <c r="F45" s="91"/>
      <c r="G45" s="91"/>
    </row>
    <row r="46" spans="2:7" ht="45" customHeight="1" x14ac:dyDescent="0.45">
      <c r="B46" s="92" t="s">
        <v>433</v>
      </c>
      <c r="C46" s="91"/>
      <c r="D46" s="91"/>
      <c r="E46" s="91"/>
      <c r="F46" s="91"/>
      <c r="G46" s="91"/>
    </row>
    <row r="47" spans="2:7" ht="45" customHeight="1" x14ac:dyDescent="0.45">
      <c r="B47" s="92" t="s">
        <v>434</v>
      </c>
      <c r="C47" s="91"/>
      <c r="D47" s="91"/>
      <c r="E47" s="91"/>
      <c r="F47" s="91"/>
      <c r="G47" s="91"/>
    </row>
    <row r="48" spans="2:7" ht="32" customHeight="1" x14ac:dyDescent="0.45">
      <c r="B48" s="92" t="s">
        <v>435</v>
      </c>
      <c r="C48" s="91"/>
      <c r="D48" s="91"/>
      <c r="E48" s="91"/>
      <c r="F48" s="91"/>
      <c r="G48" s="91"/>
    </row>
    <row r="49" spans="2:7" ht="45" customHeight="1" x14ac:dyDescent="0.45">
      <c r="B49" s="92" t="s">
        <v>436</v>
      </c>
      <c r="C49" s="91"/>
      <c r="D49" s="91"/>
      <c r="E49" s="91"/>
      <c r="F49" s="91"/>
      <c r="G49" s="91"/>
    </row>
    <row r="50" spans="2:7" ht="14" customHeight="1" x14ac:dyDescent="0.45"/>
    <row r="51" spans="2:7" ht="14" customHeight="1" x14ac:dyDescent="0.45"/>
    <row r="52" spans="2:7" ht="22.05" customHeight="1" x14ac:dyDescent="0.5">
      <c r="B52" s="7" t="s">
        <v>437</v>
      </c>
      <c r="C52" s="8"/>
      <c r="D52" s="8"/>
      <c r="E52" s="8"/>
      <c r="F52" s="8"/>
      <c r="G52" s="8"/>
    </row>
    <row r="53" spans="2:7" ht="18" customHeight="1" x14ac:dyDescent="0.45">
      <c r="B53" s="13" t="s">
        <v>438</v>
      </c>
    </row>
    <row r="54" spans="2:7" ht="28.05" hidden="1" customHeight="1" outlineLevel="1" x14ac:dyDescent="0.45">
      <c r="B54" s="25" t="s">
        <v>439</v>
      </c>
      <c r="C54" s="25" t="s">
        <v>440</v>
      </c>
      <c r="D54" s="25" t="s">
        <v>441</v>
      </c>
      <c r="E54" s="25" t="s">
        <v>442</v>
      </c>
      <c r="F54" s="25" t="s">
        <v>443</v>
      </c>
      <c r="G54" s="5"/>
    </row>
    <row r="55" spans="2:7" hidden="1" outlineLevel="1" x14ac:dyDescent="0.45">
      <c r="B55" s="85">
        <v>0.01</v>
      </c>
      <c r="C55" s="85">
        <f t="shared" ref="C55:C86" si="2">1-B55</f>
        <v>0.99</v>
      </c>
      <c r="D55" s="86" cm="1">
        <f t="array" aca="1" ref="D55" ca="1">IF(ISNUMBER(_xll.VoseSimPercentile(Out_Result_Start,$B55)),_xll.VoseSimPercentile(Out_Result_Start,$B55),NA())</f>
        <v>-9.0279480983675846</v>
      </c>
      <c r="E55" s="86" cm="1">
        <f t="array" aca="1" ref="E55" ca="1">IF(ISNUMBER(_xll.VoseSimPercentile(Out_Result_Plan,$B55)),_xll.VoseSimPercentile(Out_Result_Plan,$B55),NA())</f>
        <v>-7.4468922808268623</v>
      </c>
      <c r="F55" s="86">
        <f t="shared" ref="F55:F86" si="3">MinResult</f>
        <v>-10</v>
      </c>
    </row>
    <row r="56" spans="2:7" hidden="1" outlineLevel="1" x14ac:dyDescent="0.45">
      <c r="B56" s="85">
        <v>0.03</v>
      </c>
      <c r="C56" s="85">
        <f t="shared" si="2"/>
        <v>0.97</v>
      </c>
      <c r="D56" s="86" cm="1">
        <f t="array" aca="1" ref="D56" ca="1">IF(ISNUMBER(_xll.VoseSimPercentile(Out_Result_Start,$B56)),_xll.VoseSimPercentile(Out_Result_Start,$B56),NA())</f>
        <v>-5.7229419291379564</v>
      </c>
      <c r="E56" s="86" cm="1">
        <f t="array" aca="1" ref="E56" ca="1">IF(ISNUMBER(_xll.VoseSimPercentile(Out_Result_Plan,$B56)),_xll.VoseSimPercentile(Out_Result_Plan,$B56),NA())</f>
        <v>-4.9438246484306418</v>
      </c>
      <c r="F56" s="86">
        <f t="shared" si="3"/>
        <v>-10</v>
      </c>
    </row>
    <row r="57" spans="2:7" hidden="1" outlineLevel="1" x14ac:dyDescent="0.45">
      <c r="B57" s="85">
        <v>0.05</v>
      </c>
      <c r="C57" s="85">
        <f t="shared" si="2"/>
        <v>0.95</v>
      </c>
      <c r="D57" s="86" cm="1">
        <f t="array" aca="1" ref="D57" ca="1">IF(ISNUMBER(_xll.VoseSimPercentile(Out_Result_Start,$B57)),_xll.VoseSimPercentile(Out_Result_Start,$B57),NA())</f>
        <v>-4.596926730509221</v>
      </c>
      <c r="E57" s="86" cm="1">
        <f t="array" aca="1" ref="E57" ca="1">IF(ISNUMBER(_xll.VoseSimPercentile(Out_Result_Plan,$B57)),_xll.VoseSimPercentile(Out_Result_Plan,$B57),NA())</f>
        <v>-4.0633286782643765</v>
      </c>
      <c r="F57" s="86">
        <f t="shared" si="3"/>
        <v>-10</v>
      </c>
    </row>
    <row r="58" spans="2:7" hidden="1" outlineLevel="1" x14ac:dyDescent="0.45">
      <c r="B58" s="85">
        <v>7.0000000000000007E-2</v>
      </c>
      <c r="C58" s="85">
        <f t="shared" si="2"/>
        <v>0.92999999999999994</v>
      </c>
      <c r="D58" s="86" cm="1">
        <f t="array" aca="1" ref="D58" ca="1">IF(ISNUMBER(_xll.VoseSimPercentile(Out_Result_Start,$B58)),_xll.VoseSimPercentile(Out_Result_Start,$B58),NA())</f>
        <v>-3.8517869122939565</v>
      </c>
      <c r="E58" s="86" cm="1">
        <f t="array" aca="1" ref="E58" ca="1">IF(ISNUMBER(_xll.VoseSimPercentile(Out_Result_Plan,$B58)),_xll.VoseSimPercentile(Out_Result_Plan,$B58),NA())</f>
        <v>-3.313004763270154</v>
      </c>
      <c r="F58" s="86">
        <f t="shared" si="3"/>
        <v>-10</v>
      </c>
    </row>
    <row r="59" spans="2:7" hidden="1" outlineLevel="1" x14ac:dyDescent="0.45">
      <c r="B59" s="85">
        <v>0.09</v>
      </c>
      <c r="C59" s="85">
        <f t="shared" si="2"/>
        <v>0.91</v>
      </c>
      <c r="D59" s="86" cm="1">
        <f t="array" aca="1" ref="D59" ca="1">IF(ISNUMBER(_xll.VoseSimPercentile(Out_Result_Start,$B59)),_xll.VoseSimPercentile(Out_Result_Start,$B59),NA())</f>
        <v>-3.2223231265615446</v>
      </c>
      <c r="E59" s="86" cm="1">
        <f t="array" aca="1" ref="E59" ca="1">IF(ISNUMBER(_xll.VoseSimPercentile(Out_Result_Plan,$B59)),_xll.VoseSimPercentile(Out_Result_Plan,$B59),NA())</f>
        <v>-2.7152071229161443</v>
      </c>
      <c r="F59" s="86">
        <f t="shared" si="3"/>
        <v>-10</v>
      </c>
    </row>
    <row r="60" spans="2:7" hidden="1" outlineLevel="1" x14ac:dyDescent="0.45">
      <c r="B60" s="85">
        <v>0.11</v>
      </c>
      <c r="C60" s="85">
        <f t="shared" si="2"/>
        <v>0.89</v>
      </c>
      <c r="D60" s="86" cm="1">
        <f t="array" aca="1" ref="D60" ca="1">IF(ISNUMBER(_xll.VoseSimPercentile(Out_Result_Start,$B60)),_xll.VoseSimPercentile(Out_Result_Start,$B60),NA())</f>
        <v>-2.7389684454864671</v>
      </c>
      <c r="E60" s="86" cm="1">
        <f t="array" aca="1" ref="E60" ca="1">IF(ISNUMBER(_xll.VoseSimPercentile(Out_Result_Plan,$B60)),_xll.VoseSimPercentile(Out_Result_Plan,$B60),NA())</f>
        <v>-2.2609476145094369</v>
      </c>
      <c r="F60" s="86">
        <f t="shared" si="3"/>
        <v>-10</v>
      </c>
    </row>
    <row r="61" spans="2:7" hidden="1" outlineLevel="1" x14ac:dyDescent="0.45">
      <c r="B61" s="85">
        <v>0.13</v>
      </c>
      <c r="C61" s="85">
        <f t="shared" si="2"/>
        <v>0.87</v>
      </c>
      <c r="D61" s="86" cm="1">
        <f t="array" aca="1" ref="D61" ca="1">IF(ISNUMBER(_xll.VoseSimPercentile(Out_Result_Start,$B61)),_xll.VoseSimPercentile(Out_Result_Start,$B61),NA())</f>
        <v>-2.2911652416949515</v>
      </c>
      <c r="E61" s="86" cm="1">
        <f t="array" aca="1" ref="E61" ca="1">IF(ISNUMBER(_xll.VoseSimPercentile(Out_Result_Plan,$B61)),_xll.VoseSimPercentile(Out_Result_Plan,$B61),NA())</f>
        <v>-1.925410199421453</v>
      </c>
      <c r="F61" s="86">
        <f t="shared" si="3"/>
        <v>-10</v>
      </c>
    </row>
    <row r="62" spans="2:7" hidden="1" outlineLevel="1" x14ac:dyDescent="0.45">
      <c r="B62" s="85">
        <v>0.15</v>
      </c>
      <c r="C62" s="85">
        <f t="shared" si="2"/>
        <v>0.85</v>
      </c>
      <c r="D62" s="86" cm="1">
        <f t="array" aca="1" ref="D62" ca="1">IF(ISNUMBER(_xll.VoseSimPercentile(Out_Result_Start,$B62)),_xll.VoseSimPercentile(Out_Result_Start,$B62),NA())</f>
        <v>-1.9220744200188982</v>
      </c>
      <c r="E62" s="86" cm="1">
        <f t="array" aca="1" ref="E62" ca="1">IF(ISNUMBER(_xll.VoseSimPercentile(Out_Result_Plan,$B62)),_xll.VoseSimPercentile(Out_Result_Plan,$B62),NA())</f>
        <v>-1.5848587452633467</v>
      </c>
      <c r="F62" s="86">
        <f t="shared" si="3"/>
        <v>-10</v>
      </c>
    </row>
    <row r="63" spans="2:7" hidden="1" outlineLevel="1" x14ac:dyDescent="0.45">
      <c r="B63" s="85">
        <v>0.17</v>
      </c>
      <c r="C63" s="85">
        <f t="shared" si="2"/>
        <v>0.83</v>
      </c>
      <c r="D63" s="86" cm="1">
        <f t="array" aca="1" ref="D63" ca="1">IF(ISNUMBER(_xll.VoseSimPercentile(Out_Result_Start,$B63)),_xll.VoseSimPercentile(Out_Result_Start,$B63),NA())</f>
        <v>-1.5826376449266739</v>
      </c>
      <c r="E63" s="86" cm="1">
        <f t="array" aca="1" ref="E63" ca="1">IF(ISNUMBER(_xll.VoseSimPercentile(Out_Result_Plan,$B63)),_xll.VoseSimPercentile(Out_Result_Plan,$B63),NA())</f>
        <v>-1.2940607515770743</v>
      </c>
      <c r="F63" s="86">
        <f t="shared" si="3"/>
        <v>-10</v>
      </c>
    </row>
    <row r="64" spans="2:7" hidden="1" outlineLevel="1" x14ac:dyDescent="0.45">
      <c r="B64" s="85">
        <v>0.19</v>
      </c>
      <c r="C64" s="85">
        <f t="shared" si="2"/>
        <v>0.81</v>
      </c>
      <c r="D64" s="86" cm="1">
        <f t="array" aca="1" ref="D64" ca="1">IF(ISNUMBER(_xll.VoseSimPercentile(Out_Result_Start,$B64)),_xll.VoseSimPercentile(Out_Result_Start,$B64),NA())</f>
        <v>-1.290992718056966</v>
      </c>
      <c r="E64" s="86" cm="1">
        <f t="array" aca="1" ref="E64" ca="1">IF(ISNUMBER(_xll.VoseSimPercentile(Out_Result_Plan,$B64)),_xll.VoseSimPercentile(Out_Result_Plan,$B64),NA())</f>
        <v>-1.011305781880079</v>
      </c>
      <c r="F64" s="86">
        <f t="shared" si="3"/>
        <v>-10</v>
      </c>
    </row>
    <row r="65" spans="2:6" hidden="1" outlineLevel="1" x14ac:dyDescent="0.45">
      <c r="B65" s="85">
        <v>0.21</v>
      </c>
      <c r="C65" s="85">
        <f t="shared" si="2"/>
        <v>0.79</v>
      </c>
      <c r="D65" s="86" cm="1">
        <f t="array" aca="1" ref="D65" ca="1">IF(ISNUMBER(_xll.VoseSimPercentile(Out_Result_Start,$B65)),_xll.VoseSimPercentile(Out_Result_Start,$B65),NA())</f>
        <v>-1.0121920685716681</v>
      </c>
      <c r="E65" s="86" cm="1">
        <f t="array" aca="1" ref="E65" ca="1">IF(ISNUMBER(_xll.VoseSimPercentile(Out_Result_Plan,$B65)),_xll.VoseSimPercentile(Out_Result_Plan,$B65),NA())</f>
        <v>-0.76596004640072834</v>
      </c>
      <c r="F65" s="86">
        <f t="shared" si="3"/>
        <v>-10</v>
      </c>
    </row>
    <row r="66" spans="2:6" hidden="1" outlineLevel="1" x14ac:dyDescent="0.45">
      <c r="B66" s="85">
        <v>0.23</v>
      </c>
      <c r="C66" s="85">
        <f t="shared" si="2"/>
        <v>0.77</v>
      </c>
      <c r="D66" s="86" cm="1">
        <f t="array" aca="1" ref="D66" ca="1">IF(ISNUMBER(_xll.VoseSimPercentile(Out_Result_Start,$B66)),_xll.VoseSimPercentile(Out_Result_Start,$B66),NA())</f>
        <v>-0.7485918576073054</v>
      </c>
      <c r="E66" s="86" cm="1">
        <f t="array" aca="1" ref="E66" ca="1">IF(ISNUMBER(_xll.VoseSimPercentile(Out_Result_Plan,$B66)),_xll.VoseSimPercentile(Out_Result_Plan,$B66),NA())</f>
        <v>-0.52193439939714636</v>
      </c>
      <c r="F66" s="86">
        <f t="shared" si="3"/>
        <v>-10</v>
      </c>
    </row>
    <row r="67" spans="2:6" hidden="1" outlineLevel="1" x14ac:dyDescent="0.45">
      <c r="B67" s="85">
        <v>0.25</v>
      </c>
      <c r="C67" s="85">
        <f t="shared" si="2"/>
        <v>0.75</v>
      </c>
      <c r="D67" s="86" cm="1">
        <f t="array" aca="1" ref="D67" ca="1">IF(ISNUMBER(_xll.VoseSimPercentile(Out_Result_Start,$B67)),_xll.VoseSimPercentile(Out_Result_Start,$B67),NA())</f>
        <v>-0.51182841030346182</v>
      </c>
      <c r="E67" s="86" cm="1">
        <f t="array" aca="1" ref="E67" ca="1">IF(ISNUMBER(_xll.VoseSimPercentile(Out_Result_Plan,$B67)),_xll.VoseSimPercentile(Out_Result_Plan,$B67),NA())</f>
        <v>-0.29487753808612283</v>
      </c>
      <c r="F67" s="86">
        <f t="shared" si="3"/>
        <v>-10</v>
      </c>
    </row>
    <row r="68" spans="2:6" hidden="1" outlineLevel="1" x14ac:dyDescent="0.45">
      <c r="B68" s="85">
        <v>0.27</v>
      </c>
      <c r="C68" s="85">
        <f t="shared" si="2"/>
        <v>0.73</v>
      </c>
      <c r="D68" s="86" cm="1">
        <f t="array" aca="1" ref="D68" ca="1">IF(ISNUMBER(_xll.VoseSimPercentile(Out_Result_Start,$B68)),_xll.VoseSimPercentile(Out_Result_Start,$B68),NA())</f>
        <v>-0.25368814267390505</v>
      </c>
      <c r="E68" s="86" cm="1">
        <f t="array" aca="1" ref="E68" ca="1">IF(ISNUMBER(_xll.VoseSimPercentile(Out_Result_Plan,$B68)),_xll.VoseSimPercentile(Out_Result_Plan,$B68),NA())</f>
        <v>-5.21063871394567E-2</v>
      </c>
      <c r="F68" s="86">
        <f t="shared" si="3"/>
        <v>-10</v>
      </c>
    </row>
    <row r="69" spans="2:6" hidden="1" outlineLevel="1" x14ac:dyDescent="0.45">
      <c r="B69" s="85">
        <v>0.28999999999999998</v>
      </c>
      <c r="C69" s="85">
        <f t="shared" si="2"/>
        <v>0.71</v>
      </c>
      <c r="D69" s="86" cm="1">
        <f t="array" aca="1" ref="D69" ca="1">IF(ISNUMBER(_xll.VoseSimPercentile(Out_Result_Start,$B69)),_xll.VoseSimPercentile(Out_Result_Start,$B69),NA())</f>
        <v>-2.6256767605552511E-3</v>
      </c>
      <c r="E69" s="86" cm="1">
        <f t="array" aca="1" ref="E69" ca="1">IF(ISNUMBER(_xll.VoseSimPercentile(Out_Result_Plan,$B69)),_xll.VoseSimPercentile(Out_Result_Plan,$B69),NA())</f>
        <v>0.153413978316852</v>
      </c>
      <c r="F69" s="86">
        <f t="shared" si="3"/>
        <v>-10</v>
      </c>
    </row>
    <row r="70" spans="2:6" hidden="1" outlineLevel="1" x14ac:dyDescent="0.45">
      <c r="B70" s="85">
        <v>0.31</v>
      </c>
      <c r="C70" s="85">
        <f t="shared" si="2"/>
        <v>0.69</v>
      </c>
      <c r="D70" s="86" cm="1">
        <f t="array" aca="1" ref="D70" ca="1">IF(ISNUMBER(_xll.VoseSimPercentile(Out_Result_Start,$B70)),_xll.VoseSimPercentile(Out_Result_Start,$B70),NA())</f>
        <v>0.21285702344124147</v>
      </c>
      <c r="E70" s="86" cm="1">
        <f t="array" aca="1" ref="E70" ca="1">IF(ISNUMBER(_xll.VoseSimPercentile(Out_Result_Plan,$B70)),_xll.VoseSimPercentile(Out_Result_Plan,$B70),NA())</f>
        <v>0.36479420624345593</v>
      </c>
      <c r="F70" s="86">
        <f t="shared" si="3"/>
        <v>-10</v>
      </c>
    </row>
    <row r="71" spans="2:6" hidden="1" outlineLevel="1" x14ac:dyDescent="0.45">
      <c r="B71" s="85">
        <v>0.33</v>
      </c>
      <c r="C71" s="85">
        <f t="shared" si="2"/>
        <v>0.66999999999999993</v>
      </c>
      <c r="D71" s="86" cm="1">
        <f t="array" aca="1" ref="D71" ca="1">IF(ISNUMBER(_xll.VoseSimPercentile(Out_Result_Start,$B71)),_xll.VoseSimPercentile(Out_Result_Start,$B71),NA())</f>
        <v>0.44692919512045037</v>
      </c>
      <c r="E71" s="86" cm="1">
        <f t="array" aca="1" ref="E71" ca="1">IF(ISNUMBER(_xll.VoseSimPercentile(Out_Result_Plan,$B71)),_xll.VoseSimPercentile(Out_Result_Plan,$B71),NA())</f>
        <v>0.55680071427461897</v>
      </c>
      <c r="F71" s="86">
        <f t="shared" si="3"/>
        <v>-10</v>
      </c>
    </row>
    <row r="72" spans="2:6" hidden="1" outlineLevel="1" x14ac:dyDescent="0.45">
      <c r="B72" s="85">
        <v>0.35</v>
      </c>
      <c r="C72" s="85">
        <f t="shared" si="2"/>
        <v>0.65</v>
      </c>
      <c r="D72" s="86" cm="1">
        <f t="array" aca="1" ref="D72" ca="1">IF(ISNUMBER(_xll.VoseSimPercentile(Out_Result_Start,$B72)),_xll.VoseSimPercentile(Out_Result_Start,$B72),NA())</f>
        <v>0.64981058488779908</v>
      </c>
      <c r="E72" s="86" cm="1">
        <f t="array" aca="1" ref="E72" ca="1">IF(ISNUMBER(_xll.VoseSimPercentile(Out_Result_Plan,$B72)),_xll.VoseSimPercentile(Out_Result_Plan,$B72),NA())</f>
        <v>0.74274228791837515</v>
      </c>
      <c r="F72" s="86">
        <f t="shared" si="3"/>
        <v>-10</v>
      </c>
    </row>
    <row r="73" spans="2:6" hidden="1" outlineLevel="1" x14ac:dyDescent="0.45">
      <c r="B73" s="85">
        <v>0.37</v>
      </c>
      <c r="C73" s="85">
        <f t="shared" si="2"/>
        <v>0.63</v>
      </c>
      <c r="D73" s="86" cm="1">
        <f t="array" aca="1" ref="D73" ca="1">IF(ISNUMBER(_xll.VoseSimPercentile(Out_Result_Start,$B73)),_xll.VoseSimPercentile(Out_Result_Start,$B73),NA())</f>
        <v>0.86110802941749043</v>
      </c>
      <c r="E73" s="86" cm="1">
        <f t="array" aca="1" ref="E73" ca="1">IF(ISNUMBER(_xll.VoseSimPercentile(Out_Result_Plan,$B73)),_xll.VoseSimPercentile(Out_Result_Plan,$B73),NA())</f>
        <v>0.92968452727423667</v>
      </c>
      <c r="F73" s="86">
        <f t="shared" si="3"/>
        <v>-10</v>
      </c>
    </row>
    <row r="74" spans="2:6" hidden="1" outlineLevel="1" x14ac:dyDescent="0.45">
      <c r="B74" s="85">
        <v>0.39</v>
      </c>
      <c r="C74" s="85">
        <f t="shared" si="2"/>
        <v>0.61</v>
      </c>
      <c r="D74" s="86" cm="1">
        <f t="array" aca="1" ref="D74" ca="1">IF(ISNUMBER(_xll.VoseSimPercentile(Out_Result_Start,$B74)),_xll.VoseSimPercentile(Out_Result_Start,$B74),NA())</f>
        <v>1.0725817077385891</v>
      </c>
      <c r="E74" s="86" cm="1">
        <f t="array" aca="1" ref="E74" ca="1">IF(ISNUMBER(_xll.VoseSimPercentile(Out_Result_Plan,$B74)),_xll.VoseSimPercentile(Out_Result_Plan,$B74),NA())</f>
        <v>1.0961816728236187</v>
      </c>
      <c r="F74" s="86">
        <f t="shared" si="3"/>
        <v>-10</v>
      </c>
    </row>
    <row r="75" spans="2:6" hidden="1" outlineLevel="1" x14ac:dyDescent="0.45">
      <c r="B75" s="85">
        <v>0.41</v>
      </c>
      <c r="C75" s="85">
        <f t="shared" si="2"/>
        <v>0.59000000000000008</v>
      </c>
      <c r="D75" s="86" cm="1">
        <f t="array" aca="1" ref="D75" ca="1">IF(ISNUMBER(_xll.VoseSimPercentile(Out_Result_Start,$B75)),_xll.VoseSimPercentile(Out_Result_Start,$B75),NA())</f>
        <v>1.2572470131097226</v>
      </c>
      <c r="E75" s="86" cm="1">
        <f t="array" aca="1" ref="E75" ca="1">IF(ISNUMBER(_xll.VoseSimPercentile(Out_Result_Plan,$B75)),_xll.VoseSimPercentile(Out_Result_Plan,$B75),NA())</f>
        <v>1.2819739944786264</v>
      </c>
      <c r="F75" s="86">
        <f t="shared" si="3"/>
        <v>-10</v>
      </c>
    </row>
    <row r="76" spans="2:6" hidden="1" outlineLevel="1" x14ac:dyDescent="0.45">
      <c r="B76" s="85">
        <v>0.43</v>
      </c>
      <c r="C76" s="85">
        <f t="shared" si="2"/>
        <v>0.57000000000000006</v>
      </c>
      <c r="D76" s="86" cm="1">
        <f t="array" aca="1" ref="D76" ca="1">IF(ISNUMBER(_xll.VoseSimPercentile(Out_Result_Start,$B76)),_xll.VoseSimPercentile(Out_Result_Start,$B76),NA())</f>
        <v>1.4625558277467299</v>
      </c>
      <c r="E76" s="86" cm="1">
        <f t="array" aca="1" ref="E76" ca="1">IF(ISNUMBER(_xll.VoseSimPercentile(Out_Result_Plan,$B76)),_xll.VoseSimPercentile(Out_Result_Plan,$B76),NA())</f>
        <v>1.4351200765630523</v>
      </c>
      <c r="F76" s="86">
        <f t="shared" si="3"/>
        <v>-10</v>
      </c>
    </row>
    <row r="77" spans="2:6" hidden="1" outlineLevel="1" x14ac:dyDescent="0.45">
      <c r="B77" s="85">
        <v>0.45</v>
      </c>
      <c r="C77" s="85">
        <f t="shared" si="2"/>
        <v>0.55000000000000004</v>
      </c>
      <c r="D77" s="86" cm="1">
        <f t="array" aca="1" ref="D77" ca="1">IF(ISNUMBER(_xll.VoseSimPercentile(Out_Result_Start,$B77)),_xll.VoseSimPercentile(Out_Result_Start,$B77),NA())</f>
        <v>1.6402845772019887</v>
      </c>
      <c r="E77" s="86" cm="1">
        <f t="array" aca="1" ref="E77" ca="1">IF(ISNUMBER(_xll.VoseSimPercentile(Out_Result_Plan,$B77)),_xll.VoseSimPercentile(Out_Result_Plan,$B77),NA())</f>
        <v>1.5921453566689934</v>
      </c>
      <c r="F77" s="86">
        <f t="shared" si="3"/>
        <v>-10</v>
      </c>
    </row>
    <row r="78" spans="2:6" hidden="1" outlineLevel="1" x14ac:dyDescent="0.45">
      <c r="B78" s="85">
        <v>0.47</v>
      </c>
      <c r="C78" s="85">
        <f t="shared" si="2"/>
        <v>0.53</v>
      </c>
      <c r="D78" s="86" cm="1">
        <f t="array" aca="1" ref="D78" ca="1">IF(ISNUMBER(_xll.VoseSimPercentile(Out_Result_Start,$B78)),_xll.VoseSimPercentile(Out_Result_Start,$B78),NA())</f>
        <v>1.8073917516359579</v>
      </c>
      <c r="E78" s="86" cm="1">
        <f t="array" aca="1" ref="E78" ca="1">IF(ISNUMBER(_xll.VoseSimPercentile(Out_Result_Plan,$B78)),_xll.VoseSimPercentile(Out_Result_Plan,$B78),NA())</f>
        <v>1.7531355189390414</v>
      </c>
      <c r="F78" s="86">
        <f t="shared" si="3"/>
        <v>-10</v>
      </c>
    </row>
    <row r="79" spans="2:6" hidden="1" outlineLevel="1" x14ac:dyDescent="0.45">
      <c r="B79" s="85">
        <v>0.49</v>
      </c>
      <c r="C79" s="85">
        <f t="shared" si="2"/>
        <v>0.51</v>
      </c>
      <c r="D79" s="86" cm="1">
        <f t="array" aca="1" ref="D79" ca="1">IF(ISNUMBER(_xll.VoseSimPercentile(Out_Result_Start,$B79)),_xll.VoseSimPercentile(Out_Result_Start,$B79),NA())</f>
        <v>1.9831539821928139</v>
      </c>
      <c r="E79" s="86" cm="1">
        <f t="array" aca="1" ref="E79" ca="1">IF(ISNUMBER(_xll.VoseSimPercentile(Out_Result_Plan,$B79)),_xll.VoseSimPercentile(Out_Result_Plan,$B79),NA())</f>
        <v>1.9169932161908854</v>
      </c>
      <c r="F79" s="86">
        <f t="shared" si="3"/>
        <v>-10</v>
      </c>
    </row>
    <row r="80" spans="2:6" hidden="1" outlineLevel="1" x14ac:dyDescent="0.45">
      <c r="B80" s="85">
        <v>0.51</v>
      </c>
      <c r="C80" s="85">
        <f t="shared" si="2"/>
        <v>0.49</v>
      </c>
      <c r="D80" s="86" cm="1">
        <f t="array" aca="1" ref="D80" ca="1">IF(ISNUMBER(_xll.VoseSimPercentile(Out_Result_Start,$B80)),_xll.VoseSimPercentile(Out_Result_Start,$B80),NA())</f>
        <v>2.1920068458963335</v>
      </c>
      <c r="E80" s="86" cm="1">
        <f t="array" aca="1" ref="E80" ca="1">IF(ISNUMBER(_xll.VoseSimPercentile(Out_Result_Plan,$B80)),_xll.VoseSimPercentile(Out_Result_Plan,$B80),NA())</f>
        <v>2.0987164031043868</v>
      </c>
      <c r="F80" s="86">
        <f t="shared" si="3"/>
        <v>-10</v>
      </c>
    </row>
    <row r="81" spans="2:6" hidden="1" outlineLevel="1" x14ac:dyDescent="0.45">
      <c r="B81" s="85">
        <v>0.53</v>
      </c>
      <c r="C81" s="85">
        <f t="shared" si="2"/>
        <v>0.47</v>
      </c>
      <c r="D81" s="86" cm="1">
        <f t="array" aca="1" ref="D81" ca="1">IF(ISNUMBER(_xll.VoseSimPercentile(Out_Result_Start,$B81)),_xll.VoseSimPercentile(Out_Result_Start,$B81),NA())</f>
        <v>2.3648871000914831</v>
      </c>
      <c r="E81" s="86" cm="1">
        <f t="array" aca="1" ref="E81" ca="1">IF(ISNUMBER(_xll.VoseSimPercentile(Out_Result_Plan,$B81)),_xll.VoseSimPercentile(Out_Result_Plan,$B81),NA())</f>
        <v>2.2864973324591293</v>
      </c>
      <c r="F81" s="86">
        <f t="shared" si="3"/>
        <v>-10</v>
      </c>
    </row>
    <row r="82" spans="2:6" hidden="1" outlineLevel="1" x14ac:dyDescent="0.45">
      <c r="B82" s="85">
        <v>0.55000000000000004</v>
      </c>
      <c r="C82" s="85">
        <f t="shared" si="2"/>
        <v>0.44999999999999996</v>
      </c>
      <c r="D82" s="86" cm="1">
        <f t="array" aca="1" ref="D82" ca="1">IF(ISNUMBER(_xll.VoseSimPercentile(Out_Result_Start,$B82)),_xll.VoseSimPercentile(Out_Result_Start,$B82),NA())</f>
        <v>2.5639734667111718</v>
      </c>
      <c r="E82" s="86" cm="1">
        <f t="array" aca="1" ref="E82" ca="1">IF(ISNUMBER(_xll.VoseSimPercentile(Out_Result_Plan,$B82)),_xll.VoseSimPercentile(Out_Result_Plan,$B82),NA())</f>
        <v>2.4559482593381201</v>
      </c>
      <c r="F82" s="86">
        <f t="shared" si="3"/>
        <v>-10</v>
      </c>
    </row>
    <row r="83" spans="2:6" hidden="1" outlineLevel="1" x14ac:dyDescent="0.45">
      <c r="B83" s="85">
        <v>0.56999999999999995</v>
      </c>
      <c r="C83" s="85">
        <f t="shared" si="2"/>
        <v>0.43000000000000005</v>
      </c>
      <c r="D83" s="86" cm="1">
        <f t="array" aca="1" ref="D83" ca="1">IF(ISNUMBER(_xll.VoseSimPercentile(Out_Result_Start,$B83)),_xll.VoseSimPercentile(Out_Result_Start,$B83),NA())</f>
        <v>2.7558635162005451</v>
      </c>
      <c r="E83" s="86" cm="1">
        <f t="array" aca="1" ref="E83" ca="1">IF(ISNUMBER(_xll.VoseSimPercentile(Out_Result_Plan,$B83)),_xll.VoseSimPercentile(Out_Result_Plan,$B83),NA())</f>
        <v>2.6129241782327561</v>
      </c>
      <c r="F83" s="86">
        <f t="shared" si="3"/>
        <v>-10</v>
      </c>
    </row>
    <row r="84" spans="2:6" hidden="1" outlineLevel="1" x14ac:dyDescent="0.45">
      <c r="B84" s="85">
        <v>0.59</v>
      </c>
      <c r="C84" s="85">
        <f t="shared" si="2"/>
        <v>0.41000000000000003</v>
      </c>
      <c r="D84" s="86" cm="1">
        <f t="array" aca="1" ref="D84" ca="1">IF(ISNUMBER(_xll.VoseSimPercentile(Out_Result_Start,$B84)),_xll.VoseSimPercentile(Out_Result_Start,$B84),NA())</f>
        <v>2.9268452337937525</v>
      </c>
      <c r="E84" s="86" cm="1">
        <f t="array" aca="1" ref="E84" ca="1">IF(ISNUMBER(_xll.VoseSimPercentile(Out_Result_Plan,$B84)),_xll.VoseSimPercentile(Out_Result_Plan,$B84),NA())</f>
        <v>2.7846652904269646</v>
      </c>
      <c r="F84" s="86">
        <f t="shared" si="3"/>
        <v>-10</v>
      </c>
    </row>
    <row r="85" spans="2:6" hidden="1" outlineLevel="1" x14ac:dyDescent="0.45">
      <c r="B85" s="85">
        <v>0.61</v>
      </c>
      <c r="C85" s="85">
        <f t="shared" si="2"/>
        <v>0.39</v>
      </c>
      <c r="D85" s="86" cm="1">
        <f t="array" aca="1" ref="D85" ca="1">IF(ISNUMBER(_xll.VoseSimPercentile(Out_Result_Start,$B85)),_xll.VoseSimPercentile(Out_Result_Start,$B85),NA())</f>
        <v>3.1217603153872098</v>
      </c>
      <c r="E85" s="86" cm="1">
        <f t="array" aca="1" ref="E85" ca="1">IF(ISNUMBER(_xll.VoseSimPercentile(Out_Result_Plan,$B85)),_xll.VoseSimPercentile(Out_Result_Plan,$B85),NA())</f>
        <v>2.9494379807293249</v>
      </c>
      <c r="F85" s="86">
        <f t="shared" si="3"/>
        <v>-10</v>
      </c>
    </row>
    <row r="86" spans="2:6" hidden="1" outlineLevel="1" x14ac:dyDescent="0.45">
      <c r="B86" s="85">
        <v>0.63</v>
      </c>
      <c r="C86" s="85">
        <f t="shared" si="2"/>
        <v>0.37</v>
      </c>
      <c r="D86" s="86" cm="1">
        <f t="array" aca="1" ref="D86" ca="1">IF(ISNUMBER(_xll.VoseSimPercentile(Out_Result_Start,$B86)),_xll.VoseSimPercentile(Out_Result_Start,$B86),NA())</f>
        <v>3.3076531667446147</v>
      </c>
      <c r="E86" s="86" cm="1">
        <f t="array" aca="1" ref="E86" ca="1">IF(ISNUMBER(_xll.VoseSimPercentile(Out_Result_Plan,$B86)),_xll.VoseSimPercentile(Out_Result_Plan,$B86),NA())</f>
        <v>3.1176931176959553</v>
      </c>
      <c r="F86" s="86">
        <f t="shared" si="3"/>
        <v>-10</v>
      </c>
    </row>
    <row r="87" spans="2:6" hidden="1" outlineLevel="1" x14ac:dyDescent="0.45">
      <c r="B87" s="85">
        <v>0.65</v>
      </c>
      <c r="C87" s="85">
        <f t="shared" ref="C87:C118" si="4">1-B87</f>
        <v>0.35</v>
      </c>
      <c r="D87" s="86" cm="1">
        <f t="array" aca="1" ref="D87" ca="1">IF(ISNUMBER(_xll.VoseSimPercentile(Out_Result_Start,$B87)),_xll.VoseSimPercentile(Out_Result_Start,$B87),NA())</f>
        <v>3.4891394413006118</v>
      </c>
      <c r="E87" s="86" cm="1">
        <f t="array" aca="1" ref="E87" ca="1">IF(ISNUMBER(_xll.VoseSimPercentile(Out_Result_Plan,$B87)),_xll.VoseSimPercentile(Out_Result_Plan,$B87),NA())</f>
        <v>3.2955169997773819</v>
      </c>
      <c r="F87" s="86">
        <f t="shared" ref="F87:F104" si="5">MinResult</f>
        <v>-10</v>
      </c>
    </row>
    <row r="88" spans="2:6" hidden="1" outlineLevel="1" x14ac:dyDescent="0.45">
      <c r="B88" s="85">
        <v>0.67</v>
      </c>
      <c r="C88" s="85">
        <f t="shared" si="4"/>
        <v>0.32999999999999996</v>
      </c>
      <c r="D88" s="86" cm="1">
        <f t="array" aca="1" ref="D88" ca="1">IF(ISNUMBER(_xll.VoseSimPercentile(Out_Result_Start,$B88)),_xll.VoseSimPercentile(Out_Result_Start,$B88),NA())</f>
        <v>3.675338314412647</v>
      </c>
      <c r="E88" s="86" cm="1">
        <f t="array" aca="1" ref="E88" ca="1">IF(ISNUMBER(_xll.VoseSimPercentile(Out_Result_Plan,$B88)),_xll.VoseSimPercentile(Out_Result_Plan,$B88),NA())</f>
        <v>3.4558491405954204</v>
      </c>
      <c r="F88" s="86">
        <f t="shared" si="5"/>
        <v>-10</v>
      </c>
    </row>
    <row r="89" spans="2:6" hidden="1" outlineLevel="1" x14ac:dyDescent="0.45">
      <c r="B89" s="85">
        <v>0.69</v>
      </c>
      <c r="C89" s="85">
        <f t="shared" si="4"/>
        <v>0.31000000000000005</v>
      </c>
      <c r="D89" s="86" cm="1">
        <f t="array" aca="1" ref="D89" ca="1">IF(ISNUMBER(_xll.VoseSimPercentile(Out_Result_Start,$B89)),_xll.VoseSimPercentile(Out_Result_Start,$B89),NA())</f>
        <v>3.8406998555573644</v>
      </c>
      <c r="E89" s="86" cm="1">
        <f t="array" aca="1" ref="E89" ca="1">IF(ISNUMBER(_xll.VoseSimPercentile(Out_Result_Plan,$B89)),_xll.VoseSimPercentile(Out_Result_Plan,$B89),NA())</f>
        <v>3.6228424405937663</v>
      </c>
      <c r="F89" s="86">
        <f t="shared" si="5"/>
        <v>-10</v>
      </c>
    </row>
    <row r="90" spans="2:6" hidden="1" outlineLevel="1" x14ac:dyDescent="0.45">
      <c r="B90" s="85">
        <v>0.71</v>
      </c>
      <c r="C90" s="85">
        <f t="shared" si="4"/>
        <v>0.29000000000000004</v>
      </c>
      <c r="D90" s="86" cm="1">
        <f t="array" aca="1" ref="D90" ca="1">IF(ISNUMBER(_xll.VoseSimPercentile(Out_Result_Start,$B90)),_xll.VoseSimPercentile(Out_Result_Start,$B90),NA())</f>
        <v>4.0262478069850047</v>
      </c>
      <c r="E90" s="86" cm="1">
        <f t="array" aca="1" ref="E90" ca="1">IF(ISNUMBER(_xll.VoseSimPercentile(Out_Result_Plan,$B90)),_xll.VoseSimPercentile(Out_Result_Plan,$B90),NA())</f>
        <v>3.7894026316636058</v>
      </c>
      <c r="F90" s="86">
        <f t="shared" si="5"/>
        <v>-10</v>
      </c>
    </row>
    <row r="91" spans="2:6" hidden="1" outlineLevel="1" x14ac:dyDescent="0.45">
      <c r="B91" s="85">
        <v>0.73</v>
      </c>
      <c r="C91" s="85">
        <f t="shared" si="4"/>
        <v>0.27</v>
      </c>
      <c r="D91" s="86" cm="1">
        <f t="array" aca="1" ref="D91" ca="1">IF(ISNUMBER(_xll.VoseSimPercentile(Out_Result_Start,$B91)),_xll.VoseSimPercentile(Out_Result_Start,$B91),NA())</f>
        <v>4.1998108371438736</v>
      </c>
      <c r="E91" s="86" cm="1">
        <f t="array" aca="1" ref="E91" ca="1">IF(ISNUMBER(_xll.VoseSimPercentile(Out_Result_Plan,$B91)),_xll.VoseSimPercentile(Out_Result_Plan,$B91),NA())</f>
        <v>3.9655407468843329</v>
      </c>
      <c r="F91" s="86">
        <f t="shared" si="5"/>
        <v>-10</v>
      </c>
    </row>
    <row r="92" spans="2:6" hidden="1" outlineLevel="1" x14ac:dyDescent="0.45">
      <c r="B92" s="85">
        <v>0.75</v>
      </c>
      <c r="C92" s="85">
        <f t="shared" si="4"/>
        <v>0.25</v>
      </c>
      <c r="D92" s="86" cm="1">
        <f t="array" aca="1" ref="D92" ca="1">IF(ISNUMBER(_xll.VoseSimPercentile(Out_Result_Start,$B92)),_xll.VoseSimPercentile(Out_Result_Start,$B92),NA())</f>
        <v>4.4224638605214004</v>
      </c>
      <c r="E92" s="86" cm="1">
        <f t="array" aca="1" ref="E92" ca="1">IF(ISNUMBER(_xll.VoseSimPercentile(Out_Result_Plan,$B92)),_xll.VoseSimPercentile(Out_Result_Plan,$B92),NA())</f>
        <v>4.1171451622703046</v>
      </c>
      <c r="F92" s="86">
        <f t="shared" si="5"/>
        <v>-10</v>
      </c>
    </row>
    <row r="93" spans="2:6" hidden="1" outlineLevel="1" x14ac:dyDescent="0.45">
      <c r="B93" s="85">
        <v>0.77</v>
      </c>
      <c r="C93" s="85">
        <f t="shared" si="4"/>
        <v>0.22999999999999998</v>
      </c>
      <c r="D93" s="86" cm="1">
        <f t="array" aca="1" ref="D93" ca="1">IF(ISNUMBER(_xll.VoseSimPercentile(Out_Result_Start,$B93)),_xll.VoseSimPercentile(Out_Result_Start,$B93),NA())</f>
        <v>4.6092961101769472</v>
      </c>
      <c r="E93" s="86" cm="1">
        <f t="array" aca="1" ref="E93" ca="1">IF(ISNUMBER(_xll.VoseSimPercentile(Out_Result_Plan,$B93)),_xll.VoseSimPercentile(Out_Result_Plan,$B93),NA())</f>
        <v>4.2773703427149616</v>
      </c>
      <c r="F93" s="86">
        <f t="shared" si="5"/>
        <v>-10</v>
      </c>
    </row>
    <row r="94" spans="2:6" hidden="1" outlineLevel="1" x14ac:dyDescent="0.45">
      <c r="B94" s="85">
        <v>0.79</v>
      </c>
      <c r="C94" s="85">
        <f t="shared" si="4"/>
        <v>0.20999999999999996</v>
      </c>
      <c r="D94" s="86" cm="1">
        <f t="array" aca="1" ref="D94" ca="1">IF(ISNUMBER(_xll.VoseSimPercentile(Out_Result_Start,$B94)),_xll.VoseSimPercentile(Out_Result_Start,$B94),NA())</f>
        <v>4.8497047193785043</v>
      </c>
      <c r="E94" s="86" cm="1">
        <f t="array" aca="1" ref="E94" ca="1">IF(ISNUMBER(_xll.VoseSimPercentile(Out_Result_Plan,$B94)),_xll.VoseSimPercentile(Out_Result_Plan,$B94),NA())</f>
        <v>4.4776866111642128</v>
      </c>
      <c r="F94" s="86">
        <f t="shared" si="5"/>
        <v>-10</v>
      </c>
    </row>
    <row r="95" spans="2:6" hidden="1" outlineLevel="1" x14ac:dyDescent="0.45">
      <c r="B95" s="85">
        <v>0.81</v>
      </c>
      <c r="C95" s="85">
        <f t="shared" si="4"/>
        <v>0.18999999999999995</v>
      </c>
      <c r="D95" s="86" cm="1">
        <f t="array" aca="1" ref="D95" ca="1">IF(ISNUMBER(_xll.VoseSimPercentile(Out_Result_Start,$B95)),_xll.VoseSimPercentile(Out_Result_Start,$B95),NA())</f>
        <v>5.063262547291405</v>
      </c>
      <c r="E95" s="86" cm="1">
        <f t="array" aca="1" ref="E95" ca="1">IF(ISNUMBER(_xll.VoseSimPercentile(Out_Result_Plan,$B95)),_xll.VoseSimPercentile(Out_Result_Plan,$B95),NA())</f>
        <v>4.6816223033234223</v>
      </c>
      <c r="F95" s="86">
        <f t="shared" si="5"/>
        <v>-10</v>
      </c>
    </row>
    <row r="96" spans="2:6" hidden="1" outlineLevel="1" x14ac:dyDescent="0.45">
      <c r="B96" s="85">
        <v>0.83</v>
      </c>
      <c r="C96" s="85">
        <f t="shared" si="4"/>
        <v>0.17000000000000004</v>
      </c>
      <c r="D96" s="86" cm="1">
        <f t="array" aca="1" ref="D96" ca="1">IF(ISNUMBER(_xll.VoseSimPercentile(Out_Result_Start,$B96)),_xll.VoseSimPercentile(Out_Result_Start,$B96),NA())</f>
        <v>5.2956581876765814</v>
      </c>
      <c r="E96" s="86" cm="1">
        <f t="array" aca="1" ref="E96" ca="1">IF(ISNUMBER(_xll.VoseSimPercentile(Out_Result_Plan,$B96)),_xll.VoseSimPercentile(Out_Result_Plan,$B96),NA())</f>
        <v>4.8941225232834551</v>
      </c>
      <c r="F96" s="86">
        <f t="shared" si="5"/>
        <v>-10</v>
      </c>
    </row>
    <row r="97" spans="2:7" hidden="1" outlineLevel="1" x14ac:dyDescent="0.45">
      <c r="B97" s="85">
        <v>0.85</v>
      </c>
      <c r="C97" s="85">
        <f t="shared" si="4"/>
        <v>0.15000000000000002</v>
      </c>
      <c r="D97" s="86" cm="1">
        <f t="array" aca="1" ref="D97" ca="1">IF(ISNUMBER(_xll.VoseSimPercentile(Out_Result_Start,$B97)),_xll.VoseSimPercentile(Out_Result_Start,$B97),NA())</f>
        <v>5.5767488596323993</v>
      </c>
      <c r="E97" s="86" cm="1">
        <f t="array" aca="1" ref="E97" ca="1">IF(ISNUMBER(_xll.VoseSimPercentile(Out_Result_Plan,$B97)),_xll.VoseSimPercentile(Out_Result_Plan,$B97),NA())</f>
        <v>5.1076277258287117</v>
      </c>
      <c r="F97" s="86">
        <f t="shared" si="5"/>
        <v>-10</v>
      </c>
    </row>
    <row r="98" spans="2:7" hidden="1" outlineLevel="1" x14ac:dyDescent="0.45">
      <c r="B98" s="85">
        <v>0.87</v>
      </c>
      <c r="C98" s="85">
        <f t="shared" si="4"/>
        <v>0.13</v>
      </c>
      <c r="D98" s="86" cm="1">
        <f t="array" aca="1" ref="D98" ca="1">IF(ISNUMBER(_xll.VoseSimPercentile(Out_Result_Start,$B98)),_xll.VoseSimPercentile(Out_Result_Start,$B98),NA())</f>
        <v>5.8579817560499894</v>
      </c>
      <c r="E98" s="86" cm="1">
        <f t="array" aca="1" ref="E98" ca="1">IF(ISNUMBER(_xll.VoseSimPercentile(Out_Result_Plan,$B98)),_xll.VoseSimPercentile(Out_Result_Plan,$B98),NA())</f>
        <v>5.3569416639829086</v>
      </c>
      <c r="F98" s="86">
        <f t="shared" si="5"/>
        <v>-10</v>
      </c>
    </row>
    <row r="99" spans="2:7" hidden="1" outlineLevel="1" x14ac:dyDescent="0.45">
      <c r="B99" s="85">
        <v>0.89</v>
      </c>
      <c r="C99" s="85">
        <f t="shared" si="4"/>
        <v>0.10999999999999999</v>
      </c>
      <c r="D99" s="86" cm="1">
        <f t="array" aca="1" ref="D99" ca="1">IF(ISNUMBER(_xll.VoseSimPercentile(Out_Result_Start,$B99)),_xll.VoseSimPercentile(Out_Result_Start,$B99),NA())</f>
        <v>6.1323626063632091</v>
      </c>
      <c r="E99" s="86" cm="1">
        <f t="array" aca="1" ref="E99" ca="1">IF(ISNUMBER(_xll.VoseSimPercentile(Out_Result_Plan,$B99)),_xll.VoseSimPercentile(Out_Result_Plan,$B99),NA())</f>
        <v>5.6255326798772263</v>
      </c>
      <c r="F99" s="86">
        <f t="shared" si="5"/>
        <v>-10</v>
      </c>
    </row>
    <row r="100" spans="2:7" hidden="1" outlineLevel="1" x14ac:dyDescent="0.45">
      <c r="B100" s="85">
        <v>0.91</v>
      </c>
      <c r="C100" s="85">
        <f t="shared" si="4"/>
        <v>8.9999999999999969E-2</v>
      </c>
      <c r="D100" s="86" cm="1">
        <f t="array" aca="1" ref="D100" ca="1">IF(ISNUMBER(_xll.VoseSimPercentile(Out_Result_Start,$B100)),_xll.VoseSimPercentile(Out_Result_Start,$B100),NA())</f>
        <v>6.4610011302460446</v>
      </c>
      <c r="E100" s="86" cm="1">
        <f t="array" aca="1" ref="E100" ca="1">IF(ISNUMBER(_xll.VoseSimPercentile(Out_Result_Plan,$B100)),_xll.VoseSimPercentile(Out_Result_Plan,$B100),NA())</f>
        <v>5.9219835026507859</v>
      </c>
      <c r="F100" s="86">
        <f t="shared" si="5"/>
        <v>-10</v>
      </c>
    </row>
    <row r="101" spans="2:7" hidden="1" outlineLevel="1" x14ac:dyDescent="0.45">
      <c r="B101" s="85">
        <v>0.93</v>
      </c>
      <c r="C101" s="85">
        <f t="shared" si="4"/>
        <v>6.9999999999999951E-2</v>
      </c>
      <c r="D101" s="86" cm="1">
        <f t="array" aca="1" ref="D101" ca="1">IF(ISNUMBER(_xll.VoseSimPercentile(Out_Result_Start,$B101)),_xll.VoseSimPercentile(Out_Result_Start,$B101),NA())</f>
        <v>6.8655530554502313</v>
      </c>
      <c r="E101" s="86" cm="1">
        <f t="array" aca="1" ref="E101" ca="1">IF(ISNUMBER(_xll.VoseSimPercentile(Out_Result_Plan,$B101)),_xll.VoseSimPercentile(Out_Result_Plan,$B101),NA())</f>
        <v>6.2927185338554814</v>
      </c>
      <c r="F101" s="86">
        <f t="shared" si="5"/>
        <v>-10</v>
      </c>
    </row>
    <row r="102" spans="2:7" hidden="1" outlineLevel="1" x14ac:dyDescent="0.45">
      <c r="B102" s="85">
        <v>0.95</v>
      </c>
      <c r="C102" s="85">
        <f t="shared" si="4"/>
        <v>5.0000000000000044E-2</v>
      </c>
      <c r="D102" s="86" cm="1">
        <f t="array" aca="1" ref="D102" ca="1">IF(ISNUMBER(_xll.VoseSimPercentile(Out_Result_Start,$B102)),_xll.VoseSimPercentile(Out_Result_Start,$B102),NA())</f>
        <v>7.4461528743741887</v>
      </c>
      <c r="E102" s="86" cm="1">
        <f t="array" aca="1" ref="E102" ca="1">IF(ISNUMBER(_xll.VoseSimPercentile(Out_Result_Plan,$B102)),_xll.VoseSimPercentile(Out_Result_Plan,$B102),NA())</f>
        <v>6.7683159752025031</v>
      </c>
      <c r="F102" s="86">
        <f t="shared" si="5"/>
        <v>-10</v>
      </c>
    </row>
    <row r="103" spans="2:7" hidden="1" outlineLevel="1" x14ac:dyDescent="0.45">
      <c r="B103" s="85">
        <v>0.97</v>
      </c>
      <c r="C103" s="85">
        <f t="shared" si="4"/>
        <v>3.0000000000000027E-2</v>
      </c>
      <c r="D103" s="86" cm="1">
        <f t="array" aca="1" ref="D103" ca="1">IF(ISNUMBER(_xll.VoseSimPercentile(Out_Result_Start,$B103)),_xll.VoseSimPercentile(Out_Result_Start,$B103),NA())</f>
        <v>8.1281197451944358</v>
      </c>
      <c r="E103" s="86" cm="1">
        <f t="array" aca="1" ref="E103" ca="1">IF(ISNUMBER(_xll.VoseSimPercentile(Out_Result_Plan,$B103)),_xll.VoseSimPercentile(Out_Result_Plan,$B103),NA())</f>
        <v>7.3174303740865803</v>
      </c>
      <c r="F103" s="86">
        <f t="shared" si="5"/>
        <v>-10</v>
      </c>
    </row>
    <row r="104" spans="2:7" hidden="1" outlineLevel="1" x14ac:dyDescent="0.45">
      <c r="B104" s="85">
        <v>0.99</v>
      </c>
      <c r="C104" s="85">
        <f t="shared" si="4"/>
        <v>1.0000000000000009E-2</v>
      </c>
      <c r="D104" s="86" cm="1">
        <f t="array" aca="1" ref="D104" ca="1">IF(ISNUMBER(_xll.VoseSimPercentile(Out_Result_Start,$B104)),_xll.VoseSimPercentile(Out_Result_Start,$B104),NA())</f>
        <v>9.376709426421872</v>
      </c>
      <c r="E104" s="86" cm="1">
        <f t="array" aca="1" ref="E104" ca="1">IF(ISNUMBER(_xll.VoseSimPercentile(Out_Result_Plan,$B104)),_xll.VoseSimPercentile(Out_Result_Plan,$B104),NA())</f>
        <v>8.3803156791974018</v>
      </c>
      <c r="F104" s="86">
        <f t="shared" si="5"/>
        <v>-10</v>
      </c>
    </row>
    <row r="105" spans="2:7" hidden="1" outlineLevel="1" x14ac:dyDescent="0.45"/>
    <row r="106" spans="2:7" ht="28.05" hidden="1" customHeight="1" outlineLevel="1" x14ac:dyDescent="0.45">
      <c r="B106" s="25" t="s">
        <v>444</v>
      </c>
      <c r="C106" s="25" t="s">
        <v>445</v>
      </c>
      <c r="D106" s="25" t="s">
        <v>446</v>
      </c>
      <c r="E106" s="25" t="s">
        <v>447</v>
      </c>
      <c r="F106" s="5"/>
      <c r="G106" s="5"/>
    </row>
    <row r="107" spans="2:7" hidden="1" outlineLevel="1" x14ac:dyDescent="0.45">
      <c r="B107" s="87">
        <v>5</v>
      </c>
      <c r="C107" s="88">
        <f t="shared" ref="C107:C113" si="6">1-1/B107</f>
        <v>0.8</v>
      </c>
      <c r="D107" s="86" cm="1">
        <f t="array" aca="1" ref="D107" ca="1">IF(ISNUMBER(_xll.VoseSimPercentile(Out_Loss_Start,$C107)),_xll.VoseSimPercentile(Out_Loss_Start,$C107),NA())</f>
        <v>1.1366432884560282</v>
      </c>
      <c r="E107" s="86" cm="1">
        <f t="array" aca="1" ref="E107" ca="1">IF(ISNUMBER(_xll.VoseSimPercentile(Out_Loss_Plan,$C107)),_xll.VoseSimPercentile(Out_Loss_Plan,$C107),NA())</f>
        <v>0.88472003647740038</v>
      </c>
    </row>
    <row r="108" spans="2:7" hidden="1" outlineLevel="1" x14ac:dyDescent="0.45">
      <c r="B108" s="87">
        <v>10</v>
      </c>
      <c r="C108" s="88">
        <f t="shared" si="6"/>
        <v>0.9</v>
      </c>
      <c r="D108" s="86" cm="1">
        <f t="array" aca="1" ref="D108" ca="1">IF(ISNUMBER(_xll.VoseSimPercentile(Out_Loss_Start,$C108)),_xll.VoseSimPercentile(Out_Loss_Start,$C108),NA())</f>
        <v>2.9388485747097874</v>
      </c>
      <c r="E108" s="86" cm="1">
        <f t="array" aca="1" ref="E108" ca="1">IF(ISNUMBER(_xll.VoseSimPercentile(Out_Loss_Plan,$C108)),_xll.VoseSimPercentile(Out_Loss_Plan,$C108),NA())</f>
        <v>2.464839893465264</v>
      </c>
    </row>
    <row r="109" spans="2:7" hidden="1" outlineLevel="1" x14ac:dyDescent="0.45">
      <c r="B109" s="87">
        <v>20</v>
      </c>
      <c r="C109" s="88">
        <f t="shared" si="6"/>
        <v>0.95</v>
      </c>
      <c r="D109" s="86" cm="1">
        <f t="array" aca="1" ref="D109" ca="1">IF(ISNUMBER(_xll.VoseSimPercentile(Out_Loss_Start,$C109)),_xll.VoseSimPercentile(Out_Loss_Start,$C109),NA())</f>
        <v>4.5954741774119157</v>
      </c>
      <c r="E109" s="86" cm="1">
        <f t="array" aca="1" ref="E109" ca="1">IF(ISNUMBER(_xll.VoseSimPercentile(Out_Loss_Plan,$C109)),_xll.VoseSimPercentile(Out_Loss_Plan,$C109),NA())</f>
        <v>4.0586203625095187</v>
      </c>
    </row>
    <row r="110" spans="2:7" hidden="1" outlineLevel="1" x14ac:dyDescent="0.45">
      <c r="B110" s="87">
        <v>50</v>
      </c>
      <c r="C110" s="88">
        <f t="shared" si="6"/>
        <v>0.98</v>
      </c>
      <c r="D110" s="86" cm="1">
        <f t="array" aca="1" ref="D110" ca="1">IF(ISNUMBER(_xll.VoseSimPercentile(Out_Loss_Start,$C110)),_xll.VoseSimPercentile(Out_Loss_Start,$C110),NA())</f>
        <v>6.7647830768005015</v>
      </c>
      <c r="E110" s="86" cm="1">
        <f t="array" aca="1" ref="E110" ca="1">IF(ISNUMBER(_xll.VoseSimPercentile(Out_Loss_Plan,$C110)),_xll.VoseSimPercentile(Out_Loss_Plan,$C110),NA())</f>
        <v>5.9086934858901934</v>
      </c>
    </row>
    <row r="111" spans="2:7" hidden="1" outlineLevel="1" x14ac:dyDescent="0.45">
      <c r="B111" s="87">
        <v>100</v>
      </c>
      <c r="C111" s="88">
        <f t="shared" si="6"/>
        <v>0.99</v>
      </c>
      <c r="D111" s="86" cm="1">
        <f t="array" aca="1" ref="D111" ca="1">IF(ISNUMBER(_xll.VoseSimPercentile(Out_Loss_Start,$C111)),_xll.VoseSimPercentile(Out_Loss_Start,$C111),NA())</f>
        <v>9.0018675558091559</v>
      </c>
      <c r="E111" s="86" cm="1">
        <f t="array" aca="1" ref="E111" ca="1">IF(ISNUMBER(_xll.VoseSimPercentile(Out_Loss_Plan,$C111)),_xll.VoseSimPercentile(Out_Loss_Plan,$C111),NA())</f>
        <v>7.4465764840389959</v>
      </c>
    </row>
    <row r="112" spans="2:7" hidden="1" outlineLevel="1" x14ac:dyDescent="0.45">
      <c r="B112" s="87">
        <v>200</v>
      </c>
      <c r="C112" s="88">
        <f t="shared" si="6"/>
        <v>0.995</v>
      </c>
      <c r="D112" s="86" cm="1">
        <f t="array" aca="1" ref="D112" ca="1">IF(ISNUMBER(_xll.VoseSimPercentile(Out_Loss_Start,$C112)),_xll.VoseSimPercentile(Out_Loss_Start,$C112),NA())</f>
        <v>14.195595312079487</v>
      </c>
      <c r="E112" s="86" cm="1">
        <f t="array" aca="1" ref="E112" ca="1">IF(ISNUMBER(_xll.VoseSimPercentile(Out_Loss_Plan,$C112)),_xll.VoseSimPercentile(Out_Loss_Plan,$C112),NA())</f>
        <v>9.7846865683178841</v>
      </c>
    </row>
    <row r="113" spans="2:5" hidden="1" outlineLevel="1" x14ac:dyDescent="0.45">
      <c r="B113" s="87">
        <v>500</v>
      </c>
      <c r="C113" s="88">
        <f t="shared" si="6"/>
        <v>0.998</v>
      </c>
      <c r="D113" s="86" cm="1">
        <f t="array" aca="1" ref="D113" ca="1">IF(ISNUMBER(_xll.VoseSimPercentile(Out_Loss_Start,$C113)),_xll.VoseSimPercentile(Out_Loss_Start,$C113),NA())</f>
        <v>31.362168474469339</v>
      </c>
      <c r="E113" s="86" cm="1">
        <f t="array" aca="1" ref="E113" ca="1">IF(ISNUMBER(_xll.VoseSimPercentile(Out_Loss_Plan,$C113)),_xll.VoseSimPercentile(Out_Loss_Plan,$C113),NA())</f>
        <v>21.793932589627847</v>
      </c>
    </row>
  </sheetData>
  <mergeCells count="5">
    <mergeCell ref="B47:G47"/>
    <mergeCell ref="B46:G46"/>
    <mergeCell ref="B45:G45"/>
    <mergeCell ref="B49:G49"/>
    <mergeCell ref="B48:G48"/>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D107:E113">
    <cfRule type="expression" dxfId="1" priority="4">
      <formula>ISNA(D107)</formula>
    </cfRule>
  </conditionalFormatting>
  <conditionalFormatting sqref="D55:F104">
    <cfRule type="expression" dxfId="0" priority="3">
      <formula>ISNA(D55)</formula>
    </cfRule>
  </conditionalFormatting>
  <hyperlinks>
    <hyperlink ref="B4" location="'Programme'!A1" display="◂  Programme" xr:uid="{00000000-0004-0000-0500-000000000000}"/>
  </hyperlinks>
  <printOptions horizontalCentered="1"/>
  <pageMargins left="0.4" right="0.4" top="0.5" bottom="0.6" header="0.25" footer="0.25"/>
  <pageSetup paperSize="9" fitToHeight="0" orientation="landscape"/>
  <headerFooter>
    <oddFooter>&amp;L&amp;K3F5876&amp;8&amp;F · &amp;A&amp;R&amp;K3F5876&amp;8Page &amp;P of &amp;N</oddFooter>
  </headerFooter>
  <rowBreaks count="1" manualBreakCount="1">
    <brk id="43" max="16383" man="1"/>
  </rowBreak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
  <sheetViews>
    <sheetView workbookViewId="0"/>
  </sheetViews>
  <sheetFormatPr defaultRowHeight="14.25" x14ac:dyDescent="0.45"/>
  <sheetData>
    <row r="1" spans="1:5" x14ac:dyDescent="0.45">
      <c r="A1" s="89" t="s">
        <v>448</v>
      </c>
      <c r="B1">
        <v>0</v>
      </c>
      <c r="C1">
        <v>1</v>
      </c>
      <c r="D1">
        <v>1</v>
      </c>
      <c r="E1" s="89" t="s">
        <v>449</v>
      </c>
    </row>
    <row r="2" spans="1:5" x14ac:dyDescent="0.45">
      <c r="A2">
        <v>1</v>
      </c>
      <c r="B2" s="89" t="s">
        <v>450</v>
      </c>
      <c r="C2">
        <v>1</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8DAE4-3ED5-4972-8A11-B66C515ED5A2}">
  <dimension ref="A1:B1"/>
  <sheetViews>
    <sheetView workbookViewId="0"/>
  </sheetViews>
  <sheetFormatPr defaultRowHeight="14.25" x14ac:dyDescent="0.45"/>
  <sheetData>
    <row r="1" spans="1:2" x14ac:dyDescent="0.45">
      <c r="A1" s="97" t="s">
        <v>455</v>
      </c>
      <c r="B1">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40C97-5EF2-49F6-B29E-AF28B9F1E13B}">
  <dimension ref="A1"/>
  <sheetViews>
    <sheetView workbookViewId="0"/>
  </sheetViews>
  <sheetFormatPr defaultRowHeight="14.25" x14ac:dyDescent="0.4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E0D7F-A846-4CFD-BC6D-8EF69847C7AB}">
  <dimension ref="B3:B42"/>
  <sheetViews>
    <sheetView workbookViewId="0"/>
  </sheetViews>
  <sheetFormatPr defaultRowHeight="14.25" x14ac:dyDescent="0.45"/>
  <sheetData>
    <row r="3" spans="2:2" x14ac:dyDescent="0.45">
      <c r="B3">
        <v>1</v>
      </c>
    </row>
    <row r="4" spans="2:2" x14ac:dyDescent="0.45">
      <c r="B4">
        <v>0</v>
      </c>
    </row>
    <row r="5" spans="2:2" x14ac:dyDescent="0.45">
      <c r="B5">
        <v>0</v>
      </c>
    </row>
    <row r="6" spans="2:2" x14ac:dyDescent="0.45">
      <c r="B6">
        <v>0</v>
      </c>
    </row>
    <row r="7" spans="2:2" x14ac:dyDescent="0.45">
      <c r="B7">
        <v>1</v>
      </c>
    </row>
    <row r="8" spans="2:2" x14ac:dyDescent="0.45">
      <c r="B8">
        <v>0</v>
      </c>
    </row>
    <row r="9" spans="2:2" x14ac:dyDescent="0.45">
      <c r="B9">
        <v>4</v>
      </c>
    </row>
    <row r="10" spans="2:2" x14ac:dyDescent="0.45">
      <c r="B10">
        <v>9</v>
      </c>
    </row>
    <row r="11" spans="2:2" x14ac:dyDescent="0.45">
      <c r="B11">
        <v>639</v>
      </c>
    </row>
    <row r="12" spans="2:2" x14ac:dyDescent="0.45">
      <c r="B12">
        <v>1346</v>
      </c>
    </row>
    <row r="13" spans="2:2" x14ac:dyDescent="0.45">
      <c r="B13">
        <v>1</v>
      </c>
    </row>
    <row r="14" spans="2:2" x14ac:dyDescent="0.45">
      <c r="B14">
        <v>0</v>
      </c>
    </row>
    <row r="15" spans="2:2" x14ac:dyDescent="0.45">
      <c r="B15">
        <v>0</v>
      </c>
    </row>
    <row r="16" spans="2:2" x14ac:dyDescent="0.45">
      <c r="B16">
        <v>0</v>
      </c>
    </row>
    <row r="17" spans="2:2" x14ac:dyDescent="0.45">
      <c r="B17">
        <v>1</v>
      </c>
    </row>
    <row r="18" spans="2:2" x14ac:dyDescent="0.45">
      <c r="B18">
        <v>0</v>
      </c>
    </row>
    <row r="19" spans="2:2" x14ac:dyDescent="0.45">
      <c r="B19">
        <v>4</v>
      </c>
    </row>
    <row r="20" spans="2:2" x14ac:dyDescent="0.45">
      <c r="B20">
        <v>19</v>
      </c>
    </row>
    <row r="21" spans="2:2" x14ac:dyDescent="0.45">
      <c r="B21">
        <v>925</v>
      </c>
    </row>
    <row r="22" spans="2:2" x14ac:dyDescent="0.45">
      <c r="B22">
        <v>1050</v>
      </c>
    </row>
    <row r="23" spans="2:2" x14ac:dyDescent="0.45">
      <c r="B23">
        <v>1362</v>
      </c>
    </row>
    <row r="24" spans="2:2" x14ac:dyDescent="0.45">
      <c r="B24">
        <v>623</v>
      </c>
    </row>
    <row r="25" spans="2:2" x14ac:dyDescent="0.45">
      <c r="B25">
        <v>9</v>
      </c>
    </row>
    <row r="26" spans="2:2" x14ac:dyDescent="0.45">
      <c r="B26">
        <v>4</v>
      </c>
    </row>
    <row r="27" spans="2:2" x14ac:dyDescent="0.45">
      <c r="B27">
        <v>0</v>
      </c>
    </row>
    <row r="28" spans="2:2" x14ac:dyDescent="0.45">
      <c r="B28">
        <v>1</v>
      </c>
    </row>
    <row r="29" spans="2:2" x14ac:dyDescent="0.45">
      <c r="B29">
        <v>0</v>
      </c>
    </row>
    <row r="30" spans="2:2" x14ac:dyDescent="0.45">
      <c r="B30">
        <v>0</v>
      </c>
    </row>
    <row r="31" spans="2:2" x14ac:dyDescent="0.45">
      <c r="B31">
        <v>0</v>
      </c>
    </row>
    <row r="32" spans="2:2" x14ac:dyDescent="0.45">
      <c r="B32">
        <v>1</v>
      </c>
    </row>
    <row r="33" spans="2:2" x14ac:dyDescent="0.45">
      <c r="B33">
        <v>1073</v>
      </c>
    </row>
    <row r="34" spans="2:2" x14ac:dyDescent="0.45">
      <c r="B34">
        <v>902</v>
      </c>
    </row>
    <row r="35" spans="2:2" x14ac:dyDescent="0.45">
      <c r="B35">
        <v>19</v>
      </c>
    </row>
    <row r="36" spans="2:2" x14ac:dyDescent="0.45">
      <c r="B36">
        <v>4</v>
      </c>
    </row>
    <row r="37" spans="2:2" x14ac:dyDescent="0.45">
      <c r="B37">
        <v>0</v>
      </c>
    </row>
    <row r="38" spans="2:2" x14ac:dyDescent="0.45">
      <c r="B38">
        <v>1</v>
      </c>
    </row>
    <row r="39" spans="2:2" x14ac:dyDescent="0.45">
      <c r="B39">
        <v>0</v>
      </c>
    </row>
    <row r="40" spans="2:2" x14ac:dyDescent="0.45">
      <c r="B40">
        <v>0</v>
      </c>
    </row>
    <row r="41" spans="2:2" x14ac:dyDescent="0.45">
      <c r="B41">
        <v>0</v>
      </c>
    </row>
    <row r="42" spans="2:2" x14ac:dyDescent="0.45">
      <c r="B4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CE6A986D-4CCB-42B2-B491-0F5411132F5B}">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84</vt:i4>
      </vt:variant>
    </vt:vector>
  </HeadingPairs>
  <TitlesOfParts>
    <vt:vector size="93" baseType="lpstr">
      <vt:lpstr>About</vt:lpstr>
      <vt:lpstr>Inputs</vt:lpstr>
      <vt:lpstr>Decisions</vt:lpstr>
      <vt:lpstr>Claims</vt:lpstr>
      <vt:lpstr>Programme</vt:lpstr>
      <vt:lpstr>Results</vt:lpstr>
      <vt:lpstr>ModelRiskDSN</vt:lpstr>
      <vt:lpstr>ModelRiskSYS1</vt:lpstr>
      <vt:lpstr>ModelRiskCharts</vt:lpstr>
      <vt:lpstr>Capital</vt:lpstr>
      <vt:lpstr>Checks</vt:lpstr>
      <vt:lpstr>Comm_Plan</vt:lpstr>
      <vt:lpstr>Comm_Start</vt:lpstr>
      <vt:lpstr>Cost_Plan</vt:lpstr>
      <vt:lpstr>Cost_Start</vt:lpstr>
      <vt:lpstr>Cover</vt:lpstr>
      <vt:lpstr>Cover_Hi</vt:lpstr>
      <vt:lpstr>Cover_Lo</vt:lpstr>
      <vt:lpstr>Cover_Start</vt:lpstr>
      <vt:lpstr>ExpClaims</vt:lpstr>
      <vt:lpstr>Expenses</vt:lpstr>
      <vt:lpstr>ExpRatio</vt:lpstr>
      <vt:lpstr>Freq</vt:lpstr>
      <vt:lpstr>FreqMean</vt:lpstr>
      <vt:lpstr>Gross</vt:lpstr>
      <vt:lpstr>Kept_Plan</vt:lpstr>
      <vt:lpstr>Kept_Start</vt:lpstr>
      <vt:lpstr>Left_Plan</vt:lpstr>
      <vt:lpstr>Left_Start</vt:lpstr>
      <vt:lpstr>MaxNetRet</vt:lpstr>
      <vt:lpstr>MinResult</vt:lpstr>
      <vt:lpstr>NetOK_Plan</vt:lpstr>
      <vt:lpstr>NetOK_Start</vt:lpstr>
      <vt:lpstr>NetRet_Plan</vt:lpstr>
      <vt:lpstr>NetRet_Start</vt:lpstr>
      <vt:lpstr>OptRun_Best</vt:lpstr>
      <vt:lpstr>OptRun_Date</vt:lpstr>
      <vt:lpstr>OptRun_Engine</vt:lpstr>
      <vt:lpstr>OptRun_Feasible</vt:lpstr>
      <vt:lpstr>OptRun_Samples</vt:lpstr>
      <vt:lpstr>OptRun_Seconds</vt:lpstr>
      <vt:lpstr>OptRun_Stop</vt:lpstr>
      <vt:lpstr>OptRun_Trials</vt:lpstr>
      <vt:lpstr>Out_Loss_Plan</vt:lpstr>
      <vt:lpstr>Out_Loss_Start</vt:lpstr>
      <vt:lpstr>Out_Result_Plan</vt:lpstr>
      <vt:lpstr>Out_Result_Start</vt:lpstr>
      <vt:lpstr>ParetoB</vt:lpstr>
      <vt:lpstr>Premium</vt:lpstr>
      <vt:lpstr>PremLeft_Plan</vt:lpstr>
      <vt:lpstr>PremLeft_Start</vt:lpstr>
      <vt:lpstr>Results!Print_Area</vt:lpstr>
      <vt:lpstr>Claims!Print_Titles</vt:lpstr>
      <vt:lpstr>Decisions!Print_Titles</vt:lpstr>
      <vt:lpstr>Inputs!Print_Titles</vt:lpstr>
      <vt:lpstr>Results!Print_Titles</vt:lpstr>
      <vt:lpstr>QSComm</vt:lpstr>
      <vt:lpstr>QSEL_Plan</vt:lpstr>
      <vt:lpstr>QSEL_Start</vt:lpstr>
      <vt:lpstr>QSPrem_Plan</vt:lpstr>
      <vt:lpstr>QSPrem_Start</vt:lpstr>
      <vt:lpstr>QSRec_Plan</vt:lpstr>
      <vt:lpstr>QSRec_Start</vt:lpstr>
      <vt:lpstr>QSShare</vt:lpstr>
      <vt:lpstr>QSShare_Hi</vt:lpstr>
      <vt:lpstr>QSShare_Lo</vt:lpstr>
      <vt:lpstr>QSShare_Start</vt:lpstr>
      <vt:lpstr>Rec_Plan</vt:lpstr>
      <vt:lpstr>Rec_Start</vt:lpstr>
      <vt:lpstr>Retention</vt:lpstr>
      <vt:lpstr>Retention_Hi</vt:lpstr>
      <vt:lpstr>Retention_Lo</vt:lpstr>
      <vt:lpstr>Retention_Start</vt:lpstr>
      <vt:lpstr>ROL_Plan</vt:lpstr>
      <vt:lpstr>ROL_Start</vt:lpstr>
      <vt:lpstr>Sev</vt:lpstr>
      <vt:lpstr>SevMean</vt:lpstr>
      <vt:lpstr>SevShape</vt:lpstr>
      <vt:lpstr>Theta</vt:lpstr>
      <vt:lpstr>Top_Plan</vt:lpstr>
      <vt:lpstr>Top_Start</vt:lpstr>
      <vt:lpstr>XLEL_Plan</vt:lpstr>
      <vt:lpstr>XLEL_Start</vt:lpstr>
      <vt:lpstr>XLLoad_Plan</vt:lpstr>
      <vt:lpstr>XLLoad_Start</vt:lpstr>
      <vt:lpstr>XLM_Plan</vt:lpstr>
      <vt:lpstr>XLM_Start</vt:lpstr>
      <vt:lpstr>XLPrem_Plan</vt:lpstr>
      <vt:lpstr>XLPrem_Start</vt:lpstr>
      <vt:lpstr>XLS_Plan</vt:lpstr>
      <vt:lpstr>XLS_Start</vt:lpstr>
      <vt:lpstr>XLSD_Plan</vt:lpstr>
      <vt:lpstr>XLSD_Start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IN-09 Reinsurance Programme Chosen by the Optimizer</dc:title>
  <dc:subject>ModelRisk industry example library — Insurance</dc:subject>
  <dc:creator>Vose Software</dc:creator>
  <cp:keywords>ModelRisk; Monte Carlo; Insurance</cp:keywords>
  <dc:description>The retention, cover and quota share chosen together by the ModelRisk Optimizer: the highest mean result whose 1-in-200 loss stays within the capital, against the broker's programme.</dc:description>
  <cp:lastModifiedBy>Timour Koupeev</cp:lastModifiedBy>
  <dcterms:created xsi:type="dcterms:W3CDTF">2026-10-13T13:16:59Z</dcterms:created>
  <dcterms:modified xsi:type="dcterms:W3CDTF">2026-10-13T13:23:09Z</dcterms:modified>
</cp:coreProperties>
</file>