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Insurance\"/>
    </mc:Choice>
  </mc:AlternateContent>
  <xr:revisionPtr revIDLastSave="0" documentId="8_{CA5926BB-619D-45FF-9CBB-FCC96862B989}"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ojection" sheetId="3" r:id="rId3"/>
    <sheet name="Results" sheetId="4" r:id="rId4"/>
    <sheet name="ModelRiskDSN" sheetId="5" state="hidden" r:id="rId5"/>
    <sheet name="ModelRiskSYS1" sheetId="6" state="hidden" r:id="rId6"/>
    <sheet name="ModelRiskCharts" sheetId="7" state="hidden" r:id="rId7"/>
  </sheets>
  <definedNames>
    <definedName name="Checks">Projection!$I$117:$I$119</definedName>
    <definedName name="Deaths_A">Projection!$G$88</definedName>
    <definedName name="Deaths_B">Projection!$G$105</definedName>
    <definedName name="Deaths_E">Projection!$G$71</definedName>
    <definedName name="DFEnd">Projection!$D$45:$D$54</definedName>
    <definedName name="DFStart">Projection!$C$45:$C$54</definedName>
    <definedName name="DiscRate">Inputs!$D$15</definedName>
    <definedName name="ExpPol">Inputs!$D$14</definedName>
    <definedName name="In10_Matrix">Projection!$C$39:$F$39</definedName>
    <definedName name="Inc_U">Projection!$E$18</definedName>
    <definedName name="IncRate">Inputs!$D$20</definedName>
    <definedName name="InputMeans">Inputs!$I$29:$I$32</definedName>
    <definedName name="Lapse_U">Projection!$E$19</definedName>
    <definedName name="LapseRate">Inputs!$D$21</definedName>
    <definedName name="Last_E">Projection!$C$70:$F$70</definedName>
    <definedName name="M_10">Projection!$C$35:$F$38</definedName>
    <definedName name="M_BE">Projection!$C$9:$F$12</definedName>
    <definedName name="M_U">Projection!$C$27:$F$30</definedName>
    <definedName name="MInc">Inputs!$D$31</definedName>
    <definedName name="MInc_Hi">Inputs!$H$31</definedName>
    <definedName name="MInc_Lo">Inputs!$F$31</definedName>
    <definedName name="MInc_Mean">Inputs!$I$31</definedName>
    <definedName name="MInc_ML">Inputs!$G$31</definedName>
    <definedName name="MLapse">Inputs!$D$30</definedName>
    <definedName name="MLapse_Hi">Inputs!$H$30</definedName>
    <definedName name="MLapse_Lo">Inputs!$F$30</definedName>
    <definedName name="MLapse_Mean">Inputs!$I$30</definedName>
    <definedName name="MLapse_ML">Inputs!$G$30</definedName>
    <definedName name="MMort">Inputs!$D$29</definedName>
    <definedName name="MMort_Hi">Inputs!$H$29</definedName>
    <definedName name="MMort_Lo">Inputs!$F$29</definedName>
    <definedName name="MMort_Mean">Inputs!$I$29</definedName>
    <definedName name="MMort_ML">Inputs!$G$29</definedName>
    <definedName name="MRec">Inputs!$D$32</definedName>
    <definedName name="MRec_Hi">Inputs!$H$32</definedName>
    <definedName name="MRec_Lo">Inputs!$F$32</definedName>
    <definedName name="MRec_Mean">Inputs!$I$32</definedName>
    <definedName name="MRec_ML">Inputs!$G$32</definedName>
    <definedName name="NPolicies">Inputs!$D$11</definedName>
    <definedName name="NPV_A">Projection!$L$88</definedName>
    <definedName name="NPV_B">Projection!$L$105</definedName>
    <definedName name="NPV_E">Projection!$L$71</definedName>
    <definedName name="Out_Deaths_A">Projection!$H$112</definedName>
    <definedName name="Out_Deaths_B">Projection!$H$113</definedName>
    <definedName name="Out_NPV_A">Projection!$H$110</definedName>
    <definedName name="Out_NPV_B">Projection!$H$111</definedName>
    <definedName name="Prem">Inputs!$D$12</definedName>
    <definedName name="_xlnm.Print_Area" localSheetId="3">Results!$A$1:$R$46</definedName>
    <definedName name="_xlnm.Print_Titles" localSheetId="1">Inputs!$1:$4</definedName>
    <definedName name="_xlnm.Print_Titles" localSheetId="3">Results!$1:$4</definedName>
    <definedName name="QA_U">Projection!$E$20</definedName>
    <definedName name="QActive">Inputs!$D$22</definedName>
    <definedName name="QD_U">Projection!$E$22</definedName>
    <definedName name="QDisabled">Inputs!$D$24</definedName>
    <definedName name="Rec_U">Projection!$E$21</definedName>
    <definedName name="RecRate">Inputs!$D$23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Projection!$C$60:$F$60</definedName>
    <definedName name="SumAssured">Inputs!$D$13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4" l="1"/>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F94" i="3"/>
  <c r="E94" i="3"/>
  <c r="D94" i="3"/>
  <c r="C94" i="3"/>
  <c r="H95" i="3" s="1"/>
  <c r="F77" i="3"/>
  <c r="E77" i="3"/>
  <c r="C78" i="3" s="1" a="1"/>
  <c r="D78" i="3" s="1"/>
  <c r="D77" i="3"/>
  <c r="C77" i="3"/>
  <c r="H78" i="3" s="1"/>
  <c r="F60" i="3"/>
  <c r="E60" i="3"/>
  <c r="D60" i="3"/>
  <c r="C60" i="3"/>
  <c r="H61" i="3"/>
  <c r="D54" i="3"/>
  <c r="C54" i="3"/>
  <c r="D53" i="3"/>
  <c r="C53" i="3"/>
  <c r="D52" i="3"/>
  <c r="C52" i="3"/>
  <c r="D51" i="3"/>
  <c r="C51" i="3"/>
  <c r="D50" i="3"/>
  <c r="C50" i="3"/>
  <c r="D49" i="3"/>
  <c r="C49" i="3"/>
  <c r="D48" i="3"/>
  <c r="C48" i="3"/>
  <c r="D47" i="3"/>
  <c r="C47" i="3"/>
  <c r="D46" i="3"/>
  <c r="C46" i="3"/>
  <c r="D45" i="3"/>
  <c r="C45" i="3"/>
  <c r="F30" i="3"/>
  <c r="E30" i="3"/>
  <c r="D30" i="3"/>
  <c r="C30" i="3"/>
  <c r="G30" i="3" s="1"/>
  <c r="F29" i="3"/>
  <c r="E29" i="3"/>
  <c r="D29" i="3"/>
  <c r="C29" i="3"/>
  <c r="G29" i="3" s="1"/>
  <c r="E28" i="3"/>
  <c r="C22" i="3"/>
  <c r="C21" i="3"/>
  <c r="C20" i="3"/>
  <c r="C19" i="3"/>
  <c r="C18" i="3"/>
  <c r="F12" i="3"/>
  <c r="E12" i="3"/>
  <c r="D12" i="3"/>
  <c r="C12" i="3"/>
  <c r="G12" i="3" s="1"/>
  <c r="F11" i="3"/>
  <c r="E11" i="3"/>
  <c r="D11" i="3"/>
  <c r="C11" i="3"/>
  <c r="F10" i="3"/>
  <c r="E10" i="3"/>
  <c r="D10" i="3"/>
  <c r="C10" i="3"/>
  <c r="G10" i="3" s="1"/>
  <c r="F9" i="3"/>
  <c r="E9" i="3"/>
  <c r="D9" i="3"/>
  <c r="C9" i="3"/>
  <c r="J78" i="3"/>
  <c r="J61" i="3"/>
  <c r="C35" i="3" a="1"/>
  <c r="D31" i="2" a="1"/>
  <c r="D29" i="2" a="1"/>
  <c r="I32" i="2" a="1"/>
  <c r="I31" i="2" a="1"/>
  <c r="I30" i="2" a="1"/>
  <c r="D30" i="2" a="1"/>
  <c r="I29" i="2" a="1"/>
  <c r="D32" i="2" a="1"/>
  <c r="J95" i="3" l="1"/>
  <c r="G11" i="3"/>
  <c r="F36" i="3"/>
  <c r="C38" i="3"/>
  <c r="C35" i="3"/>
  <c r="F37" i="3"/>
  <c r="E38" i="3"/>
  <c r="E35" i="3"/>
  <c r="E36" i="3"/>
  <c r="E37" i="3"/>
  <c r="D38" i="3"/>
  <c r="D37" i="3"/>
  <c r="D36" i="3"/>
  <c r="F35" i="3"/>
  <c r="C37" i="3"/>
  <c r="D35" i="3"/>
  <c r="C36" i="3"/>
  <c r="F38" i="3"/>
  <c r="G9" i="3"/>
  <c r="C61" i="3" a="1"/>
  <c r="F78" i="3"/>
  <c r="G78" i="3" s="1"/>
  <c r="C78" i="3"/>
  <c r="E78" i="3"/>
  <c r="D32" i="2"/>
  <c r="D21" i="3" s="1"/>
  <c r="E21" i="3" s="1"/>
  <c r="I29" i="2"/>
  <c r="D30" i="2"/>
  <c r="D19" i="3" s="1"/>
  <c r="E19" i="3" s="1"/>
  <c r="E27" i="3" s="1"/>
  <c r="I30" i="2"/>
  <c r="I31" i="2"/>
  <c r="I32" i="2"/>
  <c r="D29" i="2"/>
  <c r="D31" i="2"/>
  <c r="D18" i="3" s="1"/>
  <c r="E18" i="3" s="1"/>
  <c r="C28" i="3" l="1"/>
  <c r="H79" i="3"/>
  <c r="J79" i="3"/>
  <c r="C79" i="3" a="1"/>
  <c r="I78" i="3"/>
  <c r="D61" i="3"/>
  <c r="F61" i="3"/>
  <c r="G61" i="3" s="1"/>
  <c r="C61" i="3"/>
  <c r="E61" i="3"/>
  <c r="C39" i="3" a="1"/>
  <c r="D27" i="3"/>
  <c r="D22" i="3"/>
  <c r="E22" i="3" s="1"/>
  <c r="F28" i="3" s="1"/>
  <c r="D20" i="3"/>
  <c r="E20" i="3" s="1"/>
  <c r="F27" i="3" s="1"/>
  <c r="C27" i="3" l="1"/>
  <c r="G27" i="3" s="1"/>
  <c r="C95" i="3" a="1"/>
  <c r="K78" i="3"/>
  <c r="L78" i="3" a="1"/>
  <c r="L78" i="3" s="1"/>
  <c r="D79" i="3"/>
  <c r="F79" i="3"/>
  <c r="G79" i="3" s="1"/>
  <c r="C79" i="3"/>
  <c r="E79" i="3"/>
  <c r="C39" i="3"/>
  <c r="D39" i="3"/>
  <c r="E39" i="3"/>
  <c r="F39" i="3"/>
  <c r="H62" i="3"/>
  <c r="J62" i="3"/>
  <c r="C62" i="3" a="1"/>
  <c r="I61" i="3"/>
  <c r="D28" i="3"/>
  <c r="I118" i="3" s="1"/>
  <c r="G28" i="3" l="1"/>
  <c r="L61" i="3" a="1"/>
  <c r="L61" i="3" s="1"/>
  <c r="K61" i="3"/>
  <c r="H80" i="3"/>
  <c r="J80" i="3"/>
  <c r="C80" i="3" a="1"/>
  <c r="I79" i="3"/>
  <c r="C62" i="3"/>
  <c r="D62" i="3"/>
  <c r="E62" i="3"/>
  <c r="F62" i="3"/>
  <c r="G62" i="3" s="1"/>
  <c r="D95" i="3"/>
  <c r="F95" i="3"/>
  <c r="G95" i="3" s="1"/>
  <c r="C95" i="3"/>
  <c r="E95" i="3"/>
  <c r="I117" i="3"/>
  <c r="E80" i="3" l="1"/>
  <c r="D80" i="3"/>
  <c r="F80" i="3"/>
  <c r="G80" i="3" s="1"/>
  <c r="C80" i="3"/>
  <c r="L79" i="3" a="1"/>
  <c r="L79" i="3" s="1"/>
  <c r="K79" i="3"/>
  <c r="H96" i="3"/>
  <c r="J96" i="3"/>
  <c r="C96" i="3" a="1"/>
  <c r="I95" i="3"/>
  <c r="I62" i="3"/>
  <c r="H63" i="3"/>
  <c r="J63" i="3"/>
  <c r="C63" i="3" a="1"/>
  <c r="L95" i="3" l="1" a="1"/>
  <c r="L95" i="3" s="1"/>
  <c r="K95" i="3"/>
  <c r="J81" i="3"/>
  <c r="H81" i="3"/>
  <c r="C81" i="3" a="1"/>
  <c r="I80" i="3"/>
  <c r="F96" i="3"/>
  <c r="G96" i="3" s="1"/>
  <c r="C96" i="3"/>
  <c r="E96" i="3"/>
  <c r="D96" i="3"/>
  <c r="E63" i="3"/>
  <c r="D63" i="3"/>
  <c r="F63" i="3"/>
  <c r="G63" i="3" s="1"/>
  <c r="C63" i="3"/>
  <c r="K62" i="3"/>
  <c r="L62" i="3" a="1"/>
  <c r="L62" i="3" s="1"/>
  <c r="J64" i="3" l="1"/>
  <c r="C64" i="3" a="1"/>
  <c r="H64" i="3"/>
  <c r="I63" i="3"/>
  <c r="L80" i="3" a="1"/>
  <c r="L80" i="3" s="1"/>
  <c r="K80" i="3"/>
  <c r="C97" i="3" a="1"/>
  <c r="J97" i="3"/>
  <c r="H97" i="3"/>
  <c r="I96" i="3"/>
  <c r="C81" i="3"/>
  <c r="F81" i="3"/>
  <c r="G81" i="3" s="1"/>
  <c r="E81" i="3"/>
  <c r="D81" i="3"/>
  <c r="K96" i="3" l="1"/>
  <c r="L96" i="3" a="1"/>
  <c r="L96" i="3" s="1"/>
  <c r="L63" i="3" a="1"/>
  <c r="L63" i="3" s="1"/>
  <c r="K63" i="3"/>
  <c r="F64" i="3"/>
  <c r="G64" i="3" s="1"/>
  <c r="C64" i="3"/>
  <c r="D64" i="3"/>
  <c r="E64" i="3"/>
  <c r="E97" i="3"/>
  <c r="D97" i="3"/>
  <c r="F97" i="3"/>
  <c r="G97" i="3" s="1"/>
  <c r="C97" i="3"/>
  <c r="I81" i="3"/>
  <c r="H82" i="3"/>
  <c r="C82" i="3" a="1"/>
  <c r="J82" i="3"/>
  <c r="L81" i="3" l="1" a="1"/>
  <c r="L81" i="3" s="1"/>
  <c r="K81" i="3"/>
  <c r="I97" i="3"/>
  <c r="J65" i="3"/>
  <c r="H65" i="3"/>
  <c r="C65" i="3" a="1"/>
  <c r="D82" i="3"/>
  <c r="C82" i="3"/>
  <c r="E82" i="3"/>
  <c r="F82" i="3"/>
  <c r="G82" i="3" s="1"/>
  <c r="J98" i="3"/>
  <c r="C98" i="3" a="1"/>
  <c r="H98" i="3"/>
  <c r="I64" i="3"/>
  <c r="K64" i="3" l="1"/>
  <c r="L64" i="3" a="1"/>
  <c r="L64" i="3" s="1"/>
  <c r="J83" i="3"/>
  <c r="C83" i="3" a="1"/>
  <c r="H83" i="3"/>
  <c r="K97" i="3"/>
  <c r="L97" i="3" a="1"/>
  <c r="L97" i="3" s="1"/>
  <c r="C98" i="3"/>
  <c r="D98" i="3"/>
  <c r="E98" i="3"/>
  <c r="F98" i="3"/>
  <c r="G98" i="3" s="1"/>
  <c r="I82" i="3"/>
  <c r="F65" i="3"/>
  <c r="G65" i="3" s="1"/>
  <c r="C65" i="3"/>
  <c r="D65" i="3"/>
  <c r="E65" i="3"/>
  <c r="H66" i="3" l="1"/>
  <c r="J66" i="3"/>
  <c r="C66" i="3" a="1"/>
  <c r="I65" i="3"/>
  <c r="I98" i="3"/>
  <c r="L82" i="3" a="1"/>
  <c r="L82" i="3" s="1"/>
  <c r="K82" i="3"/>
  <c r="E83" i="3"/>
  <c r="D83" i="3"/>
  <c r="C83" i="3"/>
  <c r="F83" i="3"/>
  <c r="G83" i="3" s="1"/>
  <c r="I83" i="3" s="1"/>
  <c r="L83" i="3" s="1" a="1"/>
  <c r="L83" i="3" s="1"/>
  <c r="C99" i="3" a="1"/>
  <c r="H99" i="3"/>
  <c r="J99" i="3"/>
  <c r="K83" i="3" l="1"/>
  <c r="H84" i="3"/>
  <c r="J84" i="3"/>
  <c r="C84" i="3" a="1"/>
  <c r="L65" i="3" a="1"/>
  <c r="L65" i="3" s="1"/>
  <c r="K65" i="3"/>
  <c r="E99" i="3"/>
  <c r="C99" i="3"/>
  <c r="D99" i="3"/>
  <c r="F99" i="3"/>
  <c r="G99" i="3" s="1"/>
  <c r="F66" i="3"/>
  <c r="G66" i="3" s="1"/>
  <c r="I66" i="3" s="1"/>
  <c r="L66" i="3" s="1" a="1"/>
  <c r="L66" i="3" s="1"/>
  <c r="E66" i="3"/>
  <c r="D66" i="3"/>
  <c r="C66" i="3"/>
  <c r="L98" i="3" a="1"/>
  <c r="L98" i="3" s="1"/>
  <c r="K98" i="3"/>
  <c r="K66" i="3" l="1"/>
  <c r="C84" i="3"/>
  <c r="E84" i="3"/>
  <c r="D84" i="3"/>
  <c r="F84" i="3"/>
  <c r="G84" i="3" s="1"/>
  <c r="I84" i="3" s="1"/>
  <c r="K84" i="3" s="1"/>
  <c r="H67" i="3"/>
  <c r="J67" i="3"/>
  <c r="C67" i="3" a="1"/>
  <c r="H100" i="3"/>
  <c r="J100" i="3"/>
  <c r="C100" i="3" a="1"/>
  <c r="I99" i="3"/>
  <c r="L84" i="3" l="1" a="1"/>
  <c r="L84" i="3" s="1"/>
  <c r="C67" i="3"/>
  <c r="E67" i="3"/>
  <c r="D67" i="3"/>
  <c r="F67" i="3"/>
  <c r="G67" i="3" s="1"/>
  <c r="I67" i="3" s="1"/>
  <c r="K67" i="3"/>
  <c r="L67" i="3" a="1"/>
  <c r="L67" i="3" s="1"/>
  <c r="K99" i="3"/>
  <c r="L99" i="3" a="1"/>
  <c r="L99" i="3" s="1"/>
  <c r="E100" i="3"/>
  <c r="D100" i="3"/>
  <c r="C100" i="3"/>
  <c r="F100" i="3"/>
  <c r="G100" i="3" s="1"/>
  <c r="I100" i="3" s="1"/>
  <c r="K100" i="3" s="1"/>
  <c r="H85" i="3"/>
  <c r="J85" i="3"/>
  <c r="C85" i="3" a="1"/>
  <c r="L100" i="3" l="1" a="1"/>
  <c r="L100" i="3" s="1"/>
  <c r="H101" i="3"/>
  <c r="C101" i="3" a="1"/>
  <c r="J101" i="3"/>
  <c r="C85" i="3"/>
  <c r="E85" i="3"/>
  <c r="F85" i="3"/>
  <c r="G85" i="3" s="1"/>
  <c r="I85" i="3" s="1"/>
  <c r="K85" i="3" s="1"/>
  <c r="D85" i="3"/>
  <c r="C68" i="3" a="1"/>
  <c r="J68" i="3"/>
  <c r="H68" i="3"/>
  <c r="L85" i="3" l="1" a="1"/>
  <c r="L85" i="3" s="1"/>
  <c r="H86" i="3"/>
  <c r="J86" i="3"/>
  <c r="C86" i="3" a="1"/>
  <c r="D101" i="3"/>
  <c r="F101" i="3"/>
  <c r="G101" i="3" s="1"/>
  <c r="I101" i="3" s="1"/>
  <c r="K101" i="3" s="1"/>
  <c r="C101" i="3"/>
  <c r="E101" i="3"/>
  <c r="D68" i="3"/>
  <c r="E68" i="3"/>
  <c r="C68" i="3"/>
  <c r="F68" i="3"/>
  <c r="G68" i="3" s="1"/>
  <c r="I68" i="3" s="1"/>
  <c r="L68" i="3" s="1" a="1"/>
  <c r="L68" i="3" s="1"/>
  <c r="L101" i="3" l="1" a="1"/>
  <c r="L101" i="3" s="1"/>
  <c r="J102" i="3"/>
  <c r="H102" i="3"/>
  <c r="C102" i="3" a="1"/>
  <c r="F86" i="3"/>
  <c r="G86" i="3" s="1"/>
  <c r="I86" i="3" s="1"/>
  <c r="K86" i="3" s="1"/>
  <c r="E86" i="3"/>
  <c r="D86" i="3"/>
  <c r="C86" i="3"/>
  <c r="J69" i="3"/>
  <c r="H69" i="3"/>
  <c r="C69" i="3" a="1"/>
  <c r="K68" i="3"/>
  <c r="L86" i="3" l="1" a="1"/>
  <c r="L86" i="3" s="1"/>
  <c r="C102" i="3"/>
  <c r="F102" i="3"/>
  <c r="G102" i="3" s="1"/>
  <c r="I102" i="3" s="1"/>
  <c r="L102" i="3" s="1" a="1"/>
  <c r="L102" i="3" s="1"/>
  <c r="D102" i="3"/>
  <c r="E102" i="3"/>
  <c r="C87" i="3" a="1"/>
  <c r="H87" i="3"/>
  <c r="J87" i="3"/>
  <c r="J88" i="3" s="1"/>
  <c r="C69" i="3"/>
  <c r="E69" i="3"/>
  <c r="D69" i="3"/>
  <c r="F69" i="3"/>
  <c r="G69" i="3" s="1"/>
  <c r="I69" i="3" s="1"/>
  <c r="K102" i="3"/>
  <c r="K69" i="3"/>
  <c r="L69" i="3" a="1"/>
  <c r="L69" i="3" s="1"/>
  <c r="J70" i="3" l="1"/>
  <c r="J71" i="3" s="1"/>
  <c r="C70" i="3" a="1"/>
  <c r="H70" i="3"/>
  <c r="F87" i="3"/>
  <c r="G87" i="3" s="1"/>
  <c r="E87" i="3"/>
  <c r="D87" i="3"/>
  <c r="C87" i="3"/>
  <c r="H88" i="3"/>
  <c r="J103" i="3"/>
  <c r="H103" i="3"/>
  <c r="C103" i="3" a="1"/>
  <c r="C103" i="3" l="1"/>
  <c r="E103" i="3"/>
  <c r="D103" i="3"/>
  <c r="F103" i="3"/>
  <c r="G103" i="3" s="1"/>
  <c r="I103" i="3" s="1"/>
  <c r="K103" i="3" s="1"/>
  <c r="I87" i="3"/>
  <c r="G88" i="3"/>
  <c r="H112" i="3" s="1" a="1"/>
  <c r="H112" i="3" s="1"/>
  <c r="H71" i="3"/>
  <c r="D70" i="3"/>
  <c r="F70" i="3"/>
  <c r="G70" i="3" s="1"/>
  <c r="C70" i="3"/>
  <c r="E70" i="3"/>
  <c r="C23" i="4" a="1"/>
  <c r="F23" i="4" a="1"/>
  <c r="E23" i="4" a="1"/>
  <c r="D23" i="4" a="1"/>
  <c r="L103" i="3" l="1" a="1"/>
  <c r="L103" i="3" s="1"/>
  <c r="I119" i="3"/>
  <c r="B7" i="4" s="1"/>
  <c r="D23" i="4"/>
  <c r="E23" i="4"/>
  <c r="F23" i="4"/>
  <c r="C23" i="4"/>
  <c r="I88" i="3"/>
  <c r="L87" i="3" a="1"/>
  <c r="L87" i="3" s="1"/>
  <c r="L88" i="3" s="1"/>
  <c r="H110" i="3" s="1" a="1"/>
  <c r="H110" i="3" s="1"/>
  <c r="K87" i="3"/>
  <c r="K88" i="3" s="1"/>
  <c r="I70" i="3"/>
  <c r="G71" i="3"/>
  <c r="C22" i="4" s="1"/>
  <c r="H104" i="3"/>
  <c r="C104" i="3" a="1"/>
  <c r="J104" i="3"/>
  <c r="J105" i="3" s="1"/>
  <c r="D100" i="4" a="1"/>
  <c r="D84" i="4" a="1"/>
  <c r="D52" i="4" a="1"/>
  <c r="D68" i="4" a="1"/>
  <c r="D91" i="4" a="1"/>
  <c r="D98" i="4" a="1"/>
  <c r="E14" i="4" a="1"/>
  <c r="D57" i="4" a="1"/>
  <c r="D80" i="4" a="1"/>
  <c r="D14" i="4" a="1"/>
  <c r="D87" i="4" a="1"/>
  <c r="D101" i="4" a="1"/>
  <c r="D69" i="4" a="1"/>
  <c r="D92" i="4" a="1"/>
  <c r="D76" i="4" a="1"/>
  <c r="D60" i="4" a="1"/>
  <c r="D99" i="4" a="1"/>
  <c r="D83" i="4" a="1"/>
  <c r="D67" i="4" a="1"/>
  <c r="G14" i="4" a="1"/>
  <c r="D75" i="4" a="1"/>
  <c r="D59" i="4" a="1"/>
  <c r="D82" i="4" a="1"/>
  <c r="D66" i="4" a="1"/>
  <c r="D89" i="4" a="1"/>
  <c r="D73" i="4" a="1"/>
  <c r="D96" i="4" a="1"/>
  <c r="D64" i="4" a="1"/>
  <c r="D71" i="4" a="1"/>
  <c r="D94" i="4" a="1"/>
  <c r="D62" i="4" a="1"/>
  <c r="D53" i="4" a="1"/>
  <c r="D90" i="4" a="1"/>
  <c r="D58" i="4" a="1"/>
  <c r="D81" i="4" a="1"/>
  <c r="D65" i="4" a="1"/>
  <c r="D88" i="4" a="1"/>
  <c r="D72" i="4" a="1"/>
  <c r="D56" i="4" a="1"/>
  <c r="D95" i="4" a="1"/>
  <c r="D79" i="4" a="1"/>
  <c r="D63" i="4" a="1"/>
  <c r="C14" i="4" a="1"/>
  <c r="D55" i="4" a="1"/>
  <c r="D78" i="4" a="1"/>
  <c r="D85" i="4" a="1"/>
  <c r="D74" i="4" a="1"/>
  <c r="D97" i="4" a="1"/>
  <c r="F14" i="4" a="1"/>
  <c r="D86" i="4" a="1"/>
  <c r="D70" i="4" a="1"/>
  <c r="D54" i="4" a="1"/>
  <c r="D93" i="4" a="1"/>
  <c r="D77" i="4" a="1"/>
  <c r="D61" i="4" a="1"/>
  <c r="D61" i="4" l="1"/>
  <c r="D77" i="4"/>
  <c r="D93" i="4"/>
  <c r="D54" i="4"/>
  <c r="D70" i="4"/>
  <c r="D86" i="4"/>
  <c r="F14" i="4"/>
  <c r="D97" i="4"/>
  <c r="D74" i="4"/>
  <c r="D85" i="4"/>
  <c r="D78" i="4"/>
  <c r="D55" i="4"/>
  <c r="C14" i="4"/>
  <c r="D63" i="4"/>
  <c r="D79" i="4"/>
  <c r="D95" i="4"/>
  <c r="D56" i="4"/>
  <c r="D72" i="4"/>
  <c r="D88" i="4"/>
  <c r="D65" i="4"/>
  <c r="D81" i="4"/>
  <c r="D58" i="4"/>
  <c r="D90" i="4"/>
  <c r="D53" i="4"/>
  <c r="D62" i="4"/>
  <c r="D94" i="4"/>
  <c r="D71" i="4"/>
  <c r="D64" i="4"/>
  <c r="D96" i="4"/>
  <c r="D73" i="4"/>
  <c r="D89" i="4"/>
  <c r="D66" i="4"/>
  <c r="D82" i="4"/>
  <c r="D59" i="4"/>
  <c r="D75" i="4"/>
  <c r="G14" i="4"/>
  <c r="D67" i="4"/>
  <c r="D83" i="4"/>
  <c r="D99" i="4"/>
  <c r="D60" i="4"/>
  <c r="D76" i="4"/>
  <c r="D92" i="4"/>
  <c r="D69" i="4"/>
  <c r="D101" i="4"/>
  <c r="D87" i="4"/>
  <c r="D14" i="4"/>
  <c r="D80" i="4"/>
  <c r="D57" i="4"/>
  <c r="E14" i="4"/>
  <c r="D98" i="4"/>
  <c r="D91" i="4"/>
  <c r="D68" i="4"/>
  <c r="D52" i="4"/>
  <c r="D84" i="4"/>
  <c r="D100" i="4"/>
  <c r="G23" i="4"/>
  <c r="E104" i="3"/>
  <c r="D104" i="3"/>
  <c r="F104" i="3"/>
  <c r="G104" i="3" s="1"/>
  <c r="C104" i="3"/>
  <c r="H105" i="3"/>
  <c r="I71" i="3"/>
  <c r="K70" i="3"/>
  <c r="K71" i="3" s="1"/>
  <c r="L70" i="3" a="1"/>
  <c r="L70" i="3" s="1"/>
  <c r="L71" i="3" s="1"/>
  <c r="C13" i="4" s="1"/>
  <c r="I104" i="3" l="1"/>
  <c r="G105" i="3"/>
  <c r="H113" i="3" s="1" a="1"/>
  <c r="H113" i="3" s="1"/>
  <c r="C24" i="4" a="1"/>
  <c r="E24" i="4" a="1"/>
  <c r="F24" i="4" a="1"/>
  <c r="D24" i="4" a="1"/>
  <c r="D24" i="4" l="1"/>
  <c r="F24" i="4"/>
  <c r="E24" i="4"/>
  <c r="C24" i="4"/>
  <c r="I105" i="3"/>
  <c r="K104" i="3"/>
  <c r="K105" i="3" s="1"/>
  <c r="L104" i="3" a="1"/>
  <c r="L104" i="3" s="1"/>
  <c r="L105" i="3" s="1"/>
  <c r="H111" i="3" s="1" a="1"/>
  <c r="H111" i="3" s="1"/>
  <c r="D15" i="4" a="1"/>
  <c r="C15" i="4" a="1"/>
  <c r="E89" i="4" a="1"/>
  <c r="E68" i="4" a="1"/>
  <c r="E90" i="4" a="1"/>
  <c r="E73" i="4" a="1"/>
  <c r="E57" i="4" a="1"/>
  <c r="G15" i="4" a="1"/>
  <c r="E71" i="4" a="1"/>
  <c r="E82" i="4" a="1"/>
  <c r="E101" i="4" a="1"/>
  <c r="E53" i="4" a="1"/>
  <c r="E88" i="4" a="1"/>
  <c r="E99" i="4" a="1"/>
  <c r="E67" i="4" a="1"/>
  <c r="E80" i="4" a="1"/>
  <c r="E97" i="4" a="1"/>
  <c r="E81" i="4" a="1"/>
  <c r="E65" i="4" a="1"/>
  <c r="E100" i="4" a="1"/>
  <c r="E64" i="4" a="1"/>
  <c r="E78" i="4" a="1"/>
  <c r="E72" i="4" a="1"/>
  <c r="E87" i="4" a="1"/>
  <c r="E55" i="4" a="1"/>
  <c r="E62" i="4" a="1"/>
  <c r="E96" i="4" a="1"/>
  <c r="E85" i="4" a="1"/>
  <c r="E15" i="4" a="1"/>
  <c r="E56" i="4" a="1"/>
  <c r="E95" i="4" a="1"/>
  <c r="E63" i="4" a="1"/>
  <c r="E92" i="4" a="1"/>
  <c r="E86" i="4" a="1"/>
  <c r="E54" i="4" a="1"/>
  <c r="B30" i="4" a="1"/>
  <c r="E93" i="4" a="1"/>
  <c r="E77" i="4" a="1"/>
  <c r="E61" i="4" a="1"/>
  <c r="E84" i="4" a="1"/>
  <c r="E58" i="4" a="1"/>
  <c r="E52" i="4" a="1"/>
  <c r="E94" i="4" a="1"/>
  <c r="E69" i="4" a="1"/>
  <c r="E74" i="4" a="1"/>
  <c r="E83" i="4" a="1"/>
  <c r="F15" i="4" a="1"/>
  <c r="E66" i="4" a="1"/>
  <c r="E79" i="4" a="1"/>
  <c r="B6" i="4" a="1"/>
  <c r="D103" i="4" a="1"/>
  <c r="E91" i="4" a="1"/>
  <c r="E75" i="4" a="1"/>
  <c r="E59" i="4" a="1"/>
  <c r="E76" i="4" a="1"/>
  <c r="E98" i="4" a="1"/>
  <c r="E60" i="4" a="1"/>
  <c r="E70" i="4" a="1"/>
  <c r="G24" i="4" l="1"/>
  <c r="G25" i="4" s="1"/>
  <c r="E70" i="4"/>
  <c r="E60" i="4"/>
  <c r="E98" i="4"/>
  <c r="E76" i="4"/>
  <c r="E59" i="4"/>
  <c r="E75" i="4"/>
  <c r="E91" i="4"/>
  <c r="D103" i="4"/>
  <c r="B6" i="4"/>
  <c r="E79" i="4"/>
  <c r="E66" i="4"/>
  <c r="F15" i="4"/>
  <c r="E83" i="4"/>
  <c r="E74" i="4"/>
  <c r="E69" i="4"/>
  <c r="E94" i="4"/>
  <c r="E52" i="4"/>
  <c r="E58" i="4"/>
  <c r="E84" i="4"/>
  <c r="E61" i="4"/>
  <c r="E77" i="4"/>
  <c r="E93" i="4"/>
  <c r="D30" i="4"/>
  <c r="E31" i="4"/>
  <c r="D31" i="4"/>
  <c r="B32" i="4"/>
  <c r="B107" i="4" s="1"/>
  <c r="E32" i="4"/>
  <c r="C32" i="4"/>
  <c r="B30" i="4"/>
  <c r="B105" i="4" s="1"/>
  <c r="B33" i="4"/>
  <c r="B108" i="4" s="1"/>
  <c r="C33" i="4"/>
  <c r="E30" i="4"/>
  <c r="C30" i="4"/>
  <c r="D33" i="4"/>
  <c r="B31" i="4"/>
  <c r="B106" i="4" s="1"/>
  <c r="C31" i="4"/>
  <c r="D32" i="4"/>
  <c r="E33" i="4"/>
  <c r="E54" i="4"/>
  <c r="E86" i="4"/>
  <c r="E92" i="4"/>
  <c r="E63" i="4"/>
  <c r="E95" i="4"/>
  <c r="E56" i="4"/>
  <c r="E15" i="4"/>
  <c r="E85" i="4"/>
  <c r="E96" i="4"/>
  <c r="E62" i="4"/>
  <c r="E55" i="4"/>
  <c r="E87" i="4"/>
  <c r="E72" i="4"/>
  <c r="E78" i="4"/>
  <c r="E64" i="4"/>
  <c r="E100" i="4"/>
  <c r="E65" i="4"/>
  <c r="E81" i="4"/>
  <c r="E97" i="4"/>
  <c r="E80" i="4"/>
  <c r="E67" i="4"/>
  <c r="E99" i="4"/>
  <c r="E88" i="4"/>
  <c r="E53" i="4"/>
  <c r="E101" i="4"/>
  <c r="E82" i="4"/>
  <c r="E71" i="4"/>
  <c r="G15" i="4"/>
  <c r="G16" i="4" s="1"/>
  <c r="E57" i="4"/>
  <c r="E73" i="4"/>
  <c r="E90" i="4"/>
  <c r="E68" i="4"/>
  <c r="E89" i="4"/>
  <c r="C15" i="4"/>
  <c r="D15" i="4"/>
  <c r="E16" i="4" l="1"/>
  <c r="G106" i="4"/>
  <c r="F105" i="4"/>
  <c r="G107" i="4"/>
  <c r="F108" i="4"/>
  <c r="G108" i="4"/>
  <c r="F107" i="4"/>
  <c r="G105" i="4"/>
  <c r="F10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<sst xmlns="http://schemas.openxmlformats.org/spreadsheetml/2006/main" count="394" uniqueCount="260">
  <si>
    <t>Life Portfolio and Lapse</t>
  </si>
  <si>
    <t>ModelRisk example  ·  Insurance  ·  IN-08</t>
  </si>
  <si>
    <t>What is a block of life policies worth, and what makes it uncertain — chance, or not knowing the rates?</t>
  </si>
  <si>
    <t>Next:  Inputs  ▸</t>
  </si>
  <si>
    <t>Model card</t>
  </si>
  <si>
    <t>Industry</t>
  </si>
  <si>
    <t>Insurance</t>
  </si>
  <si>
    <t>Difficulty</t>
  </si>
  <si>
    <t>★★★☆☆   Twenty thousand policyholders moving between four states each year: a Markov chain, with and without uncertainty in the rates.</t>
  </si>
  <si>
    <t>Business question</t>
  </si>
  <si>
    <t>A life insurer holds 20,000 ten-year term policies with a premium-waiver benefit: policyholders who become disabled stop paying but stay covered, and may recover. Each year some die, some become disabled, some recover and some lapse. What is the block worth over the next ten years, how likely is it to lose money, and which matters more — the randomness of 20,000 lives, or uncertainty about the death, lapse and disability rates themselves?</t>
  </si>
  <si>
    <t>Who it is for</t>
  </si>
  <si>
    <t>Life actuaries, product and pricing teams, risk managers of life insurers; anyone modelling movements between states.</t>
  </si>
  <si>
    <t>Main outputs</t>
  </si>
  <si>
    <t>The present value of the block's profits (best estimate, with chance only, and with uncertain rates) and the chance of a loss · deaths over ten years · where today's policyholders will be in ten years · which rate drives the value.</t>
  </si>
  <si>
    <t>ModelRisk techniques</t>
  </si>
  <si>
    <t>A four-state Markov chain (active, disabled, lapsed, dead) · the ten-year transition matrix (VoseMarkovMatrix) · the year-by-year random moves of the whole portfolio (VoseMarkovSample) · uncertain rates as PERT multipliers · present value of premiums, claims and expenses · drivers of the value (conditional-mean tornado).</t>
  </si>
  <si>
    <t>File</t>
  </si>
  <si>
    <t>IN-08 Life portfolio and lapse  ·  Version 1.0  ·  October 2026  ·  built with ModelRisk 10</t>
  </si>
  <si>
    <t>The business question</t>
  </si>
  <si>
    <t>A life insurer's block of 20,000 ten-year term policies pays US$250,000 on death. Policyholders pay US$650 a year — unless they become disabled, when the premium is waived but the cover continues; a quarter of the disabled recover each year and start paying again. About 7% a year let their policy lapse. The block looks profitable on the best-estimate rates, but those rates come from limited experience, and lapses in particular move with the economy. The model follows every policyholder between the four states each year, first with the best-estimate rates and then with rates that are themselves uncertain, and values the block's premiums, death claims and expenses.</t>
  </si>
  <si>
    <t>How the model works</t>
  </si>
  <si>
    <t>Three sheets after this one, read from left to right. Each one feeds the next.</t>
  </si>
  <si>
    <t>1  Inputs</t>
  </si>
  <si>
    <t>The number of policies, the premium, the sum assured and expenses; the yearly chances of becoming disabled, lapsing, dying and recovering; PERT ranges for how far each rate could be from its best estimate.</t>
  </si>
  <si>
    <t>2  Projection</t>
  </si>
  <si>
    <t>The transition matrix holds a year's chance of each move. Its ten-year power (VoseMarkovMatrix) shows where today's policyholders will be. The block is projected three ways: the expected numbers (matrix multiplication), random moves with the best-estimate rates (VoseMarkovSample), and random moves with this iteration's uncertain rates. Premiums, death claims and expenses follow, and their present value.</t>
  </si>
  <si>
    <t>3  Results</t>
  </si>
  <si>
    <t>The present value of each projection — mean, percentiles and the chance of a loss; deaths over ten years; the rates that drive the value.</t>
  </si>
  <si>
    <t>How to use it</t>
  </si>
  <si>
    <t>Step 1</t>
  </si>
  <si>
    <t>Enter your block's size, premium, sum assured and expenses.</t>
  </si>
  <si>
    <t>Step 2</t>
  </si>
  <si>
    <t>Enter your best-estimate rates and how uncertain each one is.</t>
  </si>
  <si>
    <t>Step 3</t>
  </si>
  <si>
    <t>Run a simulation from the ModelRisk ribbon (10,000 samples with a fixed seed are set).</t>
  </si>
  <si>
    <t>Step 4</t>
  </si>
  <si>
    <t>Compare 'chance only' with 'uncertain rates': the gap is what better experience data would buy.</t>
  </si>
  <si>
    <t>Workbook map</t>
  </si>
  <si>
    <t>Inputs</t>
  </si>
  <si>
    <t>Policies, best-estimate rates, uncertainty of the rates.</t>
  </si>
  <si>
    <t>Projection</t>
  </si>
  <si>
    <t>Transition matrices; three ten-year projections; outputs and checks.</t>
  </si>
  <si>
    <t>Results</t>
  </si>
  <si>
    <t>Value of the block, deaths,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</si>
  <si>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</si>
  <si>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</si>
  <si>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</si>
  <si>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</si>
  <si>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</si>
  <si>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</si>
  <si>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</si>
  <si>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</si>
  <si>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</si>
  <si>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</si>
  <si>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</si>
  <si>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</si>
  <si>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</si>
  <si>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Premiums, sums assured and expenses per policy in US$; portfolio amounts in US$ million (US$m).</t>
  </si>
  <si>
    <t>States</t>
  </si>
  <si>
    <t>Active: paying premiums. Disabled: premiums waived, still covered. Lapsed and dead: left the block for good.</t>
  </si>
  <si>
    <t>Transition matrix</t>
  </si>
  <si>
    <t>Row = the state at the start of a year, column = the state at its end; each row adds up to 100%.</t>
  </si>
  <si>
    <t>Value</t>
  </si>
  <si>
    <t>Present value of premiums less death claims and expenses over ten years.</t>
  </si>
  <si>
    <t>Key assumptions and limitations</t>
  </si>
  <si>
    <t>Rates</t>
  </si>
  <si>
    <t>The same yearly rates for all ten years (an average over the block's ages); one set of uncertain multipliers for the whole projection.</t>
  </si>
  <si>
    <t>Lives</t>
  </si>
  <si>
    <t>Policyholders move independently of each other, so a year's moves are multinomial.</t>
  </si>
  <si>
    <t>Timing</t>
  </si>
  <si>
    <t>Premiums and expenses at the start of a year, death claims at its end.</t>
  </si>
  <si>
    <t>Data</t>
  </si>
  <si>
    <t>The block and all figures are invented for this example.</t>
  </si>
  <si>
    <t>ModelRisk functions used</t>
  </si>
  <si>
    <t>VoseMarkovSample</t>
  </si>
  <si>
    <t>Moves a whole population between states for a number of periods, at random (an array).</t>
  </si>
  <si>
    <t>VoseMarkovMatrix</t>
  </si>
  <si>
    <t>The transition matrix for several periods: where a policyholder will be after t years.</t>
  </si>
  <si>
    <t>VosePERT</t>
  </si>
  <si>
    <t>How far each rate could be from its best estimate.</t>
  </si>
  <si>
    <t>VoseSimMean, VoseSimPercentile, VoseSimProbability</t>
  </si>
  <si>
    <t>Statistics of the simulation on the Results sheet.</t>
  </si>
  <si>
    <t>VoseSimSensitivityMean</t>
  </si>
  <si>
    <t>The tornado chart: every VoseInput ranked by how far the mean value moves across its range.</t>
  </si>
  <si>
    <t>Further reading</t>
  </si>
  <si>
    <t>Multi-state models</t>
  </si>
  <si>
    <t>Haberman, S. &amp; Pitacco, E. (1999). Actuarial Models for Disability Insurance. Chapman &amp; Hall/CRC.</t>
  </si>
  <si>
    <t>Life contingencies</t>
  </si>
  <si>
    <t>Dickson, D. C. M., Hardy, M. R. &amp; Waters, H. R. (2020). Actuarial Mathematics for Life Contingent Risks, 3rd edition. Cambridge University Press.</t>
  </si>
  <si>
    <t>Risk analysis</t>
  </si>
  <si>
    <t>Vose, D. (2008). Risk Analysis: A Quantitative Guide, 3rd edition. Wiley — Markov chains.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</si>
  <si>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</si>
  <si>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</si>
  <si>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</si>
  <si>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Projection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</si>
  <si>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</si>
  <si>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The block</t>
  </si>
  <si>
    <t>Ten-year term policies with a premium waiver on disability.</t>
  </si>
  <si>
    <t>Assumption</t>
  </si>
  <si>
    <t>Unit</t>
  </si>
  <si>
    <t>Value in model</t>
  </si>
  <si>
    <t>Uncertainty</t>
  </si>
  <si>
    <t>Basis / source (illustrative)</t>
  </si>
  <si>
    <t>Policies in force today</t>
  </si>
  <si>
    <t>policies</t>
  </si>
  <si>
    <t>Fixed</t>
  </si>
  <si>
    <t>All active today.</t>
  </si>
  <si>
    <t>Premium per policy</t>
  </si>
  <si>
    <t>US$ a year</t>
  </si>
  <si>
    <t>Level, paid at the start of each year by active policyholders.</t>
  </si>
  <si>
    <t>Sum assured</t>
  </si>
  <si>
    <t>US$</t>
  </si>
  <si>
    <t>Paid at the end of the year of death.</t>
  </si>
  <si>
    <t>Expenses per policy</t>
  </si>
  <si>
    <t>For active and disabled policies.</t>
  </si>
  <si>
    <t>Discount rate</t>
  </si>
  <si>
    <t>a year</t>
  </si>
  <si>
    <t>Risk-free rate for ten years.</t>
  </si>
  <si>
    <t>2   Best-estimate rates</t>
  </si>
  <si>
    <t>A year's chance of each move, from the company's experience.</t>
  </si>
  <si>
    <t>Active → disabled</t>
  </si>
  <si>
    <t>Disability: premiums are then waived.</t>
  </si>
  <si>
    <t>Active → lapsed</t>
  </si>
  <si>
    <t>Policyholders who stop paying and leave.</t>
  </si>
  <si>
    <t>Active → dead</t>
  </si>
  <si>
    <t>Average over the block's ages for ten years.</t>
  </si>
  <si>
    <t>Disabled → active  (recovery)</t>
  </si>
  <si>
    <t>They start paying again.</t>
  </si>
  <si>
    <t>Disabled → dead</t>
  </si>
  <si>
    <t>Disabled lives die more often.</t>
  </si>
  <si>
    <t>3   How sure are the rates?</t>
  </si>
  <si>
    <t>Multipliers on the best-estimate rates, one value for all ten years.</t>
  </si>
  <si>
    <t>Low</t>
  </si>
  <si>
    <t>Most likely</t>
  </si>
  <si>
    <t>High</t>
  </si>
  <si>
    <t>Mean</t>
  </si>
  <si>
    <t>Mortality level</t>
  </si>
  <si>
    <t>× best estimate</t>
  </si>
  <si>
    <t>PERT</t>
  </si>
  <si>
    <t>Experience studies rest on few deaths.</t>
  </si>
  <si>
    <t>Lapse level</t>
  </si>
  <si>
    <t>Lapses move with the economy and competitors' prices.</t>
  </si>
  <si>
    <t>Disability level</t>
  </si>
  <si>
    <t>Recovery level</t>
  </si>
  <si>
    <t>PROJECTION   ·   The transition matrices, and ten years of policyholders and cash flows three ways.</t>
  </si>
  <si>
    <t>◂  Inputs</t>
  </si>
  <si>
    <t>Next:  Results  ▸</t>
  </si>
  <si>
    <t>1   Transition matrix: best estimate</t>
  </si>
  <si>
    <t>A year's chance of each move. Row: the state at the start of the year; column: at its end.</t>
  </si>
  <si>
    <t>From \ to</t>
  </si>
  <si>
    <t>Active</t>
  </si>
  <si>
    <t>Disabled</t>
  </si>
  <si>
    <t>Lapsed</t>
  </si>
  <si>
    <t>Dead</t>
  </si>
  <si>
    <t>Row total</t>
  </si>
  <si>
    <t>Each row adds up to 100%</t>
  </si>
  <si>
    <t>2   Rates in this iteration</t>
  </si>
  <si>
    <t>Each best-estimate rate × this iteration's uncertain multiplier (Inputs sheet). Press F9 for others.</t>
  </si>
  <si>
    <t>Rate</t>
  </si>
  <si>
    <t>Best</t>
  </si>
  <si>
    <t>Multiplier</t>
  </si>
  <si>
    <t>This</t>
  </si>
  <si>
    <t>estimate</t>
  </si>
  <si>
    <t>iteration</t>
  </si>
  <si>
    <t>Mortality has one multiplier for the active and the disabled</t>
  </si>
  <si>
    <t>Disabled → active</t>
  </si>
  <si>
    <t>3   Transition matrix: this iteration</t>
  </si>
  <si>
    <t>The same moves at this iteration's rates.</t>
  </si>
  <si>
    <t>4   Where today's policyholders will be in ten years</t>
  </si>
  <si>
    <t>The ten-year transition matrix (VoseMarkovMatrix), best estimate.</t>
  </si>
  <si>
    <t>VoseMarkovMatrix(matrix, 10): the matrix multiplied by itself 10 times</t>
  </si>
  <si>
    <t>Policies in ten years</t>
  </si>
  <si>
    <t>Today's policies × the ten-year matrix: the expected numbers</t>
  </si>
  <si>
    <t>5   Discount factors</t>
  </si>
  <si>
    <t>Premiums and expenses are paid at the start of each year, death claims at its end.</t>
  </si>
  <si>
    <t>Year</t>
  </si>
  <si>
    <t>Start of</t>
  </si>
  <si>
    <t>End of</t>
  </si>
  <si>
    <t>the year</t>
  </si>
  <si>
    <t>1 ÷ (1 + rate)^(year − 1), and ^year</t>
  </si>
  <si>
    <t>6   Projection: expected</t>
  </si>
  <si>
    <t>Best-estimate rates, no randomness:  MMULT(previous year, best-estimate matrix).</t>
  </si>
  <si>
    <t>Deaths</t>
  </si>
  <si>
    <t>Premiums</t>
  </si>
  <si>
    <t>Claims</t>
  </si>
  <si>
    <t>Expenses</t>
  </si>
  <si>
    <t>Profit</t>
  </si>
  <si>
    <t>Present value</t>
  </si>
  <si>
    <t>in the year</t>
  </si>
  <si>
    <t>US$m</t>
  </si>
  <si>
    <t>Ten years</t>
  </si>
  <si>
    <t>7   Projection: chance only</t>
  </si>
  <si>
    <t>Best-estimate rates, random moves:  VoseMarkovSample(previous year, best-estimate matrix, 1).</t>
  </si>
  <si>
    <t>8   Projection: uncertain rates</t>
  </si>
  <si>
    <t>This iteration's rates, random moves:  VoseMarkovSample(previous year, this iteration's matrix, 1).</t>
  </si>
  <si>
    <t>9   Value in this iteration</t>
  </si>
  <si>
    <t>Key outputs, recorded by ModelRisk at every sample (VoseOutput). Their statistics appear on the Results sheet.</t>
  </si>
  <si>
    <t>Output</t>
  </si>
  <si>
    <t>Meaning</t>
  </si>
  <si>
    <t>Value of the block: chance only</t>
  </si>
  <si>
    <t>Present value of profits, best-estimate rates</t>
  </si>
  <si>
    <t>Value of the block: uncertain rates</t>
  </si>
  <si>
    <t>Present value of profits, uncertain rates</t>
  </si>
  <si>
    <t>Deaths over ten years: chance only</t>
  </si>
  <si>
    <t>deaths</t>
  </si>
  <si>
    <t>Deaths over ten years: uncertain rates</t>
  </si>
  <si>
    <t>10   Model checks</t>
  </si>
  <si>
    <t>Should all read OK. A CHECK means an input has been set outside the range the model is built for.</t>
  </si>
  <si>
    <t>Every row of both matrices adds up to 100%</t>
  </si>
  <si>
    <t>No probability is negative  (this iteration included)</t>
  </si>
  <si>
    <t>The ten-year matrix gives the same policies as the year-by-year projection</t>
  </si>
  <si>
    <t>RESULTS   ·   Filled in automatically from the last simulation. Run a simulation after changing any input.</t>
  </si>
  <si>
    <t>◂  Projection</t>
  </si>
  <si>
    <t>1   What is the block worth?</t>
  </si>
  <si>
    <t>Value of the block — cumulative probability</t>
  </si>
  <si>
    <t>Present value of ten years of premiums less death claims and expenses (US$m).</t>
  </si>
  <si>
    <t>5th pct</t>
  </si>
  <si>
    <t>95th pct</t>
  </si>
  <si>
    <t>1-in-200</t>
  </si>
  <si>
    <t>Loss</t>
  </si>
  <si>
    <t>0.5th pct</t>
  </si>
  <si>
    <t>chance</t>
  </si>
  <si>
    <t>Expected  (best estimate, no randomness)</t>
  </si>
  <si>
    <t>Chance only  (best-estimate rates)</t>
  </si>
  <si>
    <t>Uncertain rates</t>
  </si>
  <si>
    <t>Rate uncertainty widens the 5th–95th range by</t>
  </si>
  <si>
    <t>loss chance ×</t>
  </si>
  <si>
    <t>2   Deaths over ten years</t>
  </si>
  <si>
    <t>The number of death claims: chance alone, and with uncertain mortality.</t>
  </si>
  <si>
    <t>Std dev</t>
  </si>
  <si>
    <t>Spread</t>
  </si>
  <si>
    <t>std dev ÷ mean</t>
  </si>
  <si>
    <t>Expected  (best estimate)</t>
  </si>
  <si>
    <t>Chance only</t>
  </si>
  <si>
    <t>Rate uncertainty multiplies the spread by</t>
  </si>
  <si>
    <t>3   What drives the value?</t>
  </si>
  <si>
    <t>Drivers of the block's value  (US$m)</t>
  </si>
  <si>
    <t>Lowest and highest mean value over ten equal groups of each uncertain rate (VoseSimSensitivityMean), drawn from the overall mean.</t>
  </si>
  <si>
    <t>Input (ranked by influence)</t>
  </si>
  <si>
    <t>Lowest mean</t>
  </si>
  <si>
    <t>Highest mean</t>
  </si>
  <si>
    <t>Rank</t>
  </si>
  <si>
    <t>4   How to read these results</t>
  </si>
  <si>
    <t>•  On the best-estimate rates the block is worth about US$10.3 million over ten years. Chance alone — which of the 20,000 policyholders die, lapse or fall ill — moves that by a few million either way, and a loss is very unlikely (about 0.5%).</t>
  </si>
  <si>
    <t>•  With 20,000 lives the law of large numbers works: deaths over ten years vary by only about 6% from chance. Uncertainty about the rates themselves nearly doubles that spread (× 1.85), widens the range of the value by about 60% and makes a loss about eighteen times as likely (8.4%) — the rows under each table. Better experience data would remove more risk than a larger block would.</t>
  </si>
  <si>
    <t>•  The average value with uncertain rates is lower (about US$8.9 million), mainly because the ranges on the Inputs sheet lean towards more deaths, more disability and more lapses than the best estimates.</t>
  </si>
  <si>
    <t>•  Mortality drives the value: the mean value is about US$16.6 million in the tenth of futures with the lightest mortality and about zero in the tenth with the heaviest. Lapses matter little here because every policy is profitable at the same rate; for a product priced on the assumption that many policyholders will lapse, lapse uncertainty could dominate.</t>
  </si>
  <si>
    <t>•  The Markov chain also shows where the block is heading: after ten years about 47% of today's policyholders are still paying, 51% have lapsed and 1.5% have died — the ten-year matrix on the Projection sheet.</t>
  </si>
  <si>
    <t>Chart data</t>
  </si>
  <si>
    <t>Statistics of the last simulation behind the charts and the ranking above. Grouped: click + in the left margin to show them.</t>
  </si>
  <si>
    <t>Cumulative probability</t>
  </si>
  <si>
    <t>Exceedance</t>
  </si>
  <si>
    <t>Out_NPV_A</t>
  </si>
  <si>
    <t>Out_NPV_B</t>
  </si>
  <si>
    <t>Overall mean of Out_NPV_B</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</si>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</sst>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_);\(#,##0\);&quot;–&quot;_)"/>
    <numFmt numFmtId="165" formatCode="0.0%"/>
    <numFmt numFmtId="166" formatCode="0.0000"/>
    <numFmt numFmtId="167" formatCode="#,##0.0"/>
    <numFmt numFmtId="168" formatCode="#,##0.00_);\(#,##0.00\);&quot;–&quot;_)"/>
    <numFmt numFmtId="169" formatCode="#,##0.00_);\(#,##0.00\);&quot;–&quot;_);&quot;–&quot;"/>
    <numFmt numFmtId="170" formatCode="0.0%;\-0.0%;0.0%;&quot;–&quot;"/>
    <numFmt numFmtId="171" formatCode="0%;\-0%;0%;&quot;–&quot;"/>
    <numFmt numFmtId="172" formatCode="0.0&quot;×&quot;;\-0.0&quot;×&quot;;0.0&quot;×&quot;;@"/>
    <numFmt numFmtId="173" formatCode="#,##0_);\(#,##0\);&quot;–&quot;_);&quot;–&quot;"/>
    <numFmt numFmtId="174" formatCode="#,##0.0_);\(#,##0.0\);&quot;–&quot;_);&quot;–&quot;"/>
    <numFmt numFmtId="175" formatCode="0;\-0;0;&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10" fontId="1" fillId="2" borderId="7" xfId="1" applyNumberFormat="1" applyBorder="1">
      <alignment horizontal="right" vertical="center"/>
    </xf>
    <xf numFmtId="9" fontId="1" fillId="2" borderId="7" xfId="1" applyNumberFormat="1" applyBorder="1">
      <alignment horizontal="right" vertical="center"/>
    </xf>
    <xf numFmtId="2" fontId="2" fillId="3" borderId="7" xfId="2" applyNumberFormat="1" applyBorder="1">
      <alignment horizontal="right" vertical="center"/>
    </xf>
    <xf numFmtId="2" fontId="1" fillId="2" borderId="7" xfId="1" applyNumberFormat="1" applyBorder="1">
      <alignment horizontal="right" vertical="center"/>
    </xf>
    <xf numFmtId="2"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9" fontId="3" fillId="0" borderId="8" xfId="3" applyNumberFormat="1" applyBorder="1">
      <alignment horizontal="right" vertical="center"/>
    </xf>
    <xf numFmtId="0" fontId="18" fillId="0" borderId="0" xfId="0" applyFont="1" applyAlignment="1">
      <alignment horizontal="left" vertical="center" indent="1"/>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165" fontId="3" fillId="0" borderId="8" xfId="3" applyNumberFormat="1" applyBorder="1">
      <alignment horizontal="right" vertical="center"/>
    </xf>
    <xf numFmtId="0" fontId="12" fillId="0" borderId="6" xfId="0" applyFont="1" applyBorder="1" applyAlignment="1">
      <alignment horizontal="left" vertical="center" indent="1"/>
    </xf>
    <xf numFmtId="164" fontId="3" fillId="0" borderId="8" xfId="3" applyNumberFormat="1" applyBorder="1">
      <alignment horizontal="right" vertical="center"/>
    </xf>
    <xf numFmtId="166" fontId="3" fillId="0" borderId="8" xfId="3" applyNumberFormat="1" applyBorder="1">
      <alignment horizontal="right" vertical="center"/>
    </xf>
    <xf numFmtId="167" fontId="3" fillId="0" borderId="8" xfId="3" applyNumberFormat="1" applyBorder="1">
      <alignment horizontal="right" vertical="center"/>
    </xf>
    <xf numFmtId="168" fontId="3" fillId="0" borderId="8" xfId="3" applyNumberFormat="1" applyBorder="1">
      <alignment horizontal="right" vertical="center"/>
    </xf>
    <xf numFmtId="0" fontId="12" fillId="0" borderId="9" xfId="0" applyFont="1" applyBorder="1" applyAlignment="1">
      <alignment horizontal="left" vertical="center" indent="1"/>
    </xf>
    <xf numFmtId="0" fontId="0" fillId="0" borderId="9" xfId="0" applyBorder="1"/>
    <xf numFmtId="167" fontId="12" fillId="0" borderId="9" xfId="3" applyNumberFormat="1" applyFont="1" applyBorder="1">
      <alignment horizontal="right" vertical="center"/>
    </xf>
    <xf numFmtId="168" fontId="12" fillId="0" borderId="9" xfId="3" applyNumberFormat="1" applyFont="1" applyBorder="1">
      <alignment horizontal="right" vertical="center"/>
    </xf>
    <xf numFmtId="164" fontId="2" fillId="3" borderId="7" xfId="2" applyNumberFormat="1" applyBorder="1">
      <alignment horizontal="right" vertical="center"/>
    </xf>
    <xf numFmtId="164" fontId="12" fillId="0" borderId="9" xfId="3" applyNumberFormat="1" applyFont="1" applyBorder="1">
      <alignment horizontal="right" vertical="center"/>
    </xf>
    <xf numFmtId="168" fontId="4" fillId="4" borderId="10" xfId="4" applyNumberFormat="1" applyBorder="1">
      <alignment horizontal="right" vertical="center"/>
    </xf>
    <xf numFmtId="164"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2"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1" fillId="0" borderId="6" xfId="0" applyFont="1" applyBorder="1" applyAlignment="1">
      <alignment horizontal="left" vertical="center" indent="1"/>
    </xf>
    <xf numFmtId="169" fontId="1" fillId="5" borderId="7" xfId="5" applyNumberForma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173" fontId="1" fillId="5" borderId="7" xfId="5" applyNumberFormat="1" applyBorder="1">
      <alignment horizontal="right" vertical="center"/>
    </xf>
    <xf numFmtId="174" fontId="1" fillId="5" borderId="7" xfId="5" applyNumberFormat="1" applyBorder="1">
      <alignment horizontal="right" vertical="center"/>
    </xf>
    <xf numFmtId="0" fontId="17" fillId="7" borderId="4" xfId="0" applyFont="1" applyFill="1" applyBorder="1" applyAlignment="1">
      <alignment horizontal="center" vertical="center" wrapText="1"/>
    </xf>
    <xf numFmtId="175"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21" fillId="0" borderId="0" xfId="0" applyFont="1" applyAlignment="1">
      <alignment horizontal="left" vertical="center" indent="1"/>
    </xf>
    <xf numFmtId="168"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6">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Chance only</c:v>
          </c:tx>
          <c:spPr>
            <a:ln w="25400">
              <a:solidFill>
                <a:srgbClr val="0E4F92"/>
              </a:solidFill>
              <a:prstDash val="solid"/>
            </a:ln>
          </c:spPr>
          <c:marker>
            <c:symbol val="none"/>
          </c:marker>
          <c:xVal>
            <c:numRef>
              <c:f>Results!$D$52:$D$101</c:f>
              <c:numCache>
                <c:formatCode>#,##0.00</c:formatCode>
                <c:ptCount val="50"/>
                <c:pt idx="0">
                  <c:v>1.0048635722148491</c:v>
                </c:pt>
                <c:pt idx="1">
                  <c:v>2.9139013485709002</c:v>
                </c:pt>
                <c:pt idx="2">
                  <c:v>3.7725713801101071</c:v>
                </c:pt>
                <c:pt idx="3">
                  <c:v>4.4608820429386782</c:v>
                </c:pt>
                <c:pt idx="4">
                  <c:v>4.9905234450278595</c:v>
                </c:pt>
                <c:pt idx="5">
                  <c:v>5.4172067660223746</c:v>
                </c:pt>
                <c:pt idx="6">
                  <c:v>5.8111619166174009</c:v>
                </c:pt>
                <c:pt idx="7">
                  <c:v>6.1566520960254119</c:v>
                </c:pt>
                <c:pt idx="8">
                  <c:v>6.4684368173265527</c:v>
                </c:pt>
                <c:pt idx="9">
                  <c:v>6.7857881045917745</c:v>
                </c:pt>
                <c:pt idx="10">
                  <c:v>7.0995704137034146</c:v>
                </c:pt>
                <c:pt idx="11">
                  <c:v>7.4020730800086447</c:v>
                </c:pt>
                <c:pt idx="12">
                  <c:v>7.6366644659453735</c:v>
                </c:pt>
                <c:pt idx="13">
                  <c:v>7.8878449369601347</c:v>
                </c:pt>
                <c:pt idx="14">
                  <c:v>8.1457967437512924</c:v>
                </c:pt>
                <c:pt idx="15">
                  <c:v>8.3696144676672901</c:v>
                </c:pt>
                <c:pt idx="16">
                  <c:v>8.5841093335943945</c:v>
                </c:pt>
                <c:pt idx="17">
                  <c:v>8.7646618236463212</c:v>
                </c:pt>
                <c:pt idx="18">
                  <c:v>8.9537898585523408</c:v>
                </c:pt>
                <c:pt idx="19">
                  <c:v>9.1615098563072923</c:v>
                </c:pt>
                <c:pt idx="20">
                  <c:v>9.3533517677924376</c:v>
                </c:pt>
                <c:pt idx="21">
                  <c:v>9.5778801543539078</c:v>
                </c:pt>
                <c:pt idx="22">
                  <c:v>9.7803684350062241</c:v>
                </c:pt>
                <c:pt idx="23">
                  <c:v>9.9665219854585523</c:v>
                </c:pt>
                <c:pt idx="24">
                  <c:v>10.161887767061627</c:v>
                </c:pt>
                <c:pt idx="25">
                  <c:v>10.357397189705047</c:v>
                </c:pt>
                <c:pt idx="26">
                  <c:v>10.547251736235953</c:v>
                </c:pt>
                <c:pt idx="27">
                  <c:v>10.750630498435232</c:v>
                </c:pt>
                <c:pt idx="28">
                  <c:v>10.932585606034971</c:v>
                </c:pt>
                <c:pt idx="29">
                  <c:v>11.112998715068583</c:v>
                </c:pt>
                <c:pt idx="30">
                  <c:v>11.301335333446032</c:v>
                </c:pt>
                <c:pt idx="31">
                  <c:v>11.49098149405468</c:v>
                </c:pt>
                <c:pt idx="32">
                  <c:v>11.70055617994241</c:v>
                </c:pt>
                <c:pt idx="33">
                  <c:v>11.899855653053152</c:v>
                </c:pt>
                <c:pt idx="34">
                  <c:v>12.107609587390129</c:v>
                </c:pt>
                <c:pt idx="35">
                  <c:v>12.303080605888972</c:v>
                </c:pt>
                <c:pt idx="36">
                  <c:v>12.538091209909313</c:v>
                </c:pt>
                <c:pt idx="37">
                  <c:v>12.777813114006449</c:v>
                </c:pt>
                <c:pt idx="38">
                  <c:v>13.017404793983196</c:v>
                </c:pt>
                <c:pt idx="39">
                  <c:v>13.267421390708321</c:v>
                </c:pt>
                <c:pt idx="40">
                  <c:v>13.598260389199329</c:v>
                </c:pt>
                <c:pt idx="41">
                  <c:v>13.86629082341682</c:v>
                </c:pt>
                <c:pt idx="42">
                  <c:v>14.212644231062821</c:v>
                </c:pt>
                <c:pt idx="43">
                  <c:v>14.550357780070549</c:v>
                </c:pt>
                <c:pt idx="44">
                  <c:v>14.919877027573317</c:v>
                </c:pt>
                <c:pt idx="45">
                  <c:v>15.354235948508535</c:v>
                </c:pt>
                <c:pt idx="46">
                  <c:v>15.880166388992428</c:v>
                </c:pt>
                <c:pt idx="47">
                  <c:v>16.555145609161364</c:v>
                </c:pt>
                <c:pt idx="48">
                  <c:v>17.386857320737679</c:v>
                </c:pt>
                <c:pt idx="49">
                  <c:v>18.917522864706068</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BA1-4AE3-AE79-56777D974919}"/>
            </c:ext>
          </c:extLst>
        </c:ser>
        <c:ser>
          <c:idx val="1"/>
          <c:order val="1"/>
          <c:tx>
            <c:v>Uncertain rates</c:v>
          </c:tx>
          <c:spPr>
            <a:ln w="25400">
              <a:solidFill>
                <a:srgbClr val="B45309"/>
              </a:solidFill>
              <a:prstDash val="dash"/>
            </a:ln>
          </c:spPr>
          <c:marker>
            <c:symbol val="none"/>
          </c:marker>
          <c:xVal>
            <c:numRef>
              <c:f>Results!$E$52:$E$101</c:f>
              <c:numCache>
                <c:formatCode>#,##0.00</c:formatCode>
                <c:ptCount val="50"/>
                <c:pt idx="0">
                  <c:v>-6.2798404722209087</c:v>
                </c:pt>
                <c:pt idx="1">
                  <c:v>-3.2137444479825046</c:v>
                </c:pt>
                <c:pt idx="2">
                  <c:v>-1.6409079245337375</c:v>
                </c:pt>
                <c:pt idx="3">
                  <c:v>-0.56422663434558107</c:v>
                </c:pt>
                <c:pt idx="4">
                  <c:v>0.25109640862697269</c:v>
                </c:pt>
                <c:pt idx="5">
                  <c:v>0.97439866124130603</c:v>
                </c:pt>
                <c:pt idx="6">
                  <c:v>1.6981080989807946</c:v>
                </c:pt>
                <c:pt idx="7">
                  <c:v>2.3199454253168654</c:v>
                </c:pt>
                <c:pt idx="8">
                  <c:v>2.8737232598001556</c:v>
                </c:pt>
                <c:pt idx="9">
                  <c:v>3.3336354389951586</c:v>
                </c:pt>
                <c:pt idx="10">
                  <c:v>3.8086667210473744</c:v>
                </c:pt>
                <c:pt idx="11">
                  <c:v>4.2619917970400856</c:v>
                </c:pt>
                <c:pt idx="12">
                  <c:v>4.6543054636694494</c:v>
                </c:pt>
                <c:pt idx="13">
                  <c:v>5.083824538264837</c:v>
                </c:pt>
                <c:pt idx="14">
                  <c:v>5.4800990308355857</c:v>
                </c:pt>
                <c:pt idx="15">
                  <c:v>5.843464460442787</c:v>
                </c:pt>
                <c:pt idx="16">
                  <c:v>6.2288532729251047</c:v>
                </c:pt>
                <c:pt idx="17">
                  <c:v>6.551676396169916</c:v>
                </c:pt>
                <c:pt idx="18">
                  <c:v>6.9294716832361445</c:v>
                </c:pt>
                <c:pt idx="19">
                  <c:v>7.2748831544911505</c:v>
                </c:pt>
                <c:pt idx="20">
                  <c:v>7.6254277680900255</c:v>
                </c:pt>
                <c:pt idx="21">
                  <c:v>7.9495366086947303</c:v>
                </c:pt>
                <c:pt idx="22">
                  <c:v>8.2565918194288965</c:v>
                </c:pt>
                <c:pt idx="23">
                  <c:v>8.6242666312109417</c:v>
                </c:pt>
                <c:pt idx="24">
                  <c:v>8.9457104696520631</c:v>
                </c:pt>
                <c:pt idx="25">
                  <c:v>9.3170683668223138</c:v>
                </c:pt>
                <c:pt idx="26">
                  <c:v>9.6016087232662652</c:v>
                </c:pt>
                <c:pt idx="27">
                  <c:v>9.9145227458237173</c:v>
                </c:pt>
                <c:pt idx="28">
                  <c:v>10.287326636184851</c:v>
                </c:pt>
                <c:pt idx="29">
                  <c:v>10.598636253216874</c:v>
                </c:pt>
                <c:pt idx="30">
                  <c:v>10.942559670010496</c:v>
                </c:pt>
                <c:pt idx="31">
                  <c:v>11.238252760602226</c:v>
                </c:pt>
                <c:pt idx="32">
                  <c:v>11.558747917307667</c:v>
                </c:pt>
                <c:pt idx="33">
                  <c:v>11.879341285987232</c:v>
                </c:pt>
                <c:pt idx="34">
                  <c:v>12.211311853885672</c:v>
                </c:pt>
                <c:pt idx="35">
                  <c:v>12.574873337309812</c:v>
                </c:pt>
                <c:pt idx="36">
                  <c:v>12.87523351273113</c:v>
                </c:pt>
                <c:pt idx="37">
                  <c:v>13.245331670840987</c:v>
                </c:pt>
                <c:pt idx="38">
                  <c:v>13.689453448906333</c:v>
                </c:pt>
                <c:pt idx="39">
                  <c:v>14.098962985710338</c:v>
                </c:pt>
                <c:pt idx="40">
                  <c:v>14.536048339346376</c:v>
                </c:pt>
                <c:pt idx="41">
                  <c:v>15.03447527510281</c:v>
                </c:pt>
                <c:pt idx="42">
                  <c:v>15.439406939329061</c:v>
                </c:pt>
                <c:pt idx="43">
                  <c:v>15.993745413878226</c:v>
                </c:pt>
                <c:pt idx="44">
                  <c:v>16.560396321669632</c:v>
                </c:pt>
                <c:pt idx="45">
                  <c:v>17.241848656974376</c:v>
                </c:pt>
                <c:pt idx="46">
                  <c:v>17.981572146545137</c:v>
                </c:pt>
                <c:pt idx="47">
                  <c:v>18.94646724794606</c:v>
                </c:pt>
                <c:pt idx="48">
                  <c:v>20.214261436297619</c:v>
                </c:pt>
                <c:pt idx="49">
                  <c:v>22.299758966666904</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4BA1-4AE3-AE79-56777D974919}"/>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Results!$B$105:$B$108</c:f>
              <c:strCache>
                <c:ptCount val="4"/>
                <c:pt idx="0">
                  <c:v>Mortality level</c:v>
                </c:pt>
                <c:pt idx="1">
                  <c:v>Lapse level</c:v>
                </c:pt>
                <c:pt idx="2">
                  <c:v>Disability level</c:v>
                </c:pt>
                <c:pt idx="3">
                  <c:v>Recovery level</c:v>
                </c:pt>
              </c:strCache>
            </c:strRef>
          </c:cat>
          <c:val>
            <c:numRef>
              <c:f>Results!$F$105:$F$108</c:f>
              <c:numCache>
                <c:formatCode>#,##0.00_);\(#,##0.00\);"–"_)</c:formatCode>
                <c:ptCount val="4"/>
                <c:pt idx="0">
                  <c:v>7.6687376735537551</c:v>
                </c:pt>
                <c:pt idx="1">
                  <c:v>0.96660358815246816</c:v>
                </c:pt>
                <c:pt idx="2">
                  <c:v>1.0967265403141226</c:v>
                </c:pt>
                <c:pt idx="3">
                  <c:v>0.36111059037648552</c:v>
                </c:pt>
              </c:numCache>
            </c:numRef>
          </c:val>
          <c:extLst>
            <c:ext xmlns:c16="http://schemas.microsoft.com/office/drawing/2014/chart" uri="{C3380CC4-5D6E-409C-BE32-E72D297353CC}">
              <c16:uniqueId val="{00000000-8C76-4B37-8FAA-1DB7D5568565}"/>
            </c:ext>
          </c:extLst>
        </c:ser>
        <c:ser>
          <c:idx val="1"/>
          <c:order val="1"/>
          <c:tx>
            <c:v>Lowest group mean</c:v>
          </c:tx>
          <c:spPr>
            <a:solidFill>
              <a:srgbClr val="B91C1C"/>
            </a:solidFill>
            <a:ln>
              <a:noFill/>
              <a:prstDash val="solid"/>
            </a:ln>
          </c:spPr>
          <c:invertIfNegative val="0"/>
          <c:cat>
            <c:strRef>
              <c:f>Results!$B$105:$B$108</c:f>
              <c:strCache>
                <c:ptCount val="4"/>
                <c:pt idx="0">
                  <c:v>Mortality level</c:v>
                </c:pt>
                <c:pt idx="1">
                  <c:v>Lapse level</c:v>
                </c:pt>
                <c:pt idx="2">
                  <c:v>Disability level</c:v>
                </c:pt>
                <c:pt idx="3">
                  <c:v>Recovery level</c:v>
                </c:pt>
              </c:strCache>
            </c:strRef>
          </c:cat>
          <c:val>
            <c:numRef>
              <c:f>Results!$G$105:$G$108</c:f>
              <c:numCache>
                <c:formatCode>#,##0.00_);\(#,##0.00\);"–"_)</c:formatCode>
                <c:ptCount val="4"/>
                <c:pt idx="0">
                  <c:v>-8.8526412284608043</c:v>
                </c:pt>
                <c:pt idx="1">
                  <c:v>-1.0164106296709923</c:v>
                </c:pt>
                <c:pt idx="2">
                  <c:v>-0.88264622812553917</c:v>
                </c:pt>
                <c:pt idx="3">
                  <c:v>-0.34975777340228653</c:v>
                </c:pt>
              </c:numCache>
            </c:numRef>
          </c:val>
          <c:extLst>
            <c:ext xmlns:c16="http://schemas.microsoft.com/office/drawing/2014/chart" uri="{C3380CC4-5D6E-409C-BE32-E72D297353CC}">
              <c16:uniqueId val="{00000001-8C76-4B37-8FAA-1DB7D5568565}"/>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1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5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81" t="s">
        <v>20</v>
      </c>
      <c r="C16" s="8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x14ac:dyDescent="0.45">
      <c r="B72" s="9" t="s">
        <v>90</v>
      </c>
      <c r="C72" s="10" t="s">
        <v>91</v>
      </c>
    </row>
    <row r="73" spans="2:3" ht="16.05" customHeight="1" x14ac:dyDescent="0.45"/>
    <row r="74" spans="2:3" x14ac:dyDescent="0.45">
      <c r="B74" s="79" t="s">
        <v>92</v>
      </c>
      <c r="C74" s="80"/>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Projection'!A1" display="Projection"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93</v>
      </c>
      <c r="C3" s="1"/>
      <c r="D3" s="1"/>
      <c r="E3" s="1"/>
      <c r="F3" s="1"/>
      <c r="G3" s="1"/>
      <c r="H3" s="1"/>
      <c r="I3" s="1"/>
      <c r="J3" s="1"/>
    </row>
    <row r="4" spans="1:10" ht="20" customHeight="1" x14ac:dyDescent="0.45">
      <c r="A4" s="5"/>
      <c r="B4" s="22" t="s">
        <v>94</v>
      </c>
      <c r="C4" s="5"/>
      <c r="D4" s="5"/>
      <c r="E4" s="5"/>
      <c r="F4" s="5"/>
      <c r="G4" s="5"/>
      <c r="H4" s="5"/>
      <c r="I4" s="5"/>
      <c r="J4" s="6" t="s">
        <v>95</v>
      </c>
    </row>
    <row r="5" spans="1:10" ht="8" customHeight="1" x14ac:dyDescent="0.45"/>
    <row r="6" spans="1:10" ht="30" customHeight="1" x14ac:dyDescent="0.45">
      <c r="B6" s="82" t="s">
        <v>96</v>
      </c>
      <c r="C6" s="80"/>
      <c r="D6" s="80"/>
      <c r="E6" s="80"/>
      <c r="F6" s="80"/>
      <c r="G6" s="80"/>
      <c r="H6" s="80"/>
      <c r="I6" s="80"/>
      <c r="J6" s="80"/>
    </row>
    <row r="7" spans="1:10" ht="6" customHeight="1" x14ac:dyDescent="0.45"/>
    <row r="8" spans="1:10" ht="22.05" customHeight="1" x14ac:dyDescent="0.5">
      <c r="B8" s="7" t="s">
        <v>97</v>
      </c>
      <c r="C8" s="8"/>
      <c r="D8" s="8"/>
      <c r="E8" s="8"/>
      <c r="F8" s="8"/>
      <c r="G8" s="8"/>
      <c r="H8" s="8"/>
      <c r="I8" s="8"/>
      <c r="J8" s="8"/>
    </row>
    <row r="9" spans="1:10" ht="18" customHeight="1" x14ac:dyDescent="0.45">
      <c r="B9" s="13" t="s">
        <v>98</v>
      </c>
    </row>
    <row r="10" spans="1:10" ht="18" customHeight="1" x14ac:dyDescent="0.45">
      <c r="B10" s="23" t="s">
        <v>99</v>
      </c>
      <c r="C10" s="23" t="s">
        <v>100</v>
      </c>
      <c r="D10" s="24" t="s">
        <v>101</v>
      </c>
      <c r="E10" s="23" t="s">
        <v>102</v>
      </c>
      <c r="F10" s="5"/>
      <c r="G10" s="5"/>
      <c r="H10" s="5"/>
      <c r="I10" s="5"/>
      <c r="J10" s="23" t="s">
        <v>103</v>
      </c>
    </row>
    <row r="11" spans="1:10" x14ac:dyDescent="0.45">
      <c r="B11" s="25" t="s">
        <v>104</v>
      </c>
      <c r="C11" s="26" t="s">
        <v>105</v>
      </c>
      <c r="D11" s="27">
        <v>20000</v>
      </c>
      <c r="E11" s="26" t="s">
        <v>106</v>
      </c>
      <c r="F11" s="28"/>
      <c r="G11" s="28"/>
      <c r="H11" s="28"/>
      <c r="I11" s="28"/>
      <c r="J11" s="29" t="s">
        <v>107</v>
      </c>
    </row>
    <row r="12" spans="1:10" x14ac:dyDescent="0.45">
      <c r="B12" s="25" t="s">
        <v>108</v>
      </c>
      <c r="C12" s="26" t="s">
        <v>109</v>
      </c>
      <c r="D12" s="27">
        <v>650</v>
      </c>
      <c r="E12" s="26" t="s">
        <v>106</v>
      </c>
      <c r="F12" s="28"/>
      <c r="G12" s="28"/>
      <c r="H12" s="28"/>
      <c r="I12" s="28"/>
      <c r="J12" s="29" t="s">
        <v>110</v>
      </c>
    </row>
    <row r="13" spans="1:10" x14ac:dyDescent="0.45">
      <c r="B13" s="25" t="s">
        <v>111</v>
      </c>
      <c r="C13" s="26" t="s">
        <v>112</v>
      </c>
      <c r="D13" s="27">
        <v>250000</v>
      </c>
      <c r="E13" s="26" t="s">
        <v>106</v>
      </c>
      <c r="F13" s="28"/>
      <c r="G13" s="28"/>
      <c r="H13" s="28"/>
      <c r="I13" s="28"/>
      <c r="J13" s="29" t="s">
        <v>113</v>
      </c>
    </row>
    <row r="14" spans="1:10" x14ac:dyDescent="0.45">
      <c r="B14" s="25" t="s">
        <v>114</v>
      </c>
      <c r="C14" s="26" t="s">
        <v>109</v>
      </c>
      <c r="D14" s="27">
        <v>60</v>
      </c>
      <c r="E14" s="26" t="s">
        <v>106</v>
      </c>
      <c r="F14" s="28"/>
      <c r="G14" s="28"/>
      <c r="H14" s="28"/>
      <c r="I14" s="28"/>
      <c r="J14" s="29" t="s">
        <v>115</v>
      </c>
    </row>
    <row r="15" spans="1:10" x14ac:dyDescent="0.45">
      <c r="B15" s="25" t="s">
        <v>116</v>
      </c>
      <c r="C15" s="26" t="s">
        <v>117</v>
      </c>
      <c r="D15" s="30">
        <v>0.03</v>
      </c>
      <c r="E15" s="26" t="s">
        <v>106</v>
      </c>
      <c r="F15" s="28"/>
      <c r="G15" s="28"/>
      <c r="H15" s="28"/>
      <c r="I15" s="28"/>
      <c r="J15" s="29" t="s">
        <v>118</v>
      </c>
    </row>
    <row r="16" spans="1:10" ht="8" customHeight="1" x14ac:dyDescent="0.45"/>
    <row r="17" spans="2:10" ht="22.05" customHeight="1" x14ac:dyDescent="0.5">
      <c r="B17" s="7" t="s">
        <v>119</v>
      </c>
      <c r="C17" s="8"/>
      <c r="D17" s="8"/>
      <c r="E17" s="8"/>
      <c r="F17" s="8"/>
      <c r="G17" s="8"/>
      <c r="H17" s="8"/>
      <c r="I17" s="8"/>
      <c r="J17" s="8"/>
    </row>
    <row r="18" spans="2:10" ht="18" customHeight="1" x14ac:dyDescent="0.45">
      <c r="B18" s="13" t="s">
        <v>120</v>
      </c>
    </row>
    <row r="19" spans="2:10" ht="18" customHeight="1" x14ac:dyDescent="0.45">
      <c r="B19" s="23" t="s">
        <v>99</v>
      </c>
      <c r="C19" s="23" t="s">
        <v>100</v>
      </c>
      <c r="D19" s="24" t="s">
        <v>101</v>
      </c>
      <c r="E19" s="23" t="s">
        <v>102</v>
      </c>
      <c r="F19" s="5"/>
      <c r="G19" s="5"/>
      <c r="H19" s="5"/>
      <c r="I19" s="5"/>
      <c r="J19" s="23" t="s">
        <v>103</v>
      </c>
    </row>
    <row r="20" spans="2:10" x14ac:dyDescent="0.45">
      <c r="B20" s="25" t="s">
        <v>121</v>
      </c>
      <c r="C20" s="26" t="s">
        <v>117</v>
      </c>
      <c r="D20" s="31">
        <v>4.0000000000000001E-3</v>
      </c>
      <c r="E20" s="26" t="s">
        <v>106</v>
      </c>
      <c r="F20" s="28"/>
      <c r="G20" s="28"/>
      <c r="H20" s="28"/>
      <c r="I20" s="28"/>
      <c r="J20" s="29" t="s">
        <v>122</v>
      </c>
    </row>
    <row r="21" spans="2:10" x14ac:dyDescent="0.45">
      <c r="B21" s="25" t="s">
        <v>123</v>
      </c>
      <c r="C21" s="26" t="s">
        <v>117</v>
      </c>
      <c r="D21" s="30">
        <v>7.0000000000000007E-2</v>
      </c>
      <c r="E21" s="26" t="s">
        <v>106</v>
      </c>
      <c r="F21" s="28"/>
      <c r="G21" s="28"/>
      <c r="H21" s="28"/>
      <c r="I21" s="28"/>
      <c r="J21" s="29" t="s">
        <v>124</v>
      </c>
    </row>
    <row r="22" spans="2:10" x14ac:dyDescent="0.45">
      <c r="B22" s="25" t="s">
        <v>125</v>
      </c>
      <c r="C22" s="26" t="s">
        <v>117</v>
      </c>
      <c r="D22" s="31">
        <v>2E-3</v>
      </c>
      <c r="E22" s="26" t="s">
        <v>106</v>
      </c>
      <c r="F22" s="28"/>
      <c r="G22" s="28"/>
      <c r="H22" s="28"/>
      <c r="I22" s="28"/>
      <c r="J22" s="29" t="s">
        <v>126</v>
      </c>
    </row>
    <row r="23" spans="2:10" x14ac:dyDescent="0.45">
      <c r="B23" s="25" t="s">
        <v>127</v>
      </c>
      <c r="C23" s="26" t="s">
        <v>117</v>
      </c>
      <c r="D23" s="32">
        <v>0.25</v>
      </c>
      <c r="E23" s="26" t="s">
        <v>106</v>
      </c>
      <c r="F23" s="28"/>
      <c r="G23" s="28"/>
      <c r="H23" s="28"/>
      <c r="I23" s="28"/>
      <c r="J23" s="29" t="s">
        <v>128</v>
      </c>
    </row>
    <row r="24" spans="2:10" x14ac:dyDescent="0.45">
      <c r="B24" s="25" t="s">
        <v>129</v>
      </c>
      <c r="C24" s="26" t="s">
        <v>117</v>
      </c>
      <c r="D24" s="30">
        <v>0.01</v>
      </c>
      <c r="E24" s="26" t="s">
        <v>106</v>
      </c>
      <c r="F24" s="28"/>
      <c r="G24" s="28"/>
      <c r="H24" s="28"/>
      <c r="I24" s="28"/>
      <c r="J24" s="29" t="s">
        <v>130</v>
      </c>
    </row>
    <row r="25" spans="2:10" ht="8" customHeight="1" x14ac:dyDescent="0.45"/>
    <row r="26" spans="2:10" ht="22.05" customHeight="1" x14ac:dyDescent="0.5">
      <c r="B26" s="7" t="s">
        <v>131</v>
      </c>
      <c r="C26" s="8"/>
      <c r="D26" s="8"/>
      <c r="E26" s="8"/>
      <c r="F26" s="8"/>
      <c r="G26" s="8"/>
      <c r="H26" s="8"/>
      <c r="I26" s="8"/>
      <c r="J26" s="8"/>
    </row>
    <row r="27" spans="2:10" ht="18" customHeight="1" x14ac:dyDescent="0.45">
      <c r="B27" s="13" t="s">
        <v>132</v>
      </c>
    </row>
    <row r="28" spans="2:10" ht="18" customHeight="1" x14ac:dyDescent="0.45">
      <c r="B28" s="23" t="s">
        <v>99</v>
      </c>
      <c r="C28" s="23" t="s">
        <v>100</v>
      </c>
      <c r="D28" s="24" t="s">
        <v>101</v>
      </c>
      <c r="E28" s="23" t="s">
        <v>102</v>
      </c>
      <c r="F28" s="24" t="s">
        <v>133</v>
      </c>
      <c r="G28" s="24" t="s">
        <v>134</v>
      </c>
      <c r="H28" s="24" t="s">
        <v>135</v>
      </c>
      <c r="I28" s="24" t="s">
        <v>136</v>
      </c>
      <c r="J28" s="23" t="s">
        <v>103</v>
      </c>
    </row>
    <row r="29" spans="2:10" x14ac:dyDescent="0.45">
      <c r="B29" s="25" t="s">
        <v>137</v>
      </c>
      <c r="C29" s="26" t="s">
        <v>138</v>
      </c>
      <c r="D29" s="33" cm="1">
        <f t="array" aca="1" ref="D29" ca="1">_xll.VoseInput("Mortality level","multiplier")+_xll.VosePERT(F29,G29,H29)</f>
        <v>1.0345306730753554</v>
      </c>
      <c r="E29" s="26" t="s">
        <v>139</v>
      </c>
      <c r="F29" s="34">
        <v>0.85</v>
      </c>
      <c r="G29" s="34">
        <v>1</v>
      </c>
      <c r="H29" s="34">
        <v>1.25</v>
      </c>
      <c r="I29" s="35" cm="1">
        <f t="array" ref="I29">IF(AND(F29&lt;=G29,G29&lt;=H29,F29&lt;H29),_xll.VoseMean(_xll.VosePERTObject(F29,G29,H29)),"✗ range")</f>
        <v>1.0166666666666666</v>
      </c>
      <c r="J29" s="29" t="s">
        <v>140</v>
      </c>
    </row>
    <row r="30" spans="2:10" x14ac:dyDescent="0.45">
      <c r="B30" s="25" t="s">
        <v>141</v>
      </c>
      <c r="C30" s="26" t="s">
        <v>138</v>
      </c>
      <c r="D30" s="33" cm="1">
        <f t="array" aca="1" ref="D30" ca="1">_xll.VoseInput("Lapse level","multiplier")+_xll.VosePERT(F30,G30,H30)</f>
        <v>1.5317445174741515</v>
      </c>
      <c r="E30" s="26" t="s">
        <v>139</v>
      </c>
      <c r="F30" s="34">
        <v>0.6</v>
      </c>
      <c r="G30" s="34">
        <v>1</v>
      </c>
      <c r="H30" s="34">
        <v>1.6</v>
      </c>
      <c r="I30" s="35" cm="1">
        <f t="array" ref="I30">IF(AND(F30&lt;=G30,G30&lt;=H30,F30&lt;H30),_xll.VoseMean(_xll.VosePERTObject(F30,G30,H30)),"✗ range")</f>
        <v>1.0333333333333332</v>
      </c>
      <c r="J30" s="29" t="s">
        <v>142</v>
      </c>
    </row>
    <row r="31" spans="2:10" x14ac:dyDescent="0.45">
      <c r="B31" s="25" t="s">
        <v>143</v>
      </c>
      <c r="C31" s="26" t="s">
        <v>138</v>
      </c>
      <c r="D31" s="33" cm="1">
        <f t="array" aca="1" ref="D31" ca="1">_xll.VoseInput("Disability level","multiplier")+_xll.VosePERT(F31,G31,H31)</f>
        <v>0.95448045828674033</v>
      </c>
      <c r="E31" s="26" t="s">
        <v>139</v>
      </c>
      <c r="F31" s="34">
        <v>0.7</v>
      </c>
      <c r="G31" s="34">
        <v>1</v>
      </c>
      <c r="H31" s="34">
        <v>1.5</v>
      </c>
      <c r="I31" s="35" cm="1">
        <f t="array" ref="I31">IF(AND(F31&lt;=G31,G31&lt;=H31,F31&lt;H31),_xll.VoseMean(_xll.VosePERTObject(F31,G31,H31)),"✗ range")</f>
        <v>1.0333333333333334</v>
      </c>
      <c r="J31" s="29"/>
    </row>
    <row r="32" spans="2:10" x14ac:dyDescent="0.45">
      <c r="B32" s="25" t="s">
        <v>144</v>
      </c>
      <c r="C32" s="26" t="s">
        <v>138</v>
      </c>
      <c r="D32" s="33" cm="1">
        <f t="array" aca="1" ref="D32" ca="1">_xll.VoseInput("Recovery level","multiplier")+_xll.VosePERT(F32,G32,H32)</f>
        <v>0.88329806733948679</v>
      </c>
      <c r="E32" s="26" t="s">
        <v>139</v>
      </c>
      <c r="F32" s="34">
        <v>0.7</v>
      </c>
      <c r="G32" s="34">
        <v>1</v>
      </c>
      <c r="H32" s="34">
        <v>1.2</v>
      </c>
      <c r="I32" s="35" cm="1">
        <f t="array" ref="I32">IF(AND(F32&lt;=G32,G32&lt;=H32,F32&lt;H32),_xll.VoseMean(_xll.VosePERTObject(F32,G32,H32)),"✗ range")</f>
        <v>0.98333333333333339</v>
      </c>
      <c r="J32" s="29"/>
    </row>
    <row r="33" ht="8" customHeight="1" x14ac:dyDescent="0.45"/>
  </sheetData>
  <mergeCells count="1">
    <mergeCell ref="B6:J6"/>
  </mergeCells>
  <conditionalFormatting sqref="I29:I32">
    <cfRule type="expression" dxfId="5" priority="1">
      <formula>LEFT($I29,1)="✗"</formula>
    </cfRule>
  </conditionalFormatting>
  <dataValidations count="3">
    <dataValidation type="decimal" operator="greaterThan" showErrorMessage="1" errorTitle="Positive value" error="Enter a value greater than zero." sqref="D11:D14" xr:uid="{00000000-0002-0000-0100-000000000000}">
      <formula1>0</formula1>
    </dataValidation>
    <dataValidation type="decimal" showErrorMessage="1" errorTitle="Probability" error="Enter a value between 0% and 100%." sqref="D15 D20:D24" xr:uid="{00000000-0002-0000-0100-000004000000}">
      <formula1>0</formula1>
      <formula2>1</formula2>
    </dataValidation>
    <dataValidation type="custom" showErrorMessage="1" errorTitle="PERT range" error="Low must be below High, with Most likely between them." sqref="F29:H32" xr:uid="{00000000-0002-0000-0100-00000A000000}">
      <formula1>AND($F29&lt;=$G29,$G29&lt;=$H29,$F29&lt;$H29)</formula1>
    </dataValidation>
  </dataValidations>
  <hyperlinks>
    <hyperlink ref="B4" location="'About'!A1" display="◂  About" xr:uid="{00000000-0004-0000-0100-000000000000}"/>
    <hyperlink ref="J4" location="'Projection'!A1" display="Next:  Projection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120"/>
  <sheetViews>
    <sheetView showGridLines="0" workbookViewId="0"/>
  </sheetViews>
  <sheetFormatPr defaultRowHeight="14.25" x14ac:dyDescent="0.45"/>
  <cols>
    <col min="1" max="1" width="2" customWidth="1"/>
    <col min="2" max="2" width="20" customWidth="1"/>
    <col min="3" max="12" width="11" customWidth="1"/>
    <col min="13" max="13" width="3" customWidth="1"/>
    <col min="14" max="14" width="40"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145</v>
      </c>
      <c r="C3" s="1"/>
      <c r="D3" s="1"/>
      <c r="E3" s="1"/>
      <c r="F3" s="1"/>
      <c r="G3" s="1"/>
      <c r="H3" s="1"/>
      <c r="I3" s="1"/>
      <c r="J3" s="1"/>
      <c r="K3" s="1"/>
      <c r="L3" s="1"/>
      <c r="M3" s="1"/>
      <c r="N3" s="1"/>
    </row>
    <row r="4" spans="1:14" ht="20" customHeight="1" x14ac:dyDescent="0.45">
      <c r="A4" s="5"/>
      <c r="B4" s="22" t="s">
        <v>146</v>
      </c>
      <c r="C4" s="5"/>
      <c r="D4" s="5"/>
      <c r="E4" s="5"/>
      <c r="F4" s="5"/>
      <c r="G4" s="5"/>
      <c r="H4" s="5"/>
      <c r="I4" s="5"/>
      <c r="J4" s="5"/>
      <c r="K4" s="5"/>
      <c r="L4" s="5"/>
      <c r="M4" s="5"/>
      <c r="N4" s="6" t="s">
        <v>147</v>
      </c>
    </row>
    <row r="5" spans="1:14" ht="8" customHeight="1" x14ac:dyDescent="0.45"/>
    <row r="6" spans="1:14" ht="22.05" customHeight="1" x14ac:dyDescent="0.5">
      <c r="B6" s="7" t="s">
        <v>148</v>
      </c>
      <c r="C6" s="8"/>
      <c r="D6" s="8"/>
      <c r="E6" s="8"/>
      <c r="F6" s="8"/>
      <c r="G6" s="8"/>
    </row>
    <row r="7" spans="1:14" ht="18" customHeight="1" x14ac:dyDescent="0.45">
      <c r="B7" s="13" t="s">
        <v>149</v>
      </c>
    </row>
    <row r="8" spans="1:14" ht="18" customHeight="1" x14ac:dyDescent="0.45">
      <c r="B8" s="36" t="s">
        <v>150</v>
      </c>
      <c r="C8" s="37" t="s">
        <v>151</v>
      </c>
      <c r="D8" s="37" t="s">
        <v>152</v>
      </c>
      <c r="E8" s="37" t="s">
        <v>153</v>
      </c>
      <c r="F8" s="37" t="s">
        <v>154</v>
      </c>
      <c r="G8" s="37" t="s">
        <v>155</v>
      </c>
    </row>
    <row r="9" spans="1:14" x14ac:dyDescent="0.45">
      <c r="B9" s="25" t="s">
        <v>151</v>
      </c>
      <c r="C9" s="38">
        <f>1-IncRate-LapseRate-QActive</f>
        <v>0.92399999999999993</v>
      </c>
      <c r="D9" s="38">
        <f>IncRate</f>
        <v>4.0000000000000001E-3</v>
      </c>
      <c r="E9" s="38">
        <f>LapseRate</f>
        <v>7.0000000000000007E-2</v>
      </c>
      <c r="F9" s="38">
        <f>QActive</f>
        <v>2E-3</v>
      </c>
      <c r="G9" s="39">
        <f>SUM(C9:F9)</f>
        <v>1</v>
      </c>
      <c r="N9" s="40" t="s">
        <v>156</v>
      </c>
    </row>
    <row r="10" spans="1:14" x14ac:dyDescent="0.45">
      <c r="B10" s="25" t="s">
        <v>152</v>
      </c>
      <c r="C10" s="38">
        <f>RecRate</f>
        <v>0.25</v>
      </c>
      <c r="D10" s="38">
        <f>1-RecRate-QDisabled</f>
        <v>0.74</v>
      </c>
      <c r="E10" s="38">
        <f>0</f>
        <v>0</v>
      </c>
      <c r="F10" s="38">
        <f>QDisabled</f>
        <v>0.01</v>
      </c>
      <c r="G10" s="39">
        <f>SUM(C10:F10)</f>
        <v>1</v>
      </c>
    </row>
    <row r="11" spans="1:14" x14ac:dyDescent="0.45">
      <c r="B11" s="25" t="s">
        <v>153</v>
      </c>
      <c r="C11" s="38">
        <f>0</f>
        <v>0</v>
      </c>
      <c r="D11" s="38">
        <f>0</f>
        <v>0</v>
      </c>
      <c r="E11" s="38">
        <f>1</f>
        <v>1</v>
      </c>
      <c r="F11" s="38">
        <f>0</f>
        <v>0</v>
      </c>
      <c r="G11" s="39">
        <f>SUM(C11:F11)</f>
        <v>1</v>
      </c>
    </row>
    <row r="12" spans="1:14" x14ac:dyDescent="0.45">
      <c r="B12" s="25" t="s">
        <v>154</v>
      </c>
      <c r="C12" s="38">
        <f>0</f>
        <v>0</v>
      </c>
      <c r="D12" s="38">
        <f>0</f>
        <v>0</v>
      </c>
      <c r="E12" s="38">
        <f>0</f>
        <v>0</v>
      </c>
      <c r="F12" s="38">
        <f>1</f>
        <v>1</v>
      </c>
      <c r="G12" s="39">
        <f>SUM(C12:F12)</f>
        <v>1</v>
      </c>
    </row>
    <row r="13" spans="1:14" ht="8" customHeight="1" x14ac:dyDescent="0.45"/>
    <row r="14" spans="1:14" ht="22.05" customHeight="1" x14ac:dyDescent="0.5">
      <c r="B14" s="7" t="s">
        <v>157</v>
      </c>
      <c r="C14" s="8"/>
      <c r="D14" s="8"/>
      <c r="E14" s="8"/>
      <c r="F14" s="8"/>
      <c r="G14" s="8"/>
    </row>
    <row r="15" spans="1:14" ht="18" customHeight="1" x14ac:dyDescent="0.45">
      <c r="B15" s="13" t="s">
        <v>158</v>
      </c>
    </row>
    <row r="16" spans="1:14" ht="18" customHeight="1" x14ac:dyDescent="0.45">
      <c r="B16" s="41" t="s">
        <v>159</v>
      </c>
      <c r="C16" s="42" t="s">
        <v>160</v>
      </c>
      <c r="D16" s="42" t="s">
        <v>161</v>
      </c>
      <c r="E16" s="42" t="s">
        <v>162</v>
      </c>
      <c r="F16" s="5"/>
      <c r="G16" s="5"/>
    </row>
    <row r="17" spans="2:14" x14ac:dyDescent="0.45">
      <c r="B17" s="43"/>
      <c r="C17" s="43" t="s">
        <v>163</v>
      </c>
      <c r="D17" s="43"/>
      <c r="E17" s="43" t="s">
        <v>164</v>
      </c>
    </row>
    <row r="18" spans="2:14" x14ac:dyDescent="0.45">
      <c r="B18" s="25" t="s">
        <v>121</v>
      </c>
      <c r="C18" s="38">
        <f>IncRate</f>
        <v>4.0000000000000001E-3</v>
      </c>
      <c r="D18" s="35">
        <f ca="1">MInc</f>
        <v>0.95448045828674033</v>
      </c>
      <c r="E18" s="38">
        <f ca="1">C18*D18</f>
        <v>3.8179218331469613E-3</v>
      </c>
      <c r="F18" s="28"/>
      <c r="G18" s="28"/>
      <c r="N18" s="40" t="s">
        <v>165</v>
      </c>
    </row>
    <row r="19" spans="2:14" x14ac:dyDescent="0.45">
      <c r="B19" s="25" t="s">
        <v>123</v>
      </c>
      <c r="C19" s="38">
        <f>LapseRate</f>
        <v>7.0000000000000007E-2</v>
      </c>
      <c r="D19" s="35">
        <f ca="1">MLapse</f>
        <v>1.5317445174741515</v>
      </c>
      <c r="E19" s="38">
        <f ca="1">C19*D19</f>
        <v>0.10722211622319061</v>
      </c>
      <c r="F19" s="28"/>
      <c r="G19" s="28"/>
    </row>
    <row r="20" spans="2:14" x14ac:dyDescent="0.45">
      <c r="B20" s="25" t="s">
        <v>125</v>
      </c>
      <c r="C20" s="38">
        <f>QActive</f>
        <v>2E-3</v>
      </c>
      <c r="D20" s="35">
        <f ca="1">MMort</f>
        <v>1.0345306730753554</v>
      </c>
      <c r="E20" s="38">
        <f ca="1">C20*D20</f>
        <v>2.069061346150711E-3</v>
      </c>
      <c r="F20" s="28"/>
      <c r="G20" s="28"/>
    </row>
    <row r="21" spans="2:14" x14ac:dyDescent="0.45">
      <c r="B21" s="25" t="s">
        <v>166</v>
      </c>
      <c r="C21" s="38">
        <f>RecRate</f>
        <v>0.25</v>
      </c>
      <c r="D21" s="35">
        <f ca="1">MRec</f>
        <v>0.88329806733948679</v>
      </c>
      <c r="E21" s="38">
        <f ca="1">C21*D21</f>
        <v>0.2208245168348717</v>
      </c>
      <c r="F21" s="28"/>
      <c r="G21" s="28"/>
    </row>
    <row r="22" spans="2:14" x14ac:dyDescent="0.45">
      <c r="B22" s="25" t="s">
        <v>129</v>
      </c>
      <c r="C22" s="38">
        <f>QDisabled</f>
        <v>0.01</v>
      </c>
      <c r="D22" s="35">
        <f ca="1">MMort</f>
        <v>1.0345306730753554</v>
      </c>
      <c r="E22" s="38">
        <f ca="1">C22*D22</f>
        <v>1.0345306730753553E-2</v>
      </c>
      <c r="F22" s="28"/>
      <c r="G22" s="28"/>
    </row>
    <row r="23" spans="2:14" ht="8" customHeight="1" x14ac:dyDescent="0.45"/>
    <row r="24" spans="2:14" ht="22.05" customHeight="1" x14ac:dyDescent="0.5">
      <c r="B24" s="7" t="s">
        <v>167</v>
      </c>
      <c r="C24" s="8"/>
      <c r="D24" s="8"/>
      <c r="E24" s="8"/>
      <c r="F24" s="8"/>
      <c r="G24" s="8"/>
    </row>
    <row r="25" spans="2:14" ht="18" customHeight="1" x14ac:dyDescent="0.45">
      <c r="B25" s="13" t="s">
        <v>168</v>
      </c>
    </row>
    <row r="26" spans="2:14" ht="18" customHeight="1" x14ac:dyDescent="0.45">
      <c r="B26" s="36" t="s">
        <v>150</v>
      </c>
      <c r="C26" s="37" t="s">
        <v>151</v>
      </c>
      <c r="D26" s="37" t="s">
        <v>152</v>
      </c>
      <c r="E26" s="37" t="s">
        <v>153</v>
      </c>
      <c r="F26" s="37" t="s">
        <v>154</v>
      </c>
      <c r="G26" s="37" t="s">
        <v>155</v>
      </c>
    </row>
    <row r="27" spans="2:14" x14ac:dyDescent="0.45">
      <c r="B27" s="25" t="s">
        <v>151</v>
      </c>
      <c r="C27" s="38">
        <f ca="1">1-Inc_U-Lapse_U-QA_U</f>
        <v>0.88689090059751163</v>
      </c>
      <c r="D27" s="38">
        <f ca="1">Inc_U</f>
        <v>3.8179218331469613E-3</v>
      </c>
      <c r="E27" s="38">
        <f ca="1">Lapse_U</f>
        <v>0.10722211622319061</v>
      </c>
      <c r="F27" s="38">
        <f ca="1">QA_U</f>
        <v>2.069061346150711E-3</v>
      </c>
      <c r="G27" s="39">
        <f ca="1">SUM(C27:F27)</f>
        <v>1</v>
      </c>
    </row>
    <row r="28" spans="2:14" x14ac:dyDescent="0.45">
      <c r="B28" s="25" t="s">
        <v>152</v>
      </c>
      <c r="C28" s="38">
        <f ca="1">Rec_U</f>
        <v>0.2208245168348717</v>
      </c>
      <c r="D28" s="38">
        <f ca="1">1-Rec_U-QD_U</f>
        <v>0.76883017643437479</v>
      </c>
      <c r="E28" s="38">
        <f>0</f>
        <v>0</v>
      </c>
      <c r="F28" s="38">
        <f ca="1">QD_U</f>
        <v>1.0345306730753553E-2</v>
      </c>
      <c r="G28" s="39">
        <f ca="1">SUM(C28:F28)</f>
        <v>1</v>
      </c>
    </row>
    <row r="29" spans="2:14" x14ac:dyDescent="0.45">
      <c r="B29" s="25" t="s">
        <v>153</v>
      </c>
      <c r="C29" s="38">
        <f>0</f>
        <v>0</v>
      </c>
      <c r="D29" s="38">
        <f>0</f>
        <v>0</v>
      </c>
      <c r="E29" s="38">
        <f>1</f>
        <v>1</v>
      </c>
      <c r="F29" s="38">
        <f>0</f>
        <v>0</v>
      </c>
      <c r="G29" s="39">
        <f>SUM(C29:F29)</f>
        <v>1</v>
      </c>
    </row>
    <row r="30" spans="2:14" x14ac:dyDescent="0.45">
      <c r="B30" s="25" t="s">
        <v>154</v>
      </c>
      <c r="C30" s="38">
        <f>0</f>
        <v>0</v>
      </c>
      <c r="D30" s="38">
        <f>0</f>
        <v>0</v>
      </c>
      <c r="E30" s="38">
        <f>0</f>
        <v>0</v>
      </c>
      <c r="F30" s="38">
        <f>1</f>
        <v>1</v>
      </c>
      <c r="G30" s="39">
        <f>SUM(C30:F30)</f>
        <v>1</v>
      </c>
    </row>
    <row r="31" spans="2:14" ht="8" customHeight="1" x14ac:dyDescent="0.45"/>
    <row r="32" spans="2:14" ht="22.05" customHeight="1" x14ac:dyDescent="0.5">
      <c r="B32" s="7" t="s">
        <v>169</v>
      </c>
      <c r="C32" s="8"/>
      <c r="D32" s="8"/>
      <c r="E32" s="8"/>
      <c r="F32" s="8"/>
      <c r="G32" s="8"/>
    </row>
    <row r="33" spans="2:14" ht="18" customHeight="1" x14ac:dyDescent="0.45">
      <c r="B33" s="13" t="s">
        <v>170</v>
      </c>
    </row>
    <row r="34" spans="2:14" ht="18" customHeight="1" x14ac:dyDescent="0.45">
      <c r="B34" s="36" t="s">
        <v>150</v>
      </c>
      <c r="C34" s="37" t="s">
        <v>151</v>
      </c>
      <c r="D34" s="37" t="s">
        <v>152</v>
      </c>
      <c r="E34" s="37" t="s">
        <v>153</v>
      </c>
      <c r="F34" s="37" t="s">
        <v>154</v>
      </c>
      <c r="G34" s="5"/>
    </row>
    <row r="35" spans="2:14" x14ac:dyDescent="0.45">
      <c r="B35" s="25" t="s">
        <v>151</v>
      </c>
      <c r="C35" s="44">
        <f t="array" ref="C35:F38">_xll.VoseMarkovMatrix(M_BE,10)</f>
        <v>0.46846822150378414</v>
      </c>
      <c r="D35" s="44">
        <v>8.9312339300120294E-3</v>
      </c>
      <c r="E35" s="44">
        <v>0.50733378330788481</v>
      </c>
      <c r="F35" s="44">
        <v>1.5266761258319057E-2</v>
      </c>
      <c r="G35" s="28"/>
      <c r="N35" s="40" t="s">
        <v>171</v>
      </c>
    </row>
    <row r="36" spans="2:14" x14ac:dyDescent="0.45">
      <c r="B36" s="25" t="s">
        <v>152</v>
      </c>
      <c r="C36" s="44">
        <v>0.55820212062575891</v>
      </c>
      <c r="D36" s="44">
        <v>5.7631460723225475E-2</v>
      </c>
      <c r="E36" s="44">
        <v>0.33753575916603101</v>
      </c>
      <c r="F36" s="44">
        <v>4.663065948498462E-2</v>
      </c>
      <c r="G36" s="28"/>
    </row>
    <row r="37" spans="2:14" x14ac:dyDescent="0.45">
      <c r="B37" s="25" t="s">
        <v>153</v>
      </c>
      <c r="C37" s="44">
        <v>0</v>
      </c>
      <c r="D37" s="44">
        <v>0</v>
      </c>
      <c r="E37" s="44">
        <v>1</v>
      </c>
      <c r="F37" s="44">
        <v>0</v>
      </c>
      <c r="G37" s="28"/>
    </row>
    <row r="38" spans="2:14" x14ac:dyDescent="0.45">
      <c r="B38" s="25" t="s">
        <v>154</v>
      </c>
      <c r="C38" s="44">
        <v>0</v>
      </c>
      <c r="D38" s="44">
        <v>0</v>
      </c>
      <c r="E38" s="44">
        <v>0</v>
      </c>
      <c r="F38" s="44">
        <v>1</v>
      </c>
      <c r="G38" s="28"/>
    </row>
    <row r="39" spans="2:14" x14ac:dyDescent="0.45">
      <c r="B39" s="45" t="s">
        <v>172</v>
      </c>
      <c r="C39" s="46">
        <f t="array" ref="C39:F39">MMULT(Start,M_10)</f>
        <v>9369.3644300756823</v>
      </c>
      <c r="D39" s="46">
        <v>178.6246786002406</v>
      </c>
      <c r="E39" s="46">
        <v>10146.675666157696</v>
      </c>
      <c r="F39" s="46">
        <v>305.33522516638112</v>
      </c>
      <c r="G39" s="28"/>
      <c r="N39" s="40" t="s">
        <v>173</v>
      </c>
    </row>
    <row r="40" spans="2:14" ht="8" customHeight="1" x14ac:dyDescent="0.45"/>
    <row r="41" spans="2:14" ht="22.05" customHeight="1" x14ac:dyDescent="0.5">
      <c r="B41" s="7" t="s">
        <v>174</v>
      </c>
      <c r="C41" s="8"/>
      <c r="D41" s="8"/>
      <c r="E41" s="8"/>
      <c r="F41" s="8"/>
      <c r="G41" s="8"/>
    </row>
    <row r="42" spans="2:14" ht="18" customHeight="1" x14ac:dyDescent="0.45">
      <c r="B42" s="13" t="s">
        <v>175</v>
      </c>
    </row>
    <row r="43" spans="2:14" ht="18" customHeight="1" x14ac:dyDescent="0.45">
      <c r="B43" s="41" t="s">
        <v>176</v>
      </c>
      <c r="C43" s="42" t="s">
        <v>177</v>
      </c>
      <c r="D43" s="42" t="s">
        <v>178</v>
      </c>
      <c r="E43" s="5"/>
      <c r="F43" s="5"/>
      <c r="G43" s="5"/>
    </row>
    <row r="44" spans="2:14" x14ac:dyDescent="0.45">
      <c r="B44" s="43"/>
      <c r="C44" s="43" t="s">
        <v>179</v>
      </c>
      <c r="D44" s="43" t="s">
        <v>179</v>
      </c>
    </row>
    <row r="45" spans="2:14" x14ac:dyDescent="0.45">
      <c r="B45" s="25">
        <v>1</v>
      </c>
      <c r="C45" s="47">
        <f t="shared" ref="C45:C54" si="0">1/(1+DiscRate)^(B45-1)</f>
        <v>1</v>
      </c>
      <c r="D45" s="47">
        <f t="shared" ref="D45:D54" si="1">1/(1+DiscRate)^B45</f>
        <v>0.970873786407767</v>
      </c>
      <c r="E45" s="28"/>
      <c r="F45" s="28"/>
      <c r="G45" s="28"/>
      <c r="N45" s="40" t="s">
        <v>180</v>
      </c>
    </row>
    <row r="46" spans="2:14" x14ac:dyDescent="0.45">
      <c r="B46" s="25">
        <v>2</v>
      </c>
      <c r="C46" s="47">
        <f t="shared" si="0"/>
        <v>0.970873786407767</v>
      </c>
      <c r="D46" s="47">
        <f t="shared" si="1"/>
        <v>0.94259590913375435</v>
      </c>
      <c r="E46" s="28"/>
      <c r="F46" s="28"/>
      <c r="G46" s="28"/>
    </row>
    <row r="47" spans="2:14" x14ac:dyDescent="0.45">
      <c r="B47" s="25">
        <v>3</v>
      </c>
      <c r="C47" s="47">
        <f t="shared" si="0"/>
        <v>0.94259590913375435</v>
      </c>
      <c r="D47" s="47">
        <f t="shared" si="1"/>
        <v>0.91514165935315961</v>
      </c>
      <c r="E47" s="28"/>
      <c r="F47" s="28"/>
      <c r="G47" s="28"/>
    </row>
    <row r="48" spans="2:14" x14ac:dyDescent="0.45">
      <c r="B48" s="25">
        <v>4</v>
      </c>
      <c r="C48" s="47">
        <f t="shared" si="0"/>
        <v>0.91514165935315961</v>
      </c>
      <c r="D48" s="47">
        <f t="shared" si="1"/>
        <v>0.888487047915689</v>
      </c>
      <c r="E48" s="28"/>
      <c r="F48" s="28"/>
      <c r="G48" s="28"/>
    </row>
    <row r="49" spans="2:14" x14ac:dyDescent="0.45">
      <c r="B49" s="25">
        <v>5</v>
      </c>
      <c r="C49" s="47">
        <f t="shared" si="0"/>
        <v>0.888487047915689</v>
      </c>
      <c r="D49" s="47">
        <f t="shared" si="1"/>
        <v>0.86260878438416411</v>
      </c>
      <c r="E49" s="28"/>
      <c r="F49" s="28"/>
      <c r="G49" s="28"/>
    </row>
    <row r="50" spans="2:14" x14ac:dyDescent="0.45">
      <c r="B50" s="25">
        <v>6</v>
      </c>
      <c r="C50" s="47">
        <f t="shared" si="0"/>
        <v>0.86260878438416411</v>
      </c>
      <c r="D50" s="47">
        <f t="shared" si="1"/>
        <v>0.83748425668365445</v>
      </c>
      <c r="E50" s="28"/>
      <c r="F50" s="28"/>
      <c r="G50" s="28"/>
    </row>
    <row r="51" spans="2:14" x14ac:dyDescent="0.45">
      <c r="B51" s="25">
        <v>7</v>
      </c>
      <c r="C51" s="47">
        <f t="shared" si="0"/>
        <v>0.83748425668365445</v>
      </c>
      <c r="D51" s="47">
        <f t="shared" si="1"/>
        <v>0.81309151134335378</v>
      </c>
      <c r="E51" s="28"/>
      <c r="F51" s="28"/>
      <c r="G51" s="28"/>
    </row>
    <row r="52" spans="2:14" x14ac:dyDescent="0.45">
      <c r="B52" s="25">
        <v>8</v>
      </c>
      <c r="C52" s="47">
        <f t="shared" si="0"/>
        <v>0.81309151134335378</v>
      </c>
      <c r="D52" s="47">
        <f t="shared" si="1"/>
        <v>0.78940923431393573</v>
      </c>
      <c r="E52" s="28"/>
      <c r="F52" s="28"/>
      <c r="G52" s="28"/>
    </row>
    <row r="53" spans="2:14" x14ac:dyDescent="0.45">
      <c r="B53" s="25">
        <v>9</v>
      </c>
      <c r="C53" s="47">
        <f t="shared" si="0"/>
        <v>0.78940923431393573</v>
      </c>
      <c r="D53" s="47">
        <f t="shared" si="1"/>
        <v>0.76641673234362695</v>
      </c>
      <c r="E53" s="28"/>
      <c r="F53" s="28"/>
      <c r="G53" s="28"/>
    </row>
    <row r="54" spans="2:14" x14ac:dyDescent="0.45">
      <c r="B54" s="25">
        <v>10</v>
      </c>
      <c r="C54" s="47">
        <f t="shared" si="0"/>
        <v>0.76641673234362695</v>
      </c>
      <c r="D54" s="47">
        <f t="shared" si="1"/>
        <v>0.74409391489672516</v>
      </c>
      <c r="E54" s="28"/>
      <c r="F54" s="28"/>
      <c r="G54" s="28"/>
    </row>
    <row r="55" spans="2:14" ht="8" customHeight="1" x14ac:dyDescent="0.45"/>
    <row r="56" spans="2:14" ht="22.05" customHeight="1" x14ac:dyDescent="0.5">
      <c r="B56" s="7" t="s">
        <v>181</v>
      </c>
      <c r="C56" s="8"/>
      <c r="D56" s="8"/>
      <c r="E56" s="8"/>
      <c r="F56" s="8"/>
      <c r="G56" s="8"/>
      <c r="H56" s="8"/>
      <c r="I56" s="8"/>
      <c r="J56" s="8"/>
      <c r="K56" s="8"/>
      <c r="L56" s="8"/>
      <c r="M56" s="8"/>
      <c r="N56" s="8"/>
    </row>
    <row r="57" spans="2:14" ht="18" customHeight="1" x14ac:dyDescent="0.45">
      <c r="B57" s="13" t="s">
        <v>182</v>
      </c>
    </row>
    <row r="58" spans="2:14" ht="18" customHeight="1" x14ac:dyDescent="0.45">
      <c r="B58" s="41" t="s">
        <v>176</v>
      </c>
      <c r="C58" s="42" t="s">
        <v>151</v>
      </c>
      <c r="D58" s="42" t="s">
        <v>152</v>
      </c>
      <c r="E58" s="42" t="s">
        <v>153</v>
      </c>
      <c r="F58" s="42" t="s">
        <v>154</v>
      </c>
      <c r="G58" s="42" t="s">
        <v>183</v>
      </c>
      <c r="H58" s="42" t="s">
        <v>184</v>
      </c>
      <c r="I58" s="42" t="s">
        <v>185</v>
      </c>
      <c r="J58" s="42" t="s">
        <v>186</v>
      </c>
      <c r="K58" s="42" t="s">
        <v>187</v>
      </c>
      <c r="L58" s="42" t="s">
        <v>188</v>
      </c>
      <c r="M58" s="5"/>
      <c r="N58" s="5"/>
    </row>
    <row r="59" spans="2:14" x14ac:dyDescent="0.45">
      <c r="B59" s="43"/>
      <c r="C59" s="43" t="s">
        <v>105</v>
      </c>
      <c r="D59" s="43" t="s">
        <v>105</v>
      </c>
      <c r="E59" s="43" t="s">
        <v>105</v>
      </c>
      <c r="F59" s="43" t="s">
        <v>105</v>
      </c>
      <c r="G59" s="43" t="s">
        <v>189</v>
      </c>
      <c r="H59" s="43" t="s">
        <v>190</v>
      </c>
      <c r="I59" s="43" t="s">
        <v>190</v>
      </c>
      <c r="J59" s="43" t="s">
        <v>190</v>
      </c>
      <c r="K59" s="43" t="s">
        <v>190</v>
      </c>
      <c r="L59" s="43" t="s">
        <v>190</v>
      </c>
    </row>
    <row r="60" spans="2:14" x14ac:dyDescent="0.45">
      <c r="B60" s="25">
        <v>0</v>
      </c>
      <c r="C60" s="48">
        <f>NPolicies</f>
        <v>20000</v>
      </c>
      <c r="D60" s="48">
        <f>0</f>
        <v>0</v>
      </c>
      <c r="E60" s="48">
        <f>0</f>
        <v>0</v>
      </c>
      <c r="F60" s="48">
        <f>0</f>
        <v>0</v>
      </c>
      <c r="G60" s="28"/>
      <c r="H60" s="28"/>
      <c r="I60" s="28"/>
      <c r="J60" s="28"/>
      <c r="K60" s="28"/>
      <c r="L60" s="28"/>
      <c r="M60" s="28"/>
      <c r="N60" s="28"/>
    </row>
    <row r="61" spans="2:14" x14ac:dyDescent="0.45">
      <c r="B61" s="25">
        <v>1</v>
      </c>
      <c r="C61" s="48">
        <f t="array" ref="C61:F61">MMULT(C60:F60,M_BE)</f>
        <v>18480</v>
      </c>
      <c r="D61" s="48">
        <v>80</v>
      </c>
      <c r="E61" s="48">
        <v>1400.0000000000002</v>
      </c>
      <c r="F61" s="48">
        <v>40</v>
      </c>
      <c r="G61" s="48">
        <f t="shared" ref="G61:G70" si="2">F61-F60</f>
        <v>40</v>
      </c>
      <c r="H61" s="49">
        <f t="shared" ref="H61:H70" si="3">C60*Prem/1000000</f>
        <v>13</v>
      </c>
      <c r="I61" s="49">
        <f t="shared" ref="I61:I70" si="4">G61*SumAssured/1000000</f>
        <v>10</v>
      </c>
      <c r="J61" s="49">
        <f t="shared" ref="J61:J70" si="5">(C60+D60)*ExpPol/1000000</f>
        <v>1.2</v>
      </c>
      <c r="K61" s="49">
        <f t="shared" ref="K61:K70" si="6">H61-I61-J61</f>
        <v>1.8</v>
      </c>
      <c r="L61" s="49" cm="1">
        <f t="array" ref="L61">(H61-J61)*INDEX(DFStart,B61)-I61*INDEX(DFEnd,B61)</f>
        <v>2.0912621359223316</v>
      </c>
      <c r="M61" s="28"/>
      <c r="N61" s="28"/>
    </row>
    <row r="62" spans="2:14" x14ac:dyDescent="0.45">
      <c r="B62" s="25">
        <v>2</v>
      </c>
      <c r="C62" s="48">
        <f t="array" ref="C62:F62">MMULT(C61:F61,M_BE)</f>
        <v>17095.52</v>
      </c>
      <c r="D62" s="48">
        <v>133.12</v>
      </c>
      <c r="E62" s="48">
        <v>2693.6000000000004</v>
      </c>
      <c r="F62" s="48">
        <v>77.759999999999991</v>
      </c>
      <c r="G62" s="48">
        <f t="shared" si="2"/>
        <v>37.759999999999991</v>
      </c>
      <c r="H62" s="49">
        <f t="shared" si="3"/>
        <v>12.012</v>
      </c>
      <c r="I62" s="49">
        <f t="shared" si="4"/>
        <v>9.4399999999999977</v>
      </c>
      <c r="J62" s="49">
        <f t="shared" si="5"/>
        <v>1.1135999999999999</v>
      </c>
      <c r="K62" s="49">
        <f t="shared" si="6"/>
        <v>1.4584000000000028</v>
      </c>
      <c r="L62" s="49" cm="1">
        <f t="array" ref="L62">(H62-J62)*INDEX(DFStart,B62)-I62*INDEX(DFEnd,B62)</f>
        <v>1.6828654915637706</v>
      </c>
      <c r="M62" s="28"/>
      <c r="N62" s="28"/>
    </row>
    <row r="63" spans="2:14" x14ac:dyDescent="0.45">
      <c r="B63" s="25">
        <v>3</v>
      </c>
      <c r="C63" s="48">
        <f t="array" ref="C63:F63">MMULT(C62:F62,M_BE)</f>
        <v>15829.54048</v>
      </c>
      <c r="D63" s="48">
        <v>166.89088000000001</v>
      </c>
      <c r="E63" s="48">
        <v>3890.2864000000004</v>
      </c>
      <c r="F63" s="48">
        <v>113.28224</v>
      </c>
      <c r="G63" s="48">
        <f t="shared" si="2"/>
        <v>35.522240000000011</v>
      </c>
      <c r="H63" s="49">
        <f t="shared" si="3"/>
        <v>11.112088</v>
      </c>
      <c r="I63" s="49">
        <f t="shared" si="4"/>
        <v>8.8805600000000027</v>
      </c>
      <c r="J63" s="49">
        <f t="shared" si="5"/>
        <v>1.0337183999999999</v>
      </c>
      <c r="K63" s="49">
        <f t="shared" si="6"/>
        <v>1.1978095999999974</v>
      </c>
      <c r="L63" s="49" cm="1">
        <f t="array" ref="L63">(H63-J63)*INDEX(DFStart,B63)-I63*INDEX(DFEnd,B63)</f>
        <v>1.3728595413126943</v>
      </c>
      <c r="M63" s="28"/>
      <c r="N63" s="28"/>
    </row>
    <row r="64" spans="2:14" x14ac:dyDescent="0.45">
      <c r="B64" s="25">
        <v>4</v>
      </c>
      <c r="C64" s="48">
        <f t="array" ref="C64:F64">MMULT(C63:F63,M_BE)</f>
        <v>14668.218123519999</v>
      </c>
      <c r="D64" s="48">
        <v>186.81741312</v>
      </c>
      <c r="E64" s="48">
        <v>4998.354233600001</v>
      </c>
      <c r="F64" s="48">
        <v>146.61022976000001</v>
      </c>
      <c r="G64" s="48">
        <f t="shared" si="2"/>
        <v>33.327989760000008</v>
      </c>
      <c r="H64" s="49">
        <f t="shared" si="3"/>
        <v>10.289201311999999</v>
      </c>
      <c r="I64" s="49">
        <f t="shared" si="4"/>
        <v>8.3319974400000021</v>
      </c>
      <c r="J64" s="49">
        <f t="shared" si="5"/>
        <v>0.95978588160000011</v>
      </c>
      <c r="K64" s="49">
        <f t="shared" si="6"/>
        <v>0.99741799039999723</v>
      </c>
      <c r="L64" s="49" cm="1">
        <f t="array" ref="L64">(H64-J64)*INDEX(DFStart,B64)-I64*INDEX(DFEnd,B64)</f>
        <v>1.1348649090645466</v>
      </c>
      <c r="M64" s="28"/>
      <c r="N64" s="28"/>
    </row>
    <row r="65" spans="2:14" x14ac:dyDescent="0.45">
      <c r="B65" s="25">
        <v>5</v>
      </c>
      <c r="C65" s="48">
        <f t="array" ref="C65:F65">MMULT(C64:F64,M_BE)</f>
        <v>13600.137899412477</v>
      </c>
      <c r="D65" s="48">
        <v>196.91775820287998</v>
      </c>
      <c r="E65" s="48">
        <v>6025.129502246401</v>
      </c>
      <c r="F65" s="48">
        <v>177.81484013824002</v>
      </c>
      <c r="G65" s="48">
        <f t="shared" si="2"/>
        <v>31.204610378240005</v>
      </c>
      <c r="H65" s="49">
        <f t="shared" si="3"/>
        <v>9.5343417802879991</v>
      </c>
      <c r="I65" s="49">
        <f t="shared" si="4"/>
        <v>7.8011525945600013</v>
      </c>
      <c r="J65" s="49">
        <f t="shared" si="5"/>
        <v>0.89130213219839982</v>
      </c>
      <c r="K65" s="49">
        <f t="shared" si="6"/>
        <v>0.84188705352959792</v>
      </c>
      <c r="L65" s="49" cm="1">
        <f t="array" ref="L65">(H65-J65)*INDEX(DFStart,B65)-I65*INDEX(DFEnd,B65)</f>
        <v>0.94988602556061341</v>
      </c>
      <c r="M65" s="28"/>
      <c r="N65" s="28"/>
    </row>
    <row r="66" spans="2:14" x14ac:dyDescent="0.45">
      <c r="B66" s="25">
        <v>6</v>
      </c>
      <c r="C66" s="48">
        <f t="array" ref="C66:F66">MMULT(C65:F65,M_BE)</f>
        <v>12615.756858607847</v>
      </c>
      <c r="D66" s="48">
        <v>200.11969266778107</v>
      </c>
      <c r="E66" s="48">
        <v>6977.1391552052746</v>
      </c>
      <c r="F66" s="48">
        <v>206.98429351909377</v>
      </c>
      <c r="G66" s="48">
        <f t="shared" si="2"/>
        <v>29.169453380853753</v>
      </c>
      <c r="H66" s="49">
        <f t="shared" si="3"/>
        <v>8.8400896346181117</v>
      </c>
      <c r="I66" s="49">
        <f t="shared" si="4"/>
        <v>7.2923633452134382</v>
      </c>
      <c r="J66" s="49">
        <f t="shared" si="5"/>
        <v>0.82782333945692144</v>
      </c>
      <c r="K66" s="49">
        <f t="shared" si="6"/>
        <v>0.71990294994775206</v>
      </c>
      <c r="L66" s="49" cm="1">
        <f t="array" ref="L66">(H66-J66)*INDEX(DFStart,B66)-I66*INDEX(DFEnd,B66)</f>
        <v>0.80421179339800108</v>
      </c>
      <c r="M66" s="28"/>
      <c r="N66" s="28"/>
    </row>
    <row r="67" spans="2:14" x14ac:dyDescent="0.45">
      <c r="B67" s="25">
        <v>7</v>
      </c>
      <c r="C67" s="48">
        <f t="array" ref="C67:F67">MMULT(C66:F66,M_BE)</f>
        <v>11706.989260520595</v>
      </c>
      <c r="D67" s="48">
        <v>198.55160000858936</v>
      </c>
      <c r="E67" s="48">
        <v>7860.2421353078244</v>
      </c>
      <c r="F67" s="48">
        <v>234.21700416298728</v>
      </c>
      <c r="G67" s="48">
        <f t="shared" si="2"/>
        <v>27.232710643893512</v>
      </c>
      <c r="H67" s="49">
        <f t="shared" si="3"/>
        <v>8.2002419580951003</v>
      </c>
      <c r="I67" s="49">
        <f t="shared" si="4"/>
        <v>6.808177660973378</v>
      </c>
      <c r="J67" s="49">
        <f t="shared" si="5"/>
        <v>0.76895259307653763</v>
      </c>
      <c r="K67" s="49">
        <f t="shared" si="6"/>
        <v>0.62311170404518468</v>
      </c>
      <c r="L67" s="49" cm="1">
        <f t="array" ref="L67">(H67-J67)*INDEX(DFStart,B67)-I67*INDEX(DFEnd,B67)</f>
        <v>0.68791638620881468</v>
      </c>
      <c r="M67" s="28"/>
      <c r="N67" s="28"/>
    </row>
    <row r="68" spans="2:14" x14ac:dyDescent="0.45">
      <c r="B68" s="25">
        <v>8</v>
      </c>
      <c r="C68" s="48">
        <f t="array" ref="C68:F68">MMULT(C67:F67,M_BE)</f>
        <v>10866.895976723177</v>
      </c>
      <c r="D68" s="48">
        <v>193.75614104843851</v>
      </c>
      <c r="E68" s="48">
        <v>8679.7313835442656</v>
      </c>
      <c r="F68" s="48">
        <v>259.61649868411439</v>
      </c>
      <c r="G68" s="48">
        <f t="shared" si="2"/>
        <v>25.39949452112711</v>
      </c>
      <c r="H68" s="49">
        <f t="shared" si="3"/>
        <v>7.6095430193383873</v>
      </c>
      <c r="I68" s="49">
        <f t="shared" si="4"/>
        <v>6.3498736302817775</v>
      </c>
      <c r="J68" s="49">
        <f t="shared" si="5"/>
        <v>0.71433245163175119</v>
      </c>
      <c r="K68" s="49">
        <f t="shared" si="6"/>
        <v>0.54533693742485856</v>
      </c>
      <c r="L68" s="49" cm="1">
        <f t="array" ref="L68">(H68-J68)*INDEX(DFStart,B68)-I68*INDEX(DFEnd,B68)</f>
        <v>0.59378830105626434</v>
      </c>
      <c r="M68" s="28"/>
      <c r="N68" s="28"/>
    </row>
    <row r="69" spans="2:14" x14ac:dyDescent="0.45">
      <c r="B69" s="25">
        <v>9</v>
      </c>
      <c r="C69" s="48">
        <f t="array" ref="C69:F69">MMULT(C68:F68,M_BE)</f>
        <v>10089.450917754326</v>
      </c>
      <c r="D69" s="48">
        <v>186.8471282827372</v>
      </c>
      <c r="E69" s="48">
        <v>9440.4141019148883</v>
      </c>
      <c r="F69" s="48">
        <v>283.28785204804512</v>
      </c>
      <c r="G69" s="48">
        <f t="shared" si="2"/>
        <v>23.671353363930734</v>
      </c>
      <c r="H69" s="49">
        <f t="shared" si="3"/>
        <v>7.0634823848700652</v>
      </c>
      <c r="I69" s="49">
        <f t="shared" si="4"/>
        <v>5.9178383409826836</v>
      </c>
      <c r="J69" s="49">
        <f t="shared" si="5"/>
        <v>0.66363912706629691</v>
      </c>
      <c r="K69" s="49">
        <f t="shared" si="6"/>
        <v>0.48200491682108471</v>
      </c>
      <c r="L69" s="49" cm="1">
        <f t="array" ref="L69">(H69-J69)*INDEX(DFStart,B69)-I69*INDEX(DFEnd,B69)</f>
        <v>0.51656504203829812</v>
      </c>
      <c r="M69" s="28"/>
      <c r="N69" s="28"/>
    </row>
    <row r="70" spans="2:14" x14ac:dyDescent="0.45">
      <c r="B70" s="25">
        <v>10</v>
      </c>
      <c r="C70" s="48">
        <f t="array" ref="C70:F70">MMULT(C69:F69,M_BE)</f>
        <v>9369.3644300756805</v>
      </c>
      <c r="D70" s="48">
        <v>178.62467860024285</v>
      </c>
      <c r="E70" s="48">
        <v>10146.675666157691</v>
      </c>
      <c r="F70" s="48">
        <v>305.33522516638118</v>
      </c>
      <c r="G70" s="48">
        <f t="shared" si="2"/>
        <v>22.047373118336054</v>
      </c>
      <c r="H70" s="49">
        <f t="shared" si="3"/>
        <v>6.558143096540312</v>
      </c>
      <c r="I70" s="49">
        <f t="shared" si="4"/>
        <v>5.5118432795840135</v>
      </c>
      <c r="J70" s="49">
        <f t="shared" si="5"/>
        <v>0.61657788276222381</v>
      </c>
      <c r="K70" s="49">
        <f t="shared" si="6"/>
        <v>0.42972193419407467</v>
      </c>
      <c r="L70" s="49" cm="1">
        <f t="array" ref="L70">(H70-J70)*INDEX(DFStart,B70)-I70*INDEX(DFEnd,B70)</f>
        <v>0.45238595194749287</v>
      </c>
      <c r="M70" s="28"/>
      <c r="N70" s="28"/>
    </row>
    <row r="71" spans="2:14" x14ac:dyDescent="0.45">
      <c r="B71" s="50" t="s">
        <v>191</v>
      </c>
      <c r="C71" s="51"/>
      <c r="D71" s="51"/>
      <c r="E71" s="51"/>
      <c r="F71" s="51"/>
      <c r="G71" s="52">
        <f t="shared" ref="G71:L71" si="7">SUM(G61:G70)</f>
        <v>305.33522516638118</v>
      </c>
      <c r="H71" s="53">
        <f t="shared" si="7"/>
        <v>94.219131185749987</v>
      </c>
      <c r="I71" s="53">
        <f t="shared" si="7"/>
        <v>76.333806291595295</v>
      </c>
      <c r="J71" s="53">
        <f t="shared" si="7"/>
        <v>8.7897318077921316</v>
      </c>
      <c r="K71" s="53">
        <f t="shared" si="7"/>
        <v>9.0955930863625483</v>
      </c>
      <c r="L71" s="53">
        <f t="shared" si="7"/>
        <v>10.286605578072828</v>
      </c>
    </row>
    <row r="72" spans="2:14" ht="8" customHeight="1" x14ac:dyDescent="0.45"/>
    <row r="73" spans="2:14" ht="22.05" customHeight="1" x14ac:dyDescent="0.5">
      <c r="B73" s="7" t="s">
        <v>192</v>
      </c>
      <c r="C73" s="8"/>
      <c r="D73" s="8"/>
      <c r="E73" s="8"/>
      <c r="F73" s="8"/>
      <c r="G73" s="8"/>
      <c r="H73" s="8"/>
      <c r="I73" s="8"/>
      <c r="J73" s="8"/>
      <c r="K73" s="8"/>
      <c r="L73" s="8"/>
      <c r="M73" s="8"/>
      <c r="N73" s="8"/>
    </row>
    <row r="74" spans="2:14" ht="18" customHeight="1" x14ac:dyDescent="0.45">
      <c r="B74" s="13" t="s">
        <v>193</v>
      </c>
    </row>
    <row r="75" spans="2:14" ht="18" customHeight="1" x14ac:dyDescent="0.45">
      <c r="B75" s="41" t="s">
        <v>176</v>
      </c>
      <c r="C75" s="42" t="s">
        <v>151</v>
      </c>
      <c r="D75" s="42" t="s">
        <v>152</v>
      </c>
      <c r="E75" s="42" t="s">
        <v>153</v>
      </c>
      <c r="F75" s="42" t="s">
        <v>154</v>
      </c>
      <c r="G75" s="42" t="s">
        <v>183</v>
      </c>
      <c r="H75" s="42" t="s">
        <v>184</v>
      </c>
      <c r="I75" s="42" t="s">
        <v>185</v>
      </c>
      <c r="J75" s="42" t="s">
        <v>186</v>
      </c>
      <c r="K75" s="42" t="s">
        <v>187</v>
      </c>
      <c r="L75" s="42" t="s">
        <v>188</v>
      </c>
      <c r="M75" s="5"/>
      <c r="N75" s="5"/>
    </row>
    <row r="76" spans="2:14" x14ac:dyDescent="0.45">
      <c r="B76" s="43"/>
      <c r="C76" s="43" t="s">
        <v>105</v>
      </c>
      <c r="D76" s="43" t="s">
        <v>105</v>
      </c>
      <c r="E76" s="43" t="s">
        <v>105</v>
      </c>
      <c r="F76" s="43" t="s">
        <v>105</v>
      </c>
      <c r="G76" s="43" t="s">
        <v>189</v>
      </c>
      <c r="H76" s="43" t="s">
        <v>190</v>
      </c>
      <c r="I76" s="43" t="s">
        <v>190</v>
      </c>
      <c r="J76" s="43" t="s">
        <v>190</v>
      </c>
      <c r="K76" s="43" t="s">
        <v>190</v>
      </c>
      <c r="L76" s="43" t="s">
        <v>190</v>
      </c>
    </row>
    <row r="77" spans="2:14" x14ac:dyDescent="0.45">
      <c r="B77" s="25">
        <v>0</v>
      </c>
      <c r="C77" s="46">
        <f>NPolicies</f>
        <v>20000</v>
      </c>
      <c r="D77" s="46">
        <f>0</f>
        <v>0</v>
      </c>
      <c r="E77" s="46">
        <f>0</f>
        <v>0</v>
      </c>
      <c r="F77" s="46">
        <f>0</f>
        <v>0</v>
      </c>
      <c r="G77" s="28"/>
      <c r="H77" s="28"/>
      <c r="I77" s="28"/>
      <c r="J77" s="28"/>
      <c r="K77" s="28"/>
      <c r="L77" s="28"/>
      <c r="M77" s="28"/>
      <c r="N77" s="28"/>
    </row>
    <row r="78" spans="2:14" x14ac:dyDescent="0.45">
      <c r="B78" s="25">
        <v>1</v>
      </c>
      <c r="C78" s="54">
        <f t="array" aca="1" ref="C78:F78" ca="1">_xll.VoseMarkovSample(C77:F77,M_BE,1)</f>
        <v>18493</v>
      </c>
      <c r="D78" s="54">
        <f ca="1"/>
        <v>80</v>
      </c>
      <c r="E78" s="54">
        <f ca="1"/>
        <v>1377</v>
      </c>
      <c r="F78" s="54">
        <f ca="1"/>
        <v>50</v>
      </c>
      <c r="G78" s="46">
        <f t="shared" ref="G78:G87" ca="1" si="8">F78-F77</f>
        <v>50</v>
      </c>
      <c r="H78" s="49">
        <f t="shared" ref="H78:H87" si="9">C77*Prem/1000000</f>
        <v>13</v>
      </c>
      <c r="I78" s="49">
        <f t="shared" ref="I78:I87" ca="1" si="10">G78*SumAssured/1000000</f>
        <v>12.5</v>
      </c>
      <c r="J78" s="49">
        <f t="shared" ref="J78:J87" si="11">(C77+D77)*ExpPol/1000000</f>
        <v>1.2</v>
      </c>
      <c r="K78" s="49">
        <f t="shared" ref="K78:K87" ca="1" si="12">H78-I78-J78</f>
        <v>-0.7</v>
      </c>
      <c r="L78" s="49" cm="1">
        <f t="array" aca="1" ref="L78" ca="1">(H78-J78)*INDEX(DFStart,B78)-I78*INDEX(DFEnd,B78)</f>
        <v>-0.3359223300970875</v>
      </c>
      <c r="M78" s="28"/>
      <c r="N78" s="28"/>
    </row>
    <row r="79" spans="2:14" x14ac:dyDescent="0.45">
      <c r="B79" s="25">
        <v>2</v>
      </c>
      <c r="C79" s="54">
        <f t="array" aca="1" ref="C79:F79" ca="1">_xll.VoseMarkovSample(C78:F78,M_BE,1)</f>
        <v>17116</v>
      </c>
      <c r="D79" s="54">
        <f ca="1"/>
        <v>120</v>
      </c>
      <c r="E79" s="54">
        <f ca="1"/>
        <v>2679</v>
      </c>
      <c r="F79" s="54">
        <f ca="1"/>
        <v>85</v>
      </c>
      <c r="G79" s="46">
        <f t="shared" ca="1" si="8"/>
        <v>35</v>
      </c>
      <c r="H79" s="49">
        <f t="shared" ca="1" si="9"/>
        <v>12.02045</v>
      </c>
      <c r="I79" s="49">
        <f t="shared" ca="1" si="10"/>
        <v>8.75</v>
      </c>
      <c r="J79" s="49">
        <f t="shared" ca="1" si="11"/>
        <v>1.1143799999999999</v>
      </c>
      <c r="K79" s="49">
        <f t="shared" ca="1" si="12"/>
        <v>2.1560700000000006</v>
      </c>
      <c r="L79" s="49" cm="1">
        <f t="array" aca="1" ref="L79" ca="1">(H79-J79)*INDEX(DFStart,B79)-I79*INDEX(DFEnd,B79)</f>
        <v>2.3407032708078042</v>
      </c>
      <c r="M79" s="28"/>
      <c r="N79" s="28"/>
    </row>
    <row r="80" spans="2:14" x14ac:dyDescent="0.45">
      <c r="B80" s="25">
        <v>3</v>
      </c>
      <c r="C80" s="54">
        <f t="array" aca="1" ref="C80:F80" ca="1">_xll.VoseMarkovSample(C79:F79,M_BE,1)</f>
        <v>15831</v>
      </c>
      <c r="D80" s="54">
        <f ca="1"/>
        <v>152</v>
      </c>
      <c r="E80" s="54">
        <f ca="1"/>
        <v>3896</v>
      </c>
      <c r="F80" s="54">
        <f ca="1"/>
        <v>121</v>
      </c>
      <c r="G80" s="46">
        <f t="shared" ca="1" si="8"/>
        <v>36</v>
      </c>
      <c r="H80" s="49">
        <f t="shared" ca="1" si="9"/>
        <v>11.125400000000001</v>
      </c>
      <c r="I80" s="49">
        <f t="shared" ca="1" si="10"/>
        <v>9</v>
      </c>
      <c r="J80" s="49">
        <f t="shared" ca="1" si="11"/>
        <v>1.03416</v>
      </c>
      <c r="K80" s="49">
        <f t="shared" ca="1" si="12"/>
        <v>1.0912400000000009</v>
      </c>
      <c r="L80" s="49" cm="1">
        <f t="array" aca="1" ref="L80" ca="1">(H80-J80)*INDEX(DFStart,B80)-I80*INDEX(DFEnd,B80)</f>
        <v>1.2756866079084723</v>
      </c>
      <c r="M80" s="28"/>
      <c r="N80" s="28"/>
    </row>
    <row r="81" spans="2:14" x14ac:dyDescent="0.45">
      <c r="B81" s="25">
        <v>4</v>
      </c>
      <c r="C81" s="54">
        <f t="array" aca="1" ref="C81:F81" ca="1">_xll.VoseMarkovSample(C80:F80,M_BE,1)</f>
        <v>14701</v>
      </c>
      <c r="D81" s="54">
        <f ca="1"/>
        <v>170</v>
      </c>
      <c r="E81" s="54">
        <f ca="1"/>
        <v>4974</v>
      </c>
      <c r="F81" s="54">
        <f ca="1"/>
        <v>155</v>
      </c>
      <c r="G81" s="46">
        <f t="shared" ca="1" si="8"/>
        <v>34</v>
      </c>
      <c r="H81" s="49">
        <f t="shared" ca="1" si="9"/>
        <v>10.290150000000001</v>
      </c>
      <c r="I81" s="49">
        <f t="shared" ca="1" si="10"/>
        <v>8.5</v>
      </c>
      <c r="J81" s="49">
        <f t="shared" ca="1" si="11"/>
        <v>0.95898000000000005</v>
      </c>
      <c r="K81" s="49">
        <f t="shared" ca="1" si="12"/>
        <v>0.83117000000000052</v>
      </c>
      <c r="L81" s="49" cm="1">
        <f t="array" aca="1" ref="L81" ca="1">(H81-J81)*INDEX(DFStart,B81)-I81*INDEX(DFEnd,B81)</f>
        <v>0.98720249022306561</v>
      </c>
      <c r="M81" s="28"/>
      <c r="N81" s="28"/>
    </row>
    <row r="82" spans="2:14" x14ac:dyDescent="0.45">
      <c r="B82" s="25">
        <v>5</v>
      </c>
      <c r="C82" s="54">
        <f t="array" aca="1" ref="C82:F82" ca="1">_xll.VoseMarkovSample(C81:F81,M_BE,1)</f>
        <v>13631</v>
      </c>
      <c r="D82" s="54">
        <f ca="1"/>
        <v>191</v>
      </c>
      <c r="E82" s="54">
        <f ca="1"/>
        <v>5976</v>
      </c>
      <c r="F82" s="54">
        <f ca="1"/>
        <v>202</v>
      </c>
      <c r="G82" s="46">
        <f t="shared" ca="1" si="8"/>
        <v>47</v>
      </c>
      <c r="H82" s="49">
        <f t="shared" ca="1" si="9"/>
        <v>9.55565</v>
      </c>
      <c r="I82" s="49">
        <f t="shared" ca="1" si="10"/>
        <v>11.75</v>
      </c>
      <c r="J82" s="49">
        <f t="shared" ca="1" si="11"/>
        <v>0.89226000000000005</v>
      </c>
      <c r="K82" s="49">
        <f t="shared" ca="1" si="12"/>
        <v>-3.0866100000000003</v>
      </c>
      <c r="L82" s="49" cm="1">
        <f t="array" aca="1" ref="L82" ca="1">(H82-J82)*INDEX(DFStart,B82)-I82*INDEX(DFEnd,B82)</f>
        <v>-2.4383434104716271</v>
      </c>
      <c r="M82" s="28"/>
      <c r="N82" s="28"/>
    </row>
    <row r="83" spans="2:14" x14ac:dyDescent="0.45">
      <c r="B83" s="25">
        <v>6</v>
      </c>
      <c r="C83" s="54">
        <f t="array" aca="1" ref="C83:F83" ca="1">_xll.VoseMarkovSample(C82:F82,M_BE,1)</f>
        <v>12620</v>
      </c>
      <c r="D83" s="54">
        <f ca="1"/>
        <v>198</v>
      </c>
      <c r="E83" s="54">
        <f ca="1"/>
        <v>6952</v>
      </c>
      <c r="F83" s="54">
        <f ca="1"/>
        <v>230</v>
      </c>
      <c r="G83" s="46">
        <f t="shared" ca="1" si="8"/>
        <v>28</v>
      </c>
      <c r="H83" s="49">
        <f t="shared" ca="1" si="9"/>
        <v>8.8601500000000009</v>
      </c>
      <c r="I83" s="49">
        <f t="shared" ca="1" si="10"/>
        <v>7</v>
      </c>
      <c r="J83" s="49">
        <f t="shared" ca="1" si="11"/>
        <v>0.82931999999999995</v>
      </c>
      <c r="K83" s="49">
        <f t="shared" ca="1" si="12"/>
        <v>1.0308300000000008</v>
      </c>
      <c r="L83" s="49" cm="1">
        <f t="array" aca="1" ref="L83" ca="1">(H83-J83)*INDEX(DFStart,B83)-I83*INDEX(DFEnd,B83)</f>
        <v>1.0650747071102975</v>
      </c>
      <c r="M83" s="28"/>
      <c r="N83" s="28"/>
    </row>
    <row r="84" spans="2:14" x14ac:dyDescent="0.45">
      <c r="B84" s="25">
        <v>7</v>
      </c>
      <c r="C84" s="54">
        <f t="array" aca="1" ref="C84:F84" ca="1">_xll.VoseMarkovSample(C83:F83,M_BE,1)</f>
        <v>11729</v>
      </c>
      <c r="D84" s="54">
        <f ca="1"/>
        <v>195</v>
      </c>
      <c r="E84" s="54">
        <f ca="1"/>
        <v>7819</v>
      </c>
      <c r="F84" s="54">
        <f ca="1"/>
        <v>257</v>
      </c>
      <c r="G84" s="46">
        <f t="shared" ca="1" si="8"/>
        <v>27</v>
      </c>
      <c r="H84" s="49">
        <f t="shared" ca="1" si="9"/>
        <v>8.2029999999999994</v>
      </c>
      <c r="I84" s="49">
        <f t="shared" ca="1" si="10"/>
        <v>6.75</v>
      </c>
      <c r="J84" s="49">
        <f t="shared" ca="1" si="11"/>
        <v>0.76907999999999999</v>
      </c>
      <c r="K84" s="49">
        <f t="shared" ca="1" si="12"/>
        <v>0.68391999999999942</v>
      </c>
      <c r="L84" s="49" cm="1">
        <f t="array" aca="1" ref="L84" ca="1">(H84-J84)*INDEX(DFStart,B84)-I84*INDEX(DFEnd,B84)</f>
        <v>0.73742326387811463</v>
      </c>
      <c r="M84" s="28"/>
      <c r="N84" s="28"/>
    </row>
    <row r="85" spans="2:14" x14ac:dyDescent="0.45">
      <c r="B85" s="25">
        <v>8</v>
      </c>
      <c r="C85" s="54">
        <f t="array" aca="1" ref="C85:F85" ca="1">_xll.VoseMarkovSample(C84:F84,M_BE,1)</f>
        <v>10875</v>
      </c>
      <c r="D85" s="54">
        <f ca="1"/>
        <v>194</v>
      </c>
      <c r="E85" s="54">
        <f ca="1"/>
        <v>8652</v>
      </c>
      <c r="F85" s="54">
        <f ca="1"/>
        <v>279</v>
      </c>
      <c r="G85" s="46">
        <f t="shared" ca="1" si="8"/>
        <v>22</v>
      </c>
      <c r="H85" s="49">
        <f t="shared" ca="1" si="9"/>
        <v>7.62385</v>
      </c>
      <c r="I85" s="49">
        <f t="shared" ca="1" si="10"/>
        <v>5.5</v>
      </c>
      <c r="J85" s="49">
        <f t="shared" ca="1" si="11"/>
        <v>0.71543999999999996</v>
      </c>
      <c r="K85" s="49">
        <f t="shared" ca="1" si="12"/>
        <v>1.4084099999999999</v>
      </c>
      <c r="L85" s="49" cm="1">
        <f t="array" aca="1" ref="L85" ca="1">(H85-J85)*INDEX(DFStart,B85)-I85*INDEX(DFEnd,B85)</f>
        <v>1.2754187391528919</v>
      </c>
      <c r="M85" s="28"/>
      <c r="N85" s="28"/>
    </row>
    <row r="86" spans="2:14" x14ac:dyDescent="0.45">
      <c r="B86" s="25">
        <v>9</v>
      </c>
      <c r="C86" s="54">
        <f t="array" aca="1" ref="C86:F86" ca="1">_xll.VoseMarkovSample(C85:F85,M_BE,1)</f>
        <v>10098</v>
      </c>
      <c r="D86" s="54">
        <f ca="1"/>
        <v>187</v>
      </c>
      <c r="E86" s="54">
        <f ca="1"/>
        <v>9415</v>
      </c>
      <c r="F86" s="54">
        <f ca="1"/>
        <v>300</v>
      </c>
      <c r="G86" s="46">
        <f t="shared" ca="1" si="8"/>
        <v>21</v>
      </c>
      <c r="H86" s="49">
        <f t="shared" ca="1" si="9"/>
        <v>7.0687499999999996</v>
      </c>
      <c r="I86" s="49">
        <f t="shared" ca="1" si="10"/>
        <v>5.25</v>
      </c>
      <c r="J86" s="49">
        <f t="shared" ca="1" si="11"/>
        <v>0.66413999999999995</v>
      </c>
      <c r="K86" s="49">
        <f t="shared" ca="1" si="12"/>
        <v>1.1546099999999997</v>
      </c>
      <c r="L86" s="49" cm="1">
        <f t="array" aca="1" ref="L86" ca="1">(H86-J86)*INDEX(DFStart,B86)-I86*INDEX(DFEnd,B86)</f>
        <v>1.0321704313753344</v>
      </c>
      <c r="M86" s="28"/>
      <c r="N86" s="28"/>
    </row>
    <row r="87" spans="2:14" x14ac:dyDescent="0.45">
      <c r="B87" s="25">
        <v>10</v>
      </c>
      <c r="C87" s="54">
        <f t="array" aca="1" ref="C87:F87" ca="1">_xll.VoseMarkovSample(C86:F86,M_BE,1)</f>
        <v>9391</v>
      </c>
      <c r="D87" s="54">
        <f ca="1"/>
        <v>179</v>
      </c>
      <c r="E87" s="54">
        <f ca="1"/>
        <v>10109</v>
      </c>
      <c r="F87" s="54">
        <f ca="1"/>
        <v>321</v>
      </c>
      <c r="G87" s="46">
        <f t="shared" ca="1" si="8"/>
        <v>21</v>
      </c>
      <c r="H87" s="49">
        <f t="shared" ca="1" si="9"/>
        <v>6.5636999999999999</v>
      </c>
      <c r="I87" s="49">
        <f t="shared" ca="1" si="10"/>
        <v>5.25</v>
      </c>
      <c r="J87" s="49">
        <f t="shared" ca="1" si="11"/>
        <v>0.61709999999999998</v>
      </c>
      <c r="K87" s="49">
        <f t="shared" ca="1" si="12"/>
        <v>0.69659999999999989</v>
      </c>
      <c r="L87" s="49" cm="1">
        <f t="array" aca="1" ref="L87" ca="1">(H87-J87)*INDEX(DFStart,B87)-I87*INDEX(DFEnd,B87)</f>
        <v>0.65108068734680469</v>
      </c>
      <c r="M87" s="28"/>
      <c r="N87" s="28"/>
    </row>
    <row r="88" spans="2:14" x14ac:dyDescent="0.45">
      <c r="B88" s="50" t="s">
        <v>191</v>
      </c>
      <c r="C88" s="51"/>
      <c r="D88" s="51"/>
      <c r="E88" s="51"/>
      <c r="F88" s="51"/>
      <c r="G88" s="55">
        <f t="shared" ref="G88:L88" ca="1" si="13">SUM(G78:G87)</f>
        <v>321</v>
      </c>
      <c r="H88" s="53">
        <f t="shared" ca="1" si="13"/>
        <v>94.31110000000001</v>
      </c>
      <c r="I88" s="53">
        <f t="shared" ca="1" si="13"/>
        <v>80.25</v>
      </c>
      <c r="J88" s="53">
        <f t="shared" ca="1" si="13"/>
        <v>8.7948600000000017</v>
      </c>
      <c r="K88" s="53">
        <f t="shared" ca="1" si="13"/>
        <v>5.2662400000000016</v>
      </c>
      <c r="L88" s="53">
        <f t="shared" ca="1" si="13"/>
        <v>6.5904944572340707</v>
      </c>
    </row>
    <row r="89" spans="2:14" ht="8" customHeight="1" x14ac:dyDescent="0.45"/>
    <row r="90" spans="2:14" ht="22.05" customHeight="1" x14ac:dyDescent="0.5">
      <c r="B90" s="7" t="s">
        <v>194</v>
      </c>
      <c r="C90" s="8"/>
      <c r="D90" s="8"/>
      <c r="E90" s="8"/>
      <c r="F90" s="8"/>
      <c r="G90" s="8"/>
      <c r="H90" s="8"/>
      <c r="I90" s="8"/>
      <c r="J90" s="8"/>
      <c r="K90" s="8"/>
      <c r="L90" s="8"/>
      <c r="M90" s="8"/>
      <c r="N90" s="8"/>
    </row>
    <row r="91" spans="2:14" ht="18" customHeight="1" x14ac:dyDescent="0.45">
      <c r="B91" s="13" t="s">
        <v>195</v>
      </c>
    </row>
    <row r="92" spans="2:14" ht="18" customHeight="1" x14ac:dyDescent="0.45">
      <c r="B92" s="41" t="s">
        <v>176</v>
      </c>
      <c r="C92" s="42" t="s">
        <v>151</v>
      </c>
      <c r="D92" s="42" t="s">
        <v>152</v>
      </c>
      <c r="E92" s="42" t="s">
        <v>153</v>
      </c>
      <c r="F92" s="42" t="s">
        <v>154</v>
      </c>
      <c r="G92" s="42" t="s">
        <v>183</v>
      </c>
      <c r="H92" s="42" t="s">
        <v>184</v>
      </c>
      <c r="I92" s="42" t="s">
        <v>185</v>
      </c>
      <c r="J92" s="42" t="s">
        <v>186</v>
      </c>
      <c r="K92" s="42" t="s">
        <v>187</v>
      </c>
      <c r="L92" s="42" t="s">
        <v>188</v>
      </c>
      <c r="M92" s="5"/>
      <c r="N92" s="5"/>
    </row>
    <row r="93" spans="2:14" x14ac:dyDescent="0.45">
      <c r="B93" s="43"/>
      <c r="C93" s="43" t="s">
        <v>105</v>
      </c>
      <c r="D93" s="43" t="s">
        <v>105</v>
      </c>
      <c r="E93" s="43" t="s">
        <v>105</v>
      </c>
      <c r="F93" s="43" t="s">
        <v>105</v>
      </c>
      <c r="G93" s="43" t="s">
        <v>189</v>
      </c>
      <c r="H93" s="43" t="s">
        <v>190</v>
      </c>
      <c r="I93" s="43" t="s">
        <v>190</v>
      </c>
      <c r="J93" s="43" t="s">
        <v>190</v>
      </c>
      <c r="K93" s="43" t="s">
        <v>190</v>
      </c>
      <c r="L93" s="43" t="s">
        <v>190</v>
      </c>
    </row>
    <row r="94" spans="2:14" x14ac:dyDescent="0.45">
      <c r="B94" s="25">
        <v>0</v>
      </c>
      <c r="C94" s="46">
        <f>NPolicies</f>
        <v>20000</v>
      </c>
      <c r="D94" s="46">
        <f>0</f>
        <v>0</v>
      </c>
      <c r="E94" s="46">
        <f>0</f>
        <v>0</v>
      </c>
      <c r="F94" s="46">
        <f>0</f>
        <v>0</v>
      </c>
      <c r="G94" s="28"/>
      <c r="H94" s="28"/>
      <c r="I94" s="28"/>
      <c r="J94" s="28"/>
      <c r="K94" s="28"/>
      <c r="L94" s="28"/>
      <c r="M94" s="28"/>
      <c r="N94" s="28"/>
    </row>
    <row r="95" spans="2:14" x14ac:dyDescent="0.45">
      <c r="B95" s="25">
        <v>1</v>
      </c>
      <c r="C95" s="54">
        <f t="array" aca="1" ref="C95:F95" ca="1">_xll.VoseMarkovSample(C94:F94,M_U,1)</f>
        <v>17736</v>
      </c>
      <c r="D95" s="54">
        <f ca="1"/>
        <v>76</v>
      </c>
      <c r="E95" s="54">
        <f ca="1"/>
        <v>2148</v>
      </c>
      <c r="F95" s="54">
        <f ca="1"/>
        <v>40</v>
      </c>
      <c r="G95" s="46">
        <f t="shared" ref="G95:G104" ca="1" si="14">F95-F94</f>
        <v>40</v>
      </c>
      <c r="H95" s="49">
        <f t="shared" ref="H95:H104" si="15">C94*Prem/1000000</f>
        <v>13</v>
      </c>
      <c r="I95" s="49">
        <f t="shared" ref="I95:I104" ca="1" si="16">G95*SumAssured/1000000</f>
        <v>10</v>
      </c>
      <c r="J95" s="49">
        <f t="shared" ref="J95:J104" si="17">(C94+D94)*ExpPol/1000000</f>
        <v>1.2</v>
      </c>
      <c r="K95" s="49">
        <f t="shared" ref="K95:K104" ca="1" si="18">H95-I95-J95</f>
        <v>1.8</v>
      </c>
      <c r="L95" s="49" cm="1">
        <f t="array" aca="1" ref="L95" ca="1">(H95-J95)*INDEX(DFStart,B95)-I95*INDEX(DFEnd,B95)</f>
        <v>2.0912621359223316</v>
      </c>
      <c r="M95" s="28"/>
      <c r="N95" s="28"/>
    </row>
    <row r="96" spans="2:14" x14ac:dyDescent="0.45">
      <c r="B96" s="25">
        <v>2</v>
      </c>
      <c r="C96" s="54">
        <f t="array" aca="1" ref="C96:F96" ca="1">_xll.VoseMarkovSample(C95:F95,M_U,1)</f>
        <v>15709</v>
      </c>
      <c r="D96" s="54">
        <f ca="1"/>
        <v>117</v>
      </c>
      <c r="E96" s="54">
        <f ca="1"/>
        <v>4093</v>
      </c>
      <c r="F96" s="54">
        <f ca="1"/>
        <v>81</v>
      </c>
      <c r="G96" s="46">
        <f t="shared" ca="1" si="14"/>
        <v>41</v>
      </c>
      <c r="H96" s="49">
        <f t="shared" ca="1" si="15"/>
        <v>11.5284</v>
      </c>
      <c r="I96" s="49">
        <f t="shared" ca="1" si="16"/>
        <v>10.25</v>
      </c>
      <c r="J96" s="49">
        <f t="shared" ca="1" si="17"/>
        <v>1.0687199999999999</v>
      </c>
      <c r="K96" s="49">
        <f t="shared" ca="1" si="18"/>
        <v>0.20967999999999964</v>
      </c>
      <c r="L96" s="49" cm="1">
        <f t="array" aca="1" ref="L96" ca="1">(H96-J96)*INDEX(DFStart,B96)-I96*INDEX(DFEnd,B96)</f>
        <v>0.49342105759260946</v>
      </c>
      <c r="M96" s="28"/>
      <c r="N96" s="28"/>
    </row>
    <row r="97" spans="2:14" x14ac:dyDescent="0.45">
      <c r="B97" s="25">
        <v>3</v>
      </c>
      <c r="C97" s="54">
        <f t="array" aca="1" ref="C97:F97" ca="1">_xll.VoseMarkovSample(C96:F96,M_U,1)</f>
        <v>13920</v>
      </c>
      <c r="D97" s="54">
        <f ca="1"/>
        <v>151</v>
      </c>
      <c r="E97" s="54">
        <f ca="1"/>
        <v>5807</v>
      </c>
      <c r="F97" s="54">
        <f ca="1"/>
        <v>122</v>
      </c>
      <c r="G97" s="46">
        <f t="shared" ca="1" si="14"/>
        <v>41</v>
      </c>
      <c r="H97" s="49">
        <f t="shared" ca="1" si="15"/>
        <v>10.210850000000001</v>
      </c>
      <c r="I97" s="49">
        <f t="shared" ca="1" si="16"/>
        <v>10.25</v>
      </c>
      <c r="J97" s="49">
        <f t="shared" ca="1" si="17"/>
        <v>0.94955999999999996</v>
      </c>
      <c r="K97" s="49">
        <f t="shared" ca="1" si="18"/>
        <v>-0.98870999999999931</v>
      </c>
      <c r="L97" s="49" cm="1">
        <f t="array" aca="1" ref="L97" ca="1">(H97-J97)*INDEX(DFStart,B97)-I97*INDEX(DFEnd,B97)</f>
        <v>-0.65054794106853819</v>
      </c>
      <c r="M97" s="28"/>
      <c r="N97" s="28"/>
    </row>
    <row r="98" spans="2:14" x14ac:dyDescent="0.45">
      <c r="B98" s="25">
        <v>4</v>
      </c>
      <c r="C98" s="54">
        <f t="array" aca="1" ref="C98:F98" ca="1">_xll.VoseMarkovSample(C97:F97,M_U,1)</f>
        <v>12364</v>
      </c>
      <c r="D98" s="54">
        <f ca="1"/>
        <v>168</v>
      </c>
      <c r="E98" s="54">
        <f ca="1"/>
        <v>7319</v>
      </c>
      <c r="F98" s="54">
        <f ca="1"/>
        <v>149</v>
      </c>
      <c r="G98" s="46">
        <f t="shared" ca="1" si="14"/>
        <v>27</v>
      </c>
      <c r="H98" s="49">
        <f t="shared" ca="1" si="15"/>
        <v>9.048</v>
      </c>
      <c r="I98" s="49">
        <f t="shared" ca="1" si="16"/>
        <v>6.75</v>
      </c>
      <c r="J98" s="49">
        <f t="shared" ca="1" si="17"/>
        <v>0.84426000000000001</v>
      </c>
      <c r="K98" s="49">
        <f t="shared" ca="1" si="18"/>
        <v>1.45374</v>
      </c>
      <c r="L98" s="49" cm="1">
        <f t="array" aca="1" ref="L98" ca="1">(H98-J98)*INDEX(DFStart,B98)-I98*INDEX(DFEnd,B98)</f>
        <v>1.5102966630709886</v>
      </c>
      <c r="M98" s="28"/>
      <c r="N98" s="28"/>
    </row>
    <row r="99" spans="2:14" x14ac:dyDescent="0.45">
      <c r="B99" s="25">
        <v>5</v>
      </c>
      <c r="C99" s="54">
        <f t="array" aca="1" ref="C99:F99" ca="1">_xll.VoseMarkovSample(C98:F98,M_U,1)</f>
        <v>11027</v>
      </c>
      <c r="D99" s="54">
        <f ca="1"/>
        <v>178</v>
      </c>
      <c r="E99" s="54">
        <f ca="1"/>
        <v>8620</v>
      </c>
      <c r="F99" s="54">
        <f ca="1"/>
        <v>175</v>
      </c>
      <c r="G99" s="46">
        <f t="shared" ca="1" si="14"/>
        <v>26</v>
      </c>
      <c r="H99" s="49">
        <f t="shared" ca="1" si="15"/>
        <v>8.0366</v>
      </c>
      <c r="I99" s="49">
        <f t="shared" ca="1" si="16"/>
        <v>6.5</v>
      </c>
      <c r="J99" s="49">
        <f t="shared" ca="1" si="17"/>
        <v>0.75192000000000003</v>
      </c>
      <c r="K99" s="49">
        <f t="shared" ca="1" si="18"/>
        <v>0.78467999999999993</v>
      </c>
      <c r="L99" s="49" cm="1">
        <f t="array" aca="1" ref="L99" ca="1">(H99-J99)*INDEX(DFStart,B99)-I99*INDEX(DFEnd,B99)</f>
        <v>0.86538672971339459</v>
      </c>
      <c r="M99" s="28"/>
      <c r="N99" s="28"/>
    </row>
    <row r="100" spans="2:14" x14ac:dyDescent="0.45">
      <c r="B100" s="25">
        <v>6</v>
      </c>
      <c r="C100" s="54">
        <f t="array" aca="1" ref="C100:F100" ca="1">_xll.VoseMarkovSample(C99:F99,M_U,1)</f>
        <v>9815</v>
      </c>
      <c r="D100" s="54">
        <f ca="1"/>
        <v>176</v>
      </c>
      <c r="E100" s="54">
        <f ca="1"/>
        <v>9810</v>
      </c>
      <c r="F100" s="54">
        <f ca="1"/>
        <v>199</v>
      </c>
      <c r="G100" s="46">
        <f t="shared" ca="1" si="14"/>
        <v>24</v>
      </c>
      <c r="H100" s="49">
        <f t="shared" ca="1" si="15"/>
        <v>7.1675500000000003</v>
      </c>
      <c r="I100" s="49">
        <f t="shared" ca="1" si="16"/>
        <v>6</v>
      </c>
      <c r="J100" s="49">
        <f t="shared" ca="1" si="17"/>
        <v>0.67230000000000001</v>
      </c>
      <c r="K100" s="49">
        <f t="shared" ca="1" si="18"/>
        <v>0.4952500000000003</v>
      </c>
      <c r="L100" s="49" cm="1">
        <f t="array" aca="1" ref="L100" ca="1">(H100-J100)*INDEX(DFStart,B100)-I100*INDEX(DFEnd,B100)</f>
        <v>0.57795416666931576</v>
      </c>
      <c r="M100" s="28"/>
      <c r="N100" s="28"/>
    </row>
    <row r="101" spans="2:14" x14ac:dyDescent="0.45">
      <c r="B101" s="25">
        <v>7</v>
      </c>
      <c r="C101" s="54">
        <f t="array" aca="1" ref="C101:F101" ca="1">_xll.VoseMarkovSample(C100:F100,M_U,1)</f>
        <v>8702</v>
      </c>
      <c r="D101" s="54">
        <f ca="1"/>
        <v>168</v>
      </c>
      <c r="E101" s="54">
        <f ca="1"/>
        <v>10901</v>
      </c>
      <c r="F101" s="54">
        <f ca="1"/>
        <v>229</v>
      </c>
      <c r="G101" s="46">
        <f t="shared" ca="1" si="14"/>
        <v>30</v>
      </c>
      <c r="H101" s="49">
        <f t="shared" ca="1" si="15"/>
        <v>6.3797499999999996</v>
      </c>
      <c r="I101" s="49">
        <f t="shared" ca="1" si="16"/>
        <v>7.5</v>
      </c>
      <c r="J101" s="49">
        <f t="shared" ca="1" si="17"/>
        <v>0.59945999999999999</v>
      </c>
      <c r="K101" s="49">
        <f t="shared" ca="1" si="18"/>
        <v>-1.7197100000000005</v>
      </c>
      <c r="L101" s="49" cm="1">
        <f t="array" aca="1" ref="L101" ca="1">(H101-J101)*INDEX(DFStart,B101)-I101*INDEX(DFEnd,B101)</f>
        <v>-1.2572844610091929</v>
      </c>
      <c r="M101" s="28"/>
      <c r="N101" s="28"/>
    </row>
    <row r="102" spans="2:14" x14ac:dyDescent="0.45">
      <c r="B102" s="25">
        <v>8</v>
      </c>
      <c r="C102" s="54">
        <f t="array" aca="1" ref="C102:F102" ca="1">_xll.VoseMarkovSample(C101:F101,M_U,1)</f>
        <v>7770</v>
      </c>
      <c r="D102" s="54">
        <f ca="1"/>
        <v>164</v>
      </c>
      <c r="E102" s="54">
        <f ca="1"/>
        <v>11814</v>
      </c>
      <c r="F102" s="54">
        <f ca="1"/>
        <v>252</v>
      </c>
      <c r="G102" s="46">
        <f t="shared" ca="1" si="14"/>
        <v>23</v>
      </c>
      <c r="H102" s="49">
        <f t="shared" ca="1" si="15"/>
        <v>5.6562999999999999</v>
      </c>
      <c r="I102" s="49">
        <f t="shared" ca="1" si="16"/>
        <v>5.75</v>
      </c>
      <c r="J102" s="49">
        <f t="shared" ca="1" si="17"/>
        <v>0.53220000000000001</v>
      </c>
      <c r="K102" s="49">
        <f t="shared" ca="1" si="18"/>
        <v>-0.62590000000000012</v>
      </c>
      <c r="L102" s="49" cm="1">
        <f t="array" aca="1" ref="L102" ca="1">(H102-J102)*INDEX(DFStart,B102)-I102*INDEX(DFEnd,B102)</f>
        <v>-0.37274088403065075</v>
      </c>
      <c r="M102" s="28"/>
      <c r="N102" s="28"/>
    </row>
    <row r="103" spans="2:14" x14ac:dyDescent="0.45">
      <c r="B103" s="25">
        <v>9</v>
      </c>
      <c r="C103" s="54">
        <f t="array" aca="1" ref="C103:F103" ca="1">_xll.VoseMarkovSample(C102:F102,M_U,1)</f>
        <v>6935</v>
      </c>
      <c r="D103" s="54">
        <f ca="1"/>
        <v>163</v>
      </c>
      <c r="E103" s="54">
        <f ca="1"/>
        <v>12637</v>
      </c>
      <c r="F103" s="54">
        <f ca="1"/>
        <v>265</v>
      </c>
      <c r="G103" s="46">
        <f t="shared" ca="1" si="14"/>
        <v>13</v>
      </c>
      <c r="H103" s="49">
        <f t="shared" ca="1" si="15"/>
        <v>5.0505000000000004</v>
      </c>
      <c r="I103" s="49">
        <f t="shared" ca="1" si="16"/>
        <v>3.25</v>
      </c>
      <c r="J103" s="49">
        <f t="shared" ca="1" si="17"/>
        <v>0.47604000000000002</v>
      </c>
      <c r="K103" s="49">
        <f t="shared" ca="1" si="18"/>
        <v>1.3244600000000004</v>
      </c>
      <c r="L103" s="49" cm="1">
        <f t="array" aca="1" ref="L103" ca="1">(H103-J103)*INDEX(DFStart,B103)-I103*INDEX(DFEnd,B103)</f>
        <v>1.120266585882939</v>
      </c>
      <c r="M103" s="28"/>
      <c r="N103" s="28"/>
    </row>
    <row r="104" spans="2:14" x14ac:dyDescent="0.45">
      <c r="B104" s="25">
        <v>10</v>
      </c>
      <c r="C104" s="54">
        <f t="array" aca="1" ref="C104:F104" ca="1">_xll.VoseMarkovSample(C103:F103,M_U,1)</f>
        <v>6168</v>
      </c>
      <c r="D104" s="54">
        <f ca="1"/>
        <v>163</v>
      </c>
      <c r="E104" s="54">
        <f ca="1"/>
        <v>13390</v>
      </c>
      <c r="F104" s="54">
        <f ca="1"/>
        <v>279</v>
      </c>
      <c r="G104" s="46">
        <f t="shared" ca="1" si="14"/>
        <v>14</v>
      </c>
      <c r="H104" s="49">
        <f t="shared" ca="1" si="15"/>
        <v>4.5077499999999997</v>
      </c>
      <c r="I104" s="49">
        <f t="shared" ca="1" si="16"/>
        <v>3.5</v>
      </c>
      <c r="J104" s="49">
        <f t="shared" ca="1" si="17"/>
        <v>0.42587999999999998</v>
      </c>
      <c r="K104" s="49">
        <f t="shared" ca="1" si="18"/>
        <v>0.58186999999999967</v>
      </c>
      <c r="L104" s="49" cm="1">
        <f t="array" aca="1" ref="L104" ca="1">(H104-J104)*INDEX(DFStart,B104)-I104*INDEX(DFEnd,B104)</f>
        <v>0.52408476511294211</v>
      </c>
      <c r="M104" s="28"/>
      <c r="N104" s="28"/>
    </row>
    <row r="105" spans="2:14" x14ac:dyDescent="0.45">
      <c r="B105" s="50" t="s">
        <v>191</v>
      </c>
      <c r="C105" s="51"/>
      <c r="D105" s="51"/>
      <c r="E105" s="51"/>
      <c r="F105" s="51"/>
      <c r="G105" s="55">
        <f t="shared" ref="G105:L105" ca="1" si="19">SUM(G95:G104)</f>
        <v>279</v>
      </c>
      <c r="H105" s="53">
        <f t="shared" ca="1" si="19"/>
        <v>80.585700000000003</v>
      </c>
      <c r="I105" s="53">
        <f t="shared" ca="1" si="19"/>
        <v>69.75</v>
      </c>
      <c r="J105" s="53">
        <f t="shared" ca="1" si="19"/>
        <v>7.5203400000000009</v>
      </c>
      <c r="K105" s="53">
        <f t="shared" ca="1" si="19"/>
        <v>3.3153599999999992</v>
      </c>
      <c r="L105" s="53">
        <f t="shared" ca="1" si="19"/>
        <v>4.9020988178561389</v>
      </c>
    </row>
    <row r="106" spans="2:14" ht="8" customHeight="1" x14ac:dyDescent="0.45"/>
    <row r="107" spans="2:14" ht="22.05" customHeight="1" x14ac:dyDescent="0.5">
      <c r="B107" s="7" t="s">
        <v>196</v>
      </c>
      <c r="C107" s="8"/>
      <c r="D107" s="8"/>
      <c r="E107" s="8"/>
      <c r="F107" s="8"/>
      <c r="G107" s="8"/>
      <c r="H107" s="8"/>
      <c r="I107" s="8"/>
      <c r="J107" s="8"/>
      <c r="K107" s="8"/>
      <c r="L107" s="8"/>
      <c r="M107" s="8"/>
      <c r="N107" s="8"/>
    </row>
    <row r="108" spans="2:14" ht="18" customHeight="1" x14ac:dyDescent="0.45">
      <c r="B108" s="13" t="s">
        <v>197</v>
      </c>
    </row>
    <row r="109" spans="2:14" ht="18" customHeight="1" x14ac:dyDescent="0.45">
      <c r="B109" s="36" t="s">
        <v>198</v>
      </c>
      <c r="C109" s="5"/>
      <c r="D109" s="5"/>
      <c r="E109" s="5"/>
      <c r="F109" s="5"/>
      <c r="G109" s="36" t="s">
        <v>100</v>
      </c>
      <c r="H109" s="37" t="s">
        <v>63</v>
      </c>
      <c r="I109" s="36" t="s">
        <v>199</v>
      </c>
      <c r="J109" s="5"/>
      <c r="K109" s="5"/>
      <c r="L109" s="5"/>
      <c r="M109" s="5"/>
      <c r="N109" s="5"/>
    </row>
    <row r="110" spans="2:14" x14ac:dyDescent="0.45">
      <c r="B110" s="25" t="s">
        <v>200</v>
      </c>
      <c r="C110" s="28"/>
      <c r="D110" s="28"/>
      <c r="E110" s="28"/>
      <c r="F110" s="28"/>
      <c r="G110" s="26" t="s">
        <v>190</v>
      </c>
      <c r="H110" s="56" cm="1">
        <f t="array" aca="1" ref="H110" ca="1">_xll.VoseOutput("Value, chance only","US$m")+NPV_A</f>
        <v>6.5904944572340707</v>
      </c>
      <c r="I110" s="26" t="s">
        <v>201</v>
      </c>
      <c r="J110" s="28"/>
      <c r="K110" s="28"/>
      <c r="L110" s="28"/>
      <c r="M110" s="28"/>
      <c r="N110" s="28"/>
    </row>
    <row r="111" spans="2:14" x14ac:dyDescent="0.45">
      <c r="B111" s="25" t="s">
        <v>202</v>
      </c>
      <c r="C111" s="28"/>
      <c r="D111" s="28"/>
      <c r="E111" s="28"/>
      <c r="F111" s="28"/>
      <c r="G111" s="26" t="s">
        <v>190</v>
      </c>
      <c r="H111" s="56" cm="1">
        <f t="array" aca="1" ref="H111" ca="1">_xll.VoseOutput("Value, uncertain rates","US$m")+NPV_B</f>
        <v>4.9020988178561389</v>
      </c>
      <c r="I111" s="26" t="s">
        <v>203</v>
      </c>
      <c r="J111" s="28"/>
      <c r="K111" s="28"/>
      <c r="L111" s="28"/>
      <c r="M111" s="28"/>
      <c r="N111" s="28"/>
    </row>
    <row r="112" spans="2:14" x14ac:dyDescent="0.45">
      <c r="B112" s="25" t="s">
        <v>204</v>
      </c>
      <c r="C112" s="28"/>
      <c r="D112" s="28"/>
      <c r="E112" s="28"/>
      <c r="F112" s="28"/>
      <c r="G112" s="26" t="s">
        <v>205</v>
      </c>
      <c r="H112" s="57" cm="1">
        <f t="array" aca="1" ref="H112" ca="1">_xll.VoseOutput("Deaths, chance only","deaths")+Deaths_A</f>
        <v>321</v>
      </c>
      <c r="I112" s="26"/>
      <c r="J112" s="28"/>
      <c r="K112" s="28"/>
      <c r="L112" s="28"/>
      <c r="M112" s="28"/>
      <c r="N112" s="28"/>
    </row>
    <row r="113" spans="2:14" x14ac:dyDescent="0.45">
      <c r="B113" s="25" t="s">
        <v>206</v>
      </c>
      <c r="C113" s="28"/>
      <c r="D113" s="28"/>
      <c r="E113" s="28"/>
      <c r="F113" s="28"/>
      <c r="G113" s="26" t="s">
        <v>205</v>
      </c>
      <c r="H113" s="57" cm="1">
        <f t="array" aca="1" ref="H113" ca="1">_xll.VoseOutput("Deaths, uncertain rates","deaths")+Deaths_B</f>
        <v>279</v>
      </c>
      <c r="I113" s="26"/>
      <c r="J113" s="28"/>
      <c r="K113" s="28"/>
      <c r="L113" s="28"/>
      <c r="M113" s="28"/>
      <c r="N113" s="28"/>
    </row>
    <row r="114" spans="2:14" ht="8" customHeight="1" x14ac:dyDescent="0.45"/>
    <row r="115" spans="2:14" ht="22.05" customHeight="1" x14ac:dyDescent="0.5">
      <c r="B115" s="7" t="s">
        <v>207</v>
      </c>
      <c r="C115" s="8"/>
      <c r="D115" s="8"/>
      <c r="E115" s="8"/>
      <c r="F115" s="8"/>
      <c r="G115" s="8"/>
      <c r="H115" s="8"/>
      <c r="I115" s="8"/>
      <c r="J115" s="8"/>
      <c r="K115" s="8"/>
      <c r="L115" s="8"/>
      <c r="M115" s="8"/>
      <c r="N115" s="8"/>
    </row>
    <row r="116" spans="2:14" ht="18" customHeight="1" x14ac:dyDescent="0.45">
      <c r="B116" s="13" t="s">
        <v>208</v>
      </c>
    </row>
    <row r="117" spans="2:14" x14ac:dyDescent="0.45">
      <c r="B117" s="25" t="s">
        <v>209</v>
      </c>
      <c r="C117" s="28"/>
      <c r="D117" s="28"/>
      <c r="E117" s="28"/>
      <c r="F117" s="28"/>
      <c r="G117" s="28"/>
      <c r="H117" s="28"/>
      <c r="I117" s="58" t="str">
        <f ca="1">IF(AND(ABS(G9-1)&lt;0.000000001,ABS(G10-1)&lt;0.000000001,ABS(G27-1)&lt;0.000000001,ABS(G28-1)&lt;0.000000001),"OK","CHECK")</f>
        <v>OK</v>
      </c>
      <c r="J117" s="28"/>
      <c r="K117" s="28"/>
      <c r="L117" s="28"/>
      <c r="M117" s="28"/>
      <c r="N117" s="28"/>
    </row>
    <row r="118" spans="2:14" x14ac:dyDescent="0.45">
      <c r="B118" s="25" t="s">
        <v>210</v>
      </c>
      <c r="C118" s="28"/>
      <c r="D118" s="28"/>
      <c r="E118" s="28"/>
      <c r="F118" s="28"/>
      <c r="G118" s="28"/>
      <c r="H118" s="28"/>
      <c r="I118" s="58" t="str">
        <f ca="1">IF(AND(MIN(M_BE)&gt;=0,MIN(M_U)&gt;=0),"OK","CHECK")</f>
        <v>OK</v>
      </c>
      <c r="J118" s="28"/>
      <c r="K118" s="28"/>
      <c r="L118" s="28"/>
      <c r="M118" s="28"/>
      <c r="N118" s="28"/>
    </row>
    <row r="119" spans="2:14" x14ac:dyDescent="0.45">
      <c r="B119" s="25" t="s">
        <v>211</v>
      </c>
      <c r="C119" s="28"/>
      <c r="D119" s="28"/>
      <c r="E119" s="28"/>
      <c r="F119" s="28"/>
      <c r="G119" s="28"/>
      <c r="H119" s="28"/>
      <c r="I119" s="58" t="str">
        <f>IF(SUMPRODUCT(ABS(In10_Matrix-Last_E))&lt;0.001,"OK","CHECK")</f>
        <v>OK</v>
      </c>
      <c r="J119" s="28"/>
      <c r="K119" s="28"/>
      <c r="L119" s="28"/>
      <c r="M119" s="28"/>
      <c r="N119" s="28"/>
    </row>
    <row r="120" spans="2:14" ht="14" customHeight="1" x14ac:dyDescent="0.45"/>
  </sheetData>
  <conditionalFormatting sqref="I117:I119">
    <cfRule type="expression" dxfId="4" priority="1">
      <formula>I117="CHECK"</formula>
    </cfRule>
  </conditionalFormatting>
  <hyperlinks>
    <hyperlink ref="B4" location="'Inputs'!A1" display="◂  Inputs" xr:uid="{00000000-0004-0000-0200-000000000000}"/>
    <hyperlink ref="N4" location="'Results'!A1" display="Next:  Results  ▸" xr:uid="{00000000-0004-0000-0200-000001000000}"/>
  </hyperlinks>
  <printOptions horizontalCentered="1"/>
  <pageMargins left="0.4" right="0.4" top="0.5" bottom="0.6" header="0.25" footer="0.25"/>
  <pageSetup paperSize="9" scale="75" fitToHeight="0" orientation="landscape" r:id="rId1"/>
  <headerFooter>
    <oddFooter>&amp;L&amp;K3F5876&amp;8&amp;F · &amp;A&amp;R&amp;K3F5876&amp;8Page &amp;P of &amp;N</oddFooter>
  </headerFooter>
  <rowBreaks count="3" manualBreakCount="3">
    <brk id="55" max="16383" man="1"/>
    <brk id="72" max="16383" man="1"/>
    <brk id="8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08"/>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212</v>
      </c>
      <c r="C3" s="1"/>
      <c r="D3" s="1"/>
      <c r="E3" s="1"/>
      <c r="F3" s="1"/>
      <c r="G3" s="1"/>
      <c r="H3" s="1"/>
      <c r="I3" s="1"/>
      <c r="J3" s="1"/>
      <c r="K3" s="1"/>
      <c r="L3" s="1"/>
      <c r="M3" s="1"/>
      <c r="N3" s="1"/>
      <c r="O3" s="1"/>
      <c r="P3" s="1"/>
      <c r="Q3" s="1"/>
      <c r="R3" s="1"/>
    </row>
    <row r="4" spans="1:18" ht="20" customHeight="1" x14ac:dyDescent="0.45">
      <c r="A4" s="5"/>
      <c r="B4" s="22" t="s">
        <v>213</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IF(ISNUMBER(_xll.VoseSimMean(Out_NPV_B)),"✔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0"/>
      <c r="D6" s="60"/>
      <c r="E6" s="60"/>
      <c r="F6" s="60"/>
      <c r="G6" s="60"/>
    </row>
    <row r="7" spans="1:18" x14ac:dyDescent="0.45">
      <c r="B7" s="40"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214</v>
      </c>
      <c r="C9" s="8"/>
      <c r="D9" s="8"/>
      <c r="E9" s="8"/>
      <c r="F9" s="8"/>
      <c r="G9" s="8"/>
      <c r="I9" s="61" t="s">
        <v>215</v>
      </c>
      <c r="J9" s="8"/>
      <c r="K9" s="8"/>
      <c r="L9" s="8"/>
      <c r="M9" s="8"/>
      <c r="N9" s="8"/>
      <c r="O9" s="8"/>
      <c r="P9" s="8"/>
      <c r="Q9" s="8"/>
      <c r="R9" s="8"/>
    </row>
    <row r="10" spans="1:18" ht="18" customHeight="1" x14ac:dyDescent="0.45">
      <c r="B10" s="13" t="s">
        <v>216</v>
      </c>
    </row>
    <row r="11" spans="1:18" ht="18" customHeight="1" x14ac:dyDescent="0.45">
      <c r="B11" s="62" t="s">
        <v>41</v>
      </c>
      <c r="C11" s="63" t="s">
        <v>136</v>
      </c>
      <c r="D11" s="63" t="s">
        <v>217</v>
      </c>
      <c r="E11" s="63" t="s">
        <v>218</v>
      </c>
      <c r="F11" s="63" t="s">
        <v>219</v>
      </c>
      <c r="G11" s="63" t="s">
        <v>220</v>
      </c>
    </row>
    <row r="12" spans="1:18" x14ac:dyDescent="0.45">
      <c r="B12" s="43"/>
      <c r="C12" s="43"/>
      <c r="D12" s="43"/>
      <c r="E12" s="43"/>
      <c r="F12" s="43" t="s">
        <v>221</v>
      </c>
      <c r="G12" s="43" t="s">
        <v>222</v>
      </c>
    </row>
    <row r="13" spans="1:18" x14ac:dyDescent="0.45">
      <c r="B13" s="64" t="s">
        <v>223</v>
      </c>
      <c r="C13" s="49">
        <f>NPV_E</f>
        <v>10.286605578072828</v>
      </c>
      <c r="D13" s="28"/>
      <c r="E13" s="28"/>
      <c r="F13" s="28"/>
      <c r="G13" s="28"/>
    </row>
    <row r="14" spans="1:18" x14ac:dyDescent="0.45">
      <c r="B14" s="25" t="s">
        <v>224</v>
      </c>
      <c r="C14" s="65" cm="1">
        <f t="array" aca="1" ref="C14" ca="1">_xll.VoseSimMean(Out_NPV_A)</f>
        <v>10.201656149366542</v>
      </c>
      <c r="D14" s="65" cm="1">
        <f t="array" aca="1" ref="D14" ca="1">_xll.VoseSimPercentile(Out_NPV_A,0.05)</f>
        <v>3.7725713801101071</v>
      </c>
      <c r="E14" s="65" cm="1">
        <f t="array" aca="1" ref="E14" ca="1">_xll.VoseSimPercentile(Out_NPV_A,0.95)</f>
        <v>16.555145609161364</v>
      </c>
      <c r="F14" s="65" cm="1">
        <f t="array" aca="1" ref="F14" ca="1">_xll.VoseSimPercentile(Out_NPV_A,0.005)</f>
        <v>0.1207392746172582</v>
      </c>
      <c r="G14" s="66" cm="1">
        <f t="array" aca="1" ref="G14" ca="1">_xll.VoseSimProbability(Out_NPV_A,0)</f>
        <v>4.5995400459954002E-3</v>
      </c>
    </row>
    <row r="15" spans="1:18" x14ac:dyDescent="0.45">
      <c r="B15" s="45" t="s">
        <v>225</v>
      </c>
      <c r="C15" s="65" cm="1">
        <f t="array" aca="1" ref="C15" ca="1">_xll.VoseSimMean(Out_NPV_B)</f>
        <v>8.9071620623683554</v>
      </c>
      <c r="D15" s="65" cm="1">
        <f t="array" aca="1" ref="D15" ca="1">_xll.VoseSimPercentile(Out_NPV_B,0.05)</f>
        <v>-1.6409079245337375</v>
      </c>
      <c r="E15" s="65" cm="1">
        <f t="array" aca="1" ref="E15" ca="1">_xll.VoseSimPercentile(Out_NPV_B,0.95)</f>
        <v>18.94646724794606</v>
      </c>
      <c r="F15" s="65" cm="1">
        <f t="array" aca="1" ref="F15" ca="1">_xll.VoseSimPercentile(Out_NPV_B,0.005)</f>
        <v>-7.8492525523699896</v>
      </c>
      <c r="G15" s="66" cm="1">
        <f t="array" aca="1" ref="G15" ca="1">_xll.VoseSimProbability(Out_NPV_B,0)</f>
        <v>8.3591640835916414E-2</v>
      </c>
    </row>
    <row r="16" spans="1:18" x14ac:dyDescent="0.45">
      <c r="B16" s="45" t="s">
        <v>226</v>
      </c>
      <c r="C16" s="28"/>
      <c r="D16" s="28"/>
      <c r="E16" s="67">
        <f ca="1">IFERROR((E15-D15)/(E14-D14)-1,"–")</f>
        <v>0.61058131199350973</v>
      </c>
      <c r="F16" s="26" t="s">
        <v>227</v>
      </c>
      <c r="G16" s="68">
        <f ca="1">IFERROR(G15/G14,"–")</f>
        <v>18.173913043478262</v>
      </c>
    </row>
    <row r="17" spans="2:18" ht="8" customHeight="1" x14ac:dyDescent="0.45"/>
    <row r="18" spans="2:18" ht="22.05" customHeight="1" x14ac:dyDescent="0.5">
      <c r="B18" s="7" t="s">
        <v>228</v>
      </c>
      <c r="C18" s="8"/>
      <c r="D18" s="8"/>
      <c r="E18" s="8"/>
      <c r="F18" s="8"/>
      <c r="G18" s="8"/>
    </row>
    <row r="19" spans="2:18" ht="18" customHeight="1" x14ac:dyDescent="0.45">
      <c r="B19" s="13" t="s">
        <v>229</v>
      </c>
    </row>
    <row r="20" spans="2:18" ht="18" customHeight="1" x14ac:dyDescent="0.45">
      <c r="B20" s="62" t="s">
        <v>41</v>
      </c>
      <c r="C20" s="63" t="s">
        <v>136</v>
      </c>
      <c r="D20" s="63" t="s">
        <v>230</v>
      </c>
      <c r="E20" s="63" t="s">
        <v>217</v>
      </c>
      <c r="F20" s="63" t="s">
        <v>218</v>
      </c>
      <c r="G20" s="63" t="s">
        <v>231</v>
      </c>
    </row>
    <row r="21" spans="2:18" x14ac:dyDescent="0.45">
      <c r="B21" s="43"/>
      <c r="C21" s="43"/>
      <c r="D21" s="43"/>
      <c r="E21" s="43"/>
      <c r="F21" s="43"/>
      <c r="G21" s="43" t="s">
        <v>232</v>
      </c>
    </row>
    <row r="22" spans="2:18" x14ac:dyDescent="0.45">
      <c r="B22" s="64" t="s">
        <v>233</v>
      </c>
      <c r="C22" s="46">
        <f>Deaths_E</f>
        <v>305.33522516638118</v>
      </c>
      <c r="D22" s="28"/>
      <c r="E22" s="28"/>
      <c r="F22" s="28"/>
      <c r="G22" s="28"/>
    </row>
    <row r="23" spans="2:18" x14ac:dyDescent="0.45">
      <c r="B23" s="25" t="s">
        <v>234</v>
      </c>
      <c r="C23" s="69" cm="1">
        <f t="array" aca="1" ref="C23" ca="1">_xll.VoseSimMean(Out_Deaths_A)</f>
        <v>305.73910000000001</v>
      </c>
      <c r="D23" s="70" cm="1">
        <f t="array" aca="1" ref="D23" ca="1">_xll.VoseSimStdev(Out_Deaths_A)</f>
        <v>17.530960174687142</v>
      </c>
      <c r="E23" s="69" cm="1">
        <f t="array" aca="1" ref="E23" ca="1">_xll.VoseSimPercentile(Out_Deaths_A,0.05)</f>
        <v>277</v>
      </c>
      <c r="F23" s="69" cm="1">
        <f t="array" aca="1" ref="F23" ca="1">_xll.VoseSimPercentile(Out_Deaths_A,0.95)</f>
        <v>335</v>
      </c>
      <c r="G23" s="66">
        <f ca="1">IFERROR(D23/C23,"–")</f>
        <v>5.7339608099478086E-2</v>
      </c>
    </row>
    <row r="24" spans="2:18" x14ac:dyDescent="0.45">
      <c r="B24" s="45" t="s">
        <v>225</v>
      </c>
      <c r="C24" s="69" cm="1">
        <f t="array" aca="1" ref="C24" ca="1">_xll.VoseSimMean(Out_Deaths_B)</f>
        <v>308.63099999999997</v>
      </c>
      <c r="D24" s="70" cm="1">
        <f t="array" aca="1" ref="D24" ca="1">_xll.VoseSimStdev(Out_Deaths_B)</f>
        <v>32.74017762510006</v>
      </c>
      <c r="E24" s="69" cm="1">
        <f t="array" aca="1" ref="E24" ca="1">_xll.VoseSimPercentile(Out_Deaths_B,0.05)</f>
        <v>257</v>
      </c>
      <c r="F24" s="69" cm="1">
        <f t="array" aca="1" ref="F24" ca="1">_xll.VoseSimPercentile(Out_Deaths_B,0.95)</f>
        <v>364</v>
      </c>
      <c r="G24" s="66">
        <f ca="1">IFERROR(D24/C24,"–")</f>
        <v>0.10608194777938725</v>
      </c>
    </row>
    <row r="25" spans="2:18" x14ac:dyDescent="0.45">
      <c r="B25" s="45" t="s">
        <v>235</v>
      </c>
      <c r="C25" s="28"/>
      <c r="D25" s="28"/>
      <c r="E25" s="28"/>
      <c r="F25" s="28"/>
      <c r="G25" s="68">
        <f ca="1">IFERROR(G24/G23,"–")</f>
        <v>1.8500640533738286</v>
      </c>
    </row>
    <row r="26" spans="2:18" ht="8" customHeight="1" x14ac:dyDescent="0.45"/>
    <row r="27" spans="2:18" ht="22.05" customHeight="1" x14ac:dyDescent="0.5">
      <c r="B27" s="7" t="s">
        <v>236</v>
      </c>
      <c r="C27" s="8"/>
      <c r="D27" s="8"/>
      <c r="E27" s="8"/>
      <c r="F27" s="8"/>
      <c r="G27" s="8"/>
      <c r="I27" s="61" t="s">
        <v>237</v>
      </c>
      <c r="J27" s="8"/>
      <c r="K27" s="8"/>
      <c r="L27" s="8"/>
      <c r="M27" s="8"/>
      <c r="N27" s="8"/>
      <c r="O27" s="8"/>
      <c r="P27" s="8"/>
      <c r="Q27" s="8"/>
      <c r="R27" s="8"/>
    </row>
    <row r="28" spans="2:18" ht="18" customHeight="1" x14ac:dyDescent="0.45">
      <c r="B28" s="13" t="s">
        <v>238</v>
      </c>
    </row>
    <row r="29" spans="2:18" ht="18" customHeight="1" x14ac:dyDescent="0.45">
      <c r="B29" s="23" t="s">
        <v>239</v>
      </c>
      <c r="C29" s="24" t="s">
        <v>240</v>
      </c>
      <c r="D29" s="24" t="s">
        <v>241</v>
      </c>
      <c r="E29" s="71" t="s">
        <v>242</v>
      </c>
      <c r="F29" s="5"/>
      <c r="G29" s="5"/>
    </row>
    <row r="30" spans="2:18" x14ac:dyDescent="0.45">
      <c r="B30" s="25" t="str">
        <f t="array" aca="1" ref="B30:E33" ca="1">_xll.VoseSimSensitivityMean(Out_NPV_B,10,1,FALSE)</f>
        <v>Mortality level</v>
      </c>
      <c r="C30" s="65">
        <f ca="1"/>
        <v>5.4520833907551705E-2</v>
      </c>
      <c r="D30" s="65">
        <f ca="1"/>
        <v>16.575899735922111</v>
      </c>
      <c r="E30" s="72">
        <f ca="1"/>
        <v>1</v>
      </c>
      <c r="F30" s="28"/>
      <c r="G30" s="28"/>
    </row>
    <row r="31" spans="2:18" x14ac:dyDescent="0.45">
      <c r="B31" s="25" t="str">
        <f ca="1"/>
        <v>Lapse level</v>
      </c>
      <c r="C31" s="65">
        <f ca="1"/>
        <v>7.8907514326973631</v>
      </c>
      <c r="D31" s="65">
        <f ca="1"/>
        <v>9.8737656505208236</v>
      </c>
      <c r="E31" s="72">
        <f ca="1"/>
        <v>2</v>
      </c>
      <c r="F31" s="28"/>
      <c r="G31" s="28"/>
    </row>
    <row r="32" spans="2:18" x14ac:dyDescent="0.45">
      <c r="B32" s="25" t="str">
        <f ca="1"/>
        <v>Disability level</v>
      </c>
      <c r="C32" s="65">
        <f ca="1"/>
        <v>8.0245158342428162</v>
      </c>
      <c r="D32" s="65">
        <f ca="1"/>
        <v>10.003888602682478</v>
      </c>
      <c r="E32" s="72">
        <f ca="1"/>
        <v>3</v>
      </c>
      <c r="F32" s="28"/>
      <c r="G32" s="28"/>
    </row>
    <row r="33" spans="2:7" x14ac:dyDescent="0.45">
      <c r="B33" s="25" t="str">
        <f ca="1"/>
        <v>Recovery level</v>
      </c>
      <c r="C33" s="65">
        <f ca="1"/>
        <v>8.5574042889660689</v>
      </c>
      <c r="D33" s="65">
        <f ca="1"/>
        <v>9.2682726527448409</v>
      </c>
      <c r="E33" s="72">
        <f ca="1"/>
        <v>4</v>
      </c>
      <c r="F33" s="28"/>
      <c r="G33" s="28"/>
    </row>
    <row r="34" spans="2:7" ht="8" customHeight="1" x14ac:dyDescent="0.45"/>
    <row r="41" spans="2:7" ht="22.05" customHeight="1" x14ac:dyDescent="0.5">
      <c r="B41" s="7" t="s">
        <v>243</v>
      </c>
      <c r="C41" s="8"/>
      <c r="D41" s="8"/>
      <c r="E41" s="8"/>
      <c r="F41" s="8"/>
      <c r="G41" s="8"/>
    </row>
    <row r="42" spans="2:7" ht="32" customHeight="1" x14ac:dyDescent="0.45">
      <c r="B42" s="81" t="s">
        <v>244</v>
      </c>
      <c r="C42" s="80"/>
      <c r="D42" s="80"/>
      <c r="E42" s="80"/>
      <c r="F42" s="80"/>
      <c r="G42" s="80"/>
    </row>
    <row r="43" spans="2:7" ht="58.05" customHeight="1" x14ac:dyDescent="0.45">
      <c r="B43" s="81" t="s">
        <v>245</v>
      </c>
      <c r="C43" s="80"/>
      <c r="D43" s="80"/>
      <c r="E43" s="80"/>
      <c r="F43" s="80"/>
      <c r="G43" s="80"/>
    </row>
    <row r="44" spans="2:7" ht="32" customHeight="1" x14ac:dyDescent="0.45">
      <c r="B44" s="81" t="s">
        <v>246</v>
      </c>
      <c r="C44" s="80"/>
      <c r="D44" s="80"/>
      <c r="E44" s="80"/>
      <c r="F44" s="80"/>
      <c r="G44" s="80"/>
    </row>
    <row r="45" spans="2:7" ht="45" customHeight="1" x14ac:dyDescent="0.45">
      <c r="B45" s="81" t="s">
        <v>247</v>
      </c>
      <c r="C45" s="80"/>
      <c r="D45" s="80"/>
      <c r="E45" s="80"/>
      <c r="F45" s="80"/>
      <c r="G45" s="80"/>
    </row>
    <row r="46" spans="2:7" ht="32" customHeight="1" x14ac:dyDescent="0.45">
      <c r="B46" s="81" t="s">
        <v>248</v>
      </c>
      <c r="C46" s="80"/>
      <c r="D46" s="80"/>
      <c r="E46" s="80"/>
      <c r="F46" s="80"/>
      <c r="G46" s="80"/>
    </row>
    <row r="47" spans="2:7" ht="14" customHeight="1" x14ac:dyDescent="0.45"/>
    <row r="48" spans="2:7" ht="14" customHeight="1" x14ac:dyDescent="0.45"/>
    <row r="49" spans="2:7" ht="22.05" customHeight="1" x14ac:dyDescent="0.5">
      <c r="B49" s="7" t="s">
        <v>249</v>
      </c>
      <c r="C49" s="8"/>
      <c r="D49" s="8"/>
      <c r="E49" s="8"/>
      <c r="F49" s="8"/>
      <c r="G49" s="8"/>
    </row>
    <row r="50" spans="2:7" ht="18" customHeight="1" x14ac:dyDescent="0.45">
      <c r="B50" s="13" t="s">
        <v>250</v>
      </c>
    </row>
    <row r="51" spans="2:7" ht="28.05" hidden="1" customHeight="1" outlineLevel="1" x14ac:dyDescent="0.45">
      <c r="B51" s="24" t="s">
        <v>251</v>
      </c>
      <c r="C51" s="24" t="s">
        <v>252</v>
      </c>
      <c r="D51" s="24" t="s">
        <v>253</v>
      </c>
      <c r="E51" s="24" t="s">
        <v>254</v>
      </c>
      <c r="F51" s="5"/>
      <c r="G51" s="5"/>
    </row>
    <row r="52" spans="2:7" hidden="1" outlineLevel="1" x14ac:dyDescent="0.45">
      <c r="B52" s="73">
        <v>0.01</v>
      </c>
      <c r="C52" s="73">
        <f t="shared" ref="C52:C83" si="0">1-B52</f>
        <v>0.99</v>
      </c>
      <c r="D52" s="74" cm="1">
        <f t="array" aca="1" ref="D52" ca="1">IF(ISNUMBER(_xll.VoseSimPercentile(Out_NPV_A,$B52)),_xll.VoseSimPercentile(Out_NPV_A,$B52),NA())</f>
        <v>1.0048635722148491</v>
      </c>
      <c r="E52" s="74" cm="1">
        <f t="array" aca="1" ref="E52" ca="1">IF(ISNUMBER(_xll.VoseSimPercentile(Out_NPV_B,$B52)),_xll.VoseSimPercentile(Out_NPV_B,$B52),NA())</f>
        <v>-6.2798404722209087</v>
      </c>
    </row>
    <row r="53" spans="2:7" hidden="1" outlineLevel="1" x14ac:dyDescent="0.45">
      <c r="B53" s="73">
        <v>0.03</v>
      </c>
      <c r="C53" s="73">
        <f t="shared" si="0"/>
        <v>0.97</v>
      </c>
      <c r="D53" s="74" cm="1">
        <f t="array" aca="1" ref="D53" ca="1">IF(ISNUMBER(_xll.VoseSimPercentile(Out_NPV_A,$B53)),_xll.VoseSimPercentile(Out_NPV_A,$B53),NA())</f>
        <v>2.9139013485709002</v>
      </c>
      <c r="E53" s="74" cm="1">
        <f t="array" aca="1" ref="E53" ca="1">IF(ISNUMBER(_xll.VoseSimPercentile(Out_NPV_B,$B53)),_xll.VoseSimPercentile(Out_NPV_B,$B53),NA())</f>
        <v>-3.2137444479825046</v>
      </c>
    </row>
    <row r="54" spans="2:7" hidden="1" outlineLevel="1" x14ac:dyDescent="0.45">
      <c r="B54" s="73">
        <v>0.05</v>
      </c>
      <c r="C54" s="73">
        <f t="shared" si="0"/>
        <v>0.95</v>
      </c>
      <c r="D54" s="74" cm="1">
        <f t="array" aca="1" ref="D54" ca="1">IF(ISNUMBER(_xll.VoseSimPercentile(Out_NPV_A,$B54)),_xll.VoseSimPercentile(Out_NPV_A,$B54),NA())</f>
        <v>3.7725713801101071</v>
      </c>
      <c r="E54" s="74" cm="1">
        <f t="array" aca="1" ref="E54" ca="1">IF(ISNUMBER(_xll.VoseSimPercentile(Out_NPV_B,$B54)),_xll.VoseSimPercentile(Out_NPV_B,$B54),NA())</f>
        <v>-1.6409079245337375</v>
      </c>
    </row>
    <row r="55" spans="2:7" hidden="1" outlineLevel="1" x14ac:dyDescent="0.45">
      <c r="B55" s="73">
        <v>7.0000000000000007E-2</v>
      </c>
      <c r="C55" s="73">
        <f t="shared" si="0"/>
        <v>0.92999999999999994</v>
      </c>
      <c r="D55" s="74" cm="1">
        <f t="array" aca="1" ref="D55" ca="1">IF(ISNUMBER(_xll.VoseSimPercentile(Out_NPV_A,$B55)),_xll.VoseSimPercentile(Out_NPV_A,$B55),NA())</f>
        <v>4.4608820429386782</v>
      </c>
      <c r="E55" s="74" cm="1">
        <f t="array" aca="1" ref="E55" ca="1">IF(ISNUMBER(_xll.VoseSimPercentile(Out_NPV_B,$B55)),_xll.VoseSimPercentile(Out_NPV_B,$B55),NA())</f>
        <v>-0.56422663434558107</v>
      </c>
    </row>
    <row r="56" spans="2:7" hidden="1" outlineLevel="1" x14ac:dyDescent="0.45">
      <c r="B56" s="73">
        <v>0.09</v>
      </c>
      <c r="C56" s="73">
        <f t="shared" si="0"/>
        <v>0.91</v>
      </c>
      <c r="D56" s="74" cm="1">
        <f t="array" aca="1" ref="D56" ca="1">IF(ISNUMBER(_xll.VoseSimPercentile(Out_NPV_A,$B56)),_xll.VoseSimPercentile(Out_NPV_A,$B56),NA())</f>
        <v>4.9905234450278595</v>
      </c>
      <c r="E56" s="74" cm="1">
        <f t="array" aca="1" ref="E56" ca="1">IF(ISNUMBER(_xll.VoseSimPercentile(Out_NPV_B,$B56)),_xll.VoseSimPercentile(Out_NPV_B,$B56),NA())</f>
        <v>0.25109640862697269</v>
      </c>
    </row>
    <row r="57" spans="2:7" hidden="1" outlineLevel="1" x14ac:dyDescent="0.45">
      <c r="B57" s="73">
        <v>0.11</v>
      </c>
      <c r="C57" s="73">
        <f t="shared" si="0"/>
        <v>0.89</v>
      </c>
      <c r="D57" s="74" cm="1">
        <f t="array" aca="1" ref="D57" ca="1">IF(ISNUMBER(_xll.VoseSimPercentile(Out_NPV_A,$B57)),_xll.VoseSimPercentile(Out_NPV_A,$B57),NA())</f>
        <v>5.4172067660223746</v>
      </c>
      <c r="E57" s="74" cm="1">
        <f t="array" aca="1" ref="E57" ca="1">IF(ISNUMBER(_xll.VoseSimPercentile(Out_NPV_B,$B57)),_xll.VoseSimPercentile(Out_NPV_B,$B57),NA())</f>
        <v>0.97439866124130603</v>
      </c>
    </row>
    <row r="58" spans="2:7" hidden="1" outlineLevel="1" x14ac:dyDescent="0.45">
      <c r="B58" s="73">
        <v>0.13</v>
      </c>
      <c r="C58" s="73">
        <f t="shared" si="0"/>
        <v>0.87</v>
      </c>
      <c r="D58" s="74" cm="1">
        <f t="array" aca="1" ref="D58" ca="1">IF(ISNUMBER(_xll.VoseSimPercentile(Out_NPV_A,$B58)),_xll.VoseSimPercentile(Out_NPV_A,$B58),NA())</f>
        <v>5.8111619166174009</v>
      </c>
      <c r="E58" s="74" cm="1">
        <f t="array" aca="1" ref="E58" ca="1">IF(ISNUMBER(_xll.VoseSimPercentile(Out_NPV_B,$B58)),_xll.VoseSimPercentile(Out_NPV_B,$B58),NA())</f>
        <v>1.6981080989807946</v>
      </c>
    </row>
    <row r="59" spans="2:7" hidden="1" outlineLevel="1" x14ac:dyDescent="0.45">
      <c r="B59" s="73">
        <v>0.15</v>
      </c>
      <c r="C59" s="73">
        <f t="shared" si="0"/>
        <v>0.85</v>
      </c>
      <c r="D59" s="74" cm="1">
        <f t="array" aca="1" ref="D59" ca="1">IF(ISNUMBER(_xll.VoseSimPercentile(Out_NPV_A,$B59)),_xll.VoseSimPercentile(Out_NPV_A,$B59),NA())</f>
        <v>6.1566520960254119</v>
      </c>
      <c r="E59" s="74" cm="1">
        <f t="array" aca="1" ref="E59" ca="1">IF(ISNUMBER(_xll.VoseSimPercentile(Out_NPV_B,$B59)),_xll.VoseSimPercentile(Out_NPV_B,$B59),NA())</f>
        <v>2.3199454253168654</v>
      </c>
    </row>
    <row r="60" spans="2:7" hidden="1" outlineLevel="1" x14ac:dyDescent="0.45">
      <c r="B60" s="73">
        <v>0.17</v>
      </c>
      <c r="C60" s="73">
        <f t="shared" si="0"/>
        <v>0.83</v>
      </c>
      <c r="D60" s="74" cm="1">
        <f t="array" aca="1" ref="D60" ca="1">IF(ISNUMBER(_xll.VoseSimPercentile(Out_NPV_A,$B60)),_xll.VoseSimPercentile(Out_NPV_A,$B60),NA())</f>
        <v>6.4684368173265527</v>
      </c>
      <c r="E60" s="74" cm="1">
        <f t="array" aca="1" ref="E60" ca="1">IF(ISNUMBER(_xll.VoseSimPercentile(Out_NPV_B,$B60)),_xll.VoseSimPercentile(Out_NPV_B,$B60),NA())</f>
        <v>2.8737232598001556</v>
      </c>
    </row>
    <row r="61" spans="2:7" hidden="1" outlineLevel="1" x14ac:dyDescent="0.45">
      <c r="B61" s="73">
        <v>0.19</v>
      </c>
      <c r="C61" s="73">
        <f t="shared" si="0"/>
        <v>0.81</v>
      </c>
      <c r="D61" s="74" cm="1">
        <f t="array" aca="1" ref="D61" ca="1">IF(ISNUMBER(_xll.VoseSimPercentile(Out_NPV_A,$B61)),_xll.VoseSimPercentile(Out_NPV_A,$B61),NA())</f>
        <v>6.7857881045917745</v>
      </c>
      <c r="E61" s="74" cm="1">
        <f t="array" aca="1" ref="E61" ca="1">IF(ISNUMBER(_xll.VoseSimPercentile(Out_NPV_B,$B61)),_xll.VoseSimPercentile(Out_NPV_B,$B61),NA())</f>
        <v>3.3336354389951586</v>
      </c>
    </row>
    <row r="62" spans="2:7" hidden="1" outlineLevel="1" x14ac:dyDescent="0.45">
      <c r="B62" s="73">
        <v>0.21</v>
      </c>
      <c r="C62" s="73">
        <f t="shared" si="0"/>
        <v>0.79</v>
      </c>
      <c r="D62" s="74" cm="1">
        <f t="array" aca="1" ref="D62" ca="1">IF(ISNUMBER(_xll.VoseSimPercentile(Out_NPV_A,$B62)),_xll.VoseSimPercentile(Out_NPV_A,$B62),NA())</f>
        <v>7.0995704137034146</v>
      </c>
      <c r="E62" s="74" cm="1">
        <f t="array" aca="1" ref="E62" ca="1">IF(ISNUMBER(_xll.VoseSimPercentile(Out_NPV_B,$B62)),_xll.VoseSimPercentile(Out_NPV_B,$B62),NA())</f>
        <v>3.8086667210473744</v>
      </c>
    </row>
    <row r="63" spans="2:7" hidden="1" outlineLevel="1" x14ac:dyDescent="0.45">
      <c r="B63" s="73">
        <v>0.23</v>
      </c>
      <c r="C63" s="73">
        <f t="shared" si="0"/>
        <v>0.77</v>
      </c>
      <c r="D63" s="74" cm="1">
        <f t="array" aca="1" ref="D63" ca="1">IF(ISNUMBER(_xll.VoseSimPercentile(Out_NPV_A,$B63)),_xll.VoseSimPercentile(Out_NPV_A,$B63),NA())</f>
        <v>7.4020730800086447</v>
      </c>
      <c r="E63" s="74" cm="1">
        <f t="array" aca="1" ref="E63" ca="1">IF(ISNUMBER(_xll.VoseSimPercentile(Out_NPV_B,$B63)),_xll.VoseSimPercentile(Out_NPV_B,$B63),NA())</f>
        <v>4.2619917970400856</v>
      </c>
    </row>
    <row r="64" spans="2:7" hidden="1" outlineLevel="1" x14ac:dyDescent="0.45">
      <c r="B64" s="73">
        <v>0.25</v>
      </c>
      <c r="C64" s="73">
        <f t="shared" si="0"/>
        <v>0.75</v>
      </c>
      <c r="D64" s="74" cm="1">
        <f t="array" aca="1" ref="D64" ca="1">IF(ISNUMBER(_xll.VoseSimPercentile(Out_NPV_A,$B64)),_xll.VoseSimPercentile(Out_NPV_A,$B64),NA())</f>
        <v>7.6366644659453735</v>
      </c>
      <c r="E64" s="74" cm="1">
        <f t="array" aca="1" ref="E64" ca="1">IF(ISNUMBER(_xll.VoseSimPercentile(Out_NPV_B,$B64)),_xll.VoseSimPercentile(Out_NPV_B,$B64),NA())</f>
        <v>4.6543054636694494</v>
      </c>
    </row>
    <row r="65" spans="2:5" hidden="1" outlineLevel="1" x14ac:dyDescent="0.45">
      <c r="B65" s="73">
        <v>0.27</v>
      </c>
      <c r="C65" s="73">
        <f t="shared" si="0"/>
        <v>0.73</v>
      </c>
      <c r="D65" s="74" cm="1">
        <f t="array" aca="1" ref="D65" ca="1">IF(ISNUMBER(_xll.VoseSimPercentile(Out_NPV_A,$B65)),_xll.VoseSimPercentile(Out_NPV_A,$B65),NA())</f>
        <v>7.8878449369601347</v>
      </c>
      <c r="E65" s="74" cm="1">
        <f t="array" aca="1" ref="E65" ca="1">IF(ISNUMBER(_xll.VoseSimPercentile(Out_NPV_B,$B65)),_xll.VoseSimPercentile(Out_NPV_B,$B65),NA())</f>
        <v>5.083824538264837</v>
      </c>
    </row>
    <row r="66" spans="2:5" hidden="1" outlineLevel="1" x14ac:dyDescent="0.45">
      <c r="B66" s="73">
        <v>0.28999999999999998</v>
      </c>
      <c r="C66" s="73">
        <f t="shared" si="0"/>
        <v>0.71</v>
      </c>
      <c r="D66" s="74" cm="1">
        <f t="array" aca="1" ref="D66" ca="1">IF(ISNUMBER(_xll.VoseSimPercentile(Out_NPV_A,$B66)),_xll.VoseSimPercentile(Out_NPV_A,$B66),NA())</f>
        <v>8.1457967437512924</v>
      </c>
      <c r="E66" s="74" cm="1">
        <f t="array" aca="1" ref="E66" ca="1">IF(ISNUMBER(_xll.VoseSimPercentile(Out_NPV_B,$B66)),_xll.VoseSimPercentile(Out_NPV_B,$B66),NA())</f>
        <v>5.4800990308355857</v>
      </c>
    </row>
    <row r="67" spans="2:5" hidden="1" outlineLevel="1" x14ac:dyDescent="0.45">
      <c r="B67" s="73">
        <v>0.31</v>
      </c>
      <c r="C67" s="73">
        <f t="shared" si="0"/>
        <v>0.69</v>
      </c>
      <c r="D67" s="74" cm="1">
        <f t="array" aca="1" ref="D67" ca="1">IF(ISNUMBER(_xll.VoseSimPercentile(Out_NPV_A,$B67)),_xll.VoseSimPercentile(Out_NPV_A,$B67),NA())</f>
        <v>8.3696144676672901</v>
      </c>
      <c r="E67" s="74" cm="1">
        <f t="array" aca="1" ref="E67" ca="1">IF(ISNUMBER(_xll.VoseSimPercentile(Out_NPV_B,$B67)),_xll.VoseSimPercentile(Out_NPV_B,$B67),NA())</f>
        <v>5.843464460442787</v>
      </c>
    </row>
    <row r="68" spans="2:5" hidden="1" outlineLevel="1" x14ac:dyDescent="0.45">
      <c r="B68" s="73">
        <v>0.33</v>
      </c>
      <c r="C68" s="73">
        <f t="shared" si="0"/>
        <v>0.66999999999999993</v>
      </c>
      <c r="D68" s="74" cm="1">
        <f t="array" aca="1" ref="D68" ca="1">IF(ISNUMBER(_xll.VoseSimPercentile(Out_NPV_A,$B68)),_xll.VoseSimPercentile(Out_NPV_A,$B68),NA())</f>
        <v>8.5841093335943945</v>
      </c>
      <c r="E68" s="74" cm="1">
        <f t="array" aca="1" ref="E68" ca="1">IF(ISNUMBER(_xll.VoseSimPercentile(Out_NPV_B,$B68)),_xll.VoseSimPercentile(Out_NPV_B,$B68),NA())</f>
        <v>6.2288532729251047</v>
      </c>
    </row>
    <row r="69" spans="2:5" hidden="1" outlineLevel="1" x14ac:dyDescent="0.45">
      <c r="B69" s="73">
        <v>0.35</v>
      </c>
      <c r="C69" s="73">
        <f t="shared" si="0"/>
        <v>0.65</v>
      </c>
      <c r="D69" s="74" cm="1">
        <f t="array" aca="1" ref="D69" ca="1">IF(ISNUMBER(_xll.VoseSimPercentile(Out_NPV_A,$B69)),_xll.VoseSimPercentile(Out_NPV_A,$B69),NA())</f>
        <v>8.7646618236463212</v>
      </c>
      <c r="E69" s="74" cm="1">
        <f t="array" aca="1" ref="E69" ca="1">IF(ISNUMBER(_xll.VoseSimPercentile(Out_NPV_B,$B69)),_xll.VoseSimPercentile(Out_NPV_B,$B69),NA())</f>
        <v>6.551676396169916</v>
      </c>
    </row>
    <row r="70" spans="2:5" hidden="1" outlineLevel="1" x14ac:dyDescent="0.45">
      <c r="B70" s="73">
        <v>0.37</v>
      </c>
      <c r="C70" s="73">
        <f t="shared" si="0"/>
        <v>0.63</v>
      </c>
      <c r="D70" s="74" cm="1">
        <f t="array" aca="1" ref="D70" ca="1">IF(ISNUMBER(_xll.VoseSimPercentile(Out_NPV_A,$B70)),_xll.VoseSimPercentile(Out_NPV_A,$B70),NA())</f>
        <v>8.9537898585523408</v>
      </c>
      <c r="E70" s="74" cm="1">
        <f t="array" aca="1" ref="E70" ca="1">IF(ISNUMBER(_xll.VoseSimPercentile(Out_NPV_B,$B70)),_xll.VoseSimPercentile(Out_NPV_B,$B70),NA())</f>
        <v>6.9294716832361445</v>
      </c>
    </row>
    <row r="71" spans="2:5" hidden="1" outlineLevel="1" x14ac:dyDescent="0.45">
      <c r="B71" s="73">
        <v>0.39</v>
      </c>
      <c r="C71" s="73">
        <f t="shared" si="0"/>
        <v>0.61</v>
      </c>
      <c r="D71" s="74" cm="1">
        <f t="array" aca="1" ref="D71" ca="1">IF(ISNUMBER(_xll.VoseSimPercentile(Out_NPV_A,$B71)),_xll.VoseSimPercentile(Out_NPV_A,$B71),NA())</f>
        <v>9.1615098563072923</v>
      </c>
      <c r="E71" s="74" cm="1">
        <f t="array" aca="1" ref="E71" ca="1">IF(ISNUMBER(_xll.VoseSimPercentile(Out_NPV_B,$B71)),_xll.VoseSimPercentile(Out_NPV_B,$B71),NA())</f>
        <v>7.2748831544911505</v>
      </c>
    </row>
    <row r="72" spans="2:5" hidden="1" outlineLevel="1" x14ac:dyDescent="0.45">
      <c r="B72" s="73">
        <v>0.41</v>
      </c>
      <c r="C72" s="73">
        <f t="shared" si="0"/>
        <v>0.59000000000000008</v>
      </c>
      <c r="D72" s="74" cm="1">
        <f t="array" aca="1" ref="D72" ca="1">IF(ISNUMBER(_xll.VoseSimPercentile(Out_NPV_A,$B72)),_xll.VoseSimPercentile(Out_NPV_A,$B72),NA())</f>
        <v>9.3533517677924376</v>
      </c>
      <c r="E72" s="74" cm="1">
        <f t="array" aca="1" ref="E72" ca="1">IF(ISNUMBER(_xll.VoseSimPercentile(Out_NPV_B,$B72)),_xll.VoseSimPercentile(Out_NPV_B,$B72),NA())</f>
        <v>7.6254277680900255</v>
      </c>
    </row>
    <row r="73" spans="2:5" hidden="1" outlineLevel="1" x14ac:dyDescent="0.45">
      <c r="B73" s="73">
        <v>0.43</v>
      </c>
      <c r="C73" s="73">
        <f t="shared" si="0"/>
        <v>0.57000000000000006</v>
      </c>
      <c r="D73" s="74" cm="1">
        <f t="array" aca="1" ref="D73" ca="1">IF(ISNUMBER(_xll.VoseSimPercentile(Out_NPV_A,$B73)),_xll.VoseSimPercentile(Out_NPV_A,$B73),NA())</f>
        <v>9.5778801543539078</v>
      </c>
      <c r="E73" s="74" cm="1">
        <f t="array" aca="1" ref="E73" ca="1">IF(ISNUMBER(_xll.VoseSimPercentile(Out_NPV_B,$B73)),_xll.VoseSimPercentile(Out_NPV_B,$B73),NA())</f>
        <v>7.9495366086947303</v>
      </c>
    </row>
    <row r="74" spans="2:5" hidden="1" outlineLevel="1" x14ac:dyDescent="0.45">
      <c r="B74" s="73">
        <v>0.45</v>
      </c>
      <c r="C74" s="73">
        <f t="shared" si="0"/>
        <v>0.55000000000000004</v>
      </c>
      <c r="D74" s="74" cm="1">
        <f t="array" aca="1" ref="D74" ca="1">IF(ISNUMBER(_xll.VoseSimPercentile(Out_NPV_A,$B74)),_xll.VoseSimPercentile(Out_NPV_A,$B74),NA())</f>
        <v>9.7803684350062241</v>
      </c>
      <c r="E74" s="74" cm="1">
        <f t="array" aca="1" ref="E74" ca="1">IF(ISNUMBER(_xll.VoseSimPercentile(Out_NPV_B,$B74)),_xll.VoseSimPercentile(Out_NPV_B,$B74),NA())</f>
        <v>8.2565918194288965</v>
      </c>
    </row>
    <row r="75" spans="2:5" hidden="1" outlineLevel="1" x14ac:dyDescent="0.45">
      <c r="B75" s="73">
        <v>0.47</v>
      </c>
      <c r="C75" s="73">
        <f t="shared" si="0"/>
        <v>0.53</v>
      </c>
      <c r="D75" s="74" cm="1">
        <f t="array" aca="1" ref="D75" ca="1">IF(ISNUMBER(_xll.VoseSimPercentile(Out_NPV_A,$B75)),_xll.VoseSimPercentile(Out_NPV_A,$B75),NA())</f>
        <v>9.9665219854585523</v>
      </c>
      <c r="E75" s="74" cm="1">
        <f t="array" aca="1" ref="E75" ca="1">IF(ISNUMBER(_xll.VoseSimPercentile(Out_NPV_B,$B75)),_xll.VoseSimPercentile(Out_NPV_B,$B75),NA())</f>
        <v>8.6242666312109417</v>
      </c>
    </row>
    <row r="76" spans="2:5" hidden="1" outlineLevel="1" x14ac:dyDescent="0.45">
      <c r="B76" s="73">
        <v>0.49</v>
      </c>
      <c r="C76" s="73">
        <f t="shared" si="0"/>
        <v>0.51</v>
      </c>
      <c r="D76" s="74" cm="1">
        <f t="array" aca="1" ref="D76" ca="1">IF(ISNUMBER(_xll.VoseSimPercentile(Out_NPV_A,$B76)),_xll.VoseSimPercentile(Out_NPV_A,$B76),NA())</f>
        <v>10.161887767061627</v>
      </c>
      <c r="E76" s="74" cm="1">
        <f t="array" aca="1" ref="E76" ca="1">IF(ISNUMBER(_xll.VoseSimPercentile(Out_NPV_B,$B76)),_xll.VoseSimPercentile(Out_NPV_B,$B76),NA())</f>
        <v>8.9457104696520631</v>
      </c>
    </row>
    <row r="77" spans="2:5" hidden="1" outlineLevel="1" x14ac:dyDescent="0.45">
      <c r="B77" s="73">
        <v>0.51</v>
      </c>
      <c r="C77" s="73">
        <f t="shared" si="0"/>
        <v>0.49</v>
      </c>
      <c r="D77" s="74" cm="1">
        <f t="array" aca="1" ref="D77" ca="1">IF(ISNUMBER(_xll.VoseSimPercentile(Out_NPV_A,$B77)),_xll.VoseSimPercentile(Out_NPV_A,$B77),NA())</f>
        <v>10.357397189705047</v>
      </c>
      <c r="E77" s="74" cm="1">
        <f t="array" aca="1" ref="E77" ca="1">IF(ISNUMBER(_xll.VoseSimPercentile(Out_NPV_B,$B77)),_xll.VoseSimPercentile(Out_NPV_B,$B77),NA())</f>
        <v>9.3170683668223138</v>
      </c>
    </row>
    <row r="78" spans="2:5" hidden="1" outlineLevel="1" x14ac:dyDescent="0.45">
      <c r="B78" s="73">
        <v>0.53</v>
      </c>
      <c r="C78" s="73">
        <f t="shared" si="0"/>
        <v>0.47</v>
      </c>
      <c r="D78" s="74" cm="1">
        <f t="array" aca="1" ref="D78" ca="1">IF(ISNUMBER(_xll.VoseSimPercentile(Out_NPV_A,$B78)),_xll.VoseSimPercentile(Out_NPV_A,$B78),NA())</f>
        <v>10.547251736235953</v>
      </c>
      <c r="E78" s="74" cm="1">
        <f t="array" aca="1" ref="E78" ca="1">IF(ISNUMBER(_xll.VoseSimPercentile(Out_NPV_B,$B78)),_xll.VoseSimPercentile(Out_NPV_B,$B78),NA())</f>
        <v>9.6016087232662652</v>
      </c>
    </row>
    <row r="79" spans="2:5" hidden="1" outlineLevel="1" x14ac:dyDescent="0.45">
      <c r="B79" s="73">
        <v>0.55000000000000004</v>
      </c>
      <c r="C79" s="73">
        <f t="shared" si="0"/>
        <v>0.44999999999999996</v>
      </c>
      <c r="D79" s="74" cm="1">
        <f t="array" aca="1" ref="D79" ca="1">IF(ISNUMBER(_xll.VoseSimPercentile(Out_NPV_A,$B79)),_xll.VoseSimPercentile(Out_NPV_A,$B79),NA())</f>
        <v>10.750630498435232</v>
      </c>
      <c r="E79" s="74" cm="1">
        <f t="array" aca="1" ref="E79" ca="1">IF(ISNUMBER(_xll.VoseSimPercentile(Out_NPV_B,$B79)),_xll.VoseSimPercentile(Out_NPV_B,$B79),NA())</f>
        <v>9.9145227458237173</v>
      </c>
    </row>
    <row r="80" spans="2:5" hidden="1" outlineLevel="1" x14ac:dyDescent="0.45">
      <c r="B80" s="73">
        <v>0.56999999999999995</v>
      </c>
      <c r="C80" s="73">
        <f t="shared" si="0"/>
        <v>0.43000000000000005</v>
      </c>
      <c r="D80" s="74" cm="1">
        <f t="array" aca="1" ref="D80" ca="1">IF(ISNUMBER(_xll.VoseSimPercentile(Out_NPV_A,$B80)),_xll.VoseSimPercentile(Out_NPV_A,$B80),NA())</f>
        <v>10.932585606034971</v>
      </c>
      <c r="E80" s="74" cm="1">
        <f t="array" aca="1" ref="E80" ca="1">IF(ISNUMBER(_xll.VoseSimPercentile(Out_NPV_B,$B80)),_xll.VoseSimPercentile(Out_NPV_B,$B80),NA())</f>
        <v>10.287326636184851</v>
      </c>
    </row>
    <row r="81" spans="2:5" hidden="1" outlineLevel="1" x14ac:dyDescent="0.45">
      <c r="B81" s="73">
        <v>0.59</v>
      </c>
      <c r="C81" s="73">
        <f t="shared" si="0"/>
        <v>0.41000000000000003</v>
      </c>
      <c r="D81" s="74" cm="1">
        <f t="array" aca="1" ref="D81" ca="1">IF(ISNUMBER(_xll.VoseSimPercentile(Out_NPV_A,$B81)),_xll.VoseSimPercentile(Out_NPV_A,$B81),NA())</f>
        <v>11.112998715068583</v>
      </c>
      <c r="E81" s="74" cm="1">
        <f t="array" aca="1" ref="E81" ca="1">IF(ISNUMBER(_xll.VoseSimPercentile(Out_NPV_B,$B81)),_xll.VoseSimPercentile(Out_NPV_B,$B81),NA())</f>
        <v>10.598636253216874</v>
      </c>
    </row>
    <row r="82" spans="2:5" hidden="1" outlineLevel="1" x14ac:dyDescent="0.45">
      <c r="B82" s="73">
        <v>0.61</v>
      </c>
      <c r="C82" s="73">
        <f t="shared" si="0"/>
        <v>0.39</v>
      </c>
      <c r="D82" s="74" cm="1">
        <f t="array" aca="1" ref="D82" ca="1">IF(ISNUMBER(_xll.VoseSimPercentile(Out_NPV_A,$B82)),_xll.VoseSimPercentile(Out_NPV_A,$B82),NA())</f>
        <v>11.301335333446032</v>
      </c>
      <c r="E82" s="74" cm="1">
        <f t="array" aca="1" ref="E82" ca="1">IF(ISNUMBER(_xll.VoseSimPercentile(Out_NPV_B,$B82)),_xll.VoseSimPercentile(Out_NPV_B,$B82),NA())</f>
        <v>10.942559670010496</v>
      </c>
    </row>
    <row r="83" spans="2:5" hidden="1" outlineLevel="1" x14ac:dyDescent="0.45">
      <c r="B83" s="73">
        <v>0.63</v>
      </c>
      <c r="C83" s="73">
        <f t="shared" si="0"/>
        <v>0.37</v>
      </c>
      <c r="D83" s="74" cm="1">
        <f t="array" aca="1" ref="D83" ca="1">IF(ISNUMBER(_xll.VoseSimPercentile(Out_NPV_A,$B83)),_xll.VoseSimPercentile(Out_NPV_A,$B83),NA())</f>
        <v>11.49098149405468</v>
      </c>
      <c r="E83" s="74" cm="1">
        <f t="array" aca="1" ref="E83" ca="1">IF(ISNUMBER(_xll.VoseSimPercentile(Out_NPV_B,$B83)),_xll.VoseSimPercentile(Out_NPV_B,$B83),NA())</f>
        <v>11.238252760602226</v>
      </c>
    </row>
    <row r="84" spans="2:5" hidden="1" outlineLevel="1" x14ac:dyDescent="0.45">
      <c r="B84" s="73">
        <v>0.65</v>
      </c>
      <c r="C84" s="73">
        <f t="shared" ref="C84:C115" si="1">1-B84</f>
        <v>0.35</v>
      </c>
      <c r="D84" s="74" cm="1">
        <f t="array" aca="1" ref="D84" ca="1">IF(ISNUMBER(_xll.VoseSimPercentile(Out_NPV_A,$B84)),_xll.VoseSimPercentile(Out_NPV_A,$B84),NA())</f>
        <v>11.70055617994241</v>
      </c>
      <c r="E84" s="74" cm="1">
        <f t="array" aca="1" ref="E84" ca="1">IF(ISNUMBER(_xll.VoseSimPercentile(Out_NPV_B,$B84)),_xll.VoseSimPercentile(Out_NPV_B,$B84),NA())</f>
        <v>11.558747917307667</v>
      </c>
    </row>
    <row r="85" spans="2:5" hidden="1" outlineLevel="1" x14ac:dyDescent="0.45">
      <c r="B85" s="73">
        <v>0.67</v>
      </c>
      <c r="C85" s="73">
        <f t="shared" si="1"/>
        <v>0.32999999999999996</v>
      </c>
      <c r="D85" s="74" cm="1">
        <f t="array" aca="1" ref="D85" ca="1">IF(ISNUMBER(_xll.VoseSimPercentile(Out_NPV_A,$B85)),_xll.VoseSimPercentile(Out_NPV_A,$B85),NA())</f>
        <v>11.899855653053152</v>
      </c>
      <c r="E85" s="74" cm="1">
        <f t="array" aca="1" ref="E85" ca="1">IF(ISNUMBER(_xll.VoseSimPercentile(Out_NPV_B,$B85)),_xll.VoseSimPercentile(Out_NPV_B,$B85),NA())</f>
        <v>11.879341285987232</v>
      </c>
    </row>
    <row r="86" spans="2:5" hidden="1" outlineLevel="1" x14ac:dyDescent="0.45">
      <c r="B86" s="73">
        <v>0.69</v>
      </c>
      <c r="C86" s="73">
        <f t="shared" si="1"/>
        <v>0.31000000000000005</v>
      </c>
      <c r="D86" s="74" cm="1">
        <f t="array" aca="1" ref="D86" ca="1">IF(ISNUMBER(_xll.VoseSimPercentile(Out_NPV_A,$B86)),_xll.VoseSimPercentile(Out_NPV_A,$B86),NA())</f>
        <v>12.107609587390129</v>
      </c>
      <c r="E86" s="74" cm="1">
        <f t="array" aca="1" ref="E86" ca="1">IF(ISNUMBER(_xll.VoseSimPercentile(Out_NPV_B,$B86)),_xll.VoseSimPercentile(Out_NPV_B,$B86),NA())</f>
        <v>12.211311853885672</v>
      </c>
    </row>
    <row r="87" spans="2:5" hidden="1" outlineLevel="1" x14ac:dyDescent="0.45">
      <c r="B87" s="73">
        <v>0.71</v>
      </c>
      <c r="C87" s="73">
        <f t="shared" si="1"/>
        <v>0.29000000000000004</v>
      </c>
      <c r="D87" s="74" cm="1">
        <f t="array" aca="1" ref="D87" ca="1">IF(ISNUMBER(_xll.VoseSimPercentile(Out_NPV_A,$B87)),_xll.VoseSimPercentile(Out_NPV_A,$B87),NA())</f>
        <v>12.303080605888972</v>
      </c>
      <c r="E87" s="74" cm="1">
        <f t="array" aca="1" ref="E87" ca="1">IF(ISNUMBER(_xll.VoseSimPercentile(Out_NPV_B,$B87)),_xll.VoseSimPercentile(Out_NPV_B,$B87),NA())</f>
        <v>12.574873337309812</v>
      </c>
    </row>
    <row r="88" spans="2:5" hidden="1" outlineLevel="1" x14ac:dyDescent="0.45">
      <c r="B88" s="73">
        <v>0.73</v>
      </c>
      <c r="C88" s="73">
        <f t="shared" si="1"/>
        <v>0.27</v>
      </c>
      <c r="D88" s="74" cm="1">
        <f t="array" aca="1" ref="D88" ca="1">IF(ISNUMBER(_xll.VoseSimPercentile(Out_NPV_A,$B88)),_xll.VoseSimPercentile(Out_NPV_A,$B88),NA())</f>
        <v>12.538091209909313</v>
      </c>
      <c r="E88" s="74" cm="1">
        <f t="array" aca="1" ref="E88" ca="1">IF(ISNUMBER(_xll.VoseSimPercentile(Out_NPV_B,$B88)),_xll.VoseSimPercentile(Out_NPV_B,$B88),NA())</f>
        <v>12.87523351273113</v>
      </c>
    </row>
    <row r="89" spans="2:5" hidden="1" outlineLevel="1" x14ac:dyDescent="0.45">
      <c r="B89" s="73">
        <v>0.75</v>
      </c>
      <c r="C89" s="73">
        <f t="shared" si="1"/>
        <v>0.25</v>
      </c>
      <c r="D89" s="74" cm="1">
        <f t="array" aca="1" ref="D89" ca="1">IF(ISNUMBER(_xll.VoseSimPercentile(Out_NPV_A,$B89)),_xll.VoseSimPercentile(Out_NPV_A,$B89),NA())</f>
        <v>12.777813114006449</v>
      </c>
      <c r="E89" s="74" cm="1">
        <f t="array" aca="1" ref="E89" ca="1">IF(ISNUMBER(_xll.VoseSimPercentile(Out_NPV_B,$B89)),_xll.VoseSimPercentile(Out_NPV_B,$B89),NA())</f>
        <v>13.245331670840987</v>
      </c>
    </row>
    <row r="90" spans="2:5" hidden="1" outlineLevel="1" x14ac:dyDescent="0.45">
      <c r="B90" s="73">
        <v>0.77</v>
      </c>
      <c r="C90" s="73">
        <f t="shared" si="1"/>
        <v>0.22999999999999998</v>
      </c>
      <c r="D90" s="74" cm="1">
        <f t="array" aca="1" ref="D90" ca="1">IF(ISNUMBER(_xll.VoseSimPercentile(Out_NPV_A,$B90)),_xll.VoseSimPercentile(Out_NPV_A,$B90),NA())</f>
        <v>13.017404793983196</v>
      </c>
      <c r="E90" s="74" cm="1">
        <f t="array" aca="1" ref="E90" ca="1">IF(ISNUMBER(_xll.VoseSimPercentile(Out_NPV_B,$B90)),_xll.VoseSimPercentile(Out_NPV_B,$B90),NA())</f>
        <v>13.689453448906333</v>
      </c>
    </row>
    <row r="91" spans="2:5" hidden="1" outlineLevel="1" x14ac:dyDescent="0.45">
      <c r="B91" s="73">
        <v>0.79</v>
      </c>
      <c r="C91" s="73">
        <f t="shared" si="1"/>
        <v>0.20999999999999996</v>
      </c>
      <c r="D91" s="74" cm="1">
        <f t="array" aca="1" ref="D91" ca="1">IF(ISNUMBER(_xll.VoseSimPercentile(Out_NPV_A,$B91)),_xll.VoseSimPercentile(Out_NPV_A,$B91),NA())</f>
        <v>13.267421390708321</v>
      </c>
      <c r="E91" s="74" cm="1">
        <f t="array" aca="1" ref="E91" ca="1">IF(ISNUMBER(_xll.VoseSimPercentile(Out_NPV_B,$B91)),_xll.VoseSimPercentile(Out_NPV_B,$B91),NA())</f>
        <v>14.098962985710338</v>
      </c>
    </row>
    <row r="92" spans="2:5" hidden="1" outlineLevel="1" x14ac:dyDescent="0.45">
      <c r="B92" s="73">
        <v>0.81</v>
      </c>
      <c r="C92" s="73">
        <f t="shared" si="1"/>
        <v>0.18999999999999995</v>
      </c>
      <c r="D92" s="74" cm="1">
        <f t="array" aca="1" ref="D92" ca="1">IF(ISNUMBER(_xll.VoseSimPercentile(Out_NPV_A,$B92)),_xll.VoseSimPercentile(Out_NPV_A,$B92),NA())</f>
        <v>13.598260389199329</v>
      </c>
      <c r="E92" s="74" cm="1">
        <f t="array" aca="1" ref="E92" ca="1">IF(ISNUMBER(_xll.VoseSimPercentile(Out_NPV_B,$B92)),_xll.VoseSimPercentile(Out_NPV_B,$B92),NA())</f>
        <v>14.536048339346376</v>
      </c>
    </row>
    <row r="93" spans="2:5" hidden="1" outlineLevel="1" x14ac:dyDescent="0.45">
      <c r="B93" s="73">
        <v>0.83</v>
      </c>
      <c r="C93" s="73">
        <f t="shared" si="1"/>
        <v>0.17000000000000004</v>
      </c>
      <c r="D93" s="74" cm="1">
        <f t="array" aca="1" ref="D93" ca="1">IF(ISNUMBER(_xll.VoseSimPercentile(Out_NPV_A,$B93)),_xll.VoseSimPercentile(Out_NPV_A,$B93),NA())</f>
        <v>13.86629082341682</v>
      </c>
      <c r="E93" s="74" cm="1">
        <f t="array" aca="1" ref="E93" ca="1">IF(ISNUMBER(_xll.VoseSimPercentile(Out_NPV_B,$B93)),_xll.VoseSimPercentile(Out_NPV_B,$B93),NA())</f>
        <v>15.03447527510281</v>
      </c>
    </row>
    <row r="94" spans="2:5" hidden="1" outlineLevel="1" x14ac:dyDescent="0.45">
      <c r="B94" s="73">
        <v>0.85</v>
      </c>
      <c r="C94" s="73">
        <f t="shared" si="1"/>
        <v>0.15000000000000002</v>
      </c>
      <c r="D94" s="74" cm="1">
        <f t="array" aca="1" ref="D94" ca="1">IF(ISNUMBER(_xll.VoseSimPercentile(Out_NPV_A,$B94)),_xll.VoseSimPercentile(Out_NPV_A,$B94),NA())</f>
        <v>14.212644231062821</v>
      </c>
      <c r="E94" s="74" cm="1">
        <f t="array" aca="1" ref="E94" ca="1">IF(ISNUMBER(_xll.VoseSimPercentile(Out_NPV_B,$B94)),_xll.VoseSimPercentile(Out_NPV_B,$B94),NA())</f>
        <v>15.439406939329061</v>
      </c>
    </row>
    <row r="95" spans="2:5" hidden="1" outlineLevel="1" x14ac:dyDescent="0.45">
      <c r="B95" s="73">
        <v>0.87</v>
      </c>
      <c r="C95" s="73">
        <f t="shared" si="1"/>
        <v>0.13</v>
      </c>
      <c r="D95" s="74" cm="1">
        <f t="array" aca="1" ref="D95" ca="1">IF(ISNUMBER(_xll.VoseSimPercentile(Out_NPV_A,$B95)),_xll.VoseSimPercentile(Out_NPV_A,$B95),NA())</f>
        <v>14.550357780070549</v>
      </c>
      <c r="E95" s="74" cm="1">
        <f t="array" aca="1" ref="E95" ca="1">IF(ISNUMBER(_xll.VoseSimPercentile(Out_NPV_B,$B95)),_xll.VoseSimPercentile(Out_NPV_B,$B95),NA())</f>
        <v>15.993745413878226</v>
      </c>
    </row>
    <row r="96" spans="2:5" hidden="1" outlineLevel="1" x14ac:dyDescent="0.45">
      <c r="B96" s="73">
        <v>0.89</v>
      </c>
      <c r="C96" s="73">
        <f t="shared" si="1"/>
        <v>0.10999999999999999</v>
      </c>
      <c r="D96" s="74" cm="1">
        <f t="array" aca="1" ref="D96" ca="1">IF(ISNUMBER(_xll.VoseSimPercentile(Out_NPV_A,$B96)),_xll.VoseSimPercentile(Out_NPV_A,$B96),NA())</f>
        <v>14.919877027573317</v>
      </c>
      <c r="E96" s="74" cm="1">
        <f t="array" aca="1" ref="E96" ca="1">IF(ISNUMBER(_xll.VoseSimPercentile(Out_NPV_B,$B96)),_xll.VoseSimPercentile(Out_NPV_B,$B96),NA())</f>
        <v>16.560396321669632</v>
      </c>
    </row>
    <row r="97" spans="2:7" hidden="1" outlineLevel="1" x14ac:dyDescent="0.45">
      <c r="B97" s="73">
        <v>0.91</v>
      </c>
      <c r="C97" s="73">
        <f t="shared" si="1"/>
        <v>8.9999999999999969E-2</v>
      </c>
      <c r="D97" s="74" cm="1">
        <f t="array" aca="1" ref="D97" ca="1">IF(ISNUMBER(_xll.VoseSimPercentile(Out_NPV_A,$B97)),_xll.VoseSimPercentile(Out_NPV_A,$B97),NA())</f>
        <v>15.354235948508535</v>
      </c>
      <c r="E97" s="74" cm="1">
        <f t="array" aca="1" ref="E97" ca="1">IF(ISNUMBER(_xll.VoseSimPercentile(Out_NPV_B,$B97)),_xll.VoseSimPercentile(Out_NPV_B,$B97),NA())</f>
        <v>17.241848656974376</v>
      </c>
    </row>
    <row r="98" spans="2:7" hidden="1" outlineLevel="1" x14ac:dyDescent="0.45">
      <c r="B98" s="73">
        <v>0.93</v>
      </c>
      <c r="C98" s="73">
        <f t="shared" si="1"/>
        <v>6.9999999999999951E-2</v>
      </c>
      <c r="D98" s="74" cm="1">
        <f t="array" aca="1" ref="D98" ca="1">IF(ISNUMBER(_xll.VoseSimPercentile(Out_NPV_A,$B98)),_xll.VoseSimPercentile(Out_NPV_A,$B98),NA())</f>
        <v>15.880166388992428</v>
      </c>
      <c r="E98" s="74" cm="1">
        <f t="array" aca="1" ref="E98" ca="1">IF(ISNUMBER(_xll.VoseSimPercentile(Out_NPV_B,$B98)),_xll.VoseSimPercentile(Out_NPV_B,$B98),NA())</f>
        <v>17.981572146545137</v>
      </c>
    </row>
    <row r="99" spans="2:7" hidden="1" outlineLevel="1" x14ac:dyDescent="0.45">
      <c r="B99" s="73">
        <v>0.95</v>
      </c>
      <c r="C99" s="73">
        <f t="shared" si="1"/>
        <v>5.0000000000000044E-2</v>
      </c>
      <c r="D99" s="74" cm="1">
        <f t="array" aca="1" ref="D99" ca="1">IF(ISNUMBER(_xll.VoseSimPercentile(Out_NPV_A,$B99)),_xll.VoseSimPercentile(Out_NPV_A,$B99),NA())</f>
        <v>16.555145609161364</v>
      </c>
      <c r="E99" s="74" cm="1">
        <f t="array" aca="1" ref="E99" ca="1">IF(ISNUMBER(_xll.VoseSimPercentile(Out_NPV_B,$B99)),_xll.VoseSimPercentile(Out_NPV_B,$B99),NA())</f>
        <v>18.94646724794606</v>
      </c>
    </row>
    <row r="100" spans="2:7" hidden="1" outlineLevel="1" x14ac:dyDescent="0.45">
      <c r="B100" s="73">
        <v>0.97</v>
      </c>
      <c r="C100" s="73">
        <f t="shared" si="1"/>
        <v>3.0000000000000027E-2</v>
      </c>
      <c r="D100" s="74" cm="1">
        <f t="array" aca="1" ref="D100" ca="1">IF(ISNUMBER(_xll.VoseSimPercentile(Out_NPV_A,$B100)),_xll.VoseSimPercentile(Out_NPV_A,$B100),NA())</f>
        <v>17.386857320737679</v>
      </c>
      <c r="E100" s="74" cm="1">
        <f t="array" aca="1" ref="E100" ca="1">IF(ISNUMBER(_xll.VoseSimPercentile(Out_NPV_B,$B100)),_xll.VoseSimPercentile(Out_NPV_B,$B100),NA())</f>
        <v>20.214261436297619</v>
      </c>
    </row>
    <row r="101" spans="2:7" hidden="1" outlineLevel="1" x14ac:dyDescent="0.45">
      <c r="B101" s="73">
        <v>0.99</v>
      </c>
      <c r="C101" s="73">
        <f t="shared" si="1"/>
        <v>1.0000000000000009E-2</v>
      </c>
      <c r="D101" s="74" cm="1">
        <f t="array" aca="1" ref="D101" ca="1">IF(ISNUMBER(_xll.VoseSimPercentile(Out_NPV_A,$B101)),_xll.VoseSimPercentile(Out_NPV_A,$B101),NA())</f>
        <v>18.917522864706068</v>
      </c>
      <c r="E101" s="74" cm="1">
        <f t="array" aca="1" ref="E101" ca="1">IF(ISNUMBER(_xll.VoseSimPercentile(Out_NPV_B,$B101)),_xll.VoseSimPercentile(Out_NPV_B,$B101),NA())</f>
        <v>22.299758966666904</v>
      </c>
    </row>
    <row r="102" spans="2:7" hidden="1" outlineLevel="1" x14ac:dyDescent="0.45"/>
    <row r="103" spans="2:7" hidden="1" outlineLevel="1" x14ac:dyDescent="0.45">
      <c r="B103" s="75" t="s">
        <v>255</v>
      </c>
      <c r="D103" s="76" cm="1">
        <f t="array" aca="1" ref="D103" ca="1">_xll.VoseSimMean(Out_NPV_B)</f>
        <v>8.9071620623683554</v>
      </c>
    </row>
    <row r="104" spans="2:7" ht="18" hidden="1" customHeight="1" outlineLevel="1" x14ac:dyDescent="0.45">
      <c r="B104" s="23" t="s">
        <v>256</v>
      </c>
      <c r="C104" s="5"/>
      <c r="D104" s="5"/>
      <c r="E104" s="5"/>
      <c r="F104" s="24" t="s">
        <v>257</v>
      </c>
      <c r="G104" s="24" t="s">
        <v>258</v>
      </c>
    </row>
    <row r="105" spans="2:7" hidden="1" outlineLevel="1" x14ac:dyDescent="0.45">
      <c r="B105" s="77" t="str">
        <f ca="1">B30</f>
        <v>Mortality level</v>
      </c>
      <c r="F105" s="78">
        <f ca="1">IFERROR(D30-$D$103,NA())</f>
        <v>7.6687376735537551</v>
      </c>
      <c r="G105" s="78">
        <f ca="1">IFERROR(C30-$D$103,NA())</f>
        <v>-8.8526412284608043</v>
      </c>
    </row>
    <row r="106" spans="2:7" hidden="1" outlineLevel="1" x14ac:dyDescent="0.45">
      <c r="B106" s="77" t="str">
        <f ca="1">B31</f>
        <v>Lapse level</v>
      </c>
      <c r="F106" s="78">
        <f ca="1">IFERROR(D31-$D$103,NA())</f>
        <v>0.96660358815246816</v>
      </c>
      <c r="G106" s="78">
        <f ca="1">IFERROR(C31-$D$103,NA())</f>
        <v>-1.0164106296709923</v>
      </c>
    </row>
    <row r="107" spans="2:7" hidden="1" outlineLevel="1" x14ac:dyDescent="0.45">
      <c r="B107" s="77" t="str">
        <f ca="1">B32</f>
        <v>Disability level</v>
      </c>
      <c r="F107" s="78">
        <f ca="1">IFERROR(D32-$D$103,NA())</f>
        <v>1.0967265403141226</v>
      </c>
      <c r="G107" s="78">
        <f ca="1">IFERROR(C32-$D$103,NA())</f>
        <v>-0.88264622812553917</v>
      </c>
    </row>
    <row r="108" spans="2:7" hidden="1" outlineLevel="1" x14ac:dyDescent="0.45">
      <c r="B108" s="77" t="str">
        <f ca="1">B33</f>
        <v>Recovery level</v>
      </c>
      <c r="F108" s="78">
        <f ca="1">IFERROR(D33-$D$103,NA())</f>
        <v>0.36111059037648552</v>
      </c>
      <c r="G108" s="78">
        <f ca="1">IFERROR(C33-$D$103,NA())</f>
        <v>-0.34975777340228653</v>
      </c>
    </row>
  </sheetData>
  <mergeCells count="5">
    <mergeCell ref="B42:G42"/>
    <mergeCell ref="B46:G46"/>
    <mergeCell ref="B45:G45"/>
    <mergeCell ref="B43:G43"/>
    <mergeCell ref="B44:G44"/>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2:E101">
    <cfRule type="expression" dxfId="1" priority="3">
      <formula>ISNA(D52)</formula>
    </cfRule>
  </conditionalFormatting>
  <conditionalFormatting sqref="F105:G108">
    <cfRule type="expression" dxfId="0" priority="4">
      <formula>ISNA(F105)</formula>
    </cfRule>
  </conditionalFormatting>
  <hyperlinks>
    <hyperlink ref="B4" location="'Projection'!A1" display="◂  Projection"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DB60-A5FC-4D4F-A442-FEB77A3D1372}">
  <dimension ref="A1:B1"/>
  <sheetViews>
    <sheetView workbookViewId="0"/>
  </sheetViews>
  <sheetFormatPr defaultRowHeight="14.25" x14ac:dyDescent="0.45"/>
  <sheetData>
    <row r="1" spans="1:2" x14ac:dyDescent="0.45">
      <c r="A1" s="83" t="s">
        <v>259</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9068D-AA55-476D-A6F3-F08E89365F04}">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5B913-64B2-4477-B5F8-56146615E517}">
  <dimension ref="B3:B82"/>
  <sheetViews>
    <sheetView workbookViewId="0"/>
  </sheetViews>
  <sheetFormatPr defaultRowHeight="14.25" x14ac:dyDescent="0.45"/>
  <sheetData>
    <row r="3" spans="2:2" x14ac:dyDescent="0.45">
      <c r="B3">
        <v>77</v>
      </c>
    </row>
    <row r="4" spans="2:2" x14ac:dyDescent="0.45">
      <c r="B4">
        <v>184</v>
      </c>
    </row>
    <row r="5" spans="2:2" x14ac:dyDescent="0.45">
      <c r="B5">
        <v>298</v>
      </c>
    </row>
    <row r="6" spans="2:2" x14ac:dyDescent="0.45">
      <c r="B6">
        <v>349</v>
      </c>
    </row>
    <row r="7" spans="2:2" x14ac:dyDescent="0.45">
      <c r="B7">
        <v>362</v>
      </c>
    </row>
    <row r="8" spans="2:2" x14ac:dyDescent="0.45">
      <c r="B8">
        <v>293</v>
      </c>
    </row>
    <row r="9" spans="2:2" x14ac:dyDescent="0.45">
      <c r="B9">
        <v>240</v>
      </c>
    </row>
    <row r="10" spans="2:2" x14ac:dyDescent="0.45">
      <c r="B10">
        <v>131</v>
      </c>
    </row>
    <row r="11" spans="2:2" x14ac:dyDescent="0.45">
      <c r="B11">
        <v>58</v>
      </c>
    </row>
    <row r="12" spans="2:2" x14ac:dyDescent="0.45">
      <c r="B12">
        <v>8</v>
      </c>
    </row>
    <row r="13" spans="2:2" x14ac:dyDescent="0.45">
      <c r="B13">
        <v>53</v>
      </c>
    </row>
    <row r="14" spans="2:2" x14ac:dyDescent="0.45">
      <c r="B14">
        <v>191</v>
      </c>
    </row>
    <row r="15" spans="2:2" x14ac:dyDescent="0.45">
      <c r="B15">
        <v>271</v>
      </c>
    </row>
    <row r="16" spans="2:2" x14ac:dyDescent="0.45">
      <c r="B16">
        <v>350</v>
      </c>
    </row>
    <row r="17" spans="2:2" x14ac:dyDescent="0.45">
      <c r="B17">
        <v>346</v>
      </c>
    </row>
    <row r="18" spans="2:2" x14ac:dyDescent="0.45">
      <c r="B18">
        <v>316</v>
      </c>
    </row>
    <row r="19" spans="2:2" x14ac:dyDescent="0.45">
      <c r="B19">
        <v>248</v>
      </c>
    </row>
    <row r="20" spans="2:2" x14ac:dyDescent="0.45">
      <c r="B20">
        <v>142</v>
      </c>
    </row>
    <row r="21" spans="2:2" x14ac:dyDescent="0.45">
      <c r="B21">
        <v>68</v>
      </c>
    </row>
    <row r="22" spans="2:2" x14ac:dyDescent="0.45">
      <c r="B22">
        <v>15</v>
      </c>
    </row>
    <row r="23" spans="2:2" x14ac:dyDescent="0.45">
      <c r="B23">
        <v>69</v>
      </c>
    </row>
    <row r="24" spans="2:2" x14ac:dyDescent="0.45">
      <c r="B24">
        <v>218</v>
      </c>
    </row>
    <row r="25" spans="2:2" x14ac:dyDescent="0.45">
      <c r="B25">
        <v>316</v>
      </c>
    </row>
    <row r="26" spans="2:2" x14ac:dyDescent="0.45">
      <c r="B26">
        <v>375</v>
      </c>
    </row>
    <row r="27" spans="2:2" x14ac:dyDescent="0.45">
      <c r="B27">
        <v>329</v>
      </c>
    </row>
    <row r="28" spans="2:2" x14ac:dyDescent="0.45">
      <c r="B28">
        <v>325</v>
      </c>
    </row>
    <row r="29" spans="2:2" x14ac:dyDescent="0.45">
      <c r="B29">
        <v>199</v>
      </c>
    </row>
    <row r="30" spans="2:2" x14ac:dyDescent="0.45">
      <c r="B30">
        <v>120</v>
      </c>
    </row>
    <row r="31" spans="2:2" x14ac:dyDescent="0.45">
      <c r="B31">
        <v>45</v>
      </c>
    </row>
    <row r="32" spans="2:2" x14ac:dyDescent="0.45">
      <c r="B32">
        <v>4</v>
      </c>
    </row>
    <row r="33" spans="2:2" x14ac:dyDescent="0.45">
      <c r="B33">
        <v>8</v>
      </c>
    </row>
    <row r="34" spans="2:2" x14ac:dyDescent="0.45">
      <c r="B34">
        <v>47</v>
      </c>
    </row>
    <row r="35" spans="2:2" x14ac:dyDescent="0.45">
      <c r="B35">
        <v>144</v>
      </c>
    </row>
    <row r="36" spans="2:2" x14ac:dyDescent="0.45">
      <c r="B36">
        <v>251</v>
      </c>
    </row>
    <row r="37" spans="2:2" x14ac:dyDescent="0.45">
      <c r="B37">
        <v>313</v>
      </c>
    </row>
    <row r="38" spans="2:2" x14ac:dyDescent="0.45">
      <c r="B38">
        <v>358</v>
      </c>
    </row>
    <row r="39" spans="2:2" x14ac:dyDescent="0.45">
      <c r="B39">
        <v>350</v>
      </c>
    </row>
    <row r="40" spans="2:2" x14ac:dyDescent="0.45">
      <c r="B40">
        <v>294</v>
      </c>
    </row>
    <row r="41" spans="2:2" x14ac:dyDescent="0.45">
      <c r="B41">
        <v>177</v>
      </c>
    </row>
    <row r="42" spans="2:2" x14ac:dyDescent="0.45">
      <c r="B42">
        <v>58</v>
      </c>
    </row>
    <row r="43" spans="2:2" x14ac:dyDescent="0.45">
      <c r="B43">
        <v>6</v>
      </c>
    </row>
    <row r="44" spans="2:2" x14ac:dyDescent="0.45">
      <c r="B44">
        <v>37</v>
      </c>
    </row>
    <row r="45" spans="2:2" x14ac:dyDescent="0.45">
      <c r="B45">
        <v>104</v>
      </c>
    </row>
    <row r="46" spans="2:2" x14ac:dyDescent="0.45">
      <c r="B46">
        <v>243</v>
      </c>
    </row>
    <row r="47" spans="2:2" x14ac:dyDescent="0.45">
      <c r="B47">
        <v>416</v>
      </c>
    </row>
    <row r="48" spans="2:2" x14ac:dyDescent="0.45">
      <c r="B48">
        <v>508</v>
      </c>
    </row>
    <row r="49" spans="2:2" x14ac:dyDescent="0.45">
      <c r="B49">
        <v>388</v>
      </c>
    </row>
    <row r="50" spans="2:2" x14ac:dyDescent="0.45">
      <c r="B50">
        <v>191</v>
      </c>
    </row>
    <row r="51" spans="2:2" x14ac:dyDescent="0.45">
      <c r="B51">
        <v>88</v>
      </c>
    </row>
    <row r="52" spans="2:2" x14ac:dyDescent="0.45">
      <c r="B52">
        <v>19</v>
      </c>
    </row>
    <row r="53" spans="2:2" x14ac:dyDescent="0.45">
      <c r="B53">
        <v>9</v>
      </c>
    </row>
    <row r="54" spans="2:2" x14ac:dyDescent="0.45">
      <c r="B54">
        <v>33</v>
      </c>
    </row>
    <row r="55" spans="2:2" x14ac:dyDescent="0.45">
      <c r="B55">
        <v>120</v>
      </c>
    </row>
    <row r="56" spans="2:2" x14ac:dyDescent="0.45">
      <c r="B56">
        <v>290</v>
      </c>
    </row>
    <row r="57" spans="2:2" x14ac:dyDescent="0.45">
      <c r="B57">
        <v>484</v>
      </c>
    </row>
    <row r="58" spans="2:2" x14ac:dyDescent="0.45">
      <c r="B58">
        <v>479</v>
      </c>
    </row>
    <row r="59" spans="2:2" x14ac:dyDescent="0.45">
      <c r="B59">
        <v>360</v>
      </c>
    </row>
    <row r="60" spans="2:2" x14ac:dyDescent="0.45">
      <c r="B60">
        <v>176</v>
      </c>
    </row>
    <row r="61" spans="2:2" x14ac:dyDescent="0.45">
      <c r="B61">
        <v>46</v>
      </c>
    </row>
    <row r="62" spans="2:2" x14ac:dyDescent="0.45">
      <c r="B62">
        <v>3</v>
      </c>
    </row>
    <row r="63" spans="2:2" x14ac:dyDescent="0.45">
      <c r="B63">
        <v>23</v>
      </c>
    </row>
    <row r="64" spans="2:2" x14ac:dyDescent="0.45">
      <c r="B64">
        <v>89</v>
      </c>
    </row>
    <row r="65" spans="2:2" x14ac:dyDescent="0.45">
      <c r="B65">
        <v>192</v>
      </c>
    </row>
    <row r="66" spans="2:2" x14ac:dyDescent="0.45">
      <c r="B66">
        <v>380</v>
      </c>
    </row>
    <row r="67" spans="2:2" x14ac:dyDescent="0.45">
      <c r="B67">
        <v>510</v>
      </c>
    </row>
    <row r="68" spans="2:2" x14ac:dyDescent="0.45">
      <c r="B68">
        <v>377</v>
      </c>
    </row>
    <row r="69" spans="2:2" x14ac:dyDescent="0.45">
      <c r="B69">
        <v>255</v>
      </c>
    </row>
    <row r="70" spans="2:2" x14ac:dyDescent="0.45">
      <c r="B70">
        <v>119</v>
      </c>
    </row>
    <row r="71" spans="2:2" x14ac:dyDescent="0.45">
      <c r="B71">
        <v>47</v>
      </c>
    </row>
    <row r="72" spans="2:2" x14ac:dyDescent="0.45">
      <c r="B72">
        <v>8</v>
      </c>
    </row>
    <row r="73" spans="2:2" x14ac:dyDescent="0.45">
      <c r="B73">
        <v>5</v>
      </c>
    </row>
    <row r="74" spans="2:2" x14ac:dyDescent="0.45">
      <c r="B74">
        <v>45</v>
      </c>
    </row>
    <row r="75" spans="2:2" x14ac:dyDescent="0.45">
      <c r="B75">
        <v>181</v>
      </c>
    </row>
    <row r="76" spans="2:2" x14ac:dyDescent="0.45">
      <c r="B76">
        <v>362</v>
      </c>
    </row>
    <row r="77" spans="2:2" x14ac:dyDescent="0.45">
      <c r="B77">
        <v>507</v>
      </c>
    </row>
    <row r="78" spans="2:2" x14ac:dyDescent="0.45">
      <c r="B78">
        <v>420</v>
      </c>
    </row>
    <row r="79" spans="2:2" x14ac:dyDescent="0.45">
      <c r="B79">
        <v>287</v>
      </c>
    </row>
    <row r="80" spans="2:2" x14ac:dyDescent="0.45">
      <c r="B80">
        <v>137</v>
      </c>
    </row>
    <row r="81" spans="2:2" x14ac:dyDescent="0.45">
      <c r="B81">
        <v>44</v>
      </c>
    </row>
    <row r="82" spans="2:2" x14ac:dyDescent="0.45">
      <c r="B82">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56232857-44F6-4899-A265-738EC0A1F369}">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58</vt:i4>
      </vt:variant>
    </vt:vector>
  </HeadingPairs>
  <TitlesOfParts>
    <vt:vector size="65" baseType="lpstr">
      <vt:lpstr>About</vt:lpstr>
      <vt:lpstr>Inputs</vt:lpstr>
      <vt:lpstr>Projection</vt:lpstr>
      <vt:lpstr>Results</vt:lpstr>
      <vt:lpstr>ModelRiskDSN</vt:lpstr>
      <vt:lpstr>ModelRiskSYS1</vt:lpstr>
      <vt:lpstr>ModelRiskCharts</vt:lpstr>
      <vt:lpstr>Checks</vt:lpstr>
      <vt:lpstr>Deaths_A</vt:lpstr>
      <vt:lpstr>Deaths_B</vt:lpstr>
      <vt:lpstr>Deaths_E</vt:lpstr>
      <vt:lpstr>DFEnd</vt:lpstr>
      <vt:lpstr>DFStart</vt:lpstr>
      <vt:lpstr>DiscRate</vt:lpstr>
      <vt:lpstr>ExpPol</vt:lpstr>
      <vt:lpstr>In10_Matrix</vt:lpstr>
      <vt:lpstr>Inc_U</vt:lpstr>
      <vt:lpstr>IncRate</vt:lpstr>
      <vt:lpstr>InputMeans</vt:lpstr>
      <vt:lpstr>Lapse_U</vt:lpstr>
      <vt:lpstr>LapseRate</vt:lpstr>
      <vt:lpstr>Last_E</vt:lpstr>
      <vt:lpstr>M_10</vt:lpstr>
      <vt:lpstr>M_BE</vt:lpstr>
      <vt:lpstr>M_U</vt:lpstr>
      <vt:lpstr>MInc</vt:lpstr>
      <vt:lpstr>MInc_Hi</vt:lpstr>
      <vt:lpstr>MInc_Lo</vt:lpstr>
      <vt:lpstr>MInc_Mean</vt:lpstr>
      <vt:lpstr>MInc_ML</vt:lpstr>
      <vt:lpstr>MLapse</vt:lpstr>
      <vt:lpstr>MLapse_Hi</vt:lpstr>
      <vt:lpstr>MLapse_Lo</vt:lpstr>
      <vt:lpstr>MLapse_Mean</vt:lpstr>
      <vt:lpstr>MLapse_ML</vt:lpstr>
      <vt:lpstr>MMort</vt:lpstr>
      <vt:lpstr>MMort_Hi</vt:lpstr>
      <vt:lpstr>MMort_Lo</vt:lpstr>
      <vt:lpstr>MMort_Mean</vt:lpstr>
      <vt:lpstr>MMort_ML</vt:lpstr>
      <vt:lpstr>MRec</vt:lpstr>
      <vt:lpstr>MRec_Hi</vt:lpstr>
      <vt:lpstr>MRec_Lo</vt:lpstr>
      <vt:lpstr>MRec_Mean</vt:lpstr>
      <vt:lpstr>MRec_ML</vt:lpstr>
      <vt:lpstr>NPolicies</vt:lpstr>
      <vt:lpstr>NPV_A</vt:lpstr>
      <vt:lpstr>NPV_B</vt:lpstr>
      <vt:lpstr>NPV_E</vt:lpstr>
      <vt:lpstr>Out_Deaths_A</vt:lpstr>
      <vt:lpstr>Out_Deaths_B</vt:lpstr>
      <vt:lpstr>Out_NPV_A</vt:lpstr>
      <vt:lpstr>Out_NPV_B</vt:lpstr>
      <vt:lpstr>Prem</vt:lpstr>
      <vt:lpstr>Results!Print_Area</vt:lpstr>
      <vt:lpstr>Inputs!Print_Titles</vt:lpstr>
      <vt:lpstr>Results!Print_Titles</vt:lpstr>
      <vt:lpstr>QA_U</vt:lpstr>
      <vt:lpstr>QActive</vt:lpstr>
      <vt:lpstr>QD_U</vt:lpstr>
      <vt:lpstr>QDisabled</vt:lpstr>
      <vt:lpstr>Rec_U</vt:lpstr>
      <vt:lpstr>RecRate</vt:lpstr>
      <vt:lpstr>Start</vt:lpstr>
      <vt:lpstr>SumAssured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IN-08 Life Portfolio and Lapse</dc:title>
  <dc:subject>ModelRisk industry example library — Insurance</dc:subject>
  <dc:creator>Vose Software</dc:creator>
  <cp:keywords>ModelRisk; Monte Carlo; Insurance</cp:keywords>
  <dc:description>A block of 20,000 term policies as a four-state Markov chain: its value, its chance of a loss, and chance against uncertainty in the rates.</dc:description>
  <cp:lastModifiedBy>Timour Koupeev</cp:lastModifiedBy>
  <cp:lastPrinted>2026-10-05T15:43:51Z</cp:lastPrinted>
  <dcterms:created xsi:type="dcterms:W3CDTF">2026-10-05T15:37:17Z</dcterms:created>
  <dcterms:modified xsi:type="dcterms:W3CDTF">2026-10-05T15:43:52Z</dcterms:modified>
</cp:coreProperties>
</file>