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imourKoupeev\source\repos\ModelRisk-Examples\models\Insurance\"/>
    </mc:Choice>
  </mc:AlternateContent>
  <xr:revisionPtr revIDLastSave="0" documentId="8_{34CEE2E8-C035-40EC-9142-9ACD189F0958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About" sheetId="1" r:id="rId1"/>
    <sheet name="Inputs" sheetId="2" r:id="rId2"/>
    <sheet name="Capital" sheetId="3" r:id="rId3"/>
    <sheet name="Results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Bad_Cat">Capital!$I$35</definedName>
    <definedName name="Bad_Liab">Capital!$G$35</definedName>
    <definedName name="Bad_Mot">Capital!$E$35</definedName>
    <definedName name="Bad_Prop">Capital!$F$35</definedName>
    <definedName name="Bad_Res">Capital!$H$35</definedName>
    <definedName name="BadYear">Inputs!$D$47</definedName>
    <definedName name="C_Liab_Res">Inputs!$D$42</definedName>
    <definedName name="C_Mot_Liab">Inputs!$D$38</definedName>
    <definedName name="C_Mot_Prop">Inputs!$D$37</definedName>
    <definedName name="C_Mot_Res">Inputs!$D$39</definedName>
    <definedName name="C_Prop_Liab">Inputs!$D$40</definedName>
    <definedName name="C_Prop_Res">Inputs!$D$41</definedName>
    <definedName name="CatB">Inputs!$D$31</definedName>
    <definedName name="CatLam">Inputs!$D$30</definedName>
    <definedName name="CatMoments">Capital!$C$19:$F$19</definedName>
    <definedName name="CatQ">Inputs!$D$32</definedName>
    <definedName name="Checks">Capital!$E$57:$E$59</definedName>
    <definedName name="CorrEigen">Capital!$C$13:$F$13</definedName>
    <definedName name="CorrMatrix">Capital!$C$9:$F$12</definedName>
    <definedName name="CV_Liab">Inputs!$D$19</definedName>
    <definedName name="CV_Mot">Inputs!$D$13</definedName>
    <definedName name="CV_Prop">Inputs!$D$16</definedName>
    <definedName name="IsBad">Capital!$D$35</definedName>
    <definedName name="Loss_Cat">Capital!$I$29</definedName>
    <definedName name="Loss_Liab">Capital!$I$27</definedName>
    <definedName name="Loss_Mot">Capital!$I$25</definedName>
    <definedName name="Loss_Prop">Capital!$I$26</definedName>
    <definedName name="Loss_Res">Capital!$I$28</definedName>
    <definedName name="LR_Liab">Inputs!$D$18</definedName>
    <definedName name="LR_Mot">Inputs!$D$12</definedName>
    <definedName name="LR_Prop">Inputs!$D$15</definedName>
    <definedName name="NuCop">Inputs!$D$43</definedName>
    <definedName name="Out_Bad_Cat">Capital!$D$53</definedName>
    <definedName name="Out_Bad_Liab">Capital!$D$51</definedName>
    <definedName name="Out_Bad_Mot">Capital!$D$49</definedName>
    <definedName name="Out_Bad_Prop">Capital!$D$50</definedName>
    <definedName name="Out_Bad_Res">Capital!$D$52</definedName>
    <definedName name="Out_Cat">Capital!$D$47</definedName>
    <definedName name="Out_IsBad">Capital!$D$48</definedName>
    <definedName name="Out_Liab">Capital!$D$45</definedName>
    <definedName name="Out_Mot">Capital!$D$43</definedName>
    <definedName name="Out_Prop">Capital!$D$44</definedName>
    <definedName name="Out_Res">Capital!$D$46</definedName>
    <definedName name="Out_Tot_I">Capital!$D$40</definedName>
    <definedName name="Out_Tot_N">Capital!$D$41</definedName>
    <definedName name="Out_Tot_T">Capital!$D$42</definedName>
    <definedName name="Prem_Liab">Inputs!$D$17</definedName>
    <definedName name="Prem_Mot">Inputs!$D$11</definedName>
    <definedName name="Prem_Prop">Inputs!$D$14</definedName>
    <definedName name="_xlnm.Print_Area" localSheetId="3">Results!$A$1:$R$54</definedName>
    <definedName name="_xlnm.Print_Titles" localSheetId="1">Inputs!$1:$4</definedName>
    <definedName name="_xlnm.Print_Titles" localSheetId="3">Results!$1:$4</definedName>
    <definedName name="ResAmt">Inputs!$D$24</definedName>
    <definedName name="ResCV">Inputs!$D$25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50000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Tot_I">Capital!$G$30</definedName>
    <definedName name="Tot_N">Capital!$H$30</definedName>
    <definedName name="Tot_T">Capital!$I$30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9" i="4" l="1"/>
  <c r="C118" i="4"/>
  <c r="C117" i="4"/>
  <c r="C116" i="4"/>
  <c r="C115" i="4"/>
  <c r="C114" i="4"/>
  <c r="C113" i="4"/>
  <c r="C112" i="4"/>
  <c r="C109" i="4"/>
  <c r="C108" i="4"/>
  <c r="C107" i="4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E59" i="3"/>
  <c r="E58" i="3"/>
  <c r="C35" i="3"/>
  <c r="D28" i="3"/>
  <c r="C28" i="3"/>
  <c r="C27" i="3"/>
  <c r="C26" i="3"/>
  <c r="C25" i="3"/>
  <c r="D25" i="3"/>
  <c r="F12" i="3"/>
  <c r="E12" i="3"/>
  <c r="D12" i="3"/>
  <c r="C12" i="3"/>
  <c r="F11" i="3"/>
  <c r="F25" i="3" s="1" a="1"/>
  <c r="E11" i="3"/>
  <c r="D11" i="3"/>
  <c r="C11" i="3"/>
  <c r="F10" i="3"/>
  <c r="E10" i="3"/>
  <c r="D10" i="3"/>
  <c r="C10" i="3"/>
  <c r="E25" i="3" a="1"/>
  <c r="E26" i="3" s="1"/>
  <c r="F9" i="3"/>
  <c r="E9" i="3"/>
  <c r="D9" i="3"/>
  <c r="C9" i="3"/>
  <c r="D26" i="3"/>
  <c r="C13" i="3" a="1"/>
  <c r="C19" i="3" a="1"/>
  <c r="H26" i="3" a="1"/>
  <c r="G25" i="3" a="1"/>
  <c r="G28" i="3" a="1"/>
  <c r="G26" i="3" a="1"/>
  <c r="G26" i="3" l="1"/>
  <c r="G28" i="3"/>
  <c r="G25" i="3"/>
  <c r="H26" i="3"/>
  <c r="C19" i="3"/>
  <c r="C29" i="3" s="1"/>
  <c r="D19" i="3"/>
  <c r="D29" i="3" s="1"/>
  <c r="F19" i="3"/>
  <c r="E19" i="3"/>
  <c r="E13" i="3"/>
  <c r="D13" i="3"/>
  <c r="C13" i="3"/>
  <c r="F13" i="3"/>
  <c r="F26" i="3"/>
  <c r="F28" i="3"/>
  <c r="F25" i="3"/>
  <c r="F27" i="3"/>
  <c r="E27" i="3"/>
  <c r="D27" i="3"/>
  <c r="E25" i="3"/>
  <c r="E28" i="3"/>
  <c r="I27" i="3" a="1"/>
  <c r="G27" i="3" a="1"/>
  <c r="H27" i="3" a="1"/>
  <c r="H25" i="3" a="1"/>
  <c r="I26" i="3" a="1"/>
  <c r="H28" i="3" a="1"/>
  <c r="G29" i="3" a="1"/>
  <c r="I28" i="3" a="1"/>
  <c r="I25" i="3" a="1"/>
  <c r="E57" i="3" l="1"/>
  <c r="B7" i="4" s="1"/>
  <c r="I25" i="3"/>
  <c r="I28" i="3"/>
  <c r="G29" i="3"/>
  <c r="H28" i="3"/>
  <c r="I26" i="3"/>
  <c r="H25" i="3"/>
  <c r="H27" i="3"/>
  <c r="G27" i="3"/>
  <c r="I27" i="3"/>
  <c r="C30" i="3"/>
  <c r="G30" i="3" l="1"/>
  <c r="D40" i="3" s="1" a="1"/>
  <c r="D40" i="3" s="1"/>
  <c r="D44" i="3" a="1"/>
  <c r="D44" i="3" s="1"/>
  <c r="I29" i="3"/>
  <c r="H29" i="3"/>
  <c r="H30" i="3" s="1"/>
  <c r="D41" i="3" s="1" a="1"/>
  <c r="D41" i="3" s="1"/>
  <c r="D46" i="3" a="1"/>
  <c r="D46" i="3" s="1"/>
  <c r="D45" i="3" a="1"/>
  <c r="D45" i="3" s="1"/>
  <c r="D43" i="3" a="1"/>
  <c r="D43" i="3" s="1"/>
  <c r="D116" i="4" a="1"/>
  <c r="D118" i="4" a="1"/>
  <c r="E13" i="4" a="1"/>
  <c r="D113" i="4" a="1"/>
  <c r="D13" i="4" a="1"/>
  <c r="D112" i="4" a="1"/>
  <c r="D117" i="4" a="1"/>
  <c r="D114" i="4" a="1"/>
  <c r="D115" i="4" a="1"/>
  <c r="D119" i="4" a="1"/>
  <c r="C13" i="4" a="1"/>
  <c r="D23" i="4" a="1"/>
  <c r="C23" i="4" a="1"/>
  <c r="D26" i="4" a="1"/>
  <c r="C26" i="4" a="1"/>
  <c r="D25" i="4" a="1"/>
  <c r="C25" i="4" a="1"/>
  <c r="C24" i="4" a="1"/>
  <c r="D24" i="4" a="1"/>
  <c r="E14" i="4" a="1"/>
  <c r="E116" i="4" a="1"/>
  <c r="D14" i="4" a="1"/>
  <c r="E113" i="4" a="1"/>
  <c r="E117" i="4" a="1"/>
  <c r="E114" i="4" a="1"/>
  <c r="E112" i="4" a="1"/>
  <c r="E119" i="4" a="1"/>
  <c r="C14" i="4" a="1"/>
  <c r="E115" i="4" a="1"/>
  <c r="E118" i="4" a="1"/>
  <c r="C13" i="4" l="1"/>
  <c r="D119" i="4"/>
  <c r="D115" i="4"/>
  <c r="D114" i="4"/>
  <c r="D117" i="4"/>
  <c r="D112" i="4"/>
  <c r="D13" i="4"/>
  <c r="D113" i="4"/>
  <c r="E13" i="4"/>
  <c r="D118" i="4"/>
  <c r="D116" i="4"/>
  <c r="E118" i="4"/>
  <c r="E115" i="4"/>
  <c r="C14" i="4"/>
  <c r="E119" i="4"/>
  <c r="E112" i="4"/>
  <c r="E114" i="4"/>
  <c r="E117" i="4"/>
  <c r="E113" i="4"/>
  <c r="D14" i="4"/>
  <c r="E116" i="4"/>
  <c r="E14" i="4"/>
  <c r="D24" i="4"/>
  <c r="C24" i="4"/>
  <c r="C25" i="4"/>
  <c r="D25" i="4"/>
  <c r="C26" i="4"/>
  <c r="D26" i="4"/>
  <c r="C23" i="4"/>
  <c r="D23" i="4"/>
  <c r="G13" i="4"/>
  <c r="D47" i="3" a="1"/>
  <c r="D47" i="3" s="1"/>
  <c r="I30" i="3"/>
  <c r="C27" i="4" a="1"/>
  <c r="D27" i="4" a="1"/>
  <c r="D27" i="4" l="1"/>
  <c r="C27" i="4"/>
  <c r="C46" i="4" s="1"/>
  <c r="E45" i="4"/>
  <c r="F45" i="4"/>
  <c r="D45" i="4"/>
  <c r="C45" i="4"/>
  <c r="F44" i="4"/>
  <c r="C44" i="4"/>
  <c r="E44" i="4"/>
  <c r="D44" i="4"/>
  <c r="F43" i="4"/>
  <c r="C43" i="4"/>
  <c r="D43" i="4"/>
  <c r="E43" i="4"/>
  <c r="E42" i="4"/>
  <c r="D42" i="4"/>
  <c r="C42" i="4"/>
  <c r="F42" i="4"/>
  <c r="G14" i="4"/>
  <c r="D42" i="3" a="1"/>
  <c r="D42" i="3" s="1"/>
  <c r="D35" i="3"/>
  <c r="E27" i="4" a="1"/>
  <c r="E24" i="4" a="1"/>
  <c r="E25" i="4" a="1"/>
  <c r="E26" i="4" a="1"/>
  <c r="E23" i="4" a="1"/>
  <c r="C221" i="4" a="1"/>
  <c r="C124" i="4" a="1"/>
  <c r="D93" i="4" a="1"/>
  <c r="C171" i="4" a="1"/>
  <c r="C156" i="4" a="1"/>
  <c r="C138" i="4" a="1"/>
  <c r="C15" i="4" a="1"/>
  <c r="C157" i="4" a="1"/>
  <c r="C177" i="4" a="1"/>
  <c r="C163" i="4" a="1"/>
  <c r="D84" i="4" a="1"/>
  <c r="D73" i="4" a="1"/>
  <c r="D108" i="4" a="1"/>
  <c r="C212" i="4" a="1"/>
  <c r="D92" i="4" a="1"/>
  <c r="D62" i="4" a="1"/>
  <c r="D77" i="4" a="1"/>
  <c r="C159" i="4" a="1"/>
  <c r="D104" i="4" a="1"/>
  <c r="C148" i="4" a="1"/>
  <c r="D80" i="4" a="1"/>
  <c r="D95" i="4" a="1"/>
  <c r="C144" i="4" a="1"/>
  <c r="D66" i="4" a="1"/>
  <c r="C169" i="4" a="1"/>
  <c r="C155" i="4" a="1"/>
  <c r="C140" i="4" a="1"/>
  <c r="C125" i="4" a="1"/>
  <c r="C139" i="4" a="1"/>
  <c r="C192" i="4" a="1"/>
  <c r="C195" i="4" a="1"/>
  <c r="C131" i="4" a="1"/>
  <c r="C184" i="4" a="1"/>
  <c r="C161" i="4" a="1"/>
  <c r="D88" i="4" a="1"/>
  <c r="C126" i="4" a="1"/>
  <c r="D86" i="4" a="1"/>
  <c r="D72" i="4" a="1"/>
  <c r="D69" i="4" a="1"/>
  <c r="C185" i="4" a="1"/>
  <c r="C216" i="4" a="1"/>
  <c r="C190" i="4" a="1"/>
  <c r="C145" i="4" a="1"/>
  <c r="D103" i="4" a="1"/>
  <c r="D64" i="4" a="1"/>
  <c r="C219" i="4" a="1"/>
  <c r="C208" i="4" a="1"/>
  <c r="D79" i="4" a="1"/>
  <c r="D60" i="4" a="1"/>
  <c r="D102" i="4" a="1"/>
  <c r="D67" i="4" a="1"/>
  <c r="C191" i="4" a="1"/>
  <c r="C127" i="4" a="1"/>
  <c r="C180" i="4" a="1"/>
  <c r="C150" i="4" a="1"/>
  <c r="C213" i="4" a="1"/>
  <c r="F118" i="4" a="1"/>
  <c r="D81" i="4" a="1"/>
  <c r="E15" i="4" a="1"/>
  <c r="C197" i="4" a="1"/>
  <c r="C174" i="4" a="1"/>
  <c r="D94" i="4" a="1"/>
  <c r="D78" i="4" a="1"/>
  <c r="C134" i="4" a="1"/>
  <c r="D61" i="4" a="1"/>
  <c r="C158" i="4" a="1"/>
  <c r="C194" i="4" a="1"/>
  <c r="C203" i="4" a="1"/>
  <c r="C193" i="4" a="1"/>
  <c r="F113" i="4" a="1"/>
  <c r="D85" i="4" a="1"/>
  <c r="C187" i="4" a="1"/>
  <c r="C123" i="4" a="1"/>
  <c r="C176" i="4" a="1"/>
  <c r="C129" i="4" a="1"/>
  <c r="C202" i="4" a="1"/>
  <c r="F112" i="4" a="1"/>
  <c r="D70" i="4" a="1"/>
  <c r="C210" i="4" a="1"/>
  <c r="C186" i="4" a="1"/>
  <c r="C153" i="4" a="1"/>
  <c r="C199" i="4" a="1"/>
  <c r="C167" i="4" a="1"/>
  <c r="C135" i="4" a="1"/>
  <c r="C220" i="4" a="1"/>
  <c r="C188" i="4" a="1"/>
  <c r="C152" i="4" a="1"/>
  <c r="C182" i="4" a="1"/>
  <c r="D82" i="4" a="1"/>
  <c r="D99" i="4" a="1"/>
  <c r="C128" i="4" a="1"/>
  <c r="C146" i="4" a="1"/>
  <c r="C201" i="4" a="1"/>
  <c r="D97" i="4" a="1"/>
  <c r="D107" i="4" a="1"/>
  <c r="D83" i="4" a="1"/>
  <c r="C166" i="4" a="1"/>
  <c r="D74" i="4" a="1"/>
  <c r="D100" i="4" a="1"/>
  <c r="C206" i="4" a="1"/>
  <c r="D89" i="4" a="1"/>
  <c r="C222" i="4" a="1"/>
  <c r="C204" i="4" a="1"/>
  <c r="C172" i="4" a="1"/>
  <c r="F119" i="4" a="1"/>
  <c r="C181" i="4" a="1"/>
  <c r="D87" i="4" a="1"/>
  <c r="C137" i="4" a="1"/>
  <c r="D65" i="4" a="1"/>
  <c r="C173" i="4" a="1"/>
  <c r="C189" i="4" a="1"/>
  <c r="D106" i="4" a="1"/>
  <c r="C165" i="4" a="1"/>
  <c r="D68" i="4" a="1"/>
  <c r="C142" i="4" a="1"/>
  <c r="C217" i="4" a="1"/>
  <c r="C215" i="4" a="1"/>
  <c r="C183" i="4" a="1"/>
  <c r="C136" i="4" a="1"/>
  <c r="B6" i="4" a="1"/>
  <c r="D96" i="4" a="1"/>
  <c r="C211" i="4" a="1"/>
  <c r="C179" i="4" a="1"/>
  <c r="C147" i="4" a="1"/>
  <c r="C218" i="4" a="1"/>
  <c r="C200" i="4" a="1"/>
  <c r="C164" i="4" a="1"/>
  <c r="C132" i="4" a="1"/>
  <c r="D109" i="4" a="1"/>
  <c r="C130" i="4" a="1"/>
  <c r="C170" i="4" a="1"/>
  <c r="D76" i="4" a="1"/>
  <c r="D91" i="4" a="1"/>
  <c r="F116" i="4" a="1"/>
  <c r="D15" i="4" a="1"/>
  <c r="C141" i="4" a="1"/>
  <c r="C209" i="4" a="1"/>
  <c r="D101" i="4" a="1"/>
  <c r="C154" i="4" a="1"/>
  <c r="D63" i="4" a="1"/>
  <c r="F115" i="4" a="1"/>
  <c r="C205" i="4" a="1"/>
  <c r="C151" i="4" a="1"/>
  <c r="C207" i="4" a="1"/>
  <c r="C175" i="4" a="1"/>
  <c r="C143" i="4" a="1"/>
  <c r="C214" i="4" a="1"/>
  <c r="C196" i="4" a="1"/>
  <c r="C160" i="4" a="1"/>
  <c r="C168" i="4" a="1"/>
  <c r="D98" i="4" a="1"/>
  <c r="F117" i="4" a="1"/>
  <c r="C149" i="4" a="1"/>
  <c r="D71" i="4" a="1"/>
  <c r="D75" i="4" a="1"/>
  <c r="F114" i="4" a="1"/>
  <c r="C178" i="4" a="1"/>
  <c r="C122" i="4" a="1"/>
  <c r="C198" i="4" a="1"/>
  <c r="D90" i="4" a="1"/>
  <c r="C133" i="4" a="1"/>
  <c r="C162" i="4" a="1"/>
  <c r="D105" i="4" a="1"/>
  <c r="C28" i="4" l="1"/>
  <c r="F14" i="4" s="1"/>
  <c r="D105" i="4"/>
  <c r="C162" i="4"/>
  <c r="C133" i="4"/>
  <c r="D90" i="4"/>
  <c r="C198" i="4"/>
  <c r="C122" i="4"/>
  <c r="C178" i="4"/>
  <c r="F114" i="4"/>
  <c r="D75" i="4"/>
  <c r="D71" i="4"/>
  <c r="C149" i="4"/>
  <c r="F117" i="4"/>
  <c r="D98" i="4"/>
  <c r="C168" i="4"/>
  <c r="C160" i="4"/>
  <c r="C196" i="4"/>
  <c r="C214" i="4"/>
  <c r="C143" i="4"/>
  <c r="C175" i="4"/>
  <c r="C207" i="4"/>
  <c r="C151" i="4"/>
  <c r="C205" i="4"/>
  <c r="F115" i="4"/>
  <c r="D63" i="4"/>
  <c r="C154" i="4"/>
  <c r="D101" i="4"/>
  <c r="C209" i="4"/>
  <c r="C141" i="4"/>
  <c r="D15" i="4"/>
  <c r="F116" i="4"/>
  <c r="D91" i="4"/>
  <c r="D76" i="4"/>
  <c r="C170" i="4"/>
  <c r="C130" i="4"/>
  <c r="D109" i="4"/>
  <c r="C132" i="4"/>
  <c r="C164" i="4"/>
  <c r="C200" i="4"/>
  <c r="C218" i="4"/>
  <c r="C147" i="4"/>
  <c r="C179" i="4"/>
  <c r="C211" i="4"/>
  <c r="D96" i="4"/>
  <c r="B6" i="4"/>
  <c r="C136" i="4"/>
  <c r="C183" i="4"/>
  <c r="C215" i="4"/>
  <c r="C217" i="4"/>
  <c r="C142" i="4"/>
  <c r="D68" i="4"/>
  <c r="C165" i="4"/>
  <c r="D106" i="4"/>
  <c r="C189" i="4"/>
  <c r="C173" i="4"/>
  <c r="D65" i="4"/>
  <c r="C137" i="4"/>
  <c r="D87" i="4"/>
  <c r="C181" i="4"/>
  <c r="F119" i="4"/>
  <c r="C172" i="4"/>
  <c r="C204" i="4"/>
  <c r="C222" i="4"/>
  <c r="D89" i="4"/>
  <c r="C206" i="4"/>
  <c r="D100" i="4"/>
  <c r="D74" i="4"/>
  <c r="C166" i="4"/>
  <c r="D83" i="4"/>
  <c r="D107" i="4"/>
  <c r="D97" i="4"/>
  <c r="C201" i="4"/>
  <c r="C146" i="4"/>
  <c r="C128" i="4"/>
  <c r="D99" i="4"/>
  <c r="D82" i="4"/>
  <c r="C182" i="4"/>
  <c r="C152" i="4"/>
  <c r="C188" i="4"/>
  <c r="C220" i="4"/>
  <c r="C135" i="4"/>
  <c r="C167" i="4"/>
  <c r="C199" i="4"/>
  <c r="C153" i="4"/>
  <c r="C186" i="4"/>
  <c r="C210" i="4"/>
  <c r="D70" i="4"/>
  <c r="F112" i="4"/>
  <c r="C202" i="4"/>
  <c r="C129" i="4"/>
  <c r="C176" i="4"/>
  <c r="C123" i="4"/>
  <c r="C187" i="4"/>
  <c r="D85" i="4"/>
  <c r="F113" i="4"/>
  <c r="C193" i="4"/>
  <c r="C203" i="4"/>
  <c r="C194" i="4"/>
  <c r="C158" i="4"/>
  <c r="D61" i="4"/>
  <c r="C134" i="4"/>
  <c r="D78" i="4"/>
  <c r="D94" i="4"/>
  <c r="C174" i="4"/>
  <c r="C197" i="4"/>
  <c r="E15" i="4"/>
  <c r="D81" i="4"/>
  <c r="F118" i="4"/>
  <c r="C213" i="4"/>
  <c r="C150" i="4"/>
  <c r="C180" i="4"/>
  <c r="C127" i="4"/>
  <c r="C191" i="4"/>
  <c r="D67" i="4"/>
  <c r="D102" i="4"/>
  <c r="D60" i="4"/>
  <c r="D79" i="4"/>
  <c r="C208" i="4"/>
  <c r="C219" i="4"/>
  <c r="D64" i="4"/>
  <c r="D103" i="4"/>
  <c r="C145" i="4"/>
  <c r="C190" i="4"/>
  <c r="C216" i="4"/>
  <c r="C185" i="4"/>
  <c r="D69" i="4"/>
  <c r="D72" i="4"/>
  <c r="D86" i="4"/>
  <c r="C126" i="4"/>
  <c r="D88" i="4"/>
  <c r="C161" i="4"/>
  <c r="C184" i="4"/>
  <c r="C131" i="4"/>
  <c r="C195" i="4"/>
  <c r="C192" i="4"/>
  <c r="C139" i="4"/>
  <c r="C125" i="4"/>
  <c r="C140" i="4"/>
  <c r="C155" i="4"/>
  <c r="C169" i="4"/>
  <c r="D66" i="4"/>
  <c r="C144" i="4"/>
  <c r="D95" i="4"/>
  <c r="D80" i="4"/>
  <c r="C148" i="4"/>
  <c r="D104" i="4"/>
  <c r="C159" i="4"/>
  <c r="D77" i="4"/>
  <c r="D62" i="4"/>
  <c r="D92" i="4"/>
  <c r="C212" i="4"/>
  <c r="D108" i="4"/>
  <c r="D73" i="4"/>
  <c r="D84" i="4"/>
  <c r="C163" i="4"/>
  <c r="C177" i="4"/>
  <c r="C157" i="4"/>
  <c r="C15" i="4"/>
  <c r="C138" i="4"/>
  <c r="C156" i="4"/>
  <c r="C171" i="4"/>
  <c r="D93" i="4"/>
  <c r="C124" i="4"/>
  <c r="C221" i="4"/>
  <c r="E23" i="4"/>
  <c r="E26" i="4"/>
  <c r="E25" i="4"/>
  <c r="E24" i="4"/>
  <c r="E27" i="4"/>
  <c r="D16" i="4"/>
  <c r="D48" i="3" a="1"/>
  <c r="D48" i="3" s="1"/>
  <c r="G35" i="3"/>
  <c r="D51" i="3" s="1" a="1"/>
  <c r="D51" i="3" s="1"/>
  <c r="F35" i="3"/>
  <c r="D50" i="3" s="1" a="1"/>
  <c r="D50" i="3" s="1"/>
  <c r="E35" i="3"/>
  <c r="D49" i="3" s="1" a="1"/>
  <c r="D49" i="3" s="1"/>
  <c r="H35" i="3"/>
  <c r="D52" i="3" s="1" a="1"/>
  <c r="D52" i="3" s="1"/>
  <c r="I35" i="3"/>
  <c r="D53" i="3" s="1" a="1"/>
  <c r="D53" i="3" s="1"/>
  <c r="D38" i="4" a="1"/>
  <c r="D35" i="4" a="1"/>
  <c r="D34" i="4" a="1"/>
  <c r="D33" i="4" a="1"/>
  <c r="D36" i="4" a="1"/>
  <c r="D37" i="4" a="1"/>
  <c r="F26" i="4" l="1"/>
  <c r="F13" i="4"/>
  <c r="D17" i="4"/>
  <c r="F23" i="4"/>
  <c r="D37" i="4"/>
  <c r="D36" i="4"/>
  <c r="D33" i="4"/>
  <c r="D34" i="4"/>
  <c r="D35" i="4"/>
  <c r="D38" i="4"/>
  <c r="F27" i="4"/>
  <c r="F24" i="4"/>
  <c r="F25" i="4"/>
  <c r="C243" i="4"/>
  <c r="C249" i="4"/>
  <c r="D249" i="4" s="1"/>
  <c r="G249" i="4" s="1" a="1"/>
  <c r="G249" i="4" s="1"/>
  <c r="C236" i="4"/>
  <c r="C229" i="4"/>
  <c r="C235" i="4"/>
  <c r="C228" i="4"/>
  <c r="C248" i="4"/>
  <c r="C238" i="4"/>
  <c r="C225" i="4"/>
  <c r="C234" i="4"/>
  <c r="C226" i="4"/>
  <c r="C241" i="4"/>
  <c r="C239" i="4"/>
  <c r="C232" i="4"/>
  <c r="C245" i="4"/>
  <c r="C244" i="4"/>
  <c r="C246" i="4"/>
  <c r="C227" i="4"/>
  <c r="C233" i="4"/>
  <c r="C240" i="4"/>
  <c r="C237" i="4"/>
  <c r="C247" i="4"/>
  <c r="C230" i="4"/>
  <c r="C231" i="4"/>
  <c r="C242" i="4"/>
  <c r="G15" i="4"/>
  <c r="F15" i="4"/>
  <c r="G16" i="4"/>
  <c r="F16" i="4"/>
  <c r="F28" i="4" l="1"/>
  <c r="F29" i="4" s="1"/>
  <c r="D230" i="4"/>
  <c r="G230" i="4" s="1" a="1"/>
  <c r="G230" i="4" s="1"/>
  <c r="E230" i="4"/>
  <c r="E248" i="4"/>
  <c r="D248" i="4"/>
  <c r="G248" i="4" s="1" a="1"/>
  <c r="G248" i="4" s="1"/>
  <c r="E232" i="4"/>
  <c r="D232" i="4"/>
  <c r="G232" i="4" s="1" a="1"/>
  <c r="G232" i="4" s="1"/>
  <c r="D241" i="4"/>
  <c r="G241" i="4" s="1" a="1"/>
  <c r="G241" i="4" s="1"/>
  <c r="E241" i="4"/>
  <c r="E229" i="4"/>
  <c r="D229" i="4"/>
  <c r="G229" i="4" s="1" a="1"/>
  <c r="G229" i="4" s="1"/>
  <c r="E35" i="4"/>
  <c r="G25" i="4"/>
  <c r="E233" i="4"/>
  <c r="D233" i="4"/>
  <c r="G233" i="4" s="1" a="1"/>
  <c r="G233" i="4" s="1"/>
  <c r="E236" i="4"/>
  <c r="D236" i="4"/>
  <c r="G236" i="4" s="1" a="1"/>
  <c r="G236" i="4" s="1"/>
  <c r="G24" i="4"/>
  <c r="E34" i="4"/>
  <c r="E227" i="4"/>
  <c r="D227" i="4"/>
  <c r="G227" i="4" s="1" a="1"/>
  <c r="G227" i="4" s="1"/>
  <c r="E234" i="4"/>
  <c r="D234" i="4"/>
  <c r="G234" i="4" s="1" a="1"/>
  <c r="G234" i="4" s="1"/>
  <c r="G23" i="4"/>
  <c r="E33" i="4"/>
  <c r="E247" i="4"/>
  <c r="D247" i="4"/>
  <c r="G247" i="4" s="1" a="1"/>
  <c r="G247" i="4" s="1"/>
  <c r="E228" i="4"/>
  <c r="D228" i="4"/>
  <c r="G228" i="4" s="1" a="1"/>
  <c r="G228" i="4" s="1"/>
  <c r="F227" i="4" s="1"/>
  <c r="E239" i="4"/>
  <c r="D239" i="4"/>
  <c r="G239" i="4" s="1" a="1"/>
  <c r="G239" i="4" s="1"/>
  <c r="E226" i="4"/>
  <c r="D226" i="4"/>
  <c r="G226" i="4" s="1" a="1"/>
  <c r="G226" i="4" s="1"/>
  <c r="E245" i="4"/>
  <c r="D245" i="4"/>
  <c r="G245" i="4" s="1" a="1"/>
  <c r="G245" i="4" s="1"/>
  <c r="E237" i="4"/>
  <c r="D237" i="4"/>
  <c r="G237" i="4" s="1" a="1"/>
  <c r="G237" i="4" s="1"/>
  <c r="F236" i="4" s="1"/>
  <c r="E235" i="4"/>
  <c r="D235" i="4"/>
  <c r="G235" i="4" s="1" a="1"/>
  <c r="G235" i="4" s="1"/>
  <c r="E240" i="4"/>
  <c r="D240" i="4"/>
  <c r="G240" i="4" s="1" a="1"/>
  <c r="G240" i="4" s="1"/>
  <c r="E242" i="4"/>
  <c r="D242" i="4"/>
  <c r="G242" i="4" s="1" a="1"/>
  <c r="G242" i="4" s="1"/>
  <c r="E246" i="4"/>
  <c r="D246" i="4"/>
  <c r="G246" i="4" s="1" a="1"/>
  <c r="G246" i="4" s="1"/>
  <c r="F245" i="4" s="1"/>
  <c r="E225" i="4"/>
  <c r="D225" i="4"/>
  <c r="G225" i="4" s="1" a="1"/>
  <c r="G225" i="4" s="1"/>
  <c r="E243" i="4"/>
  <c r="D243" i="4"/>
  <c r="G243" i="4" s="1" a="1"/>
  <c r="G243" i="4" s="1"/>
  <c r="E36" i="4"/>
  <c r="G26" i="4"/>
  <c r="E231" i="4"/>
  <c r="D231" i="4"/>
  <c r="G231" i="4" s="1" a="1"/>
  <c r="G231" i="4" s="1"/>
  <c r="F230" i="4" s="1"/>
  <c r="D244" i="4"/>
  <c r="G244" i="4" s="1" a="1"/>
  <c r="G244" i="4" s="1"/>
  <c r="E244" i="4"/>
  <c r="D238" i="4"/>
  <c r="G238" i="4" s="1" a="1"/>
  <c r="G238" i="4" s="1"/>
  <c r="E238" i="4"/>
  <c r="G27" i="4"/>
  <c r="E37" i="4"/>
  <c r="F233" i="4" l="1"/>
  <c r="F234" i="4"/>
  <c r="F243" i="4"/>
  <c r="F247" i="4"/>
  <c r="F231" i="4"/>
  <c r="F237" i="4"/>
  <c r="G28" i="4"/>
  <c r="G29" i="4" s="1"/>
  <c r="F232" i="4"/>
  <c r="F239" i="4"/>
  <c r="F225" i="4"/>
  <c r="F235" i="4"/>
  <c r="F240" i="4"/>
  <c r="F241" i="4"/>
  <c r="F238" i="4"/>
  <c r="F226" i="4"/>
  <c r="F246" i="4"/>
  <c r="F228" i="4"/>
  <c r="F244" i="4"/>
  <c r="F242" i="4"/>
  <c r="F248" i="4"/>
  <c r="F229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<sst xmlns="http://schemas.openxmlformats.org/spreadsheetml/2006/main" count="426" uniqueCount="292">
  <si>
    <t>Capital Requirement and Diversification</t>
  </si>
  <si>
    <t>ModelRisk example  ·  Insurance  ·  IN-07</t>
  </si>
  <si>
    <t>How much capital does an insurer need, and how much does diversification save?  Three models of dependence compared.</t>
  </si>
  <si>
    <t>Next:  Inputs  ▸</t>
  </si>
  <si>
    <t>Model card</t>
  </si>
  <si>
    <t>Industry</t>
  </si>
  <si>
    <t>Insurance</t>
  </si>
  <si>
    <t>Difficulty</t>
  </si>
  <si>
    <t>★★★★★   Five risks joined by copulas, capital at the 1-in-200, the square-root formula, and two ways of sharing the capital out.</t>
  </si>
  <si>
    <t>Business question</t>
  </si>
  <si>
    <t>A general insurer writes motor, property and liability business, carries US$300 million of claims reserves and is exposed to natural catastrophes. How much capital does it need to survive a 1-in-200 year? How much does holding several risks together save against capitalising each one alone — and how much of that saving survives when bad years come together? Which line uses the capital?</t>
  </si>
  <si>
    <t>Who it is for</t>
  </si>
  <si>
    <t>Capital and risk actuaries, chief risk officers, finance teams of insurers; anyone building an internal model.</t>
  </si>
  <si>
    <t>Main outputs</t>
  </si>
  <si>
    <t>The capital at the 1-in-200 (VaR 99.5%) and the average bad year beyond it (TVaR) for independent risks, a Normal copula and a t copula · the square-root formula for comparison · the diversification benefit · each risk's standalone capital, and the capital allocated to it by covariance and by its share of the bad years.</t>
  </si>
  <si>
    <t>ModelRisk techniques</t>
  </si>
  <si>
    <t>Loss ratios and the reserve run-off as Lognormal distributions driven by copulas (VoseCopulaMultiNormal, VoseCopulaMultiT) · catastrophes as a compound Poisson-Pareto loss (VoseAggregateMC) · VaR and TVaR from the simulation (VoseSimPercentile, VoseSimCVARp) · the variance-covariance square-root formula · capital allocation by covariance (VoseSimCorrelation, VoseSimStdev) and by contribution to the bad years.</t>
  </si>
  <si>
    <t>File</t>
  </si>
  <si>
    <t>IN-07 Capital requirement and diversification  ·  Version 1.0  ·  October 2026  ·  built with ModelRisk 10</t>
  </si>
  <si>
    <t>The business question</t>
  </si>
  <si>
    <t>A general insurer writes US$260 million of premium a year in motor, property and liability insurance, holds US$300 million of reserves for claims from earlier years, and is exposed to storms and floods. Its regulator requires enough capital to survive a 1-in-200 year. Capitalising each risk on its own would need about US$234 million; but the risks do not all go wrong at once, so the company needs much less — how much less depends on how they move together. Ordinary correlation says little about the worst years: in a crisis, inflation lifts motor and liability claims and reserves at the same time. The model computes the capital three ways — risks independent, joined by a Normal copula, and by a t copula that makes bad years cluster — and compares them with the regulator's square-root formula. It then shares the capital out between the risks.</t>
  </si>
  <si>
    <t>How the model works</t>
  </si>
  <si>
    <t>Three sheets after this one, read from left to right. Each one feeds the next.</t>
  </si>
  <si>
    <t>1  Inputs</t>
  </si>
  <si>
    <t>For each line the premium, the expected loss ratio and its variability; the reserves and the variability of their run-off; the frequency and size of catastrophes; six correlations; the degrees of freedom of the t copula; the threshold of a bad year for the allocation.</t>
  </si>
  <si>
    <t>2  Capital</t>
  </si>
  <si>
    <t>Each iteration draws the year's loss — claims above or below their expected value — for every risk, three times: independently, through a Normal copula and through a t copula with the same correlations. Catastrophes are independent of the rest in all three. The totals, and each risk's loss in the bad years, are recorded.</t>
  </si>
  <si>
    <t>3  Results</t>
  </si>
  <si>
    <t>The capital (99.5th percentile of the total loss) and the TVaR under each model, against the square-root formula and the sum of standalone capitals; the capital allocated to each risk by covariance and by its share of the bad years.</t>
  </si>
  <si>
    <t>How to use it</t>
  </si>
  <si>
    <t>Step 1</t>
  </si>
  <si>
    <t>Enter your lines' premiums and loss ratios, your reserves and your catastrophe exposure.</t>
  </si>
  <si>
    <t>Step 2</t>
  </si>
  <si>
    <t>Set the correlations and the t copula's degrees of freedom (lower = more clustering of bad years).</t>
  </si>
  <si>
    <t>Step 3</t>
  </si>
  <si>
    <t>Run a simulation from the ModelRisk ribbon (50,000 samples with a fixed seed are set: a 1-in-200 needs more than the usual 10,000, and the run takes several minutes).</t>
  </si>
  <si>
    <t>Step 4</t>
  </si>
  <si>
    <t>Compare the capital under the three models and the square-root formula; read where the capital goes.</t>
  </si>
  <si>
    <t>Workbook map</t>
  </si>
  <si>
    <t>Inputs</t>
  </si>
  <si>
    <t>Lines, reserves, catastrophes, correlations, copula, threshold.</t>
  </si>
  <si>
    <t>Capital</t>
  </si>
  <si>
    <t>Correlation matrix, copulas, losses by risk and model; outputs and checks.</t>
  </si>
  <si>
    <t>Results</t>
  </si>
  <si>
    <t>Capital by dependence model; capital by risk.</t>
  </si>
  <si>
    <t>Colour key</t>
  </si>
  <si>
    <t>Input</t>
  </si>
  <si>
    <t>An assumption you may change. Only these cells are inputs.</t>
  </si>
  <si>
    <t>Uncertain variable</t>
  </si>
  <si>
    <t>A ModelRisk distribution: a new random value is drawn at every recalculation (F9) and every simulation sample.</t>
  </si>
  <si>
    <t>Calculation</t>
  </si>
  <si>
    <t>A formula. Do not overwrite.</t>
  </si>
  <si>
    <t>Key output</t>
  </si>
  <si>
    <t>Marked with VoseOutput; its full distribution is recorded when you simulate.</t>
  </si>
  <si>
    <t>Simulation result</t>
  </si>
  <si>
    <t>A VoseSim… function: a statistic of the last simulation, filled in automatically.</t>
  </si>
  <si>
    <t>Units and conventions</t>
  </si>
  <si>
    <t>Money</t>
  </si>
  <si>
    <t>US$ million (US$m).</t>
  </si>
  <si>
    <t>Loss</t>
  </si>
  <si>
    <t>Claims above their expected value in the year: positive is bad. Expected losses are already in the premium.</t>
  </si>
  <si>
    <t>The 99.5th percentile of the total loss: what survives a 1-in-200 year.</t>
  </si>
  <si>
    <t>TVaR</t>
  </si>
  <si>
    <t>The average loss in the years worse than the 1-in-200: how bad the very bad years are.</t>
  </si>
  <si>
    <t>Diversification benefit</t>
  </si>
  <si>
    <t>1 − capital ÷ the sum of the standalone capitals.</t>
  </si>
  <si>
    <t>Key assumptions and limitations</t>
  </si>
  <si>
    <t>Lines</t>
  </si>
  <si>
    <t>Each line's loss ratio is Lognormal with the given mean and coefficient of variation.</t>
  </si>
  <si>
    <t>Reserves</t>
  </si>
  <si>
    <t>The run-off of the reserves is Lognormal around their best estimate (see IN-05).</t>
  </si>
  <si>
    <t>Catastrophes</t>
  </si>
  <si>
    <t>Poisson events with Pareto-distributed losses, independent of the other risks.</t>
  </si>
  <si>
    <t>Dependence</t>
  </si>
  <si>
    <t>The same correlations in the Normal and the t copula; the t copula adds tail dependence.</t>
  </si>
  <si>
    <t>Scope</t>
  </si>
  <si>
    <t>Underwriting and reserve risk only: no market, credit or operational risk; one year.</t>
  </si>
  <si>
    <t>Data</t>
  </si>
  <si>
    <t>The insurer and all figures are invented for this example.</t>
  </si>
  <si>
    <t>ModelRisk functions used</t>
  </si>
  <si>
    <t>VoseCopulaMultiNormal, VoseCopulaMultiT</t>
  </si>
  <si>
    <t>Four correlated U values each iteration: Normal, and Student (bad years cluster).</t>
  </si>
  <si>
    <t>VoseLognormal</t>
  </si>
  <si>
    <t>Each risk's loss from its U value: the same distribution under every dependence model.</t>
  </si>
  <si>
    <t>VoseAggregateMC, VosePoissonObject, VosePareto2Object</t>
  </si>
  <si>
    <t>The year's catastrophe losses.</t>
  </si>
  <si>
    <t>VoseSimPercentile, VoseSimCVARp</t>
  </si>
  <si>
    <t>The 1-in-200 loss (VaR) and the average beyond it (TVaR).</t>
  </si>
  <si>
    <t>VoseSimStdev, VoseSimCorrelation, VoseSimMean</t>
  </si>
  <si>
    <t>The statistics behind the capital allocation. The covariance method needs the Pearson correlation (type 1): the shares then add up to the capital.</t>
  </si>
  <si>
    <t>Further reading</t>
  </si>
  <si>
    <t>Capital and dependence</t>
  </si>
  <si>
    <t>McNeil, A. J., Frey, R. &amp; Embrechts, P. (2015). Quantitative Risk Management: Concepts, Techniques and Tools, revised edition. Princeton University Press.</t>
  </si>
  <si>
    <t>Capital allocation</t>
  </si>
  <si>
    <t>Tasche, D. (2008). Capital allocation to business units and sub-portfolios: the Euler principle. In: Resti, A. (ed.), Pillar II in the New Basel Accord. Risk Books.</t>
  </si>
  <si>
    <t>Risk analysis</t>
  </si>
  <si>
    <t>Vose, D. (2008). Risk Analysis: A Quantitative Guide, 3rd edition. Wiley — copulas.</t>
  </si>
  <si>
    <t>© 2026 Vose Software   ·   www.vosesoftware.com   ·   An illustrative example: the figures are invented for teaching and do not describe a real company, project or asset.</t>
  </si>
  <si>
    <t>INPUTS   ·   Every assumption the model uses, with its uncertainty and its basis. Change only the yellow cells.</t>
  </si>
  <si>
    <t>◂  About</t>
  </si>
  <si>
    <t>Next:  Capital  ▸</t>
  </si>
  <si>
    <t>How to read this sheet:  yellow cells are inputs.</t>
  </si>
  <si>
    <t>1   Lines of business</t>
  </si>
  <si>
    <t>Premium written next year, and the claims it is expected to bring.</t>
  </si>
  <si>
    <t>Assumption</t>
  </si>
  <si>
    <t>Unit</t>
  </si>
  <si>
    <t>Value in model</t>
  </si>
  <si>
    <t>Uncertainty</t>
  </si>
  <si>
    <t>Basis / source (illustrative)</t>
  </si>
  <si>
    <t>Motor: premium</t>
  </si>
  <si>
    <t>US$m</t>
  </si>
  <si>
    <t>Fixed</t>
  </si>
  <si>
    <t>Many small claims: a steady line.</t>
  </si>
  <si>
    <t>Motor: expected loss ratio</t>
  </si>
  <si>
    <t>of premium</t>
  </si>
  <si>
    <t>Claims ÷ premium, on average.</t>
  </si>
  <si>
    <t>Motor: variability of the loss ratio</t>
  </si>
  <si>
    <t>std dev ÷ mean</t>
  </si>
  <si>
    <t>How much a year's claims vary around their expected value.</t>
  </si>
  <si>
    <t>Property: premium</t>
  </si>
  <si>
    <t>Fires and storms below the catastrophe level.</t>
  </si>
  <si>
    <t>Property: expected loss ratio</t>
  </si>
  <si>
    <t>Property: variability of the loss ratio</t>
  </si>
  <si>
    <t>Liability: premium</t>
  </si>
  <si>
    <t>Long-tail claims, hard to predict.</t>
  </si>
  <si>
    <t>Liability: expected loss ratio</t>
  </si>
  <si>
    <t>Liability: variability of the loss ratio</t>
  </si>
  <si>
    <t>2   Reserves</t>
  </si>
  <si>
    <t>Claims from earlier years, not yet paid.</t>
  </si>
  <si>
    <t>Claims reserves</t>
  </si>
  <si>
    <t>Best estimate (see IN-05).</t>
  </si>
  <si>
    <t>Variability of the run-off</t>
  </si>
  <si>
    <t>Prediction error of the reserves over one year.</t>
  </si>
  <si>
    <t>3   Catastrophes</t>
  </si>
  <si>
    <t>Storms and floods hitting the property book.</t>
  </si>
  <si>
    <t>Catastrophes a year</t>
  </si>
  <si>
    <t>events</t>
  </si>
  <si>
    <t>About one every three years.</t>
  </si>
  <si>
    <t>Pareto scale</t>
  </si>
  <si>
    <t>Sets the size of an event.</t>
  </si>
  <si>
    <t>Pareto shape</t>
  </si>
  <si>
    <t>lower = heavier</t>
  </si>
  <si>
    <t>Average event = scale ÷ (shape − 1).</t>
  </si>
  <si>
    <t>4   Dependence</t>
  </si>
  <si>
    <t>Between the lines and the reserves; catastrophes are independent.</t>
  </si>
  <si>
    <t>Correlation: motor and property</t>
  </si>
  <si>
    <t>Correlation: motor and liability</t>
  </si>
  <si>
    <t>Inflation drives both.</t>
  </si>
  <si>
    <t>Correlation: motor and reserves</t>
  </si>
  <si>
    <t>Correlation: property and liability</t>
  </si>
  <si>
    <t>Correlation: property and reserves</t>
  </si>
  <si>
    <t>Correlation: liability and reserves</t>
  </si>
  <si>
    <t>Liability reserves move with new liability claims.</t>
  </si>
  <si>
    <t>t copula: degrees of freedom</t>
  </si>
  <si>
    <t>The lower, the more strongly the worst years come together.</t>
  </si>
  <si>
    <t>5   Capital allocation</t>
  </si>
  <si>
    <t>A bad year: total loss above</t>
  </si>
  <si>
    <t>About a 1-in-80 year: the capital is shared by each risk's part in these years.</t>
  </si>
  <si>
    <t>CAPITAL   ·   This iteration's losses (US$m) for each risk under three models of dependence.</t>
  </si>
  <si>
    <t>◂  Inputs</t>
  </si>
  <si>
    <t>Next:  Results  ▸</t>
  </si>
  <si>
    <t>1   Correlation matrix</t>
  </si>
  <si>
    <t>Built from the six correlations on the Inputs sheet.</t>
  </si>
  <si>
    <t>Motor</t>
  </si>
  <si>
    <t>Property</t>
  </si>
  <si>
    <t>Liability</t>
  </si>
  <si>
    <t>Eigenvalues</t>
  </si>
  <si>
    <t>VoseEigenValues: all above 0 for a valid correlation matrix (a check below)</t>
  </si>
  <si>
    <t>2   Catastrophes, exactly</t>
  </si>
  <si>
    <t>The moments of a year's catastrophe losses, calculated, not simulated (VoseAggregateMoments).</t>
  </si>
  <si>
    <t>Mean</t>
  </si>
  <si>
    <t>Variance</t>
  </si>
  <si>
    <t>Skewness</t>
  </si>
  <si>
    <t>Kurtosis</t>
  </si>
  <si>
    <t>US$m²</t>
  </si>
  <si>
    <t>A year's catastrophe losses</t>
  </si>
  <si>
    <t>Poisson number of events × Pareto (type 2) sizes</t>
  </si>
  <si>
    <t>3   This year's losses</t>
  </si>
  <si>
    <t>Claims above (+) or below (−) their expected value; catastrophes the same in all three models.</t>
  </si>
  <si>
    <t>Risk</t>
  </si>
  <si>
    <t>Expected</t>
  </si>
  <si>
    <t>Std dev</t>
  </si>
  <si>
    <t>U, Normal</t>
  </si>
  <si>
    <t>U, t</t>
  </si>
  <si>
    <t>Independent</t>
  </si>
  <si>
    <t>Normal</t>
  </si>
  <si>
    <t>t copula</t>
  </si>
  <si>
    <t>claims</t>
  </si>
  <si>
    <t>copula</t>
  </si>
  <si>
    <t>loss</t>
  </si>
  <si>
    <t>Lines: premium × loss ratio; reserves: their best estimate</t>
  </si>
  <si>
    <t>U values: VoseCopulaMultiNormal and VoseCopulaMultiT (four each)</t>
  </si>
  <si>
    <t>Loss = VoseLognormal(expected, std dev, U) − expected</t>
  </si>
  <si>
    <t>Catastrophe</t>
  </si>
  <si>
    <t>–</t>
  </si>
  <si>
    <t>VoseAggregateMC(Poisson events, Pareto sizes) − expected; its moments from section 2</t>
  </si>
  <si>
    <t>Total</t>
  </si>
  <si>
    <t>4   Bad years</t>
  </si>
  <si>
    <t>Each risk's loss in the years when the total (t copula) exceeds the threshold — zero otherwise.</t>
  </si>
  <si>
    <t>Threshold</t>
  </si>
  <si>
    <t>Bad year?</t>
  </si>
  <si>
    <t>This iteration</t>
  </si>
  <si>
    <t>5   Value in this iteration</t>
  </si>
  <si>
    <t>Key outputs, recorded by ModelRisk at every sample (VoseOutput). Their statistics appear on the Results sheet.</t>
  </si>
  <si>
    <t>Output</t>
  </si>
  <si>
    <t>Value</t>
  </si>
  <si>
    <t>Meaning</t>
  </si>
  <si>
    <t>Total loss: independent risks</t>
  </si>
  <si>
    <t>All five risks</t>
  </si>
  <si>
    <t>Total loss: Normal copula</t>
  </si>
  <si>
    <t>Total loss: t copula</t>
  </si>
  <si>
    <t>Loss: motor</t>
  </si>
  <si>
    <t>t copula model</t>
  </si>
  <si>
    <t>Loss: property</t>
  </si>
  <si>
    <t>Loss: liability</t>
  </si>
  <si>
    <t>Loss: reserves</t>
  </si>
  <si>
    <t>Loss: catastrophe</t>
  </si>
  <si>
    <t>Bad year?  (1 = yes)</t>
  </si>
  <si>
    <t>1 / 0</t>
  </si>
  <si>
    <t>Total loss above the threshold</t>
  </si>
  <si>
    <t>Loss in bad years: motor</t>
  </si>
  <si>
    <t>Zero in other years</t>
  </si>
  <si>
    <t>Loss in bad years: property</t>
  </si>
  <si>
    <t>Loss in bad years: liability</t>
  </si>
  <si>
    <t>Loss in bad years: reserves</t>
  </si>
  <si>
    <t>Loss in bad years: catastrophe</t>
  </si>
  <si>
    <t>6   Model checks</t>
  </si>
  <si>
    <t>Should all read OK. A CHECK means an input has been set outside the range the model is built for.</t>
  </si>
  <si>
    <t>The correlation matrix is valid  (every eigenvalue above 0)</t>
  </si>
  <si>
    <t>The Pareto shape is above 2  (catastrophe losses have a finite spread)</t>
  </si>
  <si>
    <t>The bad-year threshold is above the expected total  (zero)</t>
  </si>
  <si>
    <t>RESULTS   ·   Filled in automatically from the last simulation. Run a simulation after changing any input.</t>
  </si>
  <si>
    <t>◂  Capital</t>
  </si>
  <si>
    <t>1   How much capital?</t>
  </si>
  <si>
    <t>Total loss — return periods</t>
  </si>
  <si>
    <t>The total loss (US$m) a 1-in-200 year brings, and the average beyond it, for each model of dependence.</t>
  </si>
  <si>
    <t>Diversif.</t>
  </si>
  <si>
    <t>Capital ÷</t>
  </si>
  <si>
    <t>VaR 99.5%</t>
  </si>
  <si>
    <t>99.5%</t>
  </si>
  <si>
    <t>benefit</t>
  </si>
  <si>
    <t>premium</t>
  </si>
  <si>
    <t>Normal copula</t>
  </si>
  <si>
    <t>Square-root formula</t>
  </si>
  <si>
    <t>Sum of the standalone capitals</t>
  </si>
  <si>
    <t>2   Capital by risk</t>
  </si>
  <si>
    <t>Standalone: each risk capitalised alone. Allocated: the t-copula capital shared out by covariance and by the bad years.</t>
  </si>
  <si>
    <t>Standalone</t>
  </si>
  <si>
    <t>Correl.</t>
  </si>
  <si>
    <t>By covar.</t>
  </si>
  <si>
    <t>By bad yrs</t>
  </si>
  <si>
    <t>with total</t>
  </si>
  <si>
    <t>allocated</t>
  </si>
  <si>
    <t>Total loss, t copula — distribution</t>
  </si>
  <si>
    <t>Share of the t-copula capital allocated</t>
  </si>
  <si>
    <t>Loss by risk in the bad years</t>
  </si>
  <si>
    <t>All years</t>
  </si>
  <si>
    <t>Bad years</t>
  </si>
  <si>
    <t>mean, US$m</t>
  </si>
  <si>
    <t xml:space="preserve">   Motor</t>
  </si>
  <si>
    <t xml:space="preserve">   Property</t>
  </si>
  <si>
    <t xml:space="preserve">   Liability</t>
  </si>
  <si>
    <t xml:space="preserve">   Reserves</t>
  </si>
  <si>
    <t xml:space="preserve">   Catastrophe</t>
  </si>
  <si>
    <t xml:space="preserve">   Share of years that are bad  (threshold on the Inputs sheet)</t>
  </si>
  <si>
    <t>The square-root formula</t>
  </si>
  <si>
    <t>ρ × capital × capital  (US$m²)</t>
  </si>
  <si>
    <t xml:space="preserve">   Catastrophes  (independent: their capital²)</t>
  </si>
  <si>
    <t>3   How to read these results</t>
  </si>
  <si>
    <t>•  Capitalising each risk on its own would take about US$227 million. Together they need US$103 to 129 million, depending on how they move together: diversification saves 43% to 55% of the capital.</t>
  </si>
  <si>
    <t>•  The model of dependence matters even with the same correlations. The t copula, which makes the worst years cluster, needs about a quarter more capital than independent risks and about 9% more than the Normal copula: ignoring dependence, or modelling it with a Normal copula alone, understates the capital.</t>
  </si>
  <si>
    <t>•  The regulator's square-root formula, applied to the simulated standalone capitals with the same correlations, gives about US$137 million here, a little above the t copula. It is not reliable in general: it treats the risks as if they combined like Normal ones, and with heavy tails it can fall on either side of the simulated capital.</t>
  </si>
  <si>
    <t>•  The TVaR — the average of the years worse than the 1-in-200 — is about US$190 million under the t copula, far above the VaR, because the few catastrophe years beyond it are extreme.</t>
  </si>
  <si>
    <t>•  Sharing the capital out depends on the method. By covariance, the reserves take about half, because they vary most, and catastrophes about a sixth. In the bad years — here a total loss above US$100 million, about one year in 70 — catastrophes bring over two fifths of the loss, about US$58 million in an average bad year. Prices and return-on-capital targets by line inherit that choice.</t>
  </si>
  <si>
    <t>•  Simulation error: the model ships with 50,000 samples, so a 1-in-200 rests on about 250 simulated years rather than 50. The catastrophes' heavy tail still leaves the capitals uncertain by about ±5% — at 10,000 samples two seeds gave t-copula capitals of 137 and 121. The gap between the Normal and t copulas, about 9%, is only just clear of it.</t>
  </si>
  <si>
    <t>Chart data</t>
  </si>
  <si>
    <t>Statistics of the last simulation behind the charts and the ranking above. Grouped: click + in the left margin to show them.</t>
  </si>
  <si>
    <t>Cumulative probability</t>
  </si>
  <si>
    <t>Exceedance</t>
  </si>
  <si>
    <t>Out_Tot_T</t>
  </si>
  <si>
    <t>Return period (years)</t>
  </si>
  <si>
    <t>Percentile</t>
  </si>
  <si>
    <t>Out_Tot_I</t>
  </si>
  <si>
    <t>Out_Tot_N</t>
  </si>
  <si>
    <t>Percentiles: Out_Tot_T</t>
  </si>
  <si>
    <t>Histogram: Out_Tot_T</t>
  </si>
  <si>
    <t>Edge</t>
  </si>
  <si>
    <t>Index</t>
  </si>
  <si>
    <t>Mid-point</t>
  </si>
  <si>
    <t>Probability</t>
  </si>
  <si>
    <t>Below edge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</si>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</sst>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#,##0_);\(#,##0\);&quot;–&quot;_)"/>
    <numFmt numFmtId="165" formatCode="#,##0.0_);\(#,##0.0\);&quot;–&quot;_)"/>
    <numFmt numFmtId="166" formatCode="0.000"/>
    <numFmt numFmtId="167" formatCode="#,##0.00_);\(#,##0.00\);&quot;–&quot;_)"/>
    <numFmt numFmtId="168" formatCode="#,##0.0_);\(#,##0.0\);&quot;–&quot;_);&quot;–&quot;"/>
    <numFmt numFmtId="169" formatCode="0.00;\-0.00;0.00;&quot;–&quot;"/>
    <numFmt numFmtId="170" formatCode="#,##0.00_);\(#,##0.00\);&quot;–&quot;_);&quot;–&quot;"/>
    <numFmt numFmtId="171" formatCode="0.00%;\-0.00%;0.00%;&quot;–&quot;"/>
    <numFmt numFmtId="172" formatCode="0.0%;\-0.0%;0.0%;&quot;–&quot;"/>
    <numFmt numFmtId="173" formatCode="#,##0_);\(#,##0\);&quot;–&quot;_);&quot;–&quot;"/>
    <numFmt numFmtId="174" formatCode="0%;\-0%;0%;&quot;–&quot;"/>
    <numFmt numFmtId="175" formatCode="0.0%"/>
  </numFmts>
  <fonts count="24" x14ac:knownFonts="1">
    <font>
      <sz val="11"/>
      <color theme="1"/>
      <name val="Calibri"/>
      <family val="2"/>
      <scheme val="minor"/>
    </font>
    <font>
      <sz val="10"/>
      <color rgb="FF0E4F92"/>
      <name val="Calibri"/>
    </font>
    <font>
      <sz val="10"/>
      <color rgb="FF9A3412"/>
      <name val="Calibri"/>
    </font>
    <font>
      <sz val="10"/>
      <color rgb="FF0F2A47"/>
      <name val="Calibri"/>
    </font>
    <font>
      <b/>
      <sz val="10"/>
      <color rgb="FF14532D"/>
      <name val="Calibri"/>
    </font>
    <font>
      <b/>
      <sz val="16"/>
      <color rgb="FFFFFFFF"/>
      <name val="Calibri"/>
    </font>
    <font>
      <sz val="10"/>
      <color rgb="FFD6E2F0"/>
      <name val="Calibri"/>
    </font>
    <font>
      <sz val="9"/>
      <color rgb="FFD6E2F0"/>
      <name val="Calibri"/>
    </font>
    <font>
      <u/>
      <sz val="9"/>
      <color rgb="FF0E4F92"/>
      <name val="Calibri"/>
    </font>
    <font>
      <b/>
      <sz val="20"/>
      <color rgb="FFFFFFFF"/>
      <name val="Calibri"/>
    </font>
    <font>
      <b/>
      <sz val="12"/>
      <color rgb="FF0E4F92"/>
      <name val="Calibri"/>
    </font>
    <font>
      <b/>
      <sz val="10"/>
      <color rgb="FF3F5876"/>
      <name val="Calibri"/>
    </font>
    <font>
      <b/>
      <sz val="10"/>
      <color rgb="FF0F2A47"/>
      <name val="Calibri"/>
    </font>
    <font>
      <i/>
      <sz val="9"/>
      <color rgb="FF3F5876"/>
      <name val="Calibri"/>
    </font>
    <font>
      <u/>
      <sz val="10"/>
      <color rgb="FF0E4F92"/>
      <name val="Calibri"/>
    </font>
    <font>
      <b/>
      <sz val="10"/>
      <color rgb="FF0E4F92"/>
      <name val="Calibri"/>
    </font>
    <font>
      <i/>
      <sz val="9"/>
      <color rgb="FF8AA0BA"/>
      <name val="Calibri"/>
    </font>
    <font>
      <b/>
      <sz val="9"/>
      <color rgb="FF3F5876"/>
      <name val="Calibri"/>
    </font>
    <font>
      <sz val="9"/>
      <color rgb="FF3F5876"/>
      <name val="Calibri"/>
    </font>
    <font>
      <sz val="10"/>
      <color rgb="FF3F5876"/>
      <name val="Calibri"/>
    </font>
    <font>
      <sz val="8"/>
      <color rgb="FF3F5876"/>
      <name val="Calibri"/>
    </font>
    <font>
      <sz val="9"/>
      <color rgb="FF8AA0BA"/>
      <name val="Calibri"/>
    </font>
    <font>
      <b/>
      <sz val="10"/>
      <color rgb="FF15803D"/>
      <name val="Calibri"/>
    </font>
    <font>
      <b/>
      <sz val="11"/>
      <color rgb="FF0E4F92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8EEF7"/>
        <bgColor rgb="FFE8EEF7"/>
      </patternFill>
    </fill>
    <fill>
      <patternFill patternType="solid">
        <fgColor rgb="FF0E4F92"/>
        <bgColor rgb="FF0E4F92"/>
      </patternFill>
    </fill>
    <fill>
      <patternFill patternType="solid">
        <fgColor rgb="FFEEF1F5"/>
        <bgColor rgb="FFEEF1F5"/>
      </patternFill>
    </fill>
  </fills>
  <borders count="12">
    <border>
      <left/>
      <right/>
      <top/>
      <bottom/>
      <diagonal/>
    </border>
    <border>
      <left style="thin">
        <color rgb="FFC6D1DF"/>
      </left>
      <right style="thin">
        <color rgb="FFC6D1DF"/>
      </right>
      <top style="thin">
        <color rgb="FFC6D1DF"/>
      </top>
      <bottom style="thin">
        <color rgb="FFC6D1DF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C6D1DF"/>
      </bottom>
      <diagonal/>
    </border>
    <border>
      <left/>
      <right/>
      <top/>
      <bottom style="medium">
        <color rgb="FF0E4F92"/>
      </bottom>
      <diagonal/>
    </border>
    <border>
      <left/>
      <right/>
      <top/>
      <bottom style="thin">
        <color rgb="FFE4E9F0"/>
      </bottom>
      <diagonal/>
    </border>
    <border>
      <left style="thin">
        <color rgb="FFC6D1DF"/>
      </left>
      <right style="thin">
        <color rgb="FFC6D1DF"/>
      </right>
      <top style="thin">
        <color rgb="FFC6D1DF"/>
      </top>
      <bottom style="thin">
        <color rgb="FFE4E9F0"/>
      </bottom>
      <diagonal/>
    </border>
    <border>
      <left/>
      <right/>
      <top/>
      <bottom style="thin">
        <color rgb="FFE4E9F0"/>
      </bottom>
      <diagonal/>
    </border>
    <border>
      <left/>
      <right/>
      <top style="thin">
        <color rgb="FF3F5876"/>
      </top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4E9F0"/>
      </bottom>
      <diagonal/>
    </border>
    <border>
      <left/>
      <right/>
      <top style="thin">
        <color rgb="FFC6D1DF"/>
      </top>
      <bottom style="thin">
        <color rgb="FFC6D1DF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83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64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9" fontId="1" fillId="2" borderId="7" xfId="1" applyNumberFormat="1" applyBorder="1">
      <alignment horizontal="right" vertical="center"/>
    </xf>
    <xf numFmtId="165" fontId="1" fillId="2" borderId="7" xfId="1" applyNumberFormat="1" applyBorder="1">
      <alignment horizontal="right" vertical="center"/>
    </xf>
    <xf numFmtId="2" fontId="1" fillId="2" borderId="7" xfId="1" applyNumberFormat="1" applyBorder="1">
      <alignment horizontal="right" vertical="center"/>
    </xf>
    <xf numFmtId="0" fontId="17" fillId="7" borderId="4" xfId="0" applyFont="1" applyFill="1" applyBorder="1" applyAlignment="1">
      <alignment horizontal="left" vertical="center" indent="1"/>
    </xf>
    <xf numFmtId="0" fontId="17" fillId="7" borderId="4" xfId="0" applyFont="1" applyFill="1" applyBorder="1" applyAlignment="1">
      <alignment horizontal="right" vertical="center"/>
    </xf>
    <xf numFmtId="2" fontId="3" fillId="0" borderId="8" xfId="3" applyNumberFormat="1" applyBorder="1">
      <alignment horizontal="right" vertical="center"/>
    </xf>
    <xf numFmtId="0" fontId="19" fillId="0" borderId="6" xfId="0" applyFont="1" applyBorder="1" applyAlignment="1">
      <alignment horizontal="left" vertical="center" indent="1"/>
    </xf>
    <xf numFmtId="166" fontId="3" fillId="0" borderId="8" xfId="3" applyNumberFormat="1" applyBorder="1">
      <alignment horizontal="right" vertical="center"/>
    </xf>
    <xf numFmtId="0" fontId="17" fillId="7" borderId="2" xfId="0" applyFont="1" applyFill="1" applyBorder="1" applyAlignment="1">
      <alignment horizontal="left" vertical="center" indent="1"/>
    </xf>
    <xf numFmtId="0" fontId="17" fillId="7" borderId="2" xfId="0" applyFont="1" applyFill="1" applyBorder="1" applyAlignment="1">
      <alignment horizontal="right" vertical="center"/>
    </xf>
    <xf numFmtId="0" fontId="20" fillId="7" borderId="4" xfId="0" applyFont="1" applyFill="1" applyBorder="1" applyAlignment="1">
      <alignment horizontal="right" vertical="center"/>
    </xf>
    <xf numFmtId="167" fontId="3" fillId="0" borderId="8" xfId="3" applyNumberFormat="1" applyBorder="1">
      <alignment horizontal="right" vertical="center"/>
    </xf>
    <xf numFmtId="164" fontId="3" fillId="0" borderId="8" xfId="3" applyNumberFormat="1" applyBorder="1">
      <alignment horizontal="right" vertical="center"/>
    </xf>
    <xf numFmtId="165" fontId="3" fillId="0" borderId="8" xfId="3" applyNumberFormat="1" applyBorder="1">
      <alignment horizontal="right" vertical="center"/>
    </xf>
    <xf numFmtId="166" fontId="2" fillId="3" borderId="7" xfId="2" applyNumberFormat="1" applyBorder="1">
      <alignment horizontal="right" vertical="center"/>
    </xf>
    <xf numFmtId="165" fontId="2" fillId="3" borderId="7" xfId="2" applyNumberFormat="1" applyBorder="1">
      <alignment horizontal="right" vertical="center"/>
    </xf>
    <xf numFmtId="0" fontId="21" fillId="0" borderId="6" xfId="0" applyFont="1" applyBorder="1" applyAlignment="1">
      <alignment horizontal="right" vertical="center"/>
    </xf>
    <xf numFmtId="0" fontId="12" fillId="0" borderId="9" xfId="0" applyFont="1" applyBorder="1" applyAlignment="1">
      <alignment horizontal="left" vertical="center" indent="1"/>
    </xf>
    <xf numFmtId="165" fontId="12" fillId="0" borderId="9" xfId="3" applyNumberFormat="1" applyFont="1" applyBorder="1">
      <alignment horizontal="right" vertical="center"/>
    </xf>
    <xf numFmtId="0" fontId="0" fillId="0" borderId="9" xfId="0" applyBorder="1"/>
    <xf numFmtId="1" fontId="3" fillId="0" borderId="8" xfId="3" applyNumberFormat="1" applyBorder="1">
      <alignment horizontal="right" vertical="center"/>
    </xf>
    <xf numFmtId="165" fontId="4" fillId="4" borderId="10" xfId="4" applyNumberFormat="1" applyBorder="1">
      <alignment horizontal="right" vertical="center"/>
    </xf>
    <xf numFmtId="1" fontId="4" fillId="4" borderId="10" xfId="4" applyNumberFormat="1" applyBorder="1">
      <alignment horizontal="right" vertical="center"/>
    </xf>
    <xf numFmtId="0" fontId="22" fillId="0" borderId="6" xfId="0" applyFont="1" applyBorder="1" applyAlignment="1">
      <alignment horizontal="center" vertical="center"/>
    </xf>
    <xf numFmtId="0" fontId="15" fillId="5" borderId="11" xfId="0" applyFont="1" applyFill="1" applyBorder="1" applyAlignment="1">
      <alignment horizontal="left" vertical="center" indent="1"/>
    </xf>
    <xf numFmtId="0" fontId="0" fillId="5" borderId="11" xfId="0" applyFill="1" applyBorder="1"/>
    <xf numFmtId="0" fontId="18" fillId="0" borderId="0" xfId="0" applyFont="1" applyAlignment="1">
      <alignment horizontal="left" vertical="center" indent="1"/>
    </xf>
    <xf numFmtId="0" fontId="23" fillId="0" borderId="5" xfId="0" applyFont="1" applyBorder="1"/>
    <xf numFmtId="0" fontId="17" fillId="7" borderId="2" xfId="0" applyFont="1" applyFill="1" applyBorder="1" applyAlignment="1">
      <alignment horizontal="left" vertical="center" wrapText="1" indent="1"/>
    </xf>
    <xf numFmtId="0" fontId="17" fillId="7" borderId="2" xfId="0" applyFont="1" applyFill="1" applyBorder="1" applyAlignment="1">
      <alignment horizontal="right" vertical="center" wrapText="1"/>
    </xf>
    <xf numFmtId="168" fontId="1" fillId="5" borderId="7" xfId="5" applyNumberFormat="1" applyBorder="1">
      <alignment horizontal="right" vertical="center"/>
    </xf>
    <xf numFmtId="174" fontId="1" fillId="5" borderId="1" xfId="5" applyNumberFormat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0" fontId="3" fillId="0" borderId="8" xfId="3" applyBorder="1">
      <alignment horizontal="right" vertical="center"/>
    </xf>
    <xf numFmtId="168" fontId="1" fillId="5" borderId="1" xfId="5" applyNumberFormat="1">
      <alignment horizontal="right" vertical="center"/>
    </xf>
    <xf numFmtId="169" fontId="1" fillId="5" borderId="7" xfId="5" applyNumberFormat="1" applyBorder="1">
      <alignment horizontal="right" vertical="center"/>
    </xf>
    <xf numFmtId="168" fontId="15" fillId="5" borderId="1" xfId="5" applyNumberFormat="1" applyFont="1">
      <alignment horizontal="right" vertical="center"/>
    </xf>
    <xf numFmtId="172" fontId="1" fillId="5" borderId="1" xfId="5" applyNumberFormat="1">
      <alignment horizontal="right" vertical="center"/>
    </xf>
    <xf numFmtId="0" fontId="0" fillId="7" borderId="2" xfId="0" applyFill="1" applyBorder="1"/>
    <xf numFmtId="170" fontId="1" fillId="5" borderId="7" xfId="5" applyNumberFormat="1" applyBorder="1">
      <alignment horizontal="right" vertical="center"/>
    </xf>
    <xf numFmtId="171" fontId="1" fillId="5" borderId="7" xfId="5" applyNumberFormat="1" applyBorder="1">
      <alignment horizontal="right" vertical="center"/>
    </xf>
    <xf numFmtId="173" fontId="1" fillId="5" borderId="7" xfId="5" applyNumberFormat="1" applyBorder="1">
      <alignment horizontal="right" vertical="center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3" fontId="3" fillId="0" borderId="2" xfId="3" applyNumberFormat="1">
      <alignment horizontal="right" vertical="center"/>
    </xf>
    <xf numFmtId="175" fontId="3" fillId="0" borderId="2" xfId="3" applyNumberFormat="1">
      <alignment horizontal="right" vertical="center"/>
    </xf>
    <xf numFmtId="0" fontId="21" fillId="0" borderId="0" xfId="0" applyFont="1"/>
    <xf numFmtId="1" fontId="3" fillId="0" borderId="2" xfId="3" applyNumberFormat="1">
      <alignment horizontal="right" vertical="center"/>
    </xf>
    <xf numFmtId="0" fontId="16" fillId="0" borderId="0" xfId="0" applyFont="1"/>
    <xf numFmtId="0" fontId="0" fillId="0" borderId="0" xfId="0"/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Vose Calculation" xfId="3" xr:uid="{00000000-0005-0000-0000-000003000000}"/>
    <cellStyle name="Vose Input" xfId="1" xr:uid="{00000000-0005-0000-0000-000001000000}"/>
    <cellStyle name="Vose Output" xfId="4" xr:uid="{00000000-0005-0000-0000-000004000000}"/>
    <cellStyle name="Vose Sim Result" xfId="5" xr:uid="{00000000-0005-0000-0000-000005000000}"/>
    <cellStyle name="Vose Uncertain" xfId="2" xr:uid="{00000000-0005-0000-0000-000002000000}"/>
  </cellStyles>
  <dxfs count="6">
    <dxf>
      <font>
        <color rgb="FF8AA0BA"/>
      </font>
    </dxf>
    <dxf>
      <font>
        <color rgb="FF8AA0BA"/>
      </font>
    </dxf>
    <dxf>
      <font>
        <color rgb="FF8AA0BA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Independent</c:v>
          </c:tx>
          <c:spPr>
            <a:ln w="22000">
              <a:solidFill>
                <a:srgbClr val="0E4F92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E4F92"/>
              </a:solidFill>
              <a:ln>
                <a:solidFill>
                  <a:srgbClr val="0E4F92"/>
                </a:solidFill>
                <a:prstDash val="solid"/>
              </a:ln>
            </c:spPr>
          </c:marker>
          <c:xVal>
            <c:numRef>
              <c:f>Results!$B$112:$B$119</c:f>
              <c:numCache>
                <c:formatCode>#,##0</c:formatCode>
                <c:ptCount val="8"/>
                <c:pt idx="0">
                  <c:v>2</c:v>
                </c:pt>
                <c:pt idx="1">
                  <c:v>5</c:v>
                </c:pt>
                <c:pt idx="2">
                  <c:v>10</c:v>
                </c:pt>
                <c:pt idx="3">
                  <c:v>20</c:v>
                </c:pt>
                <c:pt idx="4">
                  <c:v>50</c:v>
                </c:pt>
                <c:pt idx="5">
                  <c:v>100</c:v>
                </c:pt>
                <c:pt idx="6">
                  <c:v>200</c:v>
                </c:pt>
                <c:pt idx="7">
                  <c:v>500</c:v>
                </c:pt>
              </c:numCache>
            </c:numRef>
          </c:xVal>
          <c:yVal>
            <c:numRef>
              <c:f>Results!$D$112:$D$119</c:f>
              <c:numCache>
                <c:formatCode>#,##0.00</c:formatCode>
                <c:ptCount val="8"/>
                <c:pt idx="0">
                  <c:v>-1.9119985942924416</c:v>
                </c:pt>
                <c:pt idx="1">
                  <c:v>23.352986604952761</c:v>
                </c:pt>
                <c:pt idx="2">
                  <c:v>38.105626962857237</c:v>
                </c:pt>
                <c:pt idx="3">
                  <c:v>51.310636858341901</c:v>
                </c:pt>
                <c:pt idx="4">
                  <c:v>68.580307300422135</c:v>
                </c:pt>
                <c:pt idx="5">
                  <c:v>84.235477090278465</c:v>
                </c:pt>
                <c:pt idx="6">
                  <c:v>103.15991807845697</c:v>
                </c:pt>
                <c:pt idx="7">
                  <c:v>149.78283992898767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E27-446B-A00E-9A321EFBA06E}"/>
            </c:ext>
          </c:extLst>
        </c:ser>
        <c:ser>
          <c:idx val="1"/>
          <c:order val="1"/>
          <c:tx>
            <c:v>Normal copula</c:v>
          </c:tx>
          <c:spPr>
            <a:ln w="22000">
              <a:solidFill>
                <a:srgbClr val="B4530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B45309"/>
              </a:solidFill>
              <a:ln>
                <a:solidFill>
                  <a:srgbClr val="B45309"/>
                </a:solidFill>
                <a:prstDash val="solid"/>
              </a:ln>
            </c:spPr>
          </c:marker>
          <c:xVal>
            <c:numRef>
              <c:f>Results!$B$112:$B$119</c:f>
              <c:numCache>
                <c:formatCode>#,##0</c:formatCode>
                <c:ptCount val="8"/>
                <c:pt idx="0">
                  <c:v>2</c:v>
                </c:pt>
                <c:pt idx="1">
                  <c:v>5</c:v>
                </c:pt>
                <c:pt idx="2">
                  <c:v>10</c:v>
                </c:pt>
                <c:pt idx="3">
                  <c:v>20</c:v>
                </c:pt>
                <c:pt idx="4">
                  <c:v>50</c:v>
                </c:pt>
                <c:pt idx="5">
                  <c:v>100</c:v>
                </c:pt>
                <c:pt idx="6">
                  <c:v>200</c:v>
                </c:pt>
                <c:pt idx="7">
                  <c:v>500</c:v>
                </c:pt>
              </c:numCache>
            </c:numRef>
          </c:xVal>
          <c:yVal>
            <c:numRef>
              <c:f>Results!$E$112:$E$119</c:f>
              <c:numCache>
                <c:formatCode>#,##0.00</c:formatCode>
                <c:ptCount val="8"/>
                <c:pt idx="0">
                  <c:v>-2.108195351281033</c:v>
                </c:pt>
                <c:pt idx="1">
                  <c:v>30.118317992164265</c:v>
                </c:pt>
                <c:pt idx="2">
                  <c:v>48.284782800881842</c:v>
                </c:pt>
                <c:pt idx="3">
                  <c:v>64.932374519071573</c:v>
                </c:pt>
                <c:pt idx="4">
                  <c:v>84.125112448298069</c:v>
                </c:pt>
                <c:pt idx="5">
                  <c:v>100.32384199603456</c:v>
                </c:pt>
                <c:pt idx="6">
                  <c:v>118.09087294331755</c:v>
                </c:pt>
                <c:pt idx="7">
                  <c:v>151.67324334948205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E27-446B-A00E-9A321EFBA06E}"/>
            </c:ext>
          </c:extLst>
        </c:ser>
        <c:ser>
          <c:idx val="2"/>
          <c:order val="2"/>
          <c:tx>
            <c:v>t copula</c:v>
          </c:tx>
          <c:spPr>
            <a:ln w="22000">
              <a:solidFill>
                <a:srgbClr val="15803D"/>
              </a:solidFill>
              <a:prstDash val="dash"/>
            </a:ln>
          </c:spPr>
          <c:marker>
            <c:symbol val="circle"/>
            <c:size val="4"/>
            <c:spPr>
              <a:solidFill>
                <a:srgbClr val="15803D"/>
              </a:solidFill>
              <a:ln>
                <a:solidFill>
                  <a:srgbClr val="15803D"/>
                </a:solidFill>
                <a:prstDash val="solid"/>
              </a:ln>
            </c:spPr>
          </c:marker>
          <c:xVal>
            <c:numRef>
              <c:f>Results!$B$112:$B$119</c:f>
              <c:numCache>
                <c:formatCode>#,##0</c:formatCode>
                <c:ptCount val="8"/>
                <c:pt idx="0">
                  <c:v>2</c:v>
                </c:pt>
                <c:pt idx="1">
                  <c:v>5</c:v>
                </c:pt>
                <c:pt idx="2">
                  <c:v>10</c:v>
                </c:pt>
                <c:pt idx="3">
                  <c:v>20</c:v>
                </c:pt>
                <c:pt idx="4">
                  <c:v>50</c:v>
                </c:pt>
                <c:pt idx="5">
                  <c:v>100</c:v>
                </c:pt>
                <c:pt idx="6">
                  <c:v>200</c:v>
                </c:pt>
                <c:pt idx="7">
                  <c:v>500</c:v>
                </c:pt>
              </c:numCache>
            </c:numRef>
          </c:xVal>
          <c:yVal>
            <c:numRef>
              <c:f>Results!$F$112:$F$119</c:f>
              <c:numCache>
                <c:formatCode>#,##0.00</c:formatCode>
                <c:ptCount val="8"/>
                <c:pt idx="0">
                  <c:v>-2.1593416402823635</c:v>
                </c:pt>
                <c:pt idx="1">
                  <c:v>29.414445130271233</c:v>
                </c:pt>
                <c:pt idx="2">
                  <c:v>48.913374006551727</c:v>
                </c:pt>
                <c:pt idx="3">
                  <c:v>66.861432287060964</c:v>
                </c:pt>
                <c:pt idx="4">
                  <c:v>91.244313342078669</c:v>
                </c:pt>
                <c:pt idx="5">
                  <c:v>109.44280620157558</c:v>
                </c:pt>
                <c:pt idx="6">
                  <c:v>128.58818444799903</c:v>
                </c:pt>
                <c:pt idx="7">
                  <c:v>163.60667876955034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E27-446B-A00E-9A321EFBA0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logBase val="10"/>
          <c:orientation val="minMax"/>
          <c:max val="1000"/>
          <c:min val="1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Return period (years, logarithmic scale)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rgbClr val="E4E9F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US$m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t copula</c:v>
          </c:tx>
          <c:spPr>
            <a:solidFill>
              <a:srgbClr val="0E4F92"/>
            </a:solidFill>
            <a:ln>
              <a:noFill/>
              <a:prstDash val="solid"/>
            </a:ln>
          </c:spPr>
          <c:invertIfNegative val="1"/>
          <c:cat>
            <c:numRef>
              <c:f>Results!$E$225:$E$248</c:f>
              <c:numCache>
                <c:formatCode>#,##0.00</c:formatCode>
                <c:ptCount val="24"/>
                <c:pt idx="0">
                  <c:v>-86.319852540115505</c:v>
                </c:pt>
                <c:pt idx="1">
                  <c:v>-77.174829689557441</c:v>
                </c:pt>
                <c:pt idx="2">
                  <c:v>-68.029806838999377</c:v>
                </c:pt>
                <c:pt idx="3">
                  <c:v>-58.884783988441313</c:v>
                </c:pt>
                <c:pt idx="4">
                  <c:v>-49.739761137883242</c:v>
                </c:pt>
                <c:pt idx="5">
                  <c:v>-40.594738287325178</c:v>
                </c:pt>
                <c:pt idx="6">
                  <c:v>-31.449715436767111</c:v>
                </c:pt>
                <c:pt idx="7">
                  <c:v>-22.304692586209043</c:v>
                </c:pt>
                <c:pt idx="8">
                  <c:v>-13.159669735650979</c:v>
                </c:pt>
                <c:pt idx="9">
                  <c:v>-4.0146468850929153</c:v>
                </c:pt>
                <c:pt idx="10">
                  <c:v>5.1303759654651486</c:v>
                </c:pt>
                <c:pt idx="11">
                  <c:v>14.275398816023213</c:v>
                </c:pt>
                <c:pt idx="12">
                  <c:v>23.420421666581277</c:v>
                </c:pt>
                <c:pt idx="13">
                  <c:v>32.565444517139348</c:v>
                </c:pt>
                <c:pt idx="14">
                  <c:v>41.710467367697419</c:v>
                </c:pt>
                <c:pt idx="15">
                  <c:v>50.855490218255483</c:v>
                </c:pt>
                <c:pt idx="16">
                  <c:v>60.000513068813547</c:v>
                </c:pt>
                <c:pt idx="17">
                  <c:v>69.145535919371611</c:v>
                </c:pt>
                <c:pt idx="18">
                  <c:v>78.290558769929675</c:v>
                </c:pt>
                <c:pt idx="19">
                  <c:v>87.435581620487739</c:v>
                </c:pt>
                <c:pt idx="20">
                  <c:v>96.580604471045802</c:v>
                </c:pt>
                <c:pt idx="21">
                  <c:v>105.72562732160387</c:v>
                </c:pt>
                <c:pt idx="22">
                  <c:v>114.87065017216193</c:v>
                </c:pt>
                <c:pt idx="23">
                  <c:v>124.01567302271999</c:v>
                </c:pt>
              </c:numCache>
            </c:numRef>
          </c:cat>
          <c:val>
            <c:numRef>
              <c:f>Results!$F$225:$F$248</c:f>
              <c:numCache>
                <c:formatCode>0.0%</c:formatCode>
                <c:ptCount val="24"/>
                <c:pt idx="0">
                  <c:v>5.0858650370670952E-3</c:v>
                </c:pt>
                <c:pt idx="1">
                  <c:v>9.6669652965793544E-3</c:v>
                </c:pt>
                <c:pt idx="2">
                  <c:v>1.6858043593435651E-2</c:v>
                </c:pt>
                <c:pt idx="3">
                  <c:v>2.7384514138861983E-2</c:v>
                </c:pt>
                <c:pt idx="4">
                  <c:v>4.155977583341032E-2</c:v>
                </c:pt>
                <c:pt idx="5">
                  <c:v>5.6690096927156736E-2</c:v>
                </c:pt>
                <c:pt idx="6">
                  <c:v>7.408036455450473E-2</c:v>
                </c:pt>
                <c:pt idx="7">
                  <c:v>8.8462474964908167E-2</c:v>
                </c:pt>
                <c:pt idx="8">
                  <c:v>0.10063286918876679</c:v>
                </c:pt>
                <c:pt idx="9">
                  <c:v>0.10522220223025319</c:v>
                </c:pt>
                <c:pt idx="10">
                  <c:v>9.7500611645362389E-2</c:v>
                </c:pt>
                <c:pt idx="11">
                  <c:v>8.7886634578550948E-2</c:v>
                </c:pt>
                <c:pt idx="12">
                  <c:v>7.3728102961129305E-2</c:v>
                </c:pt>
                <c:pt idx="13">
                  <c:v>5.5687061876961708E-2</c:v>
                </c:pt>
                <c:pt idx="14">
                  <c:v>4.4050177175151917E-2</c:v>
                </c:pt>
                <c:pt idx="15">
                  <c:v>3.2105570723490184E-2</c:v>
                </c:pt>
                <c:pt idx="16">
                  <c:v>2.3614719828391917E-2</c:v>
                </c:pt>
                <c:pt idx="17">
                  <c:v>1.578776296359119E-2</c:v>
                </c:pt>
                <c:pt idx="18">
                  <c:v>1.1264050763373001E-2</c:v>
                </c:pt>
                <c:pt idx="19">
                  <c:v>8.1518296517240074E-3</c:v>
                </c:pt>
                <c:pt idx="20">
                  <c:v>5.0251539625633113E-3</c:v>
                </c:pt>
                <c:pt idx="21">
                  <c:v>4.7785304403357154E-3</c:v>
                </c:pt>
                <c:pt idx="22">
                  <c:v>2.3883108322151347E-3</c:v>
                </c:pt>
                <c:pt idx="23">
                  <c:v>2.3883108322152458E-3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C06-4646-BC39-90C41D0312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US$m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4E9F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Probability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between"/>
      </c:valAx>
    </c:plotArea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664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25</xdr:row>
      <xdr:rowOff>0</xdr:rowOff>
    </xdr:from>
    <xdr:ext cx="6263999" cy="2376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E4F92"/>
    <pageSetUpPr fitToPage="1"/>
  </sheetPr>
  <dimension ref="A1:D77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x14ac:dyDescent="0.45">
      <c r="B8" s="9" t="s">
        <v>7</v>
      </c>
      <c r="C8" s="10" t="s">
        <v>8</v>
      </c>
    </row>
    <row r="9" spans="1:4" ht="39.4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39.4" x14ac:dyDescent="0.45">
      <c r="B11" s="9" t="s">
        <v>13</v>
      </c>
      <c r="C11" s="10" t="s">
        <v>14</v>
      </c>
    </row>
    <row r="12" spans="1:4" ht="39.4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70.05" customHeight="1" x14ac:dyDescent="0.45">
      <c r="B16" s="80" t="s">
        <v>20</v>
      </c>
      <c r="C16" s="79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ht="26.25" x14ac:dyDescent="0.45">
      <c r="B28" s="9" t="s">
        <v>23</v>
      </c>
      <c r="C28" s="10" t="s">
        <v>24</v>
      </c>
    </row>
    <row r="29" spans="2:3" ht="39.4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x14ac:dyDescent="0.45">
      <c r="B33" s="9" t="s">
        <v>30</v>
      </c>
      <c r="C33" s="10" t="s">
        <v>31</v>
      </c>
    </row>
    <row r="34" spans="2:3" x14ac:dyDescent="0.45">
      <c r="B34" s="9" t="s">
        <v>32</v>
      </c>
      <c r="C34" s="10" t="s">
        <v>33</v>
      </c>
    </row>
    <row r="35" spans="2:3" ht="26.25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ht="12" customHeight="1" x14ac:dyDescent="0.45"/>
    <row r="43" spans="2:3" ht="22.05" customHeight="1" x14ac:dyDescent="0.5">
      <c r="B43" s="7" t="s">
        <v>45</v>
      </c>
      <c r="C43" s="8"/>
    </row>
    <row r="44" spans="2:3" x14ac:dyDescent="0.45">
      <c r="B44" s="15" t="s">
        <v>46</v>
      </c>
      <c r="C44" s="12" t="s">
        <v>47</v>
      </c>
    </row>
    <row r="45" spans="2:3" x14ac:dyDescent="0.45">
      <c r="B45" s="16" t="s">
        <v>48</v>
      </c>
      <c r="C45" s="12" t="s">
        <v>49</v>
      </c>
    </row>
    <row r="46" spans="2:3" x14ac:dyDescent="0.45">
      <c r="B46" s="17" t="s">
        <v>50</v>
      </c>
      <c r="C46" s="12" t="s">
        <v>51</v>
      </c>
    </row>
    <row r="47" spans="2:3" x14ac:dyDescent="0.45">
      <c r="B47" s="18" t="s">
        <v>52</v>
      </c>
      <c r="C47" s="12" t="s">
        <v>53</v>
      </c>
    </row>
    <row r="48" spans="2:3" x14ac:dyDescent="0.45">
      <c r="B48" s="19" t="s">
        <v>54</v>
      </c>
      <c r="C48" s="12" t="s">
        <v>55</v>
      </c>
    </row>
    <row r="49" spans="2:3" ht="12" customHeight="1" x14ac:dyDescent="0.45"/>
    <row r="50" spans="2:3" ht="22.05" customHeight="1" x14ac:dyDescent="0.5">
      <c r="B50" s="7" t="s">
        <v>56</v>
      </c>
      <c r="C50" s="8"/>
    </row>
    <row r="51" spans="2:3" x14ac:dyDescent="0.45">
      <c r="B51" s="9" t="s">
        <v>57</v>
      </c>
      <c r="C51" s="10" t="s">
        <v>58</v>
      </c>
    </row>
    <row r="52" spans="2:3" x14ac:dyDescent="0.45">
      <c r="B52" s="9" t="s">
        <v>59</v>
      </c>
      <c r="C52" s="10" t="s">
        <v>60</v>
      </c>
    </row>
    <row r="53" spans="2:3" x14ac:dyDescent="0.45">
      <c r="B53" s="9" t="s">
        <v>41</v>
      </c>
      <c r="C53" s="10" t="s">
        <v>61</v>
      </c>
    </row>
    <row r="54" spans="2:3" x14ac:dyDescent="0.45">
      <c r="B54" s="9" t="s">
        <v>62</v>
      </c>
      <c r="C54" s="10" t="s">
        <v>63</v>
      </c>
    </row>
    <row r="55" spans="2:3" x14ac:dyDescent="0.45">
      <c r="B55" s="9" t="s">
        <v>64</v>
      </c>
      <c r="C55" s="10" t="s">
        <v>65</v>
      </c>
    </row>
    <row r="56" spans="2:3" ht="12" customHeight="1" x14ac:dyDescent="0.45"/>
    <row r="57" spans="2:3" ht="22.05" customHeight="1" x14ac:dyDescent="0.5">
      <c r="B57" s="7" t="s">
        <v>66</v>
      </c>
      <c r="C57" s="8"/>
    </row>
    <row r="58" spans="2:3" x14ac:dyDescent="0.45">
      <c r="B58" s="9" t="s">
        <v>67</v>
      </c>
      <c r="C58" s="10" t="s">
        <v>68</v>
      </c>
    </row>
    <row r="59" spans="2:3" x14ac:dyDescent="0.45">
      <c r="B59" s="9" t="s">
        <v>69</v>
      </c>
      <c r="C59" s="10" t="s">
        <v>70</v>
      </c>
    </row>
    <row r="60" spans="2:3" x14ac:dyDescent="0.45">
      <c r="B60" s="9" t="s">
        <v>71</v>
      </c>
      <c r="C60" s="10" t="s">
        <v>72</v>
      </c>
    </row>
    <row r="61" spans="2:3" x14ac:dyDescent="0.45">
      <c r="B61" s="9" t="s">
        <v>73</v>
      </c>
      <c r="C61" s="10" t="s">
        <v>74</v>
      </c>
    </row>
    <row r="62" spans="2:3" x14ac:dyDescent="0.45">
      <c r="B62" s="9" t="s">
        <v>75</v>
      </c>
      <c r="C62" s="10" t="s">
        <v>76</v>
      </c>
    </row>
    <row r="63" spans="2:3" x14ac:dyDescent="0.45">
      <c r="B63" s="9" t="s">
        <v>77</v>
      </c>
      <c r="C63" s="10" t="s">
        <v>78</v>
      </c>
    </row>
    <row r="64" spans="2:3" ht="12" customHeight="1" x14ac:dyDescent="0.45"/>
    <row r="65" spans="2:3" ht="22.05" customHeight="1" x14ac:dyDescent="0.5">
      <c r="B65" s="7" t="s">
        <v>79</v>
      </c>
      <c r="C65" s="8"/>
    </row>
    <row r="66" spans="2:3" ht="26.25" x14ac:dyDescent="0.45">
      <c r="B66" s="20" t="s">
        <v>80</v>
      </c>
      <c r="C66" s="10" t="s">
        <v>81</v>
      </c>
    </row>
    <row r="67" spans="2:3" x14ac:dyDescent="0.45">
      <c r="B67" s="20" t="s">
        <v>82</v>
      </c>
      <c r="C67" s="10" t="s">
        <v>83</v>
      </c>
    </row>
    <row r="68" spans="2:3" ht="39.4" x14ac:dyDescent="0.45">
      <c r="B68" s="20" t="s">
        <v>84</v>
      </c>
      <c r="C68" s="10" t="s">
        <v>85</v>
      </c>
    </row>
    <row r="69" spans="2:3" ht="26.25" x14ac:dyDescent="0.45">
      <c r="B69" s="20" t="s">
        <v>86</v>
      </c>
      <c r="C69" s="10" t="s">
        <v>87</v>
      </c>
    </row>
    <row r="70" spans="2:3" ht="39.4" x14ac:dyDescent="0.45">
      <c r="B70" s="20" t="s">
        <v>88</v>
      </c>
      <c r="C70" s="10" t="s">
        <v>89</v>
      </c>
    </row>
    <row r="71" spans="2:3" ht="12" customHeight="1" x14ac:dyDescent="0.45"/>
    <row r="72" spans="2:3" ht="22.05" customHeight="1" x14ac:dyDescent="0.5">
      <c r="B72" s="7" t="s">
        <v>90</v>
      </c>
      <c r="C72" s="8"/>
    </row>
    <row r="73" spans="2:3" ht="26.25" x14ac:dyDescent="0.45">
      <c r="B73" s="9" t="s">
        <v>91</v>
      </c>
      <c r="C73" s="10" t="s">
        <v>92</v>
      </c>
    </row>
    <row r="74" spans="2:3" ht="26.25" x14ac:dyDescent="0.45">
      <c r="B74" s="9" t="s">
        <v>93</v>
      </c>
      <c r="C74" s="10" t="s">
        <v>94</v>
      </c>
    </row>
    <row r="75" spans="2:3" x14ac:dyDescent="0.45">
      <c r="B75" s="9" t="s">
        <v>95</v>
      </c>
      <c r="C75" s="10" t="s">
        <v>96</v>
      </c>
    </row>
    <row r="76" spans="2:3" ht="16.05" customHeight="1" x14ac:dyDescent="0.45"/>
    <row r="77" spans="2:3" x14ac:dyDescent="0.45">
      <c r="B77" s="78" t="s">
        <v>97</v>
      </c>
      <c r="C77" s="79"/>
    </row>
  </sheetData>
  <mergeCells count="2">
    <mergeCell ref="B77:C77"/>
    <mergeCell ref="B16:C16"/>
  </mergeCells>
  <hyperlinks>
    <hyperlink ref="D4" location="'Inputs'!A1" display="Next:  Inputs  ▸" xr:uid="{00000000-0004-0000-0000-000000000000}"/>
    <hyperlink ref="B39" location="'Inputs'!A1" display="Inputs" xr:uid="{00000000-0004-0000-0000-000001000000}"/>
    <hyperlink ref="B40" location="'Capital'!A1" display="Capital" xr:uid="{00000000-0004-0000-0000-000002000000}"/>
    <hyperlink ref="B41" location="'Results'!A1" display="Results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48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98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99</v>
      </c>
      <c r="C4" s="5"/>
      <c r="D4" s="5"/>
      <c r="E4" s="5"/>
      <c r="F4" s="5"/>
      <c r="G4" s="5"/>
      <c r="H4" s="5"/>
      <c r="I4" s="5"/>
      <c r="J4" s="6" t="s">
        <v>100</v>
      </c>
    </row>
    <row r="5" spans="1:10" ht="8" customHeight="1" x14ac:dyDescent="0.45"/>
    <row r="6" spans="1:10" ht="20" customHeight="1" x14ac:dyDescent="0.45">
      <c r="B6" s="81" t="s">
        <v>101</v>
      </c>
      <c r="C6" s="79"/>
      <c r="D6" s="79"/>
      <c r="E6" s="79"/>
      <c r="F6" s="79"/>
      <c r="G6" s="79"/>
      <c r="H6" s="79"/>
      <c r="I6" s="79"/>
      <c r="J6" s="79"/>
    </row>
    <row r="7" spans="1:10" ht="6" customHeight="1" x14ac:dyDescent="0.45"/>
    <row r="8" spans="1:10" ht="22.05" customHeight="1" x14ac:dyDescent="0.5">
      <c r="B8" s="7" t="s">
        <v>102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103</v>
      </c>
    </row>
    <row r="10" spans="1:10" ht="18" customHeight="1" x14ac:dyDescent="0.45">
      <c r="B10" s="23" t="s">
        <v>104</v>
      </c>
      <c r="C10" s="23" t="s">
        <v>105</v>
      </c>
      <c r="D10" s="24" t="s">
        <v>106</v>
      </c>
      <c r="E10" s="23" t="s">
        <v>107</v>
      </c>
      <c r="F10" s="5"/>
      <c r="G10" s="5"/>
      <c r="H10" s="5"/>
      <c r="I10" s="5"/>
      <c r="J10" s="23" t="s">
        <v>108</v>
      </c>
    </row>
    <row r="11" spans="1:10" x14ac:dyDescent="0.45">
      <c r="B11" s="25" t="s">
        <v>109</v>
      </c>
      <c r="C11" s="26" t="s">
        <v>110</v>
      </c>
      <c r="D11" s="27">
        <v>120</v>
      </c>
      <c r="E11" s="26" t="s">
        <v>111</v>
      </c>
      <c r="F11" s="28"/>
      <c r="G11" s="28"/>
      <c r="H11" s="28"/>
      <c r="I11" s="28"/>
      <c r="J11" s="29" t="s">
        <v>112</v>
      </c>
    </row>
    <row r="12" spans="1:10" x14ac:dyDescent="0.45">
      <c r="B12" s="25" t="s">
        <v>113</v>
      </c>
      <c r="C12" s="26" t="s">
        <v>114</v>
      </c>
      <c r="D12" s="30">
        <v>0.72</v>
      </c>
      <c r="E12" s="26" t="s">
        <v>111</v>
      </c>
      <c r="F12" s="28"/>
      <c r="G12" s="28"/>
      <c r="H12" s="28"/>
      <c r="I12" s="28"/>
      <c r="J12" s="29" t="s">
        <v>115</v>
      </c>
    </row>
    <row r="13" spans="1:10" x14ac:dyDescent="0.45">
      <c r="B13" s="25" t="s">
        <v>116</v>
      </c>
      <c r="C13" s="26" t="s">
        <v>117</v>
      </c>
      <c r="D13" s="30">
        <v>0.08</v>
      </c>
      <c r="E13" s="26" t="s">
        <v>111</v>
      </c>
      <c r="F13" s="28"/>
      <c r="G13" s="28"/>
      <c r="H13" s="28"/>
      <c r="I13" s="28"/>
      <c r="J13" s="29" t="s">
        <v>118</v>
      </c>
    </row>
    <row r="14" spans="1:10" x14ac:dyDescent="0.45">
      <c r="B14" s="25" t="s">
        <v>119</v>
      </c>
      <c r="C14" s="26" t="s">
        <v>110</v>
      </c>
      <c r="D14" s="27">
        <v>80</v>
      </c>
      <c r="E14" s="26" t="s">
        <v>111</v>
      </c>
      <c r="F14" s="28"/>
      <c r="G14" s="28"/>
      <c r="H14" s="28"/>
      <c r="I14" s="28"/>
      <c r="J14" s="29" t="s">
        <v>120</v>
      </c>
    </row>
    <row r="15" spans="1:10" x14ac:dyDescent="0.45">
      <c r="B15" s="25" t="s">
        <v>121</v>
      </c>
      <c r="C15" s="26" t="s">
        <v>114</v>
      </c>
      <c r="D15" s="30">
        <v>0.6</v>
      </c>
      <c r="E15" s="26" t="s">
        <v>111</v>
      </c>
      <c r="F15" s="28"/>
      <c r="G15" s="28"/>
      <c r="H15" s="28"/>
      <c r="I15" s="28"/>
      <c r="J15" s="29" t="s">
        <v>115</v>
      </c>
    </row>
    <row r="16" spans="1:10" x14ac:dyDescent="0.45">
      <c r="B16" s="25" t="s">
        <v>122</v>
      </c>
      <c r="C16" s="26" t="s">
        <v>117</v>
      </c>
      <c r="D16" s="30">
        <v>0.15</v>
      </c>
      <c r="E16" s="26" t="s">
        <v>111</v>
      </c>
      <c r="F16" s="28"/>
      <c r="G16" s="28"/>
      <c r="H16" s="28"/>
      <c r="I16" s="28"/>
      <c r="J16" s="29" t="s">
        <v>118</v>
      </c>
    </row>
    <row r="17" spans="2:10" x14ac:dyDescent="0.45">
      <c r="B17" s="25" t="s">
        <v>123</v>
      </c>
      <c r="C17" s="26" t="s">
        <v>110</v>
      </c>
      <c r="D17" s="27">
        <v>60</v>
      </c>
      <c r="E17" s="26" t="s">
        <v>111</v>
      </c>
      <c r="F17" s="28"/>
      <c r="G17" s="28"/>
      <c r="H17" s="28"/>
      <c r="I17" s="28"/>
      <c r="J17" s="29" t="s">
        <v>124</v>
      </c>
    </row>
    <row r="18" spans="2:10" x14ac:dyDescent="0.45">
      <c r="B18" s="25" t="s">
        <v>125</v>
      </c>
      <c r="C18" s="26" t="s">
        <v>114</v>
      </c>
      <c r="D18" s="30">
        <v>0.75</v>
      </c>
      <c r="E18" s="26" t="s">
        <v>111</v>
      </c>
      <c r="F18" s="28"/>
      <c r="G18" s="28"/>
      <c r="H18" s="28"/>
      <c r="I18" s="28"/>
      <c r="J18" s="29" t="s">
        <v>115</v>
      </c>
    </row>
    <row r="19" spans="2:10" x14ac:dyDescent="0.45">
      <c r="B19" s="25" t="s">
        <v>126</v>
      </c>
      <c r="C19" s="26" t="s">
        <v>117</v>
      </c>
      <c r="D19" s="30">
        <v>0.2</v>
      </c>
      <c r="E19" s="26" t="s">
        <v>111</v>
      </c>
      <c r="F19" s="28"/>
      <c r="G19" s="28"/>
      <c r="H19" s="28"/>
      <c r="I19" s="28"/>
      <c r="J19" s="29" t="s">
        <v>118</v>
      </c>
    </row>
    <row r="20" spans="2:10" ht="8" customHeight="1" x14ac:dyDescent="0.45"/>
    <row r="21" spans="2:10" ht="22.05" customHeight="1" x14ac:dyDescent="0.5">
      <c r="B21" s="7" t="s">
        <v>127</v>
      </c>
      <c r="C21" s="8"/>
      <c r="D21" s="8"/>
      <c r="E21" s="8"/>
      <c r="F21" s="8"/>
      <c r="G21" s="8"/>
      <c r="H21" s="8"/>
      <c r="I21" s="8"/>
      <c r="J21" s="8"/>
    </row>
    <row r="22" spans="2:10" ht="18" customHeight="1" x14ac:dyDescent="0.45">
      <c r="B22" s="13" t="s">
        <v>128</v>
      </c>
    </row>
    <row r="23" spans="2:10" ht="18" customHeight="1" x14ac:dyDescent="0.45">
      <c r="B23" s="23" t="s">
        <v>104</v>
      </c>
      <c r="C23" s="23" t="s">
        <v>105</v>
      </c>
      <c r="D23" s="24" t="s">
        <v>106</v>
      </c>
      <c r="E23" s="23" t="s">
        <v>107</v>
      </c>
      <c r="F23" s="5"/>
      <c r="G23" s="5"/>
      <c r="H23" s="5"/>
      <c r="I23" s="5"/>
      <c r="J23" s="23" t="s">
        <v>108</v>
      </c>
    </row>
    <row r="24" spans="2:10" x14ac:dyDescent="0.45">
      <c r="B24" s="25" t="s">
        <v>129</v>
      </c>
      <c r="C24" s="26" t="s">
        <v>110</v>
      </c>
      <c r="D24" s="27">
        <v>300</v>
      </c>
      <c r="E24" s="26" t="s">
        <v>111</v>
      </c>
      <c r="F24" s="28"/>
      <c r="G24" s="28"/>
      <c r="H24" s="28"/>
      <c r="I24" s="28"/>
      <c r="J24" s="29" t="s">
        <v>130</v>
      </c>
    </row>
    <row r="25" spans="2:10" x14ac:dyDescent="0.45">
      <c r="B25" s="25" t="s">
        <v>131</v>
      </c>
      <c r="C25" s="26" t="s">
        <v>117</v>
      </c>
      <c r="D25" s="30">
        <v>0.08</v>
      </c>
      <c r="E25" s="26" t="s">
        <v>111</v>
      </c>
      <c r="F25" s="28"/>
      <c r="G25" s="28"/>
      <c r="H25" s="28"/>
      <c r="I25" s="28"/>
      <c r="J25" s="29" t="s">
        <v>132</v>
      </c>
    </row>
    <row r="26" spans="2:10" ht="8" customHeight="1" x14ac:dyDescent="0.45"/>
    <row r="27" spans="2:10" ht="22.05" customHeight="1" x14ac:dyDescent="0.5">
      <c r="B27" s="7" t="s">
        <v>133</v>
      </c>
      <c r="C27" s="8"/>
      <c r="D27" s="8"/>
      <c r="E27" s="8"/>
      <c r="F27" s="8"/>
      <c r="G27" s="8"/>
      <c r="H27" s="8"/>
      <c r="I27" s="8"/>
      <c r="J27" s="8"/>
    </row>
    <row r="28" spans="2:10" ht="18" customHeight="1" x14ac:dyDescent="0.45">
      <c r="B28" s="13" t="s">
        <v>134</v>
      </c>
    </row>
    <row r="29" spans="2:10" ht="18" customHeight="1" x14ac:dyDescent="0.45">
      <c r="B29" s="23" t="s">
        <v>104</v>
      </c>
      <c r="C29" s="23" t="s">
        <v>105</v>
      </c>
      <c r="D29" s="24" t="s">
        <v>106</v>
      </c>
      <c r="E29" s="23" t="s">
        <v>107</v>
      </c>
      <c r="F29" s="5"/>
      <c r="G29" s="5"/>
      <c r="H29" s="5"/>
      <c r="I29" s="5"/>
      <c r="J29" s="23" t="s">
        <v>108</v>
      </c>
    </row>
    <row r="30" spans="2:10" x14ac:dyDescent="0.45">
      <c r="B30" s="25" t="s">
        <v>135</v>
      </c>
      <c r="C30" s="26" t="s">
        <v>136</v>
      </c>
      <c r="D30" s="31">
        <v>0.3</v>
      </c>
      <c r="E30" s="26" t="s">
        <v>111</v>
      </c>
      <c r="F30" s="28"/>
      <c r="G30" s="28"/>
      <c r="H30" s="28"/>
      <c r="I30" s="28"/>
      <c r="J30" s="29" t="s">
        <v>137</v>
      </c>
    </row>
    <row r="31" spans="2:10" x14ac:dyDescent="0.45">
      <c r="B31" s="25" t="s">
        <v>138</v>
      </c>
      <c r="C31" s="26" t="s">
        <v>110</v>
      </c>
      <c r="D31" s="27">
        <v>20</v>
      </c>
      <c r="E31" s="26" t="s">
        <v>111</v>
      </c>
      <c r="F31" s="28"/>
      <c r="G31" s="28"/>
      <c r="H31" s="28"/>
      <c r="I31" s="28"/>
      <c r="J31" s="29" t="s">
        <v>139</v>
      </c>
    </row>
    <row r="32" spans="2:10" x14ac:dyDescent="0.45">
      <c r="B32" s="25" t="s">
        <v>140</v>
      </c>
      <c r="C32" s="26" t="s">
        <v>141</v>
      </c>
      <c r="D32" s="31">
        <v>2.5</v>
      </c>
      <c r="E32" s="26" t="s">
        <v>111</v>
      </c>
      <c r="F32" s="28"/>
      <c r="G32" s="28"/>
      <c r="H32" s="28"/>
      <c r="I32" s="28"/>
      <c r="J32" s="29" t="s">
        <v>142</v>
      </c>
    </row>
    <row r="33" spans="2:10" ht="8" customHeight="1" x14ac:dyDescent="0.45"/>
    <row r="34" spans="2:10" ht="22.05" customHeight="1" x14ac:dyDescent="0.5">
      <c r="B34" s="7" t="s">
        <v>143</v>
      </c>
      <c r="C34" s="8"/>
      <c r="D34" s="8"/>
      <c r="E34" s="8"/>
      <c r="F34" s="8"/>
      <c r="G34" s="8"/>
      <c r="H34" s="8"/>
      <c r="I34" s="8"/>
      <c r="J34" s="8"/>
    </row>
    <row r="35" spans="2:10" ht="18" customHeight="1" x14ac:dyDescent="0.45">
      <c r="B35" s="13" t="s">
        <v>144</v>
      </c>
    </row>
    <row r="36" spans="2:10" ht="18" customHeight="1" x14ac:dyDescent="0.45">
      <c r="B36" s="23" t="s">
        <v>104</v>
      </c>
      <c r="C36" s="23" t="s">
        <v>105</v>
      </c>
      <c r="D36" s="24" t="s">
        <v>106</v>
      </c>
      <c r="E36" s="23" t="s">
        <v>107</v>
      </c>
      <c r="F36" s="5"/>
      <c r="G36" s="5"/>
      <c r="H36" s="5"/>
      <c r="I36" s="5"/>
      <c r="J36" s="23" t="s">
        <v>108</v>
      </c>
    </row>
    <row r="37" spans="2:10" x14ac:dyDescent="0.45">
      <c r="B37" s="25" t="s">
        <v>145</v>
      </c>
      <c r="C37" s="26"/>
      <c r="D37" s="32">
        <v>0.25</v>
      </c>
      <c r="E37" s="26" t="s">
        <v>111</v>
      </c>
      <c r="F37" s="28"/>
      <c r="G37" s="28"/>
      <c r="H37" s="28"/>
      <c r="I37" s="28"/>
      <c r="J37" s="29"/>
    </row>
    <row r="38" spans="2:10" x14ac:dyDescent="0.45">
      <c r="B38" s="25" t="s">
        <v>146</v>
      </c>
      <c r="C38" s="26"/>
      <c r="D38" s="32">
        <v>0.5</v>
      </c>
      <c r="E38" s="26" t="s">
        <v>111</v>
      </c>
      <c r="F38" s="28"/>
      <c r="G38" s="28"/>
      <c r="H38" s="28"/>
      <c r="I38" s="28"/>
      <c r="J38" s="29" t="s">
        <v>147</v>
      </c>
    </row>
    <row r="39" spans="2:10" x14ac:dyDescent="0.45">
      <c r="B39" s="25" t="s">
        <v>148</v>
      </c>
      <c r="C39" s="26"/>
      <c r="D39" s="32">
        <v>0.25</v>
      </c>
      <c r="E39" s="26" t="s">
        <v>111</v>
      </c>
      <c r="F39" s="28"/>
      <c r="G39" s="28"/>
      <c r="H39" s="28"/>
      <c r="I39" s="28"/>
      <c r="J39" s="29"/>
    </row>
    <row r="40" spans="2:10" x14ac:dyDescent="0.45">
      <c r="B40" s="25" t="s">
        <v>149</v>
      </c>
      <c r="C40" s="26"/>
      <c r="D40" s="32">
        <v>0.25</v>
      </c>
      <c r="E40" s="26" t="s">
        <v>111</v>
      </c>
      <c r="F40" s="28"/>
      <c r="G40" s="28"/>
      <c r="H40" s="28"/>
      <c r="I40" s="28"/>
      <c r="J40" s="29"/>
    </row>
    <row r="41" spans="2:10" x14ac:dyDescent="0.45">
      <c r="B41" s="25" t="s">
        <v>150</v>
      </c>
      <c r="C41" s="26"/>
      <c r="D41" s="32">
        <v>0.25</v>
      </c>
      <c r="E41" s="26" t="s">
        <v>111</v>
      </c>
      <c r="F41" s="28"/>
      <c r="G41" s="28"/>
      <c r="H41" s="28"/>
      <c r="I41" s="28"/>
      <c r="J41" s="29"/>
    </row>
    <row r="42" spans="2:10" x14ac:dyDescent="0.45">
      <c r="B42" s="25" t="s">
        <v>151</v>
      </c>
      <c r="C42" s="26"/>
      <c r="D42" s="32">
        <v>0.5</v>
      </c>
      <c r="E42" s="26" t="s">
        <v>111</v>
      </c>
      <c r="F42" s="28"/>
      <c r="G42" s="28"/>
      <c r="H42" s="28"/>
      <c r="I42" s="28"/>
      <c r="J42" s="29" t="s">
        <v>152</v>
      </c>
    </row>
    <row r="43" spans="2:10" x14ac:dyDescent="0.45">
      <c r="B43" s="25" t="s">
        <v>153</v>
      </c>
      <c r="C43" s="26"/>
      <c r="D43" s="27">
        <v>4</v>
      </c>
      <c r="E43" s="26" t="s">
        <v>111</v>
      </c>
      <c r="F43" s="28"/>
      <c r="G43" s="28"/>
      <c r="H43" s="28"/>
      <c r="I43" s="28"/>
      <c r="J43" s="29" t="s">
        <v>154</v>
      </c>
    </row>
    <row r="44" spans="2:10" ht="8" customHeight="1" x14ac:dyDescent="0.45"/>
    <row r="45" spans="2:10" ht="22.05" customHeight="1" x14ac:dyDescent="0.5">
      <c r="B45" s="7" t="s">
        <v>155</v>
      </c>
      <c r="C45" s="8"/>
      <c r="D45" s="8"/>
      <c r="E45" s="8"/>
      <c r="F45" s="8"/>
      <c r="G45" s="8"/>
      <c r="H45" s="8"/>
      <c r="I45" s="8"/>
      <c r="J45" s="8"/>
    </row>
    <row r="46" spans="2:10" ht="18" customHeight="1" x14ac:dyDescent="0.45">
      <c r="B46" s="23" t="s">
        <v>104</v>
      </c>
      <c r="C46" s="23" t="s">
        <v>105</v>
      </c>
      <c r="D46" s="24" t="s">
        <v>106</v>
      </c>
      <c r="E46" s="23" t="s">
        <v>107</v>
      </c>
      <c r="F46" s="5"/>
      <c r="G46" s="5"/>
      <c r="H46" s="5"/>
      <c r="I46" s="5"/>
      <c r="J46" s="23" t="s">
        <v>108</v>
      </c>
    </row>
    <row r="47" spans="2:10" x14ac:dyDescent="0.45">
      <c r="B47" s="25" t="s">
        <v>156</v>
      </c>
      <c r="C47" s="26" t="s">
        <v>110</v>
      </c>
      <c r="D47" s="27">
        <v>100</v>
      </c>
      <c r="E47" s="26" t="s">
        <v>111</v>
      </c>
      <c r="F47" s="28"/>
      <c r="G47" s="28"/>
      <c r="H47" s="28"/>
      <c r="I47" s="28"/>
      <c r="J47" s="29" t="s">
        <v>157</v>
      </c>
    </row>
    <row r="48" spans="2:10" ht="8" customHeight="1" x14ac:dyDescent="0.45"/>
  </sheetData>
  <mergeCells count="1">
    <mergeCell ref="B6:J6"/>
  </mergeCells>
  <dataValidations count="4">
    <dataValidation type="decimal" operator="greaterThan" showErrorMessage="1" errorTitle="Positive value" error="Enter a value greater than zero." sqref="D11 D47 D30:D32 D24 D17 D14" xr:uid="{00000000-0002-0000-0100-000000000000}">
      <formula1>0</formula1>
    </dataValidation>
    <dataValidation type="decimal" showErrorMessage="1" errorTitle="Probability" error="Enter a value between 0% and 100%." sqref="D25 D18:D19 D15:D16 D12:D13" xr:uid="{00000000-0002-0000-0100-000001000000}">
      <formula1>0</formula1>
      <formula2>1</formula2>
    </dataValidation>
    <dataValidation type="decimal" showErrorMessage="1" errorTitle="Correlation" error="Enter a correlation between -0.99 and 0.99." sqref="D37:D42" xr:uid="{00000000-0002-0000-0100-00000E000000}">
      <formula1>-0.99</formula1>
      <formula2>0.99</formula2>
    </dataValidation>
    <dataValidation type="whole" showErrorMessage="1" errorTitle="Whole number" error="Enter a whole number from 2 to 30." sqref="D43" xr:uid="{00000000-0002-0000-0100-000014000000}">
      <formula1>2</formula1>
      <formula2>30</formula2>
    </dataValidation>
  </dataValidations>
  <hyperlinks>
    <hyperlink ref="B4" location="'About'!A1" display="◂  About" xr:uid="{00000000-0004-0000-0100-000000000000}"/>
    <hyperlink ref="J4" location="'Capital'!A1" display="Next:  Capital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K60"/>
  <sheetViews>
    <sheetView showGridLines="0" workbookViewId="0"/>
  </sheetViews>
  <sheetFormatPr defaultRowHeight="14.25" x14ac:dyDescent="0.45"/>
  <cols>
    <col min="1" max="1" width="2" customWidth="1"/>
    <col min="2" max="2" width="30" customWidth="1"/>
    <col min="3" max="9" width="11" customWidth="1"/>
    <col min="10" max="10" width="2" customWidth="1"/>
    <col min="11" max="11" width="46" customWidth="1"/>
  </cols>
  <sheetData>
    <row r="1" spans="1:11" ht="6" customHeight="1" x14ac:dyDescent="0.45"/>
    <row r="2" spans="1:11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3" t="s">
        <v>1</v>
      </c>
    </row>
    <row r="3" spans="1:11" ht="20" customHeight="1" x14ac:dyDescent="0.45">
      <c r="A3" s="1"/>
      <c r="B3" s="4" t="s">
        <v>158</v>
      </c>
      <c r="C3" s="1"/>
      <c r="D3" s="1"/>
      <c r="E3" s="1"/>
      <c r="F3" s="1"/>
      <c r="G3" s="1"/>
      <c r="H3" s="1"/>
      <c r="I3" s="1"/>
      <c r="J3" s="1"/>
      <c r="K3" s="1"/>
    </row>
    <row r="4" spans="1:11" ht="20" customHeight="1" x14ac:dyDescent="0.45">
      <c r="A4" s="5"/>
      <c r="B4" s="22" t="s">
        <v>159</v>
      </c>
      <c r="C4" s="5"/>
      <c r="D4" s="5"/>
      <c r="E4" s="5"/>
      <c r="F4" s="5"/>
      <c r="G4" s="5"/>
      <c r="H4" s="5"/>
      <c r="I4" s="5"/>
      <c r="J4" s="5"/>
      <c r="K4" s="6" t="s">
        <v>160</v>
      </c>
    </row>
    <row r="5" spans="1:11" ht="8" customHeight="1" x14ac:dyDescent="0.45"/>
    <row r="6" spans="1:11" ht="22.05" customHeight="1" x14ac:dyDescent="0.5">
      <c r="B6" s="7" t="s">
        <v>161</v>
      </c>
      <c r="C6" s="8"/>
      <c r="D6" s="8"/>
      <c r="E6" s="8"/>
      <c r="F6" s="8"/>
      <c r="G6" s="8"/>
      <c r="H6" s="8"/>
      <c r="I6" s="8"/>
      <c r="J6" s="8"/>
      <c r="K6" s="8"/>
    </row>
    <row r="7" spans="1:11" ht="18" customHeight="1" x14ac:dyDescent="0.45">
      <c r="B7" s="13" t="s">
        <v>162</v>
      </c>
    </row>
    <row r="8" spans="1:11" ht="18" customHeight="1" x14ac:dyDescent="0.45">
      <c r="B8" s="33"/>
      <c r="C8" s="34" t="s">
        <v>163</v>
      </c>
      <c r="D8" s="34" t="s">
        <v>164</v>
      </c>
      <c r="E8" s="34" t="s">
        <v>165</v>
      </c>
      <c r="F8" s="34" t="s">
        <v>69</v>
      </c>
      <c r="G8" s="5"/>
      <c r="H8" s="5"/>
      <c r="I8" s="5"/>
      <c r="J8" s="5"/>
      <c r="K8" s="5"/>
    </row>
    <row r="9" spans="1:11" x14ac:dyDescent="0.45">
      <c r="B9" s="25" t="s">
        <v>163</v>
      </c>
      <c r="C9" s="35">
        <f>1</f>
        <v>1</v>
      </c>
      <c r="D9" s="35">
        <f>C_Mot_Prop</f>
        <v>0.25</v>
      </c>
      <c r="E9" s="35">
        <f>C_Mot_Liab</f>
        <v>0.5</v>
      </c>
      <c r="F9" s="35">
        <f>C_Mot_Res</f>
        <v>0.25</v>
      </c>
      <c r="G9" s="28"/>
      <c r="H9" s="28"/>
      <c r="I9" s="28"/>
      <c r="J9" s="28"/>
      <c r="K9" s="28"/>
    </row>
    <row r="10" spans="1:11" x14ac:dyDescent="0.45">
      <c r="B10" s="25" t="s">
        <v>164</v>
      </c>
      <c r="C10" s="35">
        <f>C_Mot_Prop</f>
        <v>0.25</v>
      </c>
      <c r="D10" s="35">
        <f>1</f>
        <v>1</v>
      </c>
      <c r="E10" s="35">
        <f>C_Prop_Liab</f>
        <v>0.25</v>
      </c>
      <c r="F10" s="35">
        <f>C_Prop_Res</f>
        <v>0.25</v>
      </c>
      <c r="G10" s="28"/>
      <c r="H10" s="28"/>
      <c r="I10" s="28"/>
      <c r="J10" s="28"/>
      <c r="K10" s="28"/>
    </row>
    <row r="11" spans="1:11" x14ac:dyDescent="0.45">
      <c r="B11" s="25" t="s">
        <v>165</v>
      </c>
      <c r="C11" s="35">
        <f>C_Mot_Liab</f>
        <v>0.5</v>
      </c>
      <c r="D11" s="35">
        <f>C_Prop_Liab</f>
        <v>0.25</v>
      </c>
      <c r="E11" s="35">
        <f>1</f>
        <v>1</v>
      </c>
      <c r="F11" s="35">
        <f>C_Liab_Res</f>
        <v>0.5</v>
      </c>
      <c r="G11" s="28"/>
      <c r="H11" s="28"/>
      <c r="I11" s="28"/>
      <c r="J11" s="28"/>
      <c r="K11" s="28"/>
    </row>
    <row r="12" spans="1:11" x14ac:dyDescent="0.45">
      <c r="B12" s="25" t="s">
        <v>69</v>
      </c>
      <c r="C12" s="35">
        <f>C_Mot_Res</f>
        <v>0.25</v>
      </c>
      <c r="D12" s="35">
        <f>C_Prop_Res</f>
        <v>0.25</v>
      </c>
      <c r="E12" s="35">
        <f>C_Liab_Res</f>
        <v>0.5</v>
      </c>
      <c r="F12" s="35">
        <f>1</f>
        <v>1</v>
      </c>
      <c r="G12" s="28"/>
      <c r="H12" s="28"/>
      <c r="I12" s="28"/>
      <c r="J12" s="28"/>
      <c r="K12" s="28"/>
    </row>
    <row r="13" spans="1:11" x14ac:dyDescent="0.45">
      <c r="B13" s="36" t="s">
        <v>166</v>
      </c>
      <c r="C13" s="37">
        <f t="array" ref="C13:F13">_xll.VoseEigenValues(CorrMatrix)</f>
        <v>0.40420383209798116</v>
      </c>
      <c r="D13" s="37">
        <v>0.75</v>
      </c>
      <c r="E13" s="37">
        <v>0.82088423548305378</v>
      </c>
      <c r="F13" s="37">
        <v>2.0249119324189659</v>
      </c>
      <c r="G13" s="28"/>
      <c r="H13" s="28"/>
      <c r="I13" s="28"/>
      <c r="J13" s="28"/>
      <c r="K13" s="26" t="s">
        <v>167</v>
      </c>
    </row>
    <row r="14" spans="1:11" ht="8" customHeight="1" x14ac:dyDescent="0.45"/>
    <row r="15" spans="1:11" ht="22.05" customHeight="1" x14ac:dyDescent="0.5">
      <c r="B15" s="7" t="s">
        <v>168</v>
      </c>
      <c r="C15" s="8"/>
      <c r="D15" s="8"/>
      <c r="E15" s="8"/>
      <c r="F15" s="8"/>
      <c r="G15" s="8"/>
      <c r="H15" s="8"/>
      <c r="I15" s="8"/>
      <c r="J15" s="8"/>
      <c r="K15" s="8"/>
    </row>
    <row r="16" spans="1:11" ht="18" customHeight="1" x14ac:dyDescent="0.45">
      <c r="B16" s="13" t="s">
        <v>169</v>
      </c>
    </row>
    <row r="17" spans="2:11" ht="18" customHeight="1" x14ac:dyDescent="0.45">
      <c r="B17" s="38"/>
      <c r="C17" s="39" t="s">
        <v>170</v>
      </c>
      <c r="D17" s="39" t="s">
        <v>171</v>
      </c>
      <c r="E17" s="39" t="s">
        <v>172</v>
      </c>
      <c r="F17" s="39" t="s">
        <v>173</v>
      </c>
      <c r="G17" s="5"/>
      <c r="H17" s="5"/>
      <c r="I17" s="5"/>
      <c r="J17" s="5"/>
      <c r="K17" s="5"/>
    </row>
    <row r="18" spans="2:11" x14ac:dyDescent="0.45">
      <c r="B18" s="40"/>
      <c r="C18" s="40" t="s">
        <v>110</v>
      </c>
      <c r="D18" s="40" t="s">
        <v>174</v>
      </c>
      <c r="E18" s="40"/>
      <c r="F18" s="40"/>
    </row>
    <row r="19" spans="2:11" x14ac:dyDescent="0.45">
      <c r="B19" s="25" t="s">
        <v>175</v>
      </c>
      <c r="C19" s="41">
        <f t="array" ref="C19:F19">_xll.VoseAggregateMoments(_xll.VosePoissonObject(CatLam),_xll.VosePareto2Object(CatB,CatQ))</f>
        <v>4</v>
      </c>
      <c r="D19" s="42">
        <v>320</v>
      </c>
      <c r="E19" s="35" t="str">
        <v>Undefined</v>
      </c>
      <c r="F19" s="35" t="str">
        <v>Undefined</v>
      </c>
      <c r="G19" s="28"/>
      <c r="H19" s="28"/>
      <c r="I19" s="28"/>
      <c r="J19" s="28"/>
      <c r="K19" s="26" t="s">
        <v>176</v>
      </c>
    </row>
    <row r="20" spans="2:11" ht="8" customHeight="1" x14ac:dyDescent="0.45"/>
    <row r="21" spans="2:11" ht="22.05" customHeight="1" x14ac:dyDescent="0.5">
      <c r="B21" s="7" t="s">
        <v>177</v>
      </c>
      <c r="C21" s="8"/>
      <c r="D21" s="8"/>
      <c r="E21" s="8"/>
      <c r="F21" s="8"/>
      <c r="G21" s="8"/>
      <c r="H21" s="8"/>
      <c r="I21" s="8"/>
      <c r="J21" s="8"/>
      <c r="K21" s="8"/>
    </row>
    <row r="22" spans="2:11" ht="18" customHeight="1" x14ac:dyDescent="0.45">
      <c r="B22" s="13" t="s">
        <v>178</v>
      </c>
    </row>
    <row r="23" spans="2:11" ht="18" customHeight="1" x14ac:dyDescent="0.45">
      <c r="B23" s="38" t="s">
        <v>179</v>
      </c>
      <c r="C23" s="39" t="s">
        <v>180</v>
      </c>
      <c r="D23" s="39" t="s">
        <v>181</v>
      </c>
      <c r="E23" s="39" t="s">
        <v>182</v>
      </c>
      <c r="F23" s="39" t="s">
        <v>183</v>
      </c>
      <c r="G23" s="39" t="s">
        <v>184</v>
      </c>
      <c r="H23" s="39" t="s">
        <v>185</v>
      </c>
      <c r="I23" s="39" t="s">
        <v>186</v>
      </c>
      <c r="J23" s="5"/>
      <c r="K23" s="5"/>
    </row>
    <row r="24" spans="2:11" x14ac:dyDescent="0.45">
      <c r="B24" s="40"/>
      <c r="C24" s="40" t="s">
        <v>187</v>
      </c>
      <c r="D24" s="40"/>
      <c r="E24" s="40" t="s">
        <v>188</v>
      </c>
      <c r="F24" s="40" t="s">
        <v>188</v>
      </c>
      <c r="G24" s="40" t="s">
        <v>189</v>
      </c>
      <c r="H24" s="40" t="s">
        <v>189</v>
      </c>
      <c r="I24" s="40" t="s">
        <v>189</v>
      </c>
    </row>
    <row r="25" spans="2:11" x14ac:dyDescent="0.45">
      <c r="B25" s="25" t="s">
        <v>163</v>
      </c>
      <c r="C25" s="43">
        <f>Prem_Mot*LR_Mot</f>
        <v>86.399999999999991</v>
      </c>
      <c r="D25" s="43">
        <f>C25*CV_Mot</f>
        <v>6.911999999999999</v>
      </c>
      <c r="E25" s="44">
        <f t="array" aca="1" ref="E25:E28" ca="1">_xll.VoseCopulaMultiNormal(CorrMatrix)</f>
        <v>0.57944860653888763</v>
      </c>
      <c r="F25" s="44">
        <f t="array" aca="1" ref="F25:F28" ca="1">_xll.VoseCopulaMultiT(NuCop,CorrMatrix)</f>
        <v>0.35021316893508647</v>
      </c>
      <c r="G25" s="45" cm="1">
        <f t="array" aca="1" ref="G25" ca="1">_xll.VoseLognormal(C25,D25)-C25</f>
        <v>-3.8189002391088565</v>
      </c>
      <c r="H25" s="45" cm="1">
        <f t="array" aca="1" ref="H25" ca="1">_xll.VoseLognormal(C25,D25,E25)-C25</f>
        <v>1.1150646300113749</v>
      </c>
      <c r="I25" s="45" cm="1">
        <f t="array" aca="1" ref="I25" ca="1">_xll.VoseLognormal(C25,D25,F25)-C25</f>
        <v>-2.8815681501165926</v>
      </c>
      <c r="J25" s="28"/>
      <c r="K25" s="26" t="s">
        <v>190</v>
      </c>
    </row>
    <row r="26" spans="2:11" x14ac:dyDescent="0.45">
      <c r="B26" s="25" t="s">
        <v>164</v>
      </c>
      <c r="C26" s="43">
        <f>Prem_Prop*LR_Prop</f>
        <v>48</v>
      </c>
      <c r="D26" s="43">
        <f>C26*CV_Prop</f>
        <v>7.1999999999999993</v>
      </c>
      <c r="E26" s="44">
        <f ca="1"/>
        <v>0.64779981271838494</v>
      </c>
      <c r="F26" s="44">
        <f ca="1"/>
        <v>5.9346030441843944E-2</v>
      </c>
      <c r="G26" s="45" cm="1">
        <f t="array" aca="1" ref="G26" ca="1">_xll.VoseLognormal(C26,D26)-C26</f>
        <v>-4.3568363934822329</v>
      </c>
      <c r="H26" s="45" cm="1">
        <f t="array" aca="1" ref="H26" ca="1">_xll.VoseLognormal(C26,D26,E26)-C26</f>
        <v>2.2327657330512096</v>
      </c>
      <c r="I26" s="45" cm="1">
        <f t="array" aca="1" ref="I26" ca="1">_xll.VoseLognormal(C26,D26,F26)-C26</f>
        <v>-10.38761687945712</v>
      </c>
      <c r="J26" s="28"/>
      <c r="K26" s="26" t="s">
        <v>191</v>
      </c>
    </row>
    <row r="27" spans="2:11" x14ac:dyDescent="0.45">
      <c r="B27" s="25" t="s">
        <v>165</v>
      </c>
      <c r="C27" s="43">
        <f>Prem_Liab*LR_Liab</f>
        <v>45</v>
      </c>
      <c r="D27" s="43">
        <f>C27*CV_Liab</f>
        <v>9</v>
      </c>
      <c r="E27" s="44">
        <f ca="1"/>
        <v>0.88296901487288926</v>
      </c>
      <c r="F27" s="44">
        <f ca="1"/>
        <v>0.14610942471006061</v>
      </c>
      <c r="G27" s="45" cm="1">
        <f t="array" aca="1" ref="G27" ca="1">_xll.VoseLognormal(C27,D27)-C27</f>
        <v>1.9321135249931984</v>
      </c>
      <c r="H27" s="45" cm="1">
        <f t="array" aca="1" ref="H27" ca="1">_xll.VoseLognormal(C27,D27,E27)-C27</f>
        <v>10.852512019981056</v>
      </c>
      <c r="I27" s="45" cm="1">
        <f t="array" aca="1" ref="I27" ca="1">_xll.VoseLognormal(C27,D27,F27)-C27</f>
        <v>-9.1816292982555439</v>
      </c>
      <c r="J27" s="28"/>
      <c r="K27" s="26" t="s">
        <v>192</v>
      </c>
    </row>
    <row r="28" spans="2:11" x14ac:dyDescent="0.45">
      <c r="B28" s="25" t="s">
        <v>69</v>
      </c>
      <c r="C28" s="43">
        <f>ResAmt</f>
        <v>300</v>
      </c>
      <c r="D28" s="43">
        <f>ResAmt*ResCV</f>
        <v>24</v>
      </c>
      <c r="E28" s="44">
        <f ca="1"/>
        <v>0.58880730890242394</v>
      </c>
      <c r="F28" s="44">
        <f ca="1"/>
        <v>0.5021677851717774</v>
      </c>
      <c r="G28" s="45" cm="1">
        <f t="array" aca="1" ref="G28" ca="1">_xll.VoseLognormal(C28,D28)-C28</f>
        <v>-36.639511001811172</v>
      </c>
      <c r="H28" s="45" cm="1">
        <f t="array" aca="1" ref="H28" ca="1">_xll.VoseLognormal(C28,D28,E28)-C28</f>
        <v>4.4546907766397226</v>
      </c>
      <c r="I28" s="45" cm="1">
        <f t="array" aca="1" ref="I28" ca="1">_xll.VoseLognormal(C28,D28,F28)-C28</f>
        <v>-0.8255982748404449</v>
      </c>
      <c r="J28" s="28"/>
      <c r="K28" s="28"/>
    </row>
    <row r="29" spans="2:11" x14ac:dyDescent="0.45">
      <c r="B29" s="25" t="s">
        <v>193</v>
      </c>
      <c r="C29" s="43">
        <f>INDEX(CatMoments,1)</f>
        <v>4</v>
      </c>
      <c r="D29" s="43">
        <f>SQRT(INDEX(CatMoments,2))</f>
        <v>17.888543819998318</v>
      </c>
      <c r="E29" s="46" t="s">
        <v>194</v>
      </c>
      <c r="F29" s="46" t="s">
        <v>194</v>
      </c>
      <c r="G29" s="45" cm="1">
        <f t="array" aca="1" ref="G29" ca="1">_xll.VoseAggregateMC(_xll.VosePoissonObject(CatLam),_xll.VosePareto2Object(CatB,CatQ))-C29</f>
        <v>2.8676821588533663</v>
      </c>
      <c r="H29" s="43">
        <f ca="1">G29</f>
        <v>2.8676821588533663</v>
      </c>
      <c r="I29" s="43">
        <f ca="1">G29</f>
        <v>2.8676821588533663</v>
      </c>
      <c r="J29" s="28"/>
      <c r="K29" s="26" t="s">
        <v>195</v>
      </c>
    </row>
    <row r="30" spans="2:11" x14ac:dyDescent="0.45">
      <c r="B30" s="47" t="s">
        <v>196</v>
      </c>
      <c r="C30" s="48">
        <f>SUM(C25:C29)</f>
        <v>483.4</v>
      </c>
      <c r="D30" s="49"/>
      <c r="E30" s="49"/>
      <c r="F30" s="49"/>
      <c r="G30" s="48">
        <f ca="1">SUM(G25:G29)</f>
        <v>-40.0154519505557</v>
      </c>
      <c r="H30" s="48">
        <f ca="1">SUM(H25:H29)</f>
        <v>21.522715318536729</v>
      </c>
      <c r="I30" s="48">
        <f ca="1">SUM(I25:I29)</f>
        <v>-20.408730443816335</v>
      </c>
    </row>
    <row r="31" spans="2:11" ht="8" customHeight="1" x14ac:dyDescent="0.45"/>
    <row r="32" spans="2:11" ht="22.05" customHeight="1" x14ac:dyDescent="0.5">
      <c r="B32" s="7" t="s">
        <v>197</v>
      </c>
      <c r="C32" s="8"/>
      <c r="D32" s="8"/>
      <c r="E32" s="8"/>
      <c r="F32" s="8"/>
      <c r="G32" s="8"/>
      <c r="H32" s="8"/>
      <c r="I32" s="8"/>
      <c r="J32" s="8"/>
      <c r="K32" s="8"/>
    </row>
    <row r="33" spans="2:11" ht="18" customHeight="1" x14ac:dyDescent="0.45">
      <c r="B33" s="13" t="s">
        <v>198</v>
      </c>
    </row>
    <row r="34" spans="2:11" ht="18" customHeight="1" x14ac:dyDescent="0.45">
      <c r="B34" s="33"/>
      <c r="C34" s="34" t="s">
        <v>199</v>
      </c>
      <c r="D34" s="34" t="s">
        <v>200</v>
      </c>
      <c r="E34" s="34" t="s">
        <v>163</v>
      </c>
      <c r="F34" s="34" t="s">
        <v>164</v>
      </c>
      <c r="G34" s="34" t="s">
        <v>165</v>
      </c>
      <c r="H34" s="34" t="s">
        <v>69</v>
      </c>
      <c r="I34" s="34" t="s">
        <v>193</v>
      </c>
      <c r="J34" s="5"/>
      <c r="K34" s="5"/>
    </row>
    <row r="35" spans="2:11" x14ac:dyDescent="0.45">
      <c r="B35" s="25" t="s">
        <v>201</v>
      </c>
      <c r="C35" s="42">
        <f>BadYear</f>
        <v>100</v>
      </c>
      <c r="D35" s="50">
        <f ca="1">IF(Tot_T&gt;BadYear,1,0)</f>
        <v>0</v>
      </c>
      <c r="E35" s="43">
        <f ca="1">Loss_Mot*D35</f>
        <v>0</v>
      </c>
      <c r="F35" s="43">
        <f ca="1">Loss_Prop*D35</f>
        <v>0</v>
      </c>
      <c r="G35" s="43">
        <f ca="1">Loss_Liab*D35</f>
        <v>0</v>
      </c>
      <c r="H35" s="43">
        <f ca="1">Loss_Res*D35</f>
        <v>0</v>
      </c>
      <c r="I35" s="43">
        <f ca="1">Loss_Cat*D35</f>
        <v>0</v>
      </c>
      <c r="J35" s="28"/>
      <c r="K35" s="28"/>
    </row>
    <row r="36" spans="2:11" ht="8" customHeight="1" x14ac:dyDescent="0.45"/>
    <row r="37" spans="2:11" ht="22.05" customHeight="1" x14ac:dyDescent="0.5">
      <c r="B37" s="7" t="s">
        <v>202</v>
      </c>
      <c r="C37" s="8"/>
      <c r="D37" s="8"/>
      <c r="E37" s="8"/>
      <c r="F37" s="8"/>
      <c r="G37" s="8"/>
      <c r="H37" s="8"/>
      <c r="I37" s="8"/>
      <c r="J37" s="8"/>
      <c r="K37" s="8"/>
    </row>
    <row r="38" spans="2:11" ht="18" customHeight="1" x14ac:dyDescent="0.45">
      <c r="B38" s="13" t="s">
        <v>203</v>
      </c>
    </row>
    <row r="39" spans="2:11" ht="18" customHeight="1" x14ac:dyDescent="0.45">
      <c r="B39" s="33" t="s">
        <v>204</v>
      </c>
      <c r="C39" s="33" t="s">
        <v>105</v>
      </c>
      <c r="D39" s="34" t="s">
        <v>205</v>
      </c>
      <c r="E39" s="5"/>
      <c r="F39" s="5"/>
      <c r="G39" s="5"/>
      <c r="H39" s="5"/>
      <c r="I39" s="5"/>
      <c r="J39" s="5"/>
      <c r="K39" s="33" t="s">
        <v>206</v>
      </c>
    </row>
    <row r="40" spans="2:11" x14ac:dyDescent="0.45">
      <c r="B40" s="25" t="s">
        <v>207</v>
      </c>
      <c r="C40" s="26" t="s">
        <v>110</v>
      </c>
      <c r="D40" s="51" cm="1">
        <f t="array" aca="1" ref="D40" ca="1">_xll.VoseOutput("Total loss, independent risks","US$m")+Tot_I</f>
        <v>-40.0154519505557</v>
      </c>
      <c r="E40" s="28"/>
      <c r="F40" s="28"/>
      <c r="G40" s="28"/>
      <c r="H40" s="28"/>
      <c r="I40" s="28"/>
      <c r="J40" s="28"/>
      <c r="K40" s="26" t="s">
        <v>208</v>
      </c>
    </row>
    <row r="41" spans="2:11" x14ac:dyDescent="0.45">
      <c r="B41" s="25" t="s">
        <v>209</v>
      </c>
      <c r="C41" s="26" t="s">
        <v>110</v>
      </c>
      <c r="D41" s="51" cm="1">
        <f t="array" aca="1" ref="D41" ca="1">_xll.VoseOutput("Total loss, Normal copula","US$m")+Tot_N</f>
        <v>21.522715318536729</v>
      </c>
      <c r="E41" s="28"/>
      <c r="F41" s="28"/>
      <c r="G41" s="28"/>
      <c r="H41" s="28"/>
      <c r="I41" s="28"/>
      <c r="J41" s="28"/>
      <c r="K41" s="26" t="s">
        <v>208</v>
      </c>
    </row>
    <row r="42" spans="2:11" x14ac:dyDescent="0.45">
      <c r="B42" s="25" t="s">
        <v>210</v>
      </c>
      <c r="C42" s="26" t="s">
        <v>110</v>
      </c>
      <c r="D42" s="51" cm="1">
        <f t="array" aca="1" ref="D42" ca="1">_xll.VoseOutput("Total loss, t copula","US$m")+Tot_T</f>
        <v>-20.408730443816335</v>
      </c>
      <c r="E42" s="28"/>
      <c r="F42" s="28"/>
      <c r="G42" s="28"/>
      <c r="H42" s="28"/>
      <c r="I42" s="28"/>
      <c r="J42" s="28"/>
      <c r="K42" s="26" t="s">
        <v>208</v>
      </c>
    </row>
    <row r="43" spans="2:11" x14ac:dyDescent="0.45">
      <c r="B43" s="25" t="s">
        <v>211</v>
      </c>
      <c r="C43" s="26" t="s">
        <v>110</v>
      </c>
      <c r="D43" s="51" cm="1">
        <f t="array" aca="1" ref="D43" ca="1">_xll.VoseOutput("Loss, Motor","US$m")+Loss_Mot</f>
        <v>-2.8815681501165926</v>
      </c>
      <c r="E43" s="28"/>
      <c r="F43" s="28"/>
      <c r="G43" s="28"/>
      <c r="H43" s="28"/>
      <c r="I43" s="28"/>
      <c r="J43" s="28"/>
      <c r="K43" s="26" t="s">
        <v>212</v>
      </c>
    </row>
    <row r="44" spans="2:11" x14ac:dyDescent="0.45">
      <c r="B44" s="25" t="s">
        <v>213</v>
      </c>
      <c r="C44" s="26" t="s">
        <v>110</v>
      </c>
      <c r="D44" s="51" cm="1">
        <f t="array" aca="1" ref="D44" ca="1">_xll.VoseOutput("Loss, Property","US$m")+Loss_Prop</f>
        <v>-10.38761687945712</v>
      </c>
      <c r="E44" s="28"/>
      <c r="F44" s="28"/>
      <c r="G44" s="28"/>
      <c r="H44" s="28"/>
      <c r="I44" s="28"/>
      <c r="J44" s="28"/>
      <c r="K44" s="26" t="s">
        <v>212</v>
      </c>
    </row>
    <row r="45" spans="2:11" x14ac:dyDescent="0.45">
      <c r="B45" s="25" t="s">
        <v>214</v>
      </c>
      <c r="C45" s="26" t="s">
        <v>110</v>
      </c>
      <c r="D45" s="51" cm="1">
        <f t="array" aca="1" ref="D45" ca="1">_xll.VoseOutput("Loss, Liability","US$m")+Loss_Liab</f>
        <v>-9.1816292982555439</v>
      </c>
      <c r="E45" s="28"/>
      <c r="F45" s="28"/>
      <c r="G45" s="28"/>
      <c r="H45" s="28"/>
      <c r="I45" s="28"/>
      <c r="J45" s="28"/>
      <c r="K45" s="26" t="s">
        <v>212</v>
      </c>
    </row>
    <row r="46" spans="2:11" x14ac:dyDescent="0.45">
      <c r="B46" s="25" t="s">
        <v>215</v>
      </c>
      <c r="C46" s="26" t="s">
        <v>110</v>
      </c>
      <c r="D46" s="51" cm="1">
        <f t="array" aca="1" ref="D46" ca="1">_xll.VoseOutput("Loss, Reserves","US$m")+Loss_Res</f>
        <v>-0.8255982748404449</v>
      </c>
      <c r="E46" s="28"/>
      <c r="F46" s="28"/>
      <c r="G46" s="28"/>
      <c r="H46" s="28"/>
      <c r="I46" s="28"/>
      <c r="J46" s="28"/>
      <c r="K46" s="26" t="s">
        <v>212</v>
      </c>
    </row>
    <row r="47" spans="2:11" x14ac:dyDescent="0.45">
      <c r="B47" s="25" t="s">
        <v>216</v>
      </c>
      <c r="C47" s="26" t="s">
        <v>110</v>
      </c>
      <c r="D47" s="51" cm="1">
        <f t="array" aca="1" ref="D47" ca="1">_xll.VoseOutput("Loss, Catastrophe","US$m")+Loss_Cat</f>
        <v>2.8676821588533663</v>
      </c>
      <c r="E47" s="28"/>
      <c r="F47" s="28"/>
      <c r="G47" s="28"/>
      <c r="H47" s="28"/>
      <c r="I47" s="28"/>
      <c r="J47" s="28"/>
      <c r="K47" s="26" t="s">
        <v>212</v>
      </c>
    </row>
    <row r="48" spans="2:11" x14ac:dyDescent="0.45">
      <c r="B48" s="25" t="s">
        <v>217</v>
      </c>
      <c r="C48" s="26" t="s">
        <v>218</v>
      </c>
      <c r="D48" s="52" cm="1">
        <f t="array" aca="1" ref="D48" ca="1">_xll.VoseOutput("Bad year","1 = yes")+IsBad</f>
        <v>0</v>
      </c>
      <c r="E48" s="28"/>
      <c r="F48" s="28"/>
      <c r="G48" s="28"/>
      <c r="H48" s="28"/>
      <c r="I48" s="28"/>
      <c r="J48" s="28"/>
      <c r="K48" s="26" t="s">
        <v>219</v>
      </c>
    </row>
    <row r="49" spans="2:11" x14ac:dyDescent="0.45">
      <c r="B49" s="25" t="s">
        <v>220</v>
      </c>
      <c r="C49" s="26" t="s">
        <v>110</v>
      </c>
      <c r="D49" s="51" cm="1">
        <f t="array" aca="1" ref="D49" ca="1">_xll.VoseOutput("Bad-year loss, Motor","US$m")+Bad_Mot</f>
        <v>0</v>
      </c>
      <c r="E49" s="28"/>
      <c r="F49" s="28"/>
      <c r="G49" s="28"/>
      <c r="H49" s="28"/>
      <c r="I49" s="28"/>
      <c r="J49" s="28"/>
      <c r="K49" s="26" t="s">
        <v>221</v>
      </c>
    </row>
    <row r="50" spans="2:11" x14ac:dyDescent="0.45">
      <c r="B50" s="25" t="s">
        <v>222</v>
      </c>
      <c r="C50" s="26" t="s">
        <v>110</v>
      </c>
      <c r="D50" s="51" cm="1">
        <f t="array" aca="1" ref="D50" ca="1">_xll.VoseOutput("Bad-year loss, Property","US$m")+Bad_Prop</f>
        <v>0</v>
      </c>
      <c r="E50" s="28"/>
      <c r="F50" s="28"/>
      <c r="G50" s="28"/>
      <c r="H50" s="28"/>
      <c r="I50" s="28"/>
      <c r="J50" s="28"/>
      <c r="K50" s="26" t="s">
        <v>221</v>
      </c>
    </row>
    <row r="51" spans="2:11" x14ac:dyDescent="0.45">
      <c r="B51" s="25" t="s">
        <v>223</v>
      </c>
      <c r="C51" s="26" t="s">
        <v>110</v>
      </c>
      <c r="D51" s="51" cm="1">
        <f t="array" aca="1" ref="D51" ca="1">_xll.VoseOutput("Bad-year loss, Liability","US$m")+Bad_Liab</f>
        <v>0</v>
      </c>
      <c r="E51" s="28"/>
      <c r="F51" s="28"/>
      <c r="G51" s="28"/>
      <c r="H51" s="28"/>
      <c r="I51" s="28"/>
      <c r="J51" s="28"/>
      <c r="K51" s="26" t="s">
        <v>221</v>
      </c>
    </row>
    <row r="52" spans="2:11" x14ac:dyDescent="0.45">
      <c r="B52" s="25" t="s">
        <v>224</v>
      </c>
      <c r="C52" s="26" t="s">
        <v>110</v>
      </c>
      <c r="D52" s="51" cm="1">
        <f t="array" aca="1" ref="D52" ca="1">_xll.VoseOutput("Bad-year loss, Reserves","US$m")+Bad_Res</f>
        <v>0</v>
      </c>
      <c r="E52" s="28"/>
      <c r="F52" s="28"/>
      <c r="G52" s="28"/>
      <c r="H52" s="28"/>
      <c r="I52" s="28"/>
      <c r="J52" s="28"/>
      <c r="K52" s="26" t="s">
        <v>221</v>
      </c>
    </row>
    <row r="53" spans="2:11" x14ac:dyDescent="0.45">
      <c r="B53" s="25" t="s">
        <v>225</v>
      </c>
      <c r="C53" s="26" t="s">
        <v>110</v>
      </c>
      <c r="D53" s="51" cm="1">
        <f t="array" aca="1" ref="D53" ca="1">_xll.VoseOutput("Bad-year loss, Catastrophe","US$m")+Bad_Cat</f>
        <v>0</v>
      </c>
      <c r="E53" s="28"/>
      <c r="F53" s="28"/>
      <c r="G53" s="28"/>
      <c r="H53" s="28"/>
      <c r="I53" s="28"/>
      <c r="J53" s="28"/>
      <c r="K53" s="26" t="s">
        <v>221</v>
      </c>
    </row>
    <row r="54" spans="2:11" ht="8" customHeight="1" x14ac:dyDescent="0.45"/>
    <row r="55" spans="2:11" ht="22.05" customHeight="1" x14ac:dyDescent="0.5">
      <c r="B55" s="7" t="s">
        <v>226</v>
      </c>
      <c r="C55" s="8"/>
      <c r="D55" s="8"/>
      <c r="E55" s="8"/>
      <c r="F55" s="8"/>
      <c r="G55" s="8"/>
      <c r="H55" s="8"/>
      <c r="I55" s="8"/>
      <c r="J55" s="8"/>
      <c r="K55" s="8"/>
    </row>
    <row r="56" spans="2:11" ht="18" customHeight="1" x14ac:dyDescent="0.45">
      <c r="B56" s="13" t="s">
        <v>227</v>
      </c>
    </row>
    <row r="57" spans="2:11" x14ac:dyDescent="0.45">
      <c r="B57" s="25" t="s">
        <v>228</v>
      </c>
      <c r="C57" s="28"/>
      <c r="D57" s="28"/>
      <c r="E57" s="53" t="str">
        <f>IF(MIN(CorrEigen)&gt;0,"OK","CHECK")</f>
        <v>OK</v>
      </c>
      <c r="F57" s="28"/>
      <c r="G57" s="28"/>
      <c r="H57" s="28"/>
      <c r="I57" s="28"/>
      <c r="J57" s="28"/>
      <c r="K57" s="28"/>
    </row>
    <row r="58" spans="2:11" x14ac:dyDescent="0.45">
      <c r="B58" s="25" t="s">
        <v>229</v>
      </c>
      <c r="C58" s="28"/>
      <c r="D58" s="28"/>
      <c r="E58" s="53" t="str">
        <f>IF(CatQ&gt;2,"OK","CHECK")</f>
        <v>OK</v>
      </c>
      <c r="F58" s="28"/>
      <c r="G58" s="28"/>
      <c r="H58" s="28"/>
      <c r="I58" s="28"/>
      <c r="J58" s="28"/>
      <c r="K58" s="28"/>
    </row>
    <row r="59" spans="2:11" x14ac:dyDescent="0.45">
      <c r="B59" s="25" t="s">
        <v>230</v>
      </c>
      <c r="C59" s="28"/>
      <c r="D59" s="28"/>
      <c r="E59" s="53" t="str">
        <f>IF(BadYear&gt;0,"OK","CHECK")</f>
        <v>OK</v>
      </c>
      <c r="F59" s="28"/>
      <c r="G59" s="28"/>
      <c r="H59" s="28"/>
      <c r="I59" s="28"/>
      <c r="J59" s="28"/>
      <c r="K59" s="28"/>
    </row>
    <row r="60" spans="2:11" ht="14" customHeight="1" x14ac:dyDescent="0.45"/>
  </sheetData>
  <conditionalFormatting sqref="E57:E59">
    <cfRule type="expression" dxfId="5" priority="1">
      <formula>E57="CHECK"</formula>
    </cfRule>
  </conditionalFormatting>
  <hyperlinks>
    <hyperlink ref="B4" location="'Inputs'!A1" display="◂  Inputs" xr:uid="{00000000-0004-0000-0200-000000000000}"/>
    <hyperlink ref="K4" location="'Results'!A1" display="Next:  Results  ▸" xr:uid="{00000000-0004-0000-0200-000001000000}"/>
  </hyperlinks>
  <printOptions horizontalCentered="1"/>
  <pageMargins left="0.4" right="0.4" top="0.5" bottom="0.6" header="0.25" footer="0.25"/>
  <pageSetup paperSize="9" scale="79" fitToHeight="0" orientation="landscape" r:id="rId1"/>
  <headerFooter>
    <oddFooter>&amp;L&amp;K3F5876&amp;8&amp;F · &amp;A&amp;R&amp;K3F5876&amp;8Page &amp;P of &amp;N</oddFooter>
  </headerFooter>
  <rowBreaks count="1" manualBreakCount="1">
    <brk id="3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249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231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232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54" t="str" cm="1">
        <f t="array" aca="1" ref="B6" ca="1">IF(ISNUMBER(_xll.VoseSimMean(Out_Tot_T)),"✔  Showing results of the last simulation run in this Excel session. Re-run the simulation after changing any input.","▶  No simulation results yet. On the ModelRisk ribbon, start a simulation — this sheet then fills in automatically.")</f>
        <v>✔  Showing results of the last simulation run in this Excel session. Re-run the simulation after changing any input.</v>
      </c>
      <c r="C6" s="55"/>
      <c r="D6" s="55"/>
      <c r="E6" s="55"/>
      <c r="F6" s="55"/>
      <c r="G6" s="55"/>
    </row>
    <row r="7" spans="1:18" x14ac:dyDescent="0.45">
      <c r="B7" s="56" t="str">
        <f>IF(COUNTIF(Checks,"CHECK")=0,"✔  All model checks read OK.","✗  "&amp;COUNTIF(Checks,"CHECK")&amp;" model check(s) read CHECK: see Model checks at the end of the calculation sheet.")</f>
        <v>✔  All model checks read OK.</v>
      </c>
    </row>
    <row r="8" spans="1:18" ht="8" customHeight="1" x14ac:dyDescent="0.45"/>
    <row r="9" spans="1:18" ht="22.05" customHeight="1" x14ac:dyDescent="0.5">
      <c r="B9" s="7" t="s">
        <v>233</v>
      </c>
      <c r="C9" s="8"/>
      <c r="D9" s="8"/>
      <c r="E9" s="8"/>
      <c r="F9" s="8"/>
      <c r="G9" s="8"/>
      <c r="I9" s="57" t="s">
        <v>234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235</v>
      </c>
    </row>
    <row r="11" spans="1:18" ht="18" customHeight="1" x14ac:dyDescent="0.45">
      <c r="B11" s="58" t="s">
        <v>73</v>
      </c>
      <c r="C11" s="59" t="s">
        <v>181</v>
      </c>
      <c r="D11" s="59" t="s">
        <v>41</v>
      </c>
      <c r="E11" s="59" t="s">
        <v>62</v>
      </c>
      <c r="F11" s="59" t="s">
        <v>236</v>
      </c>
      <c r="G11" s="59" t="s">
        <v>237</v>
      </c>
    </row>
    <row r="12" spans="1:18" x14ac:dyDescent="0.45">
      <c r="B12" s="40"/>
      <c r="C12" s="40"/>
      <c r="D12" s="40" t="s">
        <v>238</v>
      </c>
      <c r="E12" s="40" t="s">
        <v>239</v>
      </c>
      <c r="F12" s="40" t="s">
        <v>240</v>
      </c>
      <c r="G12" s="40" t="s">
        <v>241</v>
      </c>
    </row>
    <row r="13" spans="1:18" x14ac:dyDescent="0.45">
      <c r="B13" s="25" t="s">
        <v>184</v>
      </c>
      <c r="C13" s="60" cm="1">
        <f t="array" aca="1" ref="C13" ca="1">_xll.VoseSimStdev(Out_Tot_I)</f>
        <v>32.403509598433757</v>
      </c>
      <c r="D13" s="60" cm="1">
        <f t="array" aca="1" ref="D13" ca="1">_xll.VoseSimPercentile(Out_Tot_I,0.995)</f>
        <v>103.15991807845697</v>
      </c>
      <c r="E13" s="60" cm="1">
        <f t="array" aca="1" ref="E13" ca="1">_xll.VoseSimCVARp(Out_Tot_I,0.005)</f>
        <v>173.59646801803063</v>
      </c>
      <c r="F13" s="61">
        <f ca="1">IFERROR(1-D13/C28,"–")</f>
        <v>0.54563078651073271</v>
      </c>
      <c r="G13" s="61">
        <f ca="1">IFERROR(D13/(Prem_Mot+Prem_Prop+Prem_Liab),"–")</f>
        <v>0.39676891568637296</v>
      </c>
    </row>
    <row r="14" spans="1:18" x14ac:dyDescent="0.45">
      <c r="B14" s="25" t="s">
        <v>242</v>
      </c>
      <c r="C14" s="60" cm="1">
        <f t="array" aca="1" ref="C14" ca="1">_xll.VoseSimStdev(Out_Tot_N)</f>
        <v>39.139001934235843</v>
      </c>
      <c r="D14" s="60" cm="1">
        <f t="array" aca="1" ref="D14" ca="1">_xll.VoseSimPercentile(Out_Tot_N,0.995)</f>
        <v>118.09087294331755</v>
      </c>
      <c r="E14" s="60" cm="1">
        <f t="array" aca="1" ref="E14" ca="1">_xll.VoseSimCVARp(Out_Tot_N,0.005)</f>
        <v>181.13899742260142</v>
      </c>
      <c r="F14" s="61">
        <f ca="1">IFERROR(1-D14/C28,"–")</f>
        <v>0.47986719979063819</v>
      </c>
      <c r="G14" s="61">
        <f ca="1">IFERROR(D14/(Prem_Mot+Prem_Prop+Prem_Liab),"–")</f>
        <v>0.45419566516660598</v>
      </c>
    </row>
    <row r="15" spans="1:18" x14ac:dyDescent="0.45">
      <c r="B15" s="62" t="s">
        <v>186</v>
      </c>
      <c r="C15" s="60" cm="1">
        <f t="array" aca="1" ref="C15" ca="1">_xll.VoseSimStdev(Out_Tot_T)</f>
        <v>40.103540083497428</v>
      </c>
      <c r="D15" s="60" cm="1">
        <f t="array" aca="1" ref="D15" ca="1">_xll.VoseSimPercentile(Out_Tot_T,0.995)</f>
        <v>128.58818444799903</v>
      </c>
      <c r="E15" s="60" cm="1">
        <f t="array" aca="1" ref="E15" ca="1">_xll.VoseSimCVARp(Out_Tot_T,0.005)</f>
        <v>189.3219857524827</v>
      </c>
      <c r="F15" s="61">
        <f ca="1">IFERROR(1-D15/C28,"–")</f>
        <v>0.43363165345658183</v>
      </c>
      <c r="G15" s="61">
        <f ca="1">IFERROR(D15/(Prem_Mot+Prem_Prop+Prem_Liab),"–")</f>
        <v>0.49456994018461164</v>
      </c>
    </row>
    <row r="16" spans="1:18" x14ac:dyDescent="0.45">
      <c r="B16" s="25" t="s">
        <v>243</v>
      </c>
      <c r="C16" s="63" t="s">
        <v>194</v>
      </c>
      <c r="D16" s="64">
        <f ca="1">IFERROR(SQRT(SUM(C42:F46)),"–")</f>
        <v>136.59297124522436</v>
      </c>
      <c r="E16" s="63" t="s">
        <v>194</v>
      </c>
      <c r="F16" s="61">
        <f ca="1">IFERROR(1-D16/C28,"–")</f>
        <v>0.39837446491908823</v>
      </c>
      <c r="G16" s="61">
        <f ca="1">IFERROR(D16/(Prem_Mot+Prem_Prop+Prem_Liab),"–")</f>
        <v>0.52535758171240143</v>
      </c>
    </row>
    <row r="17" spans="2:18" x14ac:dyDescent="0.45">
      <c r="B17" s="36" t="s">
        <v>244</v>
      </c>
      <c r="C17" s="28"/>
      <c r="D17" s="64">
        <f ca="1">IFERROR(C28,"–")</f>
        <v>227.0398500071214</v>
      </c>
      <c r="E17" s="28"/>
      <c r="F17" s="28"/>
      <c r="G17" s="28"/>
    </row>
    <row r="18" spans="2:18" ht="8" customHeight="1" x14ac:dyDescent="0.45"/>
    <row r="19" spans="2:18" ht="22.05" customHeight="1" x14ac:dyDescent="0.5">
      <c r="B19" s="7" t="s">
        <v>245</v>
      </c>
      <c r="C19" s="8"/>
      <c r="D19" s="8"/>
      <c r="E19" s="8"/>
      <c r="F19" s="8"/>
      <c r="G19" s="8"/>
    </row>
    <row r="20" spans="2:18" ht="18" customHeight="1" x14ac:dyDescent="0.45">
      <c r="B20" s="13" t="s">
        <v>246</v>
      </c>
    </row>
    <row r="21" spans="2:18" ht="18" customHeight="1" x14ac:dyDescent="0.45">
      <c r="B21" s="58" t="s">
        <v>179</v>
      </c>
      <c r="C21" s="59" t="s">
        <v>247</v>
      </c>
      <c r="D21" s="59" t="s">
        <v>181</v>
      </c>
      <c r="E21" s="59" t="s">
        <v>248</v>
      </c>
      <c r="F21" s="59" t="s">
        <v>249</v>
      </c>
      <c r="G21" s="59" t="s">
        <v>250</v>
      </c>
    </row>
    <row r="22" spans="2:18" x14ac:dyDescent="0.45">
      <c r="B22" s="40"/>
      <c r="C22" s="40" t="s">
        <v>238</v>
      </c>
      <c r="D22" s="40"/>
      <c r="E22" s="40" t="s">
        <v>251</v>
      </c>
      <c r="F22" s="40" t="s">
        <v>252</v>
      </c>
      <c r="G22" s="40" t="s">
        <v>252</v>
      </c>
    </row>
    <row r="23" spans="2:18" x14ac:dyDescent="0.45">
      <c r="B23" s="25" t="s">
        <v>163</v>
      </c>
      <c r="C23" s="60" cm="1">
        <f t="array" aca="1" ref="C23" ca="1">_xll.VoseSimPercentile(Out_Mot,0.995)</f>
        <v>19.617418431936613</v>
      </c>
      <c r="D23" s="60" cm="1">
        <f t="array" aca="1" ref="D23" ca="1">_xll.VoseSimStdev(Out_Mot)</f>
        <v>6.9216529713539439</v>
      </c>
      <c r="E23" s="65" cm="1">
        <f t="array" aca="1" ref="E23" ca="1">_xll.VoseSimCorrelation(Capital!$D$43,Capital!$D$42,1)</f>
        <v>0.68846302625379641</v>
      </c>
      <c r="F23" s="64">
        <f ca="1">IFERROR(E23*D23/C15*D15,"–")</f>
        <v>15.279487813563598</v>
      </c>
      <c r="G23" s="64">
        <f ca="1">IFERROR(D33/SUM(D33:D37)*D15,"–")</f>
        <v>10.516152560362411</v>
      </c>
    </row>
    <row r="24" spans="2:18" x14ac:dyDescent="0.45">
      <c r="B24" s="25" t="s">
        <v>164</v>
      </c>
      <c r="C24" s="60" cm="1">
        <f t="array" aca="1" ref="C24" ca="1">_xll.VoseSimPercentile(Out_Prop,0.995)</f>
        <v>21.999678702271595</v>
      </c>
      <c r="D24" s="60" cm="1">
        <f t="array" aca="1" ref="D24" ca="1">_xll.VoseSimStdev(Out_Prop)</f>
        <v>7.2085745442482674</v>
      </c>
      <c r="E24" s="65" cm="1">
        <f t="array" aca="1" ref="E24" ca="1">_xll.VoseSimCorrelation(Capital!$D$44,Capital!$D$42,1)</f>
        <v>0.24318291164534458</v>
      </c>
      <c r="F24" s="64">
        <f ca="1">IFERROR(E24*D24/C15*D15,"–")</f>
        <v>5.6208345417971604</v>
      </c>
      <c r="G24" s="64">
        <f ca="1">IFERROR(D34/SUM(D33:D37)*D15,"–")</f>
        <v>5.5543566721097335</v>
      </c>
    </row>
    <row r="25" spans="2:18" x14ac:dyDescent="0.45">
      <c r="B25" s="25" t="s">
        <v>165</v>
      </c>
      <c r="C25" s="60" cm="1">
        <f t="array" aca="1" ref="C25" ca="1">_xll.VoseSimPercentile(Out_Liab,0.995)</f>
        <v>28.450138498685703</v>
      </c>
      <c r="D25" s="60" cm="1">
        <f t="array" aca="1" ref="D25" ca="1">_xll.VoseSimStdev(Out_Liab)</f>
        <v>9.0596821669614798</v>
      </c>
      <c r="E25" s="65" cm="1">
        <f t="array" aca="1" ref="E25" ca="1">_xll.VoseSimCorrelation(Capital!$D$45,Capital!$D$42,1)</f>
        <v>0.69660637444995499</v>
      </c>
      <c r="F25" s="64">
        <f ca="1">IFERROR(E25*D25/C15*D15,"–")</f>
        <v>20.235724575231025</v>
      </c>
      <c r="G25" s="64">
        <f ca="1">IFERROR(D35/SUM(D33:D37)*D15,"–")</f>
        <v>16.314671502374857</v>
      </c>
      <c r="I25" s="57" t="s">
        <v>253</v>
      </c>
      <c r="J25" s="8"/>
      <c r="K25" s="8"/>
      <c r="L25" s="8"/>
      <c r="M25" s="8"/>
      <c r="N25" s="8"/>
      <c r="O25" s="8"/>
      <c r="P25" s="8"/>
      <c r="Q25" s="8"/>
      <c r="R25" s="8"/>
    </row>
    <row r="26" spans="2:18" x14ac:dyDescent="0.45">
      <c r="B26" s="25" t="s">
        <v>69</v>
      </c>
      <c r="C26" s="60" cm="1">
        <f t="array" aca="1" ref="C26" ca="1">_xll.VoseSimPercentile(Out_Res,0.995)</f>
        <v>68.352893482538661</v>
      </c>
      <c r="D26" s="60" cm="1">
        <f t="array" aca="1" ref="D26" ca="1">_xll.VoseSimStdev(Out_Res)</f>
        <v>24.113457429392792</v>
      </c>
      <c r="E26" s="65" cm="1">
        <f t="array" aca="1" ref="E26" ca="1">_xll.VoseSimCorrelation(Capital!$D$46,Capital!$D$42,1)</f>
        <v>0.83597540367972389</v>
      </c>
      <c r="F26" s="64">
        <f ca="1">IFERROR(E26*D26/C15*D15,"–")</f>
        <v>64.63553351045995</v>
      </c>
      <c r="G26" s="64">
        <f ca="1">IFERROR(D36/SUM(D33:D37)*D15,"–")</f>
        <v>42.191263801182771</v>
      </c>
    </row>
    <row r="27" spans="2:18" x14ac:dyDescent="0.45">
      <c r="B27" s="25" t="s">
        <v>193</v>
      </c>
      <c r="C27" s="60" cm="1">
        <f t="array" aca="1" ref="C27" ca="1">_xll.VoseSimPercentile(Out_Cat,0.995)</f>
        <v>88.619720891688814</v>
      </c>
      <c r="D27" s="60" cm="1">
        <f t="array" aca="1" ref="D27" ca="1">_xll.VoseSimStdev(Out_Cat)</f>
        <v>16.741381917224782</v>
      </c>
      <c r="E27" s="65" cm="1">
        <f t="array" aca="1" ref="E27" ca="1">_xll.VoseSimCorrelation(Capital!$D$47,Capital!$D$42,1)</f>
        <v>0.42505129888416116</v>
      </c>
      <c r="F27" s="64">
        <f ca="1">IFERROR(E27*D27/C15*D15,"–")</f>
        <v>22.816604006950254</v>
      </c>
      <c r="G27" s="64">
        <f ca="1">IFERROR(D37/SUM(D33:D37)*D15,"–")</f>
        <v>54.011739911969251</v>
      </c>
    </row>
    <row r="28" spans="2:18" x14ac:dyDescent="0.45">
      <c r="B28" s="47" t="s">
        <v>196</v>
      </c>
      <c r="C28" s="66">
        <f ca="1">IFERROR(SUM(C23:C27),"–")</f>
        <v>227.0398500071214</v>
      </c>
      <c r="D28" s="49"/>
      <c r="E28" s="49"/>
      <c r="F28" s="66">
        <f ca="1">IFERROR(SUM(F23:F27),"–")</f>
        <v>128.58818444800198</v>
      </c>
      <c r="G28" s="66">
        <f ca="1">IFERROR(SUM(G23:G27),"–")</f>
        <v>128.58818444799903</v>
      </c>
    </row>
    <row r="29" spans="2:18" x14ac:dyDescent="0.45">
      <c r="B29" s="36" t="s">
        <v>254</v>
      </c>
      <c r="C29" s="28"/>
      <c r="D29" s="28"/>
      <c r="E29" s="28"/>
      <c r="F29" s="67">
        <f ca="1">IFERROR(F28/D15,"–")</f>
        <v>1.0000000000000231</v>
      </c>
      <c r="G29" s="67">
        <f ca="1">IFERROR(G28/D15,"–")</f>
        <v>1</v>
      </c>
    </row>
    <row r="30" spans="2:18" ht="8" customHeight="1" x14ac:dyDescent="0.45"/>
    <row r="31" spans="2:18" ht="18" customHeight="1" x14ac:dyDescent="0.45">
      <c r="B31" s="58" t="s">
        <v>255</v>
      </c>
      <c r="C31" s="68"/>
      <c r="D31" s="59" t="s">
        <v>256</v>
      </c>
      <c r="E31" s="59" t="s">
        <v>257</v>
      </c>
      <c r="F31" s="5"/>
      <c r="G31" s="5"/>
    </row>
    <row r="32" spans="2:18" x14ac:dyDescent="0.45">
      <c r="B32" s="40"/>
      <c r="C32" s="40"/>
      <c r="D32" s="40" t="s">
        <v>258</v>
      </c>
      <c r="E32" s="40" t="s">
        <v>258</v>
      </c>
    </row>
    <row r="33" spans="2:7" x14ac:dyDescent="0.45">
      <c r="B33" s="36" t="s">
        <v>259</v>
      </c>
      <c r="C33" s="28"/>
      <c r="D33" s="69" cm="1">
        <f t="array" aca="1" ref="D33" ca="1">_xll.VoseSimMean(Out_Bad_Mot)</f>
        <v>0.16079946480162269</v>
      </c>
      <c r="E33" s="64">
        <f ca="1">IFERROR(D33/D$38,"–")</f>
        <v>11.371956492335409</v>
      </c>
      <c r="F33" s="28"/>
      <c r="G33" s="28"/>
    </row>
    <row r="34" spans="2:7" x14ac:dyDescent="0.45">
      <c r="B34" s="36" t="s">
        <v>260</v>
      </c>
      <c r="C34" s="28"/>
      <c r="D34" s="69" cm="1">
        <f t="array" aca="1" ref="D34" ca="1">_xll.VoseSimMean(Out_Bad_Prop)</f>
        <v>8.4930070676132105E-2</v>
      </c>
      <c r="E34" s="64">
        <f ca="1">IFERROR(D34/D$38,"–")</f>
        <v>6.0063699205185364</v>
      </c>
      <c r="F34" s="28"/>
      <c r="G34" s="28"/>
    </row>
    <row r="35" spans="2:7" x14ac:dyDescent="0.45">
      <c r="B35" s="36" t="s">
        <v>261</v>
      </c>
      <c r="C35" s="28"/>
      <c r="D35" s="69" cm="1">
        <f t="array" aca="1" ref="D35" ca="1">_xll.VoseSimMean(Out_Bad_Liab)</f>
        <v>0.2494629505361374</v>
      </c>
      <c r="E35" s="64">
        <f ca="1">IFERROR(D35/D$38,"–")</f>
        <v>17.642358595200665</v>
      </c>
      <c r="F35" s="28"/>
      <c r="G35" s="28"/>
    </row>
    <row r="36" spans="2:7" x14ac:dyDescent="0.45">
      <c r="B36" s="36" t="s">
        <v>262</v>
      </c>
      <c r="C36" s="28"/>
      <c r="D36" s="69" cm="1">
        <f t="array" aca="1" ref="D36" ca="1">_xll.VoseSimMean(Out_Bad_Res)</f>
        <v>0.64513448236818494</v>
      </c>
      <c r="E36" s="64">
        <f ca="1">IFERROR(D36/D$38,"–")</f>
        <v>45.624786588980548</v>
      </c>
      <c r="F36" s="28"/>
      <c r="G36" s="28"/>
    </row>
    <row r="37" spans="2:7" x14ac:dyDescent="0.45">
      <c r="B37" s="36" t="s">
        <v>263</v>
      </c>
      <c r="C37" s="28"/>
      <c r="D37" s="69" cm="1">
        <f t="array" aca="1" ref="D37" ca="1">_xll.VoseSimMean(Out_Bad_Cat)</f>
        <v>0.82587798351128072</v>
      </c>
      <c r="E37" s="64">
        <f ca="1">IFERROR(D37/D$38,"–")</f>
        <v>58.407212412396092</v>
      </c>
      <c r="F37" s="28"/>
      <c r="G37" s="28"/>
    </row>
    <row r="38" spans="2:7" x14ac:dyDescent="0.45">
      <c r="B38" s="36" t="s">
        <v>264</v>
      </c>
      <c r="C38" s="28"/>
      <c r="D38" s="70" cm="1">
        <f t="array" aca="1" ref="D38" ca="1">_xll.VoseSimMean(Out_IsBad)</f>
        <v>1.414E-2</v>
      </c>
      <c r="E38" s="28"/>
      <c r="F38" s="28"/>
      <c r="G38" s="28"/>
    </row>
    <row r="39" spans="2:7" ht="8" customHeight="1" x14ac:dyDescent="0.45"/>
    <row r="40" spans="2:7" ht="18" customHeight="1" x14ac:dyDescent="0.45">
      <c r="B40" s="58" t="s">
        <v>265</v>
      </c>
      <c r="C40" s="59" t="s">
        <v>163</v>
      </c>
      <c r="D40" s="59" t="s">
        <v>164</v>
      </c>
      <c r="E40" s="59" t="s">
        <v>165</v>
      </c>
      <c r="F40" s="59" t="s">
        <v>69</v>
      </c>
      <c r="G40" s="5"/>
    </row>
    <row r="41" spans="2:7" x14ac:dyDescent="0.45">
      <c r="B41" s="40" t="s">
        <v>266</v>
      </c>
      <c r="C41" s="40"/>
      <c r="D41" s="40"/>
      <c r="E41" s="40"/>
      <c r="F41" s="40"/>
    </row>
    <row r="42" spans="2:7" x14ac:dyDescent="0.45">
      <c r="B42" s="36" t="s">
        <v>259</v>
      </c>
      <c r="C42" s="71">
        <f ca="1">IFERROR(INDEX(CorrMatrix,1,1)*$C$23*$C$23,"–")</f>
        <v>384.84310593368639</v>
      </c>
      <c r="D42" s="71">
        <f ca="1">IFERROR(INDEX(CorrMatrix,1,2)*$C$23*$C$24,"–")</f>
        <v>107.89422561765653</v>
      </c>
      <c r="E42" s="71">
        <f ca="1">IFERROR(INDEX(CorrMatrix,1,3)*$C$23*$C$25,"–")</f>
        <v>279.05913568763316</v>
      </c>
      <c r="F42" s="71">
        <f ca="1">IFERROR(INDEX(CorrMatrix,1,4)*$C$23*$C$26,"–")</f>
        <v>335.22682812013846</v>
      </c>
      <c r="G42" s="28"/>
    </row>
    <row r="43" spans="2:7" x14ac:dyDescent="0.45">
      <c r="B43" s="36" t="s">
        <v>260</v>
      </c>
      <c r="C43" s="71">
        <f ca="1">IFERROR(INDEX(CorrMatrix,2,1)*$C$24*$C$23,"–")</f>
        <v>107.89422561765653</v>
      </c>
      <c r="D43" s="71">
        <f ca="1">IFERROR(INDEX(CorrMatrix,2,2)*$C$24*$C$24,"–")</f>
        <v>483.98586300318243</v>
      </c>
      <c r="E43" s="71">
        <f ca="1">IFERROR(INDEX(CorrMatrix,2,3)*$C$24*$C$25,"–")</f>
        <v>156.47347650155325</v>
      </c>
      <c r="F43" s="71">
        <f ca="1">IFERROR(INDEX(CorrMatrix,2,4)*$C$24*$C$26,"–")</f>
        <v>375.93542374661115</v>
      </c>
      <c r="G43" s="28"/>
    </row>
    <row r="44" spans="2:7" x14ac:dyDescent="0.45">
      <c r="B44" s="36" t="s">
        <v>261</v>
      </c>
      <c r="C44" s="71">
        <f ca="1">IFERROR(INDEX(CorrMatrix,3,1)*$C$25*$C$23,"–")</f>
        <v>279.05913568763316</v>
      </c>
      <c r="D44" s="71">
        <f ca="1">IFERROR(INDEX(CorrMatrix,3,2)*$C$25*$C$24,"–")</f>
        <v>156.47347650155325</v>
      </c>
      <c r="E44" s="71">
        <f ca="1">IFERROR(INDEX(CorrMatrix,3,3)*$C$25*$C$25,"–")</f>
        <v>809.41038059439836</v>
      </c>
      <c r="F44" s="71">
        <f ca="1">IFERROR(INDEX(CorrMatrix,3,4)*$C$25*$C$26,"–")</f>
        <v>972.32464318206814</v>
      </c>
      <c r="G44" s="28"/>
    </row>
    <row r="45" spans="2:7" x14ac:dyDescent="0.45">
      <c r="B45" s="36" t="s">
        <v>262</v>
      </c>
      <c r="C45" s="71">
        <f ca="1">IFERROR(INDEX(CorrMatrix,4,1)*$C$26*$C$23,"–")</f>
        <v>335.22682812013846</v>
      </c>
      <c r="D45" s="71">
        <f ca="1">IFERROR(INDEX(CorrMatrix,4,2)*$C$26*$C$24,"–")</f>
        <v>375.93542374661115</v>
      </c>
      <c r="E45" s="71">
        <f ca="1">IFERROR(INDEX(CorrMatrix,4,3)*$C$26*$C$25,"–")</f>
        <v>972.32464318206814</v>
      </c>
      <c r="F45" s="71">
        <f ca="1">IFERROR(INDEX(CorrMatrix,4,4)*$C$26*$C$26,"–")</f>
        <v>4672.1180474352759</v>
      </c>
      <c r="G45" s="28"/>
    </row>
    <row r="46" spans="2:7" x14ac:dyDescent="0.45">
      <c r="B46" s="36" t="s">
        <v>267</v>
      </c>
      <c r="C46" s="71">
        <f ca="1">IFERROR(C27^2,"–")</f>
        <v>7853.4549309208269</v>
      </c>
      <c r="D46" s="28"/>
      <c r="E46" s="28"/>
      <c r="F46" s="28"/>
      <c r="G46" s="28"/>
    </row>
    <row r="47" spans="2:7" ht="8" customHeight="1" x14ac:dyDescent="0.45"/>
    <row r="48" spans="2:7" ht="22.05" customHeight="1" x14ac:dyDescent="0.5">
      <c r="B48" s="7" t="s">
        <v>268</v>
      </c>
      <c r="C48" s="8"/>
      <c r="D48" s="8"/>
      <c r="E48" s="8"/>
      <c r="F48" s="8"/>
      <c r="G48" s="8"/>
    </row>
    <row r="49" spans="2:7" ht="32" customHeight="1" x14ac:dyDescent="0.45">
      <c r="B49" s="80" t="s">
        <v>269</v>
      </c>
      <c r="C49" s="79"/>
      <c r="D49" s="79"/>
      <c r="E49" s="79"/>
      <c r="F49" s="79"/>
      <c r="G49" s="79"/>
    </row>
    <row r="50" spans="2:7" ht="45" customHeight="1" x14ac:dyDescent="0.45">
      <c r="B50" s="80" t="s">
        <v>270</v>
      </c>
      <c r="C50" s="79"/>
      <c r="D50" s="79"/>
      <c r="E50" s="79"/>
      <c r="F50" s="79"/>
      <c r="G50" s="79"/>
    </row>
    <row r="51" spans="2:7" ht="45" customHeight="1" x14ac:dyDescent="0.45">
      <c r="B51" s="80" t="s">
        <v>271</v>
      </c>
      <c r="C51" s="79"/>
      <c r="D51" s="79"/>
      <c r="E51" s="79"/>
      <c r="F51" s="79"/>
      <c r="G51" s="79"/>
    </row>
    <row r="52" spans="2:7" ht="32" customHeight="1" x14ac:dyDescent="0.45">
      <c r="B52" s="80" t="s">
        <v>272</v>
      </c>
      <c r="C52" s="79"/>
      <c r="D52" s="79"/>
      <c r="E52" s="79"/>
      <c r="F52" s="79"/>
      <c r="G52" s="79"/>
    </row>
    <row r="53" spans="2:7" ht="58.05" customHeight="1" x14ac:dyDescent="0.45">
      <c r="B53" s="80" t="s">
        <v>273</v>
      </c>
      <c r="C53" s="79"/>
      <c r="D53" s="79"/>
      <c r="E53" s="79"/>
      <c r="F53" s="79"/>
      <c r="G53" s="79"/>
    </row>
    <row r="54" spans="2:7" ht="45" customHeight="1" x14ac:dyDescent="0.45">
      <c r="B54" s="80" t="s">
        <v>274</v>
      </c>
      <c r="C54" s="79"/>
      <c r="D54" s="79"/>
      <c r="E54" s="79"/>
      <c r="F54" s="79"/>
      <c r="G54" s="79"/>
    </row>
    <row r="55" spans="2:7" ht="14" customHeight="1" x14ac:dyDescent="0.45"/>
    <row r="56" spans="2:7" ht="14" customHeight="1" x14ac:dyDescent="0.45"/>
    <row r="57" spans="2:7" ht="22.05" customHeight="1" x14ac:dyDescent="0.5">
      <c r="B57" s="7" t="s">
        <v>275</v>
      </c>
      <c r="C57" s="8"/>
      <c r="D57" s="8"/>
      <c r="E57" s="8"/>
      <c r="F57" s="8"/>
      <c r="G57" s="8"/>
    </row>
    <row r="58" spans="2:7" ht="18" customHeight="1" x14ac:dyDescent="0.45">
      <c r="B58" s="13" t="s">
        <v>276</v>
      </c>
    </row>
    <row r="59" spans="2:7" ht="28.05" hidden="1" customHeight="1" outlineLevel="1" x14ac:dyDescent="0.45">
      <c r="B59" s="24" t="s">
        <v>277</v>
      </c>
      <c r="C59" s="24" t="s">
        <v>278</v>
      </c>
      <c r="D59" s="24" t="s">
        <v>279</v>
      </c>
      <c r="E59" s="5"/>
      <c r="F59" s="5"/>
      <c r="G59" s="5"/>
    </row>
    <row r="60" spans="2:7" hidden="1" outlineLevel="1" x14ac:dyDescent="0.45">
      <c r="B60" s="72">
        <v>0.01</v>
      </c>
      <c r="C60" s="72">
        <f t="shared" ref="C60:C91" si="0">1-B60</f>
        <v>0.99</v>
      </c>
      <c r="D60" s="73" cm="1">
        <f t="array" aca="1" ref="D60" ca="1">IF(ISNUMBER(_xll.VoseSimPercentile(Out_Tot_T,$B60)),_xll.VoseSimPercentile(Out_Tot_T,$B60),NA())</f>
        <v>-81.828570094350908</v>
      </c>
    </row>
    <row r="61" spans="2:7" hidden="1" outlineLevel="1" x14ac:dyDescent="0.45">
      <c r="B61" s="72">
        <v>0.03</v>
      </c>
      <c r="C61" s="72">
        <f t="shared" si="0"/>
        <v>0.97</v>
      </c>
      <c r="D61" s="73" cm="1">
        <f t="array" aca="1" ref="D61" ca="1">IF(ISNUMBER(_xll.VoseSimPercentile(Out_Tot_T,$B61)),_xll.VoseSimPercentile(Out_Tot_T,$B61),NA())</f>
        <v>-66.294568385243181</v>
      </c>
    </row>
    <row r="62" spans="2:7" hidden="1" outlineLevel="1" x14ac:dyDescent="0.45">
      <c r="B62" s="72">
        <v>0.05</v>
      </c>
      <c r="C62" s="72">
        <f t="shared" si="0"/>
        <v>0.95</v>
      </c>
      <c r="D62" s="73" cm="1">
        <f t="array" aca="1" ref="D62" ca="1">IF(ISNUMBER(_xll.VoseSimPercentile(Out_Tot_T,$B62)),_xll.VoseSimPercentile(Out_Tot_T,$B62),NA())</f>
        <v>-58.304351870126368</v>
      </c>
    </row>
    <row r="63" spans="2:7" hidden="1" outlineLevel="1" x14ac:dyDescent="0.45">
      <c r="B63" s="72">
        <v>7.0000000000000007E-2</v>
      </c>
      <c r="C63" s="72">
        <f t="shared" si="0"/>
        <v>0.92999999999999994</v>
      </c>
      <c r="D63" s="73" cm="1">
        <f t="array" aca="1" ref="D63" ca="1">IF(ISNUMBER(_xll.VoseSimPercentile(Out_Tot_T,$B63)),_xll.VoseSimPercentile(Out_Tot_T,$B63),NA())</f>
        <v>-52.860337730213594</v>
      </c>
    </row>
    <row r="64" spans="2:7" hidden="1" outlineLevel="1" x14ac:dyDescent="0.45">
      <c r="B64" s="72">
        <v>0.09</v>
      </c>
      <c r="C64" s="72">
        <f t="shared" si="0"/>
        <v>0.91</v>
      </c>
      <c r="D64" s="73" cm="1">
        <f t="array" aca="1" ref="D64" ca="1">IF(ISNUMBER(_xll.VoseSimPercentile(Out_Tot_T,$B64)),_xll.VoseSimPercentile(Out_Tot_T,$B64),NA())</f>
        <v>-48.313480356742772</v>
      </c>
    </row>
    <row r="65" spans="2:4" hidden="1" outlineLevel="1" x14ac:dyDescent="0.45">
      <c r="B65" s="72">
        <v>0.11</v>
      </c>
      <c r="C65" s="72">
        <f t="shared" si="0"/>
        <v>0.89</v>
      </c>
      <c r="D65" s="73" cm="1">
        <f t="array" aca="1" ref="D65" ca="1">IF(ISNUMBER(_xll.VoseSimPercentile(Out_Tot_T,$B65)),_xll.VoseSimPercentile(Out_Tot_T,$B65),NA())</f>
        <v>-44.289944725166741</v>
      </c>
    </row>
    <row r="66" spans="2:4" hidden="1" outlineLevel="1" x14ac:dyDescent="0.45">
      <c r="B66" s="72">
        <v>0.13</v>
      </c>
      <c r="C66" s="72">
        <f t="shared" si="0"/>
        <v>0.87</v>
      </c>
      <c r="D66" s="73" cm="1">
        <f t="array" aca="1" ref="D66" ca="1">IF(ISNUMBER(_xll.VoseSimPercentile(Out_Tot_T,$B66)),_xll.VoseSimPercentile(Out_Tot_T,$B66),NA())</f>
        <v>-40.945495392928024</v>
      </c>
    </row>
    <row r="67" spans="2:4" hidden="1" outlineLevel="1" x14ac:dyDescent="0.45">
      <c r="B67" s="72">
        <v>0.15</v>
      </c>
      <c r="C67" s="72">
        <f t="shared" si="0"/>
        <v>0.85</v>
      </c>
      <c r="D67" s="73" cm="1">
        <f t="array" aca="1" ref="D67" ca="1">IF(ISNUMBER(_xll.VoseSimPercentile(Out_Tot_T,$B67)),_xll.VoseSimPercentile(Out_Tot_T,$B67),NA())</f>
        <v>-37.8386800111996</v>
      </c>
    </row>
    <row r="68" spans="2:4" hidden="1" outlineLevel="1" x14ac:dyDescent="0.45">
      <c r="B68" s="72">
        <v>0.17</v>
      </c>
      <c r="C68" s="72">
        <f t="shared" si="0"/>
        <v>0.83</v>
      </c>
      <c r="D68" s="73" cm="1">
        <f t="array" aca="1" ref="D68" ca="1">IF(ISNUMBER(_xll.VoseSimPercentile(Out_Tot_T,$B68)),_xll.VoseSimPercentile(Out_Tot_T,$B68),NA())</f>
        <v>-34.902022943022502</v>
      </c>
    </row>
    <row r="69" spans="2:4" hidden="1" outlineLevel="1" x14ac:dyDescent="0.45">
      <c r="B69" s="72">
        <v>0.19</v>
      </c>
      <c r="C69" s="72">
        <f t="shared" si="0"/>
        <v>0.81</v>
      </c>
      <c r="D69" s="73" cm="1">
        <f t="array" aca="1" ref="D69" ca="1">IF(ISNUMBER(_xll.VoseSimPercentile(Out_Tot_T,$B69)),_xll.VoseSimPercentile(Out_Tot_T,$B69),NA())</f>
        <v>-32.320563045508614</v>
      </c>
    </row>
    <row r="70" spans="2:4" hidden="1" outlineLevel="1" x14ac:dyDescent="0.45">
      <c r="B70" s="72">
        <v>0.21</v>
      </c>
      <c r="C70" s="72">
        <f t="shared" si="0"/>
        <v>0.79</v>
      </c>
      <c r="D70" s="73" cm="1">
        <f t="array" aca="1" ref="D70" ca="1">IF(ISNUMBER(_xll.VoseSimPercentile(Out_Tot_T,$B70)),_xll.VoseSimPercentile(Out_Tot_T,$B70),NA())</f>
        <v>-29.91913685900473</v>
      </c>
    </row>
    <row r="71" spans="2:4" hidden="1" outlineLevel="1" x14ac:dyDescent="0.45">
      <c r="B71" s="72">
        <v>0.23</v>
      </c>
      <c r="C71" s="72">
        <f t="shared" si="0"/>
        <v>0.77</v>
      </c>
      <c r="D71" s="73" cm="1">
        <f t="array" aca="1" ref="D71" ca="1">IF(ISNUMBER(_xll.VoseSimPercentile(Out_Tot_T,$B71)),_xll.VoseSimPercentile(Out_Tot_T,$B71),NA())</f>
        <v>-27.576573660296404</v>
      </c>
    </row>
    <row r="72" spans="2:4" hidden="1" outlineLevel="1" x14ac:dyDescent="0.45">
      <c r="B72" s="72">
        <v>0.25</v>
      </c>
      <c r="C72" s="72">
        <f t="shared" si="0"/>
        <v>0.75</v>
      </c>
      <c r="D72" s="73" cm="1">
        <f t="array" aca="1" ref="D72" ca="1">IF(ISNUMBER(_xll.VoseSimPercentile(Out_Tot_T,$B72)),_xll.VoseSimPercentile(Out_Tot_T,$B72),NA())</f>
        <v>-25.327747123211175</v>
      </c>
    </row>
    <row r="73" spans="2:4" hidden="1" outlineLevel="1" x14ac:dyDescent="0.45">
      <c r="B73" s="72">
        <v>0.27</v>
      </c>
      <c r="C73" s="72">
        <f t="shared" si="0"/>
        <v>0.73</v>
      </c>
      <c r="D73" s="73" cm="1">
        <f t="array" aca="1" ref="D73" ca="1">IF(ISNUMBER(_xll.VoseSimPercentile(Out_Tot_T,$B73)),_xll.VoseSimPercentile(Out_Tot_T,$B73),NA())</f>
        <v>-23.218205155874095</v>
      </c>
    </row>
    <row r="74" spans="2:4" hidden="1" outlineLevel="1" x14ac:dyDescent="0.45">
      <c r="B74" s="72">
        <v>0.28999999999999998</v>
      </c>
      <c r="C74" s="72">
        <f t="shared" si="0"/>
        <v>0.71</v>
      </c>
      <c r="D74" s="73" cm="1">
        <f t="array" aca="1" ref="D74" ca="1">IF(ISNUMBER(_xll.VoseSimPercentile(Out_Tot_T,$B74)),_xll.VoseSimPercentile(Out_Tot_T,$B74),NA())</f>
        <v>-21.08858267703247</v>
      </c>
    </row>
    <row r="75" spans="2:4" hidden="1" outlineLevel="1" x14ac:dyDescent="0.45">
      <c r="B75" s="72">
        <v>0.31</v>
      </c>
      <c r="C75" s="72">
        <f t="shared" si="0"/>
        <v>0.69</v>
      </c>
      <c r="D75" s="73" cm="1">
        <f t="array" aca="1" ref="D75" ca="1">IF(ISNUMBER(_xll.VoseSimPercentile(Out_Tot_T,$B75)),_xll.VoseSimPercentile(Out_Tot_T,$B75),NA())</f>
        <v>-19.166503646766117</v>
      </c>
    </row>
    <row r="76" spans="2:4" hidden="1" outlineLevel="1" x14ac:dyDescent="0.45">
      <c r="B76" s="72">
        <v>0.33</v>
      </c>
      <c r="C76" s="72">
        <f t="shared" si="0"/>
        <v>0.66999999999999993</v>
      </c>
      <c r="D76" s="73" cm="1">
        <f t="array" aca="1" ref="D76" ca="1">IF(ISNUMBER(_xll.VoseSimPercentile(Out_Tot_T,$B76)),_xll.VoseSimPercentile(Out_Tot_T,$B76),NA())</f>
        <v>-17.244417238606843</v>
      </c>
    </row>
    <row r="77" spans="2:4" hidden="1" outlineLevel="1" x14ac:dyDescent="0.45">
      <c r="B77" s="72">
        <v>0.35</v>
      </c>
      <c r="C77" s="72">
        <f t="shared" si="0"/>
        <v>0.65</v>
      </c>
      <c r="D77" s="73" cm="1">
        <f t="array" aca="1" ref="D77" ca="1">IF(ISNUMBER(_xll.VoseSimPercentile(Out_Tot_T,$B77)),_xll.VoseSimPercentile(Out_Tot_T,$B77),NA())</f>
        <v>-15.376067223479886</v>
      </c>
    </row>
    <row r="78" spans="2:4" hidden="1" outlineLevel="1" x14ac:dyDescent="0.45">
      <c r="B78" s="72">
        <v>0.37</v>
      </c>
      <c r="C78" s="72">
        <f t="shared" si="0"/>
        <v>0.63</v>
      </c>
      <c r="D78" s="73" cm="1">
        <f t="array" aca="1" ref="D78" ca="1">IF(ISNUMBER(_xll.VoseSimPercentile(Out_Tot_T,$B78)),_xll.VoseSimPercentile(Out_Tot_T,$B78),NA())</f>
        <v>-13.547107138004755</v>
      </c>
    </row>
    <row r="79" spans="2:4" hidden="1" outlineLevel="1" x14ac:dyDescent="0.45">
      <c r="B79" s="72">
        <v>0.39</v>
      </c>
      <c r="C79" s="72">
        <f t="shared" si="0"/>
        <v>0.61</v>
      </c>
      <c r="D79" s="73" cm="1">
        <f t="array" aca="1" ref="D79" ca="1">IF(ISNUMBER(_xll.VoseSimPercentile(Out_Tot_T,$B79)),_xll.VoseSimPercentile(Out_Tot_T,$B79),NA())</f>
        <v>-11.67812752545121</v>
      </c>
    </row>
    <row r="80" spans="2:4" hidden="1" outlineLevel="1" x14ac:dyDescent="0.45">
      <c r="B80" s="72">
        <v>0.41</v>
      </c>
      <c r="C80" s="72">
        <f t="shared" si="0"/>
        <v>0.59000000000000008</v>
      </c>
      <c r="D80" s="73" cm="1">
        <f t="array" aca="1" ref="D80" ca="1">IF(ISNUMBER(_xll.VoseSimPercentile(Out_Tot_T,$B80)),_xll.VoseSimPercentile(Out_Tot_T,$B80),NA())</f>
        <v>-9.9138224163139839</v>
      </c>
    </row>
    <row r="81" spans="2:4" hidden="1" outlineLevel="1" x14ac:dyDescent="0.45">
      <c r="B81" s="72">
        <v>0.43</v>
      </c>
      <c r="C81" s="72">
        <f t="shared" si="0"/>
        <v>0.57000000000000006</v>
      </c>
      <c r="D81" s="73" cm="1">
        <f t="array" aca="1" ref="D81" ca="1">IF(ISNUMBER(_xll.VoseSimPercentile(Out_Tot_T,$B81)),_xll.VoseSimPercentile(Out_Tot_T,$B81),NA())</f>
        <v>-8.1760557811886301</v>
      </c>
    </row>
    <row r="82" spans="2:4" hidden="1" outlineLevel="1" x14ac:dyDescent="0.45">
      <c r="B82" s="72">
        <v>0.45</v>
      </c>
      <c r="C82" s="72">
        <f t="shared" si="0"/>
        <v>0.55000000000000004</v>
      </c>
      <c r="D82" s="73" cm="1">
        <f t="array" aca="1" ref="D82" ca="1">IF(ISNUMBER(_xll.VoseSimPercentile(Out_Tot_T,$B82)),_xll.VoseSimPercentile(Out_Tot_T,$B82),NA())</f>
        <v>-6.3975810008794198</v>
      </c>
    </row>
    <row r="83" spans="2:4" hidden="1" outlineLevel="1" x14ac:dyDescent="0.45">
      <c r="B83" s="72">
        <v>0.47</v>
      </c>
      <c r="C83" s="72">
        <f t="shared" si="0"/>
        <v>0.53</v>
      </c>
      <c r="D83" s="73" cm="1">
        <f t="array" aca="1" ref="D83" ca="1">IF(ISNUMBER(_xll.VoseSimPercentile(Out_Tot_T,$B83)),_xll.VoseSimPercentile(Out_Tot_T,$B83),NA())</f>
        <v>-4.7614239291784344</v>
      </c>
    </row>
    <row r="84" spans="2:4" hidden="1" outlineLevel="1" x14ac:dyDescent="0.45">
      <c r="B84" s="72">
        <v>0.49</v>
      </c>
      <c r="C84" s="72">
        <f t="shared" si="0"/>
        <v>0.51</v>
      </c>
      <c r="D84" s="73" cm="1">
        <f t="array" aca="1" ref="D84" ca="1">IF(ISNUMBER(_xll.VoseSimPercentile(Out_Tot_T,$B84)),_xll.VoseSimPercentile(Out_Tot_T,$B84),NA())</f>
        <v>-3.0314335221472319</v>
      </c>
    </row>
    <row r="85" spans="2:4" hidden="1" outlineLevel="1" x14ac:dyDescent="0.45">
      <c r="B85" s="72">
        <v>0.51</v>
      </c>
      <c r="C85" s="72">
        <f t="shared" si="0"/>
        <v>0.49</v>
      </c>
      <c r="D85" s="73" cm="1">
        <f t="array" aca="1" ref="D85" ca="1">IF(ISNUMBER(_xll.VoseSimPercentile(Out_Tot_T,$B85)),_xll.VoseSimPercentile(Out_Tot_T,$B85),NA())</f>
        <v>-1.2411617284817282</v>
      </c>
    </row>
    <row r="86" spans="2:4" hidden="1" outlineLevel="1" x14ac:dyDescent="0.45">
      <c r="B86" s="72">
        <v>0.53</v>
      </c>
      <c r="C86" s="72">
        <f t="shared" si="0"/>
        <v>0.47</v>
      </c>
      <c r="D86" s="73" cm="1">
        <f t="array" aca="1" ref="D86" ca="1">IF(ISNUMBER(_xll.VoseSimPercentile(Out_Tot_T,$B86)),_xll.VoseSimPercentile(Out_Tot_T,$B86),NA())</f>
        <v>0.49623435772672053</v>
      </c>
    </row>
    <row r="87" spans="2:4" hidden="1" outlineLevel="1" x14ac:dyDescent="0.45">
      <c r="B87" s="72">
        <v>0.55000000000000004</v>
      </c>
      <c r="C87" s="72">
        <f t="shared" si="0"/>
        <v>0.44999999999999996</v>
      </c>
      <c r="D87" s="73" cm="1">
        <f t="array" aca="1" ref="D87" ca="1">IF(ISNUMBER(_xll.VoseSimPercentile(Out_Tot_T,$B87)),_xll.VoseSimPercentile(Out_Tot_T,$B87),NA())</f>
        <v>2.3358368405170751</v>
      </c>
    </row>
    <row r="88" spans="2:4" hidden="1" outlineLevel="1" x14ac:dyDescent="0.45">
      <c r="B88" s="72">
        <v>0.56999999999999995</v>
      </c>
      <c r="C88" s="72">
        <f t="shared" si="0"/>
        <v>0.43000000000000005</v>
      </c>
      <c r="D88" s="73" cm="1">
        <f t="array" aca="1" ref="D88" ca="1">IF(ISNUMBER(_xll.VoseSimPercentile(Out_Tot_T,$B88)),_xll.VoseSimPercentile(Out_Tot_T,$B88),NA())</f>
        <v>4.1416772548544643</v>
      </c>
    </row>
    <row r="89" spans="2:4" hidden="1" outlineLevel="1" x14ac:dyDescent="0.45">
      <c r="B89" s="72">
        <v>0.59</v>
      </c>
      <c r="C89" s="72">
        <f t="shared" si="0"/>
        <v>0.41000000000000003</v>
      </c>
      <c r="D89" s="73" cm="1">
        <f t="array" aca="1" ref="D89" ca="1">IF(ISNUMBER(_xll.VoseSimPercentile(Out_Tot_T,$B89)),_xll.VoseSimPercentile(Out_Tot_T,$B89),NA())</f>
        <v>6.0607731275146435</v>
      </c>
    </row>
    <row r="90" spans="2:4" hidden="1" outlineLevel="1" x14ac:dyDescent="0.45">
      <c r="B90" s="72">
        <v>0.61</v>
      </c>
      <c r="C90" s="72">
        <f t="shared" si="0"/>
        <v>0.39</v>
      </c>
      <c r="D90" s="73" cm="1">
        <f t="array" aca="1" ref="D90" ca="1">IF(ISNUMBER(_xll.VoseSimPercentile(Out_Tot_T,$B90)),_xll.VoseSimPercentile(Out_Tot_T,$B90),NA())</f>
        <v>8.0324845977888089</v>
      </c>
    </row>
    <row r="91" spans="2:4" hidden="1" outlineLevel="1" x14ac:dyDescent="0.45">
      <c r="B91" s="72">
        <v>0.63</v>
      </c>
      <c r="C91" s="72">
        <f t="shared" si="0"/>
        <v>0.37</v>
      </c>
      <c r="D91" s="73" cm="1">
        <f t="array" aca="1" ref="D91" ca="1">IF(ISNUMBER(_xll.VoseSimPercentile(Out_Tot_T,$B91)),_xll.VoseSimPercentile(Out_Tot_T,$B91),NA())</f>
        <v>9.8719908643469054</v>
      </c>
    </row>
    <row r="92" spans="2:4" hidden="1" outlineLevel="1" x14ac:dyDescent="0.45">
      <c r="B92" s="72">
        <v>0.65</v>
      </c>
      <c r="C92" s="72">
        <f t="shared" ref="C92:C123" si="1">1-B92</f>
        <v>0.35</v>
      </c>
      <c r="D92" s="73" cm="1">
        <f t="array" aca="1" ref="D92" ca="1">IF(ISNUMBER(_xll.VoseSimPercentile(Out_Tot_T,$B92)),_xll.VoseSimPercentile(Out_Tot_T,$B92),NA())</f>
        <v>11.798241571271014</v>
      </c>
    </row>
    <row r="93" spans="2:4" hidden="1" outlineLevel="1" x14ac:dyDescent="0.45">
      <c r="B93" s="72">
        <v>0.67</v>
      </c>
      <c r="C93" s="72">
        <f t="shared" si="1"/>
        <v>0.32999999999999996</v>
      </c>
      <c r="D93" s="73" cm="1">
        <f t="array" aca="1" ref="D93" ca="1">IF(ISNUMBER(_xll.VoseSimPercentile(Out_Tot_T,$B93)),_xll.VoseSimPercentile(Out_Tot_T,$B93),NA())</f>
        <v>13.903525719743527</v>
      </c>
    </row>
    <row r="94" spans="2:4" hidden="1" outlineLevel="1" x14ac:dyDescent="0.45">
      <c r="B94" s="72">
        <v>0.69</v>
      </c>
      <c r="C94" s="72">
        <f t="shared" si="1"/>
        <v>0.31000000000000005</v>
      </c>
      <c r="D94" s="73" cm="1">
        <f t="array" aca="1" ref="D94" ca="1">IF(ISNUMBER(_xll.VoseSimPercentile(Out_Tot_T,$B94)),_xll.VoseSimPercentile(Out_Tot_T,$B94),NA())</f>
        <v>15.940332170958087</v>
      </c>
    </row>
    <row r="95" spans="2:4" hidden="1" outlineLevel="1" x14ac:dyDescent="0.45">
      <c r="B95" s="72">
        <v>0.71</v>
      </c>
      <c r="C95" s="72">
        <f t="shared" si="1"/>
        <v>0.29000000000000004</v>
      </c>
      <c r="D95" s="73" cm="1">
        <f t="array" aca="1" ref="D95" ca="1">IF(ISNUMBER(_xll.VoseSimPercentile(Out_Tot_T,$B95)),_xll.VoseSimPercentile(Out_Tot_T,$B95),NA())</f>
        <v>18.184081920866866</v>
      </c>
    </row>
    <row r="96" spans="2:4" hidden="1" outlineLevel="1" x14ac:dyDescent="0.45">
      <c r="B96" s="72">
        <v>0.73</v>
      </c>
      <c r="C96" s="72">
        <f t="shared" si="1"/>
        <v>0.27</v>
      </c>
      <c r="D96" s="73" cm="1">
        <f t="array" aca="1" ref="D96" ca="1">IF(ISNUMBER(_xll.VoseSimPercentile(Out_Tot_T,$B96)),_xll.VoseSimPercentile(Out_Tot_T,$B96),NA())</f>
        <v>20.430303030118687</v>
      </c>
    </row>
    <row r="97" spans="2:7" hidden="1" outlineLevel="1" x14ac:dyDescent="0.45">
      <c r="B97" s="72">
        <v>0.75</v>
      </c>
      <c r="C97" s="72">
        <f t="shared" si="1"/>
        <v>0.25</v>
      </c>
      <c r="D97" s="73" cm="1">
        <f t="array" aca="1" ref="D97" ca="1">IF(ISNUMBER(_xll.VoseSimPercentile(Out_Tot_T,$B97)),_xll.VoseSimPercentile(Out_Tot_T,$B97),NA())</f>
        <v>22.77027912031204</v>
      </c>
    </row>
    <row r="98" spans="2:7" hidden="1" outlineLevel="1" x14ac:dyDescent="0.45">
      <c r="B98" s="72">
        <v>0.77</v>
      </c>
      <c r="C98" s="72">
        <f t="shared" si="1"/>
        <v>0.22999999999999998</v>
      </c>
      <c r="D98" s="73" cm="1">
        <f t="array" aca="1" ref="D98" ca="1">IF(ISNUMBER(_xll.VoseSimPercentile(Out_Tot_T,$B98)),_xll.VoseSimPercentile(Out_Tot_T,$B98),NA())</f>
        <v>25.337277483963341</v>
      </c>
    </row>
    <row r="99" spans="2:7" hidden="1" outlineLevel="1" x14ac:dyDescent="0.45">
      <c r="B99" s="72">
        <v>0.79</v>
      </c>
      <c r="C99" s="72">
        <f t="shared" si="1"/>
        <v>0.20999999999999996</v>
      </c>
      <c r="D99" s="73" cm="1">
        <f t="array" aca="1" ref="D99" ca="1">IF(ISNUMBER(_xll.VoseSimPercentile(Out_Tot_T,$B99)),_xll.VoseSimPercentile(Out_Tot_T,$B99),NA())</f>
        <v>28.02468708360621</v>
      </c>
    </row>
    <row r="100" spans="2:7" hidden="1" outlineLevel="1" x14ac:dyDescent="0.45">
      <c r="B100" s="72">
        <v>0.81</v>
      </c>
      <c r="C100" s="72">
        <f t="shared" si="1"/>
        <v>0.18999999999999995</v>
      </c>
      <c r="D100" s="73" cm="1">
        <f t="array" aca="1" ref="D100" ca="1">IF(ISNUMBER(_xll.VoseSimPercentile(Out_Tot_T,$B100)),_xll.VoseSimPercentile(Out_Tot_T,$B100),NA())</f>
        <v>30.968292619670152</v>
      </c>
    </row>
    <row r="101" spans="2:7" hidden="1" outlineLevel="1" x14ac:dyDescent="0.45">
      <c r="B101" s="72">
        <v>0.83</v>
      </c>
      <c r="C101" s="72">
        <f t="shared" si="1"/>
        <v>0.17000000000000004</v>
      </c>
      <c r="D101" s="73" cm="1">
        <f t="array" aca="1" ref="D101" ca="1">IF(ISNUMBER(_xll.VoseSimPercentile(Out_Tot_T,$B101)),_xll.VoseSimPercentile(Out_Tot_T,$B101),NA())</f>
        <v>34.270121020731416</v>
      </c>
    </row>
    <row r="102" spans="2:7" hidden="1" outlineLevel="1" x14ac:dyDescent="0.45">
      <c r="B102" s="72">
        <v>0.85</v>
      </c>
      <c r="C102" s="72">
        <f t="shared" si="1"/>
        <v>0.15000000000000002</v>
      </c>
      <c r="D102" s="73" cm="1">
        <f t="array" aca="1" ref="D102" ca="1">IF(ISNUMBER(_xll.VoseSimPercentile(Out_Tot_T,$B102)),_xll.VoseSimPercentile(Out_Tot_T,$B102),NA())</f>
        <v>37.961824475236646</v>
      </c>
    </row>
    <row r="103" spans="2:7" hidden="1" outlineLevel="1" x14ac:dyDescent="0.45">
      <c r="B103" s="72">
        <v>0.87</v>
      </c>
      <c r="C103" s="72">
        <f t="shared" si="1"/>
        <v>0.13</v>
      </c>
      <c r="D103" s="73" cm="1">
        <f t="array" aca="1" ref="D103" ca="1">IF(ISNUMBER(_xll.VoseSimPercentile(Out_Tot_T,$B103)),_xll.VoseSimPercentile(Out_Tot_T,$B103),NA())</f>
        <v>41.825282560914083</v>
      </c>
    </row>
    <row r="104" spans="2:7" hidden="1" outlineLevel="1" x14ac:dyDescent="0.45">
      <c r="B104" s="72">
        <v>0.89</v>
      </c>
      <c r="C104" s="72">
        <f t="shared" si="1"/>
        <v>0.10999999999999999</v>
      </c>
      <c r="D104" s="73" cm="1">
        <f t="array" aca="1" ref="D104" ca="1">IF(ISNUMBER(_xll.VoseSimPercentile(Out_Tot_T,$B104)),_xll.VoseSimPercentile(Out_Tot_T,$B104),NA())</f>
        <v>46.401811634643593</v>
      </c>
    </row>
    <row r="105" spans="2:7" hidden="1" outlineLevel="1" x14ac:dyDescent="0.45">
      <c r="B105" s="72">
        <v>0.91</v>
      </c>
      <c r="C105" s="72">
        <f t="shared" si="1"/>
        <v>8.9999999999999969E-2</v>
      </c>
      <c r="D105" s="73" cm="1">
        <f t="array" aca="1" ref="D105" ca="1">IF(ISNUMBER(_xll.VoseSimPercentile(Out_Tot_T,$B105)),_xll.VoseSimPercentile(Out_Tot_T,$B105),NA())</f>
        <v>51.817980485937014</v>
      </c>
    </row>
    <row r="106" spans="2:7" hidden="1" outlineLevel="1" x14ac:dyDescent="0.45">
      <c r="B106" s="72">
        <v>0.93</v>
      </c>
      <c r="C106" s="72">
        <f t="shared" si="1"/>
        <v>6.9999999999999951E-2</v>
      </c>
      <c r="D106" s="73" cm="1">
        <f t="array" aca="1" ref="D106" ca="1">IF(ISNUMBER(_xll.VoseSimPercentile(Out_Tot_T,$B106)),_xll.VoseSimPercentile(Out_Tot_T,$B106),NA())</f>
        <v>58.348239318654294</v>
      </c>
    </row>
    <row r="107" spans="2:7" hidden="1" outlineLevel="1" x14ac:dyDescent="0.45">
      <c r="B107" s="72">
        <v>0.95</v>
      </c>
      <c r="C107" s="72">
        <f t="shared" si="1"/>
        <v>5.0000000000000044E-2</v>
      </c>
      <c r="D107" s="73" cm="1">
        <f t="array" aca="1" ref="D107" ca="1">IF(ISNUMBER(_xll.VoseSimPercentile(Out_Tot_T,$B107)),_xll.VoseSimPercentile(Out_Tot_T,$B107),NA())</f>
        <v>66.861432287060964</v>
      </c>
    </row>
    <row r="108" spans="2:7" hidden="1" outlineLevel="1" x14ac:dyDescent="0.45">
      <c r="B108" s="72">
        <v>0.97</v>
      </c>
      <c r="C108" s="72">
        <f t="shared" si="1"/>
        <v>3.0000000000000027E-2</v>
      </c>
      <c r="D108" s="73" cm="1">
        <f t="array" aca="1" ref="D108" ca="1">IF(ISNUMBER(_xll.VoseSimPercentile(Out_Tot_T,$B108)),_xll.VoseSimPercentile(Out_Tot_T,$B108),NA())</f>
        <v>80.404820281685289</v>
      </c>
    </row>
    <row r="109" spans="2:7" hidden="1" outlineLevel="1" x14ac:dyDescent="0.45">
      <c r="B109" s="72">
        <v>0.99</v>
      </c>
      <c r="C109" s="72">
        <f t="shared" si="1"/>
        <v>1.0000000000000009E-2</v>
      </c>
      <c r="D109" s="73" cm="1">
        <f t="array" aca="1" ref="D109" ca="1">IF(ISNUMBER(_xll.VoseSimPercentile(Out_Tot_T,$B109)),_xll.VoseSimPercentile(Out_Tot_T,$B109),NA())</f>
        <v>109.44280620157558</v>
      </c>
    </row>
    <row r="110" spans="2:7" hidden="1" outlineLevel="1" x14ac:dyDescent="0.45"/>
    <row r="111" spans="2:7" ht="28.05" hidden="1" customHeight="1" outlineLevel="1" x14ac:dyDescent="0.45">
      <c r="B111" s="24" t="s">
        <v>280</v>
      </c>
      <c r="C111" s="24" t="s">
        <v>281</v>
      </c>
      <c r="D111" s="24" t="s">
        <v>282</v>
      </c>
      <c r="E111" s="24" t="s">
        <v>283</v>
      </c>
      <c r="F111" s="24" t="s">
        <v>279</v>
      </c>
      <c r="G111" s="5"/>
    </row>
    <row r="112" spans="2:7" hidden="1" outlineLevel="1" x14ac:dyDescent="0.45">
      <c r="B112" s="74">
        <v>2</v>
      </c>
      <c r="C112" s="75">
        <f t="shared" ref="C112:C119" si="2">1-1/B112</f>
        <v>0.5</v>
      </c>
      <c r="D112" s="73" cm="1">
        <f t="array" aca="1" ref="D112" ca="1">IF(ISNUMBER(_xll.VoseSimPercentile(Out_Tot_I,$C112)),_xll.VoseSimPercentile(Out_Tot_I,$C112),NA())</f>
        <v>-1.9119985942924416</v>
      </c>
      <c r="E112" s="73" cm="1">
        <f t="array" aca="1" ref="E112" ca="1">IF(ISNUMBER(_xll.VoseSimPercentile(Out_Tot_N,$C112)),_xll.VoseSimPercentile(Out_Tot_N,$C112),NA())</f>
        <v>-2.108195351281033</v>
      </c>
      <c r="F112" s="73" cm="1">
        <f t="array" aca="1" ref="F112" ca="1">IF(ISNUMBER(_xll.VoseSimPercentile(Out_Tot_T,$C112)),_xll.VoseSimPercentile(Out_Tot_T,$C112),NA())</f>
        <v>-2.1593416402823635</v>
      </c>
    </row>
    <row r="113" spans="2:7" hidden="1" outlineLevel="1" x14ac:dyDescent="0.45">
      <c r="B113" s="74">
        <v>5</v>
      </c>
      <c r="C113" s="75">
        <f t="shared" si="2"/>
        <v>0.8</v>
      </c>
      <c r="D113" s="73" cm="1">
        <f t="array" aca="1" ref="D113" ca="1">IF(ISNUMBER(_xll.VoseSimPercentile(Out_Tot_I,$C113)),_xll.VoseSimPercentile(Out_Tot_I,$C113),NA())</f>
        <v>23.352986604952761</v>
      </c>
      <c r="E113" s="73" cm="1">
        <f t="array" aca="1" ref="E113" ca="1">IF(ISNUMBER(_xll.VoseSimPercentile(Out_Tot_N,$C113)),_xll.VoseSimPercentile(Out_Tot_N,$C113),NA())</f>
        <v>30.118317992164265</v>
      </c>
      <c r="F113" s="73" cm="1">
        <f t="array" aca="1" ref="F113" ca="1">IF(ISNUMBER(_xll.VoseSimPercentile(Out_Tot_T,$C113)),_xll.VoseSimPercentile(Out_Tot_T,$C113),NA())</f>
        <v>29.414445130271233</v>
      </c>
    </row>
    <row r="114" spans="2:7" hidden="1" outlineLevel="1" x14ac:dyDescent="0.45">
      <c r="B114" s="74">
        <v>10</v>
      </c>
      <c r="C114" s="75">
        <f t="shared" si="2"/>
        <v>0.9</v>
      </c>
      <c r="D114" s="73" cm="1">
        <f t="array" aca="1" ref="D114" ca="1">IF(ISNUMBER(_xll.VoseSimPercentile(Out_Tot_I,$C114)),_xll.VoseSimPercentile(Out_Tot_I,$C114),NA())</f>
        <v>38.105626962857237</v>
      </c>
      <c r="E114" s="73" cm="1">
        <f t="array" aca="1" ref="E114" ca="1">IF(ISNUMBER(_xll.VoseSimPercentile(Out_Tot_N,$C114)),_xll.VoseSimPercentile(Out_Tot_N,$C114),NA())</f>
        <v>48.284782800881842</v>
      </c>
      <c r="F114" s="73" cm="1">
        <f t="array" aca="1" ref="F114" ca="1">IF(ISNUMBER(_xll.VoseSimPercentile(Out_Tot_T,$C114)),_xll.VoseSimPercentile(Out_Tot_T,$C114),NA())</f>
        <v>48.913374006551727</v>
      </c>
    </row>
    <row r="115" spans="2:7" hidden="1" outlineLevel="1" x14ac:dyDescent="0.45">
      <c r="B115" s="74">
        <v>20</v>
      </c>
      <c r="C115" s="75">
        <f t="shared" si="2"/>
        <v>0.95</v>
      </c>
      <c r="D115" s="73" cm="1">
        <f t="array" aca="1" ref="D115" ca="1">IF(ISNUMBER(_xll.VoseSimPercentile(Out_Tot_I,$C115)),_xll.VoseSimPercentile(Out_Tot_I,$C115),NA())</f>
        <v>51.310636858341901</v>
      </c>
      <c r="E115" s="73" cm="1">
        <f t="array" aca="1" ref="E115" ca="1">IF(ISNUMBER(_xll.VoseSimPercentile(Out_Tot_N,$C115)),_xll.VoseSimPercentile(Out_Tot_N,$C115),NA())</f>
        <v>64.932374519071573</v>
      </c>
      <c r="F115" s="73" cm="1">
        <f t="array" aca="1" ref="F115" ca="1">IF(ISNUMBER(_xll.VoseSimPercentile(Out_Tot_T,$C115)),_xll.VoseSimPercentile(Out_Tot_T,$C115),NA())</f>
        <v>66.861432287060964</v>
      </c>
    </row>
    <row r="116" spans="2:7" hidden="1" outlineLevel="1" x14ac:dyDescent="0.45">
      <c r="B116" s="74">
        <v>50</v>
      </c>
      <c r="C116" s="75">
        <f t="shared" si="2"/>
        <v>0.98</v>
      </c>
      <c r="D116" s="73" cm="1">
        <f t="array" aca="1" ref="D116" ca="1">IF(ISNUMBER(_xll.VoseSimPercentile(Out_Tot_I,$C116)),_xll.VoseSimPercentile(Out_Tot_I,$C116),NA())</f>
        <v>68.580307300422135</v>
      </c>
      <c r="E116" s="73" cm="1">
        <f t="array" aca="1" ref="E116" ca="1">IF(ISNUMBER(_xll.VoseSimPercentile(Out_Tot_N,$C116)),_xll.VoseSimPercentile(Out_Tot_N,$C116),NA())</f>
        <v>84.125112448298069</v>
      </c>
      <c r="F116" s="73" cm="1">
        <f t="array" aca="1" ref="F116" ca="1">IF(ISNUMBER(_xll.VoseSimPercentile(Out_Tot_T,$C116)),_xll.VoseSimPercentile(Out_Tot_T,$C116),NA())</f>
        <v>91.244313342078669</v>
      </c>
    </row>
    <row r="117" spans="2:7" hidden="1" outlineLevel="1" x14ac:dyDescent="0.45">
      <c r="B117" s="74">
        <v>100</v>
      </c>
      <c r="C117" s="75">
        <f t="shared" si="2"/>
        <v>0.99</v>
      </c>
      <c r="D117" s="73" cm="1">
        <f t="array" aca="1" ref="D117" ca="1">IF(ISNUMBER(_xll.VoseSimPercentile(Out_Tot_I,$C117)),_xll.VoseSimPercentile(Out_Tot_I,$C117),NA())</f>
        <v>84.235477090278465</v>
      </c>
      <c r="E117" s="73" cm="1">
        <f t="array" aca="1" ref="E117" ca="1">IF(ISNUMBER(_xll.VoseSimPercentile(Out_Tot_N,$C117)),_xll.VoseSimPercentile(Out_Tot_N,$C117),NA())</f>
        <v>100.32384199603456</v>
      </c>
      <c r="F117" s="73" cm="1">
        <f t="array" aca="1" ref="F117" ca="1">IF(ISNUMBER(_xll.VoseSimPercentile(Out_Tot_T,$C117)),_xll.VoseSimPercentile(Out_Tot_T,$C117),NA())</f>
        <v>109.44280620157558</v>
      </c>
    </row>
    <row r="118" spans="2:7" hidden="1" outlineLevel="1" x14ac:dyDescent="0.45">
      <c r="B118" s="74">
        <v>200</v>
      </c>
      <c r="C118" s="75">
        <f t="shared" si="2"/>
        <v>0.995</v>
      </c>
      <c r="D118" s="73" cm="1">
        <f t="array" aca="1" ref="D118" ca="1">IF(ISNUMBER(_xll.VoseSimPercentile(Out_Tot_I,$C118)),_xll.VoseSimPercentile(Out_Tot_I,$C118),NA())</f>
        <v>103.15991807845697</v>
      </c>
      <c r="E118" s="73" cm="1">
        <f t="array" aca="1" ref="E118" ca="1">IF(ISNUMBER(_xll.VoseSimPercentile(Out_Tot_N,$C118)),_xll.VoseSimPercentile(Out_Tot_N,$C118),NA())</f>
        <v>118.09087294331755</v>
      </c>
      <c r="F118" s="73" cm="1">
        <f t="array" aca="1" ref="F118" ca="1">IF(ISNUMBER(_xll.VoseSimPercentile(Out_Tot_T,$C118)),_xll.VoseSimPercentile(Out_Tot_T,$C118),NA())</f>
        <v>128.58818444799903</v>
      </c>
    </row>
    <row r="119" spans="2:7" hidden="1" outlineLevel="1" x14ac:dyDescent="0.45">
      <c r="B119" s="74">
        <v>500</v>
      </c>
      <c r="C119" s="75">
        <f t="shared" si="2"/>
        <v>0.998</v>
      </c>
      <c r="D119" s="73" cm="1">
        <f t="array" aca="1" ref="D119" ca="1">IF(ISNUMBER(_xll.VoseSimPercentile(Out_Tot_I,$C119)),_xll.VoseSimPercentile(Out_Tot_I,$C119),NA())</f>
        <v>149.78283992898767</v>
      </c>
      <c r="E119" s="73" cm="1">
        <f t="array" aca="1" ref="E119" ca="1">IF(ISNUMBER(_xll.VoseSimPercentile(Out_Tot_N,$C119)),_xll.VoseSimPercentile(Out_Tot_N,$C119),NA())</f>
        <v>151.67324334948205</v>
      </c>
      <c r="F119" s="73" cm="1">
        <f t="array" aca="1" ref="F119" ca="1">IF(ISNUMBER(_xll.VoseSimPercentile(Out_Tot_T,$C119)),_xll.VoseSimPercentile(Out_Tot_T,$C119),NA())</f>
        <v>163.60667876955034</v>
      </c>
    </row>
    <row r="120" spans="2:7" hidden="1" outlineLevel="1" x14ac:dyDescent="0.45"/>
    <row r="121" spans="2:7" ht="18" hidden="1" customHeight="1" outlineLevel="1" x14ac:dyDescent="0.45">
      <c r="B121" s="23" t="s">
        <v>284</v>
      </c>
      <c r="C121" s="24" t="s">
        <v>205</v>
      </c>
      <c r="D121" s="5"/>
      <c r="E121" s="5"/>
      <c r="F121" s="5"/>
      <c r="G121" s="5"/>
    </row>
    <row r="122" spans="2:7" hidden="1" outlineLevel="1" x14ac:dyDescent="0.45">
      <c r="B122" s="75">
        <v>5.0000000000000001E-3</v>
      </c>
      <c r="C122" s="73" cm="1">
        <f t="array" aca="1" ref="C122" ca="1">IF(ISNUMBER(_xll.VoseSimPercentile(Out_Tot_T,0.005)),_xll.VoseSimPercentile(Out_Tot_T,0.005),NA())</f>
        <v>-90.892363965394537</v>
      </c>
    </row>
    <row r="123" spans="2:7" hidden="1" outlineLevel="1" x14ac:dyDescent="0.45">
      <c r="B123" s="75">
        <v>0.01</v>
      </c>
      <c r="C123" s="73" cm="1">
        <f t="array" aca="1" ref="C123" ca="1">IF(ISNUMBER(_xll.VoseSimPercentile(Out_Tot_T,0.01)),_xll.VoseSimPercentile(Out_Tot_T,0.01),NA())</f>
        <v>-81.828570094350908</v>
      </c>
    </row>
    <row r="124" spans="2:7" hidden="1" outlineLevel="1" x14ac:dyDescent="0.45">
      <c r="B124" s="75">
        <v>0.02</v>
      </c>
      <c r="C124" s="73" cm="1">
        <f t="array" aca="1" ref="C124" ca="1">IF(ISNUMBER(_xll.VoseSimPercentile(Out_Tot_T,0.02)),_xll.VoseSimPercentile(Out_Tot_T,0.02),NA())</f>
        <v>-72.368493876022058</v>
      </c>
    </row>
    <row r="125" spans="2:7" hidden="1" outlineLevel="1" x14ac:dyDescent="0.45">
      <c r="B125" s="75">
        <v>0.03</v>
      </c>
      <c r="C125" s="73" cm="1">
        <f t="array" aca="1" ref="C125" ca="1">IF(ISNUMBER(_xll.VoseSimPercentile(Out_Tot_T,0.03)),_xll.VoseSimPercentile(Out_Tot_T,0.03),NA())</f>
        <v>-66.294568385243181</v>
      </c>
    </row>
    <row r="126" spans="2:7" hidden="1" outlineLevel="1" x14ac:dyDescent="0.45">
      <c r="B126" s="75">
        <v>0.04</v>
      </c>
      <c r="C126" s="73" cm="1">
        <f t="array" aca="1" ref="C126" ca="1">IF(ISNUMBER(_xll.VoseSimPercentile(Out_Tot_T,0.04)),_xll.VoseSimPercentile(Out_Tot_T,0.04),NA())</f>
        <v>-62.0027410068694</v>
      </c>
    </row>
    <row r="127" spans="2:7" hidden="1" outlineLevel="1" x14ac:dyDescent="0.45">
      <c r="B127" s="75">
        <v>0.05</v>
      </c>
      <c r="C127" s="73" cm="1">
        <f t="array" aca="1" ref="C127" ca="1">IF(ISNUMBER(_xll.VoseSimPercentile(Out_Tot_T,0.05)),_xll.VoseSimPercentile(Out_Tot_T,0.05),NA())</f>
        <v>-58.304351870126368</v>
      </c>
    </row>
    <row r="128" spans="2:7" hidden="1" outlineLevel="1" x14ac:dyDescent="0.45">
      <c r="B128" s="75">
        <v>0.06</v>
      </c>
      <c r="C128" s="73" cm="1">
        <f t="array" aca="1" ref="C128" ca="1">IF(ISNUMBER(_xll.VoseSimPercentile(Out_Tot_T,0.06)),_xll.VoseSimPercentile(Out_Tot_T,0.06),NA())</f>
        <v>-55.278370483860584</v>
      </c>
    </row>
    <row r="129" spans="2:3" hidden="1" outlineLevel="1" x14ac:dyDescent="0.45">
      <c r="B129" s="75">
        <v>7.0000000000000007E-2</v>
      </c>
      <c r="C129" s="73" cm="1">
        <f t="array" aca="1" ref="C129" ca="1">IF(ISNUMBER(_xll.VoseSimPercentile(Out_Tot_T,0.07)),_xll.VoseSimPercentile(Out_Tot_T,0.07),NA())</f>
        <v>-52.860337730213594</v>
      </c>
    </row>
    <row r="130" spans="2:3" hidden="1" outlineLevel="1" x14ac:dyDescent="0.45">
      <c r="B130" s="75">
        <v>0.08</v>
      </c>
      <c r="C130" s="73" cm="1">
        <f t="array" aca="1" ref="C130" ca="1">IF(ISNUMBER(_xll.VoseSimPercentile(Out_Tot_T,0.08)),_xll.VoseSimPercentile(Out_Tot_T,0.08),NA())</f>
        <v>-50.454298089075046</v>
      </c>
    </row>
    <row r="131" spans="2:3" hidden="1" outlineLevel="1" x14ac:dyDescent="0.45">
      <c r="B131" s="75">
        <v>0.09</v>
      </c>
      <c r="C131" s="73" cm="1">
        <f t="array" aca="1" ref="C131" ca="1">IF(ISNUMBER(_xll.VoseSimPercentile(Out_Tot_T,0.09)),_xll.VoseSimPercentile(Out_Tot_T,0.09),NA())</f>
        <v>-48.313480356742772</v>
      </c>
    </row>
    <row r="132" spans="2:3" hidden="1" outlineLevel="1" x14ac:dyDescent="0.45">
      <c r="B132" s="75">
        <v>0.1</v>
      </c>
      <c r="C132" s="73" cm="1">
        <f t="array" aca="1" ref="C132" ca="1">IF(ISNUMBER(_xll.VoseSimPercentile(Out_Tot_T,0.1)),_xll.VoseSimPercentile(Out_Tot_T,0.1),NA())</f>
        <v>-46.263707013747066</v>
      </c>
    </row>
    <row r="133" spans="2:3" hidden="1" outlineLevel="1" x14ac:dyDescent="0.45">
      <c r="B133" s="75">
        <v>0.11</v>
      </c>
      <c r="C133" s="73" cm="1">
        <f t="array" aca="1" ref="C133" ca="1">IF(ISNUMBER(_xll.VoseSimPercentile(Out_Tot_T,0.11)),_xll.VoseSimPercentile(Out_Tot_T,0.11),NA())</f>
        <v>-44.289944725166741</v>
      </c>
    </row>
    <row r="134" spans="2:3" hidden="1" outlineLevel="1" x14ac:dyDescent="0.45">
      <c r="B134" s="75">
        <v>0.12</v>
      </c>
      <c r="C134" s="73" cm="1">
        <f t="array" aca="1" ref="C134" ca="1">IF(ISNUMBER(_xll.VoseSimPercentile(Out_Tot_T,0.12)),_xll.VoseSimPercentile(Out_Tot_T,0.12),NA())</f>
        <v>-42.518397548313928</v>
      </c>
    </row>
    <row r="135" spans="2:3" hidden="1" outlineLevel="1" x14ac:dyDescent="0.45">
      <c r="B135" s="75">
        <v>0.13</v>
      </c>
      <c r="C135" s="73" cm="1">
        <f t="array" aca="1" ref="C135" ca="1">IF(ISNUMBER(_xll.VoseSimPercentile(Out_Tot_T,0.13)),_xll.VoseSimPercentile(Out_Tot_T,0.13),NA())</f>
        <v>-40.945495392928024</v>
      </c>
    </row>
    <row r="136" spans="2:3" hidden="1" outlineLevel="1" x14ac:dyDescent="0.45">
      <c r="B136" s="75">
        <v>0.14000000000000001</v>
      </c>
      <c r="C136" s="73" cm="1">
        <f t="array" aca="1" ref="C136" ca="1">IF(ISNUMBER(_xll.VoseSimPercentile(Out_Tot_T,0.14)),_xll.VoseSimPercentile(Out_Tot_T,0.14),NA())</f>
        <v>-39.360557774706002</v>
      </c>
    </row>
    <row r="137" spans="2:3" hidden="1" outlineLevel="1" x14ac:dyDescent="0.45">
      <c r="B137" s="75">
        <v>0.15</v>
      </c>
      <c r="C137" s="73" cm="1">
        <f t="array" aca="1" ref="C137" ca="1">IF(ISNUMBER(_xll.VoseSimPercentile(Out_Tot_T,0.15)),_xll.VoseSimPercentile(Out_Tot_T,0.15),NA())</f>
        <v>-37.8386800111996</v>
      </c>
    </row>
    <row r="138" spans="2:3" hidden="1" outlineLevel="1" x14ac:dyDescent="0.45">
      <c r="B138" s="75">
        <v>0.16</v>
      </c>
      <c r="C138" s="73" cm="1">
        <f t="array" aca="1" ref="C138" ca="1">IF(ISNUMBER(_xll.VoseSimPercentile(Out_Tot_T,0.16)),_xll.VoseSimPercentile(Out_Tot_T,0.16),NA())</f>
        <v>-36.346564008766258</v>
      </c>
    </row>
    <row r="139" spans="2:3" hidden="1" outlineLevel="1" x14ac:dyDescent="0.45">
      <c r="B139" s="75">
        <v>0.17</v>
      </c>
      <c r="C139" s="73" cm="1">
        <f t="array" aca="1" ref="C139" ca="1">IF(ISNUMBER(_xll.VoseSimPercentile(Out_Tot_T,0.17)),_xll.VoseSimPercentile(Out_Tot_T,0.17),NA())</f>
        <v>-34.902022943022502</v>
      </c>
    </row>
    <row r="140" spans="2:3" hidden="1" outlineLevel="1" x14ac:dyDescent="0.45">
      <c r="B140" s="75">
        <v>0.18</v>
      </c>
      <c r="C140" s="73" cm="1">
        <f t="array" aca="1" ref="C140" ca="1">IF(ISNUMBER(_xll.VoseSimPercentile(Out_Tot_T,0.18)),_xll.VoseSimPercentile(Out_Tot_T,0.18),NA())</f>
        <v>-33.550550140074655</v>
      </c>
    </row>
    <row r="141" spans="2:3" hidden="1" outlineLevel="1" x14ac:dyDescent="0.45">
      <c r="B141" s="75">
        <v>0.19</v>
      </c>
      <c r="C141" s="73" cm="1">
        <f t="array" aca="1" ref="C141" ca="1">IF(ISNUMBER(_xll.VoseSimPercentile(Out_Tot_T,0.19)),_xll.VoseSimPercentile(Out_Tot_T,0.19),NA())</f>
        <v>-32.320563045508614</v>
      </c>
    </row>
    <row r="142" spans="2:3" hidden="1" outlineLevel="1" x14ac:dyDescent="0.45">
      <c r="B142" s="75">
        <v>0.2</v>
      </c>
      <c r="C142" s="73" cm="1">
        <f t="array" aca="1" ref="C142" ca="1">IF(ISNUMBER(_xll.VoseSimPercentile(Out_Tot_T,0.2)),_xll.VoseSimPercentile(Out_Tot_T,0.2),NA())</f>
        <v>-31.10714714362814</v>
      </c>
    </row>
    <row r="143" spans="2:3" hidden="1" outlineLevel="1" x14ac:dyDescent="0.45">
      <c r="B143" s="75">
        <v>0.21</v>
      </c>
      <c r="C143" s="73" cm="1">
        <f t="array" aca="1" ref="C143" ca="1">IF(ISNUMBER(_xll.VoseSimPercentile(Out_Tot_T,0.21)),_xll.VoseSimPercentile(Out_Tot_T,0.21),NA())</f>
        <v>-29.91913685900473</v>
      </c>
    </row>
    <row r="144" spans="2:3" hidden="1" outlineLevel="1" x14ac:dyDescent="0.45">
      <c r="B144" s="75">
        <v>0.22</v>
      </c>
      <c r="C144" s="73" cm="1">
        <f t="array" aca="1" ref="C144" ca="1">IF(ISNUMBER(_xll.VoseSimPercentile(Out_Tot_T,0.22)),_xll.VoseSimPercentile(Out_Tot_T,0.22),NA())</f>
        <v>-28.708724952356157</v>
      </c>
    </row>
    <row r="145" spans="2:3" hidden="1" outlineLevel="1" x14ac:dyDescent="0.45">
      <c r="B145" s="75">
        <v>0.23</v>
      </c>
      <c r="C145" s="73" cm="1">
        <f t="array" aca="1" ref="C145" ca="1">IF(ISNUMBER(_xll.VoseSimPercentile(Out_Tot_T,0.23)),_xll.VoseSimPercentile(Out_Tot_T,0.23),NA())</f>
        <v>-27.576573660296404</v>
      </c>
    </row>
    <row r="146" spans="2:3" hidden="1" outlineLevel="1" x14ac:dyDescent="0.45">
      <c r="B146" s="75">
        <v>0.24</v>
      </c>
      <c r="C146" s="73" cm="1">
        <f t="array" aca="1" ref="C146" ca="1">IF(ISNUMBER(_xll.VoseSimPercentile(Out_Tot_T,0.24)),_xll.VoseSimPercentile(Out_Tot_T,0.24),NA())</f>
        <v>-26.470960212324542</v>
      </c>
    </row>
    <row r="147" spans="2:3" hidden="1" outlineLevel="1" x14ac:dyDescent="0.45">
      <c r="B147" s="75">
        <v>0.25</v>
      </c>
      <c r="C147" s="73" cm="1">
        <f t="array" aca="1" ref="C147" ca="1">IF(ISNUMBER(_xll.VoseSimPercentile(Out_Tot_T,0.25)),_xll.VoseSimPercentile(Out_Tot_T,0.25),NA())</f>
        <v>-25.327747123211175</v>
      </c>
    </row>
    <row r="148" spans="2:3" hidden="1" outlineLevel="1" x14ac:dyDescent="0.45">
      <c r="B148" s="75">
        <v>0.26</v>
      </c>
      <c r="C148" s="73" cm="1">
        <f t="array" aca="1" ref="C148" ca="1">IF(ISNUMBER(_xll.VoseSimPercentile(Out_Tot_T,0.26)),_xll.VoseSimPercentile(Out_Tot_T,0.26),NA())</f>
        <v>-24.251201016490768</v>
      </c>
    </row>
    <row r="149" spans="2:3" hidden="1" outlineLevel="1" x14ac:dyDescent="0.45">
      <c r="B149" s="75">
        <v>0.27</v>
      </c>
      <c r="C149" s="73" cm="1">
        <f t="array" aca="1" ref="C149" ca="1">IF(ISNUMBER(_xll.VoseSimPercentile(Out_Tot_T,0.27)),_xll.VoseSimPercentile(Out_Tot_T,0.27),NA())</f>
        <v>-23.218205155874095</v>
      </c>
    </row>
    <row r="150" spans="2:3" hidden="1" outlineLevel="1" x14ac:dyDescent="0.45">
      <c r="B150" s="75">
        <v>0.28000000000000003</v>
      </c>
      <c r="C150" s="73" cm="1">
        <f t="array" aca="1" ref="C150" ca="1">IF(ISNUMBER(_xll.VoseSimPercentile(Out_Tot_T,0.28)),_xll.VoseSimPercentile(Out_Tot_T,0.28),NA())</f>
        <v>-22.161221632203947</v>
      </c>
    </row>
    <row r="151" spans="2:3" hidden="1" outlineLevel="1" x14ac:dyDescent="0.45">
      <c r="B151" s="75">
        <v>0.28999999999999998</v>
      </c>
      <c r="C151" s="73" cm="1">
        <f t="array" aca="1" ref="C151" ca="1">IF(ISNUMBER(_xll.VoseSimPercentile(Out_Tot_T,0.29)),_xll.VoseSimPercentile(Out_Tot_T,0.29),NA())</f>
        <v>-21.08858267703247</v>
      </c>
    </row>
    <row r="152" spans="2:3" hidden="1" outlineLevel="1" x14ac:dyDescent="0.45">
      <c r="B152" s="75">
        <v>0.3</v>
      </c>
      <c r="C152" s="73" cm="1">
        <f t="array" aca="1" ref="C152" ca="1">IF(ISNUMBER(_xll.VoseSimPercentile(Out_Tot_T,0.3)),_xll.VoseSimPercentile(Out_Tot_T,0.3),NA())</f>
        <v>-20.108608157828037</v>
      </c>
    </row>
    <row r="153" spans="2:3" hidden="1" outlineLevel="1" x14ac:dyDescent="0.45">
      <c r="B153" s="75">
        <v>0.31</v>
      </c>
      <c r="C153" s="73" cm="1">
        <f t="array" aca="1" ref="C153" ca="1">IF(ISNUMBER(_xll.VoseSimPercentile(Out_Tot_T,0.31)),_xll.VoseSimPercentile(Out_Tot_T,0.31),NA())</f>
        <v>-19.166503646766117</v>
      </c>
    </row>
    <row r="154" spans="2:3" hidden="1" outlineLevel="1" x14ac:dyDescent="0.45">
      <c r="B154" s="75">
        <v>0.32</v>
      </c>
      <c r="C154" s="73" cm="1">
        <f t="array" aca="1" ref="C154" ca="1">IF(ISNUMBER(_xll.VoseSimPercentile(Out_Tot_T,0.32)),_xll.VoseSimPercentile(Out_Tot_T,0.32),NA())</f>
        <v>-18.180283150648549</v>
      </c>
    </row>
    <row r="155" spans="2:3" hidden="1" outlineLevel="1" x14ac:dyDescent="0.45">
      <c r="B155" s="75">
        <v>0.33</v>
      </c>
      <c r="C155" s="73" cm="1">
        <f t="array" aca="1" ref="C155" ca="1">IF(ISNUMBER(_xll.VoseSimPercentile(Out_Tot_T,0.33)),_xll.VoseSimPercentile(Out_Tot_T,0.33),NA())</f>
        <v>-17.244417238606843</v>
      </c>
    </row>
    <row r="156" spans="2:3" hidden="1" outlineLevel="1" x14ac:dyDescent="0.45">
      <c r="B156" s="75">
        <v>0.34</v>
      </c>
      <c r="C156" s="73" cm="1">
        <f t="array" aca="1" ref="C156" ca="1">IF(ISNUMBER(_xll.VoseSimPercentile(Out_Tot_T,0.34)),_xll.VoseSimPercentile(Out_Tot_T,0.34),NA())</f>
        <v>-16.310285007848584</v>
      </c>
    </row>
    <row r="157" spans="2:3" hidden="1" outlineLevel="1" x14ac:dyDescent="0.45">
      <c r="B157" s="75">
        <v>0.35</v>
      </c>
      <c r="C157" s="73" cm="1">
        <f t="array" aca="1" ref="C157" ca="1">IF(ISNUMBER(_xll.VoseSimPercentile(Out_Tot_T,0.35)),_xll.VoseSimPercentile(Out_Tot_T,0.35),NA())</f>
        <v>-15.376067223479886</v>
      </c>
    </row>
    <row r="158" spans="2:3" hidden="1" outlineLevel="1" x14ac:dyDescent="0.45">
      <c r="B158" s="75">
        <v>0.36</v>
      </c>
      <c r="C158" s="73" cm="1">
        <f t="array" aca="1" ref="C158" ca="1">IF(ISNUMBER(_xll.VoseSimPercentile(Out_Tot_T,0.36)),_xll.VoseSimPercentile(Out_Tot_T,0.36),NA())</f>
        <v>-14.459796718741551</v>
      </c>
    </row>
    <row r="159" spans="2:3" hidden="1" outlineLevel="1" x14ac:dyDescent="0.45">
      <c r="B159" s="75">
        <v>0.37</v>
      </c>
      <c r="C159" s="73" cm="1">
        <f t="array" aca="1" ref="C159" ca="1">IF(ISNUMBER(_xll.VoseSimPercentile(Out_Tot_T,0.37)),_xll.VoseSimPercentile(Out_Tot_T,0.37),NA())</f>
        <v>-13.547107138004755</v>
      </c>
    </row>
    <row r="160" spans="2:3" hidden="1" outlineLevel="1" x14ac:dyDescent="0.45">
      <c r="B160" s="75">
        <v>0.38</v>
      </c>
      <c r="C160" s="73" cm="1">
        <f t="array" aca="1" ref="C160" ca="1">IF(ISNUMBER(_xll.VoseSimPercentile(Out_Tot_T,0.38)),_xll.VoseSimPercentile(Out_Tot_T,0.38),NA())</f>
        <v>-12.610848121758806</v>
      </c>
    </row>
    <row r="161" spans="2:3" hidden="1" outlineLevel="1" x14ac:dyDescent="0.45">
      <c r="B161" s="75">
        <v>0.39</v>
      </c>
      <c r="C161" s="73" cm="1">
        <f t="array" aca="1" ref="C161" ca="1">IF(ISNUMBER(_xll.VoseSimPercentile(Out_Tot_T,0.39)),_xll.VoseSimPercentile(Out_Tot_T,0.39),NA())</f>
        <v>-11.67812752545121</v>
      </c>
    </row>
    <row r="162" spans="2:3" hidden="1" outlineLevel="1" x14ac:dyDescent="0.45">
      <c r="B162" s="75">
        <v>0.4</v>
      </c>
      <c r="C162" s="73" cm="1">
        <f t="array" aca="1" ref="C162" ca="1">IF(ISNUMBER(_xll.VoseSimPercentile(Out_Tot_T,0.4)),_xll.VoseSimPercentile(Out_Tot_T,0.4),NA())</f>
        <v>-10.771163805621939</v>
      </c>
    </row>
    <row r="163" spans="2:3" hidden="1" outlineLevel="1" x14ac:dyDescent="0.45">
      <c r="B163" s="75">
        <v>0.41</v>
      </c>
      <c r="C163" s="73" cm="1">
        <f t="array" aca="1" ref="C163" ca="1">IF(ISNUMBER(_xll.VoseSimPercentile(Out_Tot_T,0.41)),_xll.VoseSimPercentile(Out_Tot_T,0.41),NA())</f>
        <v>-9.9138224163139839</v>
      </c>
    </row>
    <row r="164" spans="2:3" hidden="1" outlineLevel="1" x14ac:dyDescent="0.45">
      <c r="B164" s="75">
        <v>0.42</v>
      </c>
      <c r="C164" s="73" cm="1">
        <f t="array" aca="1" ref="C164" ca="1">IF(ISNUMBER(_xll.VoseSimPercentile(Out_Tot_T,0.42)),_xll.VoseSimPercentile(Out_Tot_T,0.42),NA())</f>
        <v>-9.0738496095936583</v>
      </c>
    </row>
    <row r="165" spans="2:3" hidden="1" outlineLevel="1" x14ac:dyDescent="0.45">
      <c r="B165" s="75">
        <v>0.43</v>
      </c>
      <c r="C165" s="73" cm="1">
        <f t="array" aca="1" ref="C165" ca="1">IF(ISNUMBER(_xll.VoseSimPercentile(Out_Tot_T,0.43)),_xll.VoseSimPercentile(Out_Tot_T,0.43),NA())</f>
        <v>-8.1760557811886301</v>
      </c>
    </row>
    <row r="166" spans="2:3" hidden="1" outlineLevel="1" x14ac:dyDescent="0.45">
      <c r="B166" s="75">
        <v>0.44</v>
      </c>
      <c r="C166" s="73" cm="1">
        <f t="array" aca="1" ref="C166" ca="1">IF(ISNUMBER(_xll.VoseSimPercentile(Out_Tot_T,0.44)),_xll.VoseSimPercentile(Out_Tot_T,0.44),NA())</f>
        <v>-7.2488067582933127</v>
      </c>
    </row>
    <row r="167" spans="2:3" hidden="1" outlineLevel="1" x14ac:dyDescent="0.45">
      <c r="B167" s="75">
        <v>0.45</v>
      </c>
      <c r="C167" s="73" cm="1">
        <f t="array" aca="1" ref="C167" ca="1">IF(ISNUMBER(_xll.VoseSimPercentile(Out_Tot_T,0.45)),_xll.VoseSimPercentile(Out_Tot_T,0.45),NA())</f>
        <v>-6.3975810008794198</v>
      </c>
    </row>
    <row r="168" spans="2:3" hidden="1" outlineLevel="1" x14ac:dyDescent="0.45">
      <c r="B168" s="75">
        <v>0.46</v>
      </c>
      <c r="C168" s="73" cm="1">
        <f t="array" aca="1" ref="C168" ca="1">IF(ISNUMBER(_xll.VoseSimPercentile(Out_Tot_T,0.46)),_xll.VoseSimPercentile(Out_Tot_T,0.46),NA())</f>
        <v>-5.5821946181941939</v>
      </c>
    </row>
    <row r="169" spans="2:3" hidden="1" outlineLevel="1" x14ac:dyDescent="0.45">
      <c r="B169" s="75">
        <v>0.47</v>
      </c>
      <c r="C169" s="73" cm="1">
        <f t="array" aca="1" ref="C169" ca="1">IF(ISNUMBER(_xll.VoseSimPercentile(Out_Tot_T,0.47)),_xll.VoseSimPercentile(Out_Tot_T,0.47),NA())</f>
        <v>-4.7614239291784344</v>
      </c>
    </row>
    <row r="170" spans="2:3" hidden="1" outlineLevel="1" x14ac:dyDescent="0.45">
      <c r="B170" s="75">
        <v>0.48</v>
      </c>
      <c r="C170" s="73" cm="1">
        <f t="array" aca="1" ref="C170" ca="1">IF(ISNUMBER(_xll.VoseSimPercentile(Out_Tot_T,0.48)),_xll.VoseSimPercentile(Out_Tot_T,0.48),NA())</f>
        <v>-3.9052869655387958</v>
      </c>
    </row>
    <row r="171" spans="2:3" hidden="1" outlineLevel="1" x14ac:dyDescent="0.45">
      <c r="B171" s="75">
        <v>0.49</v>
      </c>
      <c r="C171" s="73" cm="1">
        <f t="array" aca="1" ref="C171" ca="1">IF(ISNUMBER(_xll.VoseSimPercentile(Out_Tot_T,0.49)),_xll.VoseSimPercentile(Out_Tot_T,0.49),NA())</f>
        <v>-3.0314335221472319</v>
      </c>
    </row>
    <row r="172" spans="2:3" hidden="1" outlineLevel="1" x14ac:dyDescent="0.45">
      <c r="B172" s="75">
        <v>0.5</v>
      </c>
      <c r="C172" s="73" cm="1">
        <f t="array" aca="1" ref="C172" ca="1">IF(ISNUMBER(_xll.VoseSimPercentile(Out_Tot_T,0.5)),_xll.VoseSimPercentile(Out_Tot_T,0.5),NA())</f>
        <v>-2.1593416402823635</v>
      </c>
    </row>
    <row r="173" spans="2:3" hidden="1" outlineLevel="1" x14ac:dyDescent="0.45">
      <c r="B173" s="75">
        <v>0.51</v>
      </c>
      <c r="C173" s="73" cm="1">
        <f t="array" aca="1" ref="C173" ca="1">IF(ISNUMBER(_xll.VoseSimPercentile(Out_Tot_T,0.51)),_xll.VoseSimPercentile(Out_Tot_T,0.51),NA())</f>
        <v>-1.2411617284817282</v>
      </c>
    </row>
    <row r="174" spans="2:3" hidden="1" outlineLevel="1" x14ac:dyDescent="0.45">
      <c r="B174" s="75">
        <v>0.52</v>
      </c>
      <c r="C174" s="73" cm="1">
        <f t="array" aca="1" ref="C174" ca="1">IF(ISNUMBER(_xll.VoseSimPercentile(Out_Tot_T,0.52)),_xll.VoseSimPercentile(Out_Tot_T,0.52),NA())</f>
        <v>-0.38011879941118565</v>
      </c>
    </row>
    <row r="175" spans="2:3" hidden="1" outlineLevel="1" x14ac:dyDescent="0.45">
      <c r="B175" s="75">
        <v>0.53</v>
      </c>
      <c r="C175" s="73" cm="1">
        <f t="array" aca="1" ref="C175" ca="1">IF(ISNUMBER(_xll.VoseSimPercentile(Out_Tot_T,0.53)),_xll.VoseSimPercentile(Out_Tot_T,0.53),NA())</f>
        <v>0.49623435772672053</v>
      </c>
    </row>
    <row r="176" spans="2:3" hidden="1" outlineLevel="1" x14ac:dyDescent="0.45">
      <c r="B176" s="75">
        <v>0.54</v>
      </c>
      <c r="C176" s="73" cm="1">
        <f t="array" aca="1" ref="C176" ca="1">IF(ISNUMBER(_xll.VoseSimPercentile(Out_Tot_T,0.54)),_xll.VoseSimPercentile(Out_Tot_T,0.54),NA())</f>
        <v>1.4544571190253421</v>
      </c>
    </row>
    <row r="177" spans="2:3" hidden="1" outlineLevel="1" x14ac:dyDescent="0.45">
      <c r="B177" s="75">
        <v>0.55000000000000004</v>
      </c>
      <c r="C177" s="73" cm="1">
        <f t="array" aca="1" ref="C177" ca="1">IF(ISNUMBER(_xll.VoseSimPercentile(Out_Tot_T,0.55)),_xll.VoseSimPercentile(Out_Tot_T,0.55),NA())</f>
        <v>2.3358368405170751</v>
      </c>
    </row>
    <row r="178" spans="2:3" hidden="1" outlineLevel="1" x14ac:dyDescent="0.45">
      <c r="B178" s="75">
        <v>0.56000000000000005</v>
      </c>
      <c r="C178" s="73" cm="1">
        <f t="array" aca="1" ref="C178" ca="1">IF(ISNUMBER(_xll.VoseSimPercentile(Out_Tot_T,0.56)),_xll.VoseSimPercentile(Out_Tot_T,0.56),NA())</f>
        <v>3.2013306103856927</v>
      </c>
    </row>
    <row r="179" spans="2:3" hidden="1" outlineLevel="1" x14ac:dyDescent="0.45">
      <c r="B179" s="75">
        <v>0.56999999999999995</v>
      </c>
      <c r="C179" s="73" cm="1">
        <f t="array" aca="1" ref="C179" ca="1">IF(ISNUMBER(_xll.VoseSimPercentile(Out_Tot_T,0.57)),_xll.VoseSimPercentile(Out_Tot_T,0.57),NA())</f>
        <v>4.1416772548544643</v>
      </c>
    </row>
    <row r="180" spans="2:3" hidden="1" outlineLevel="1" x14ac:dyDescent="0.45">
      <c r="B180" s="75">
        <v>0.57999999999999996</v>
      </c>
      <c r="C180" s="73" cm="1">
        <f t="array" aca="1" ref="C180" ca="1">IF(ISNUMBER(_xll.VoseSimPercentile(Out_Tot_T,0.58)),_xll.VoseSimPercentile(Out_Tot_T,0.58),NA())</f>
        <v>5.0857640768503813</v>
      </c>
    </row>
    <row r="181" spans="2:3" hidden="1" outlineLevel="1" x14ac:dyDescent="0.45">
      <c r="B181" s="75">
        <v>0.59</v>
      </c>
      <c r="C181" s="73" cm="1">
        <f t="array" aca="1" ref="C181" ca="1">IF(ISNUMBER(_xll.VoseSimPercentile(Out_Tot_T,0.59)),_xll.VoseSimPercentile(Out_Tot_T,0.59),NA())</f>
        <v>6.0607731275146435</v>
      </c>
    </row>
    <row r="182" spans="2:3" hidden="1" outlineLevel="1" x14ac:dyDescent="0.45">
      <c r="B182" s="75">
        <v>0.6</v>
      </c>
      <c r="C182" s="73" cm="1">
        <f t="array" aca="1" ref="C182" ca="1">IF(ISNUMBER(_xll.VoseSimPercentile(Out_Tot_T,0.6)),_xll.VoseSimPercentile(Out_Tot_T,0.6),NA())</f>
        <v>7.0609431407434897</v>
      </c>
    </row>
    <row r="183" spans="2:3" hidden="1" outlineLevel="1" x14ac:dyDescent="0.45">
      <c r="B183" s="75">
        <v>0.61</v>
      </c>
      <c r="C183" s="73" cm="1">
        <f t="array" aca="1" ref="C183" ca="1">IF(ISNUMBER(_xll.VoseSimPercentile(Out_Tot_T,0.61)),_xll.VoseSimPercentile(Out_Tot_T,0.61),NA())</f>
        <v>8.0324845977888089</v>
      </c>
    </row>
    <row r="184" spans="2:3" hidden="1" outlineLevel="1" x14ac:dyDescent="0.45">
      <c r="B184" s="75">
        <v>0.62</v>
      </c>
      <c r="C184" s="73" cm="1">
        <f t="array" aca="1" ref="C184" ca="1">IF(ISNUMBER(_xll.VoseSimPercentile(Out_Tot_T,0.62)),_xll.VoseSimPercentile(Out_Tot_T,0.62),NA())</f>
        <v>8.9609793232279742</v>
      </c>
    </row>
    <row r="185" spans="2:3" hidden="1" outlineLevel="1" x14ac:dyDescent="0.45">
      <c r="B185" s="75">
        <v>0.63</v>
      </c>
      <c r="C185" s="73" cm="1">
        <f t="array" aca="1" ref="C185" ca="1">IF(ISNUMBER(_xll.VoseSimPercentile(Out_Tot_T,0.63)),_xll.VoseSimPercentile(Out_Tot_T,0.63),NA())</f>
        <v>9.8719908643469054</v>
      </c>
    </row>
    <row r="186" spans="2:3" hidden="1" outlineLevel="1" x14ac:dyDescent="0.45">
      <c r="B186" s="75">
        <v>0.64</v>
      </c>
      <c r="C186" s="73" cm="1">
        <f t="array" aca="1" ref="C186" ca="1">IF(ISNUMBER(_xll.VoseSimPercentile(Out_Tot_T,0.64)),_xll.VoseSimPercentile(Out_Tot_T,0.64),NA())</f>
        <v>10.865842622348914</v>
      </c>
    </row>
    <row r="187" spans="2:3" hidden="1" outlineLevel="1" x14ac:dyDescent="0.45">
      <c r="B187" s="75">
        <v>0.65</v>
      </c>
      <c r="C187" s="73" cm="1">
        <f t="array" aca="1" ref="C187" ca="1">IF(ISNUMBER(_xll.VoseSimPercentile(Out_Tot_T,0.65)),_xll.VoseSimPercentile(Out_Tot_T,0.65),NA())</f>
        <v>11.798241571271014</v>
      </c>
    </row>
    <row r="188" spans="2:3" hidden="1" outlineLevel="1" x14ac:dyDescent="0.45">
      <c r="B188" s="75">
        <v>0.66</v>
      </c>
      <c r="C188" s="73" cm="1">
        <f t="array" aca="1" ref="C188" ca="1">IF(ISNUMBER(_xll.VoseSimPercentile(Out_Tot_T,0.66)),_xll.VoseSimPercentile(Out_Tot_T,0.66),NA())</f>
        <v>12.848680167870636</v>
      </c>
    </row>
    <row r="189" spans="2:3" hidden="1" outlineLevel="1" x14ac:dyDescent="0.45">
      <c r="B189" s="75">
        <v>0.67</v>
      </c>
      <c r="C189" s="73" cm="1">
        <f t="array" aca="1" ref="C189" ca="1">IF(ISNUMBER(_xll.VoseSimPercentile(Out_Tot_T,0.67)),_xll.VoseSimPercentile(Out_Tot_T,0.67),NA())</f>
        <v>13.903525719743527</v>
      </c>
    </row>
    <row r="190" spans="2:3" hidden="1" outlineLevel="1" x14ac:dyDescent="0.45">
      <c r="B190" s="75">
        <v>0.68</v>
      </c>
      <c r="C190" s="73" cm="1">
        <f t="array" aca="1" ref="C190" ca="1">IF(ISNUMBER(_xll.VoseSimPercentile(Out_Tot_T,0.68)),_xll.VoseSimPercentile(Out_Tot_T,0.68),NA())</f>
        <v>14.938236313092254</v>
      </c>
    </row>
    <row r="191" spans="2:3" hidden="1" outlineLevel="1" x14ac:dyDescent="0.45">
      <c r="B191" s="75">
        <v>0.69</v>
      </c>
      <c r="C191" s="73" cm="1">
        <f t="array" aca="1" ref="C191" ca="1">IF(ISNUMBER(_xll.VoseSimPercentile(Out_Tot_T,0.69)),_xll.VoseSimPercentile(Out_Tot_T,0.69),NA())</f>
        <v>15.940332170958087</v>
      </c>
    </row>
    <row r="192" spans="2:3" hidden="1" outlineLevel="1" x14ac:dyDescent="0.45">
      <c r="B192" s="75">
        <v>0.7</v>
      </c>
      <c r="C192" s="73" cm="1">
        <f t="array" aca="1" ref="C192" ca="1">IF(ISNUMBER(_xll.VoseSimPercentile(Out_Tot_T,0.7)),_xll.VoseSimPercentile(Out_Tot_T,0.7),NA())</f>
        <v>16.992584154468787</v>
      </c>
    </row>
    <row r="193" spans="2:3" hidden="1" outlineLevel="1" x14ac:dyDescent="0.45">
      <c r="B193" s="75">
        <v>0.71</v>
      </c>
      <c r="C193" s="73" cm="1">
        <f t="array" aca="1" ref="C193" ca="1">IF(ISNUMBER(_xll.VoseSimPercentile(Out_Tot_T,0.71)),_xll.VoseSimPercentile(Out_Tot_T,0.71),NA())</f>
        <v>18.184081920866866</v>
      </c>
    </row>
    <row r="194" spans="2:3" hidden="1" outlineLevel="1" x14ac:dyDescent="0.45">
      <c r="B194" s="75">
        <v>0.72</v>
      </c>
      <c r="C194" s="73" cm="1">
        <f t="array" aca="1" ref="C194" ca="1">IF(ISNUMBER(_xll.VoseSimPercentile(Out_Tot_T,0.72)),_xll.VoseSimPercentile(Out_Tot_T,0.72),NA())</f>
        <v>19.284881768675021</v>
      </c>
    </row>
    <row r="195" spans="2:3" hidden="1" outlineLevel="1" x14ac:dyDescent="0.45">
      <c r="B195" s="75">
        <v>0.73</v>
      </c>
      <c r="C195" s="73" cm="1">
        <f t="array" aca="1" ref="C195" ca="1">IF(ISNUMBER(_xll.VoseSimPercentile(Out_Tot_T,0.73)),_xll.VoseSimPercentile(Out_Tot_T,0.73),NA())</f>
        <v>20.430303030118687</v>
      </c>
    </row>
    <row r="196" spans="2:3" hidden="1" outlineLevel="1" x14ac:dyDescent="0.45">
      <c r="B196" s="75">
        <v>0.74</v>
      </c>
      <c r="C196" s="73" cm="1">
        <f t="array" aca="1" ref="C196" ca="1">IF(ISNUMBER(_xll.VoseSimPercentile(Out_Tot_T,0.74)),_xll.VoseSimPercentile(Out_Tot_T,0.74),NA())</f>
        <v>21.653503171154785</v>
      </c>
    </row>
    <row r="197" spans="2:3" hidden="1" outlineLevel="1" x14ac:dyDescent="0.45">
      <c r="B197" s="75">
        <v>0.75</v>
      </c>
      <c r="C197" s="73" cm="1">
        <f t="array" aca="1" ref="C197" ca="1">IF(ISNUMBER(_xll.VoseSimPercentile(Out_Tot_T,0.75)),_xll.VoseSimPercentile(Out_Tot_T,0.75),NA())</f>
        <v>22.77027912031204</v>
      </c>
    </row>
    <row r="198" spans="2:3" hidden="1" outlineLevel="1" x14ac:dyDescent="0.45">
      <c r="B198" s="75">
        <v>0.76</v>
      </c>
      <c r="C198" s="73" cm="1">
        <f t="array" aca="1" ref="C198" ca="1">IF(ISNUMBER(_xll.VoseSimPercentile(Out_Tot_T,0.76)),_xll.VoseSimPercentile(Out_Tot_T,0.76),NA())</f>
        <v>23.984190935331185</v>
      </c>
    </row>
    <row r="199" spans="2:3" hidden="1" outlineLevel="1" x14ac:dyDescent="0.45">
      <c r="B199" s="75">
        <v>0.77</v>
      </c>
      <c r="C199" s="73" cm="1">
        <f t="array" aca="1" ref="C199" ca="1">IF(ISNUMBER(_xll.VoseSimPercentile(Out_Tot_T,0.77)),_xll.VoseSimPercentile(Out_Tot_T,0.77),NA())</f>
        <v>25.337277483963341</v>
      </c>
    </row>
    <row r="200" spans="2:3" hidden="1" outlineLevel="1" x14ac:dyDescent="0.45">
      <c r="B200" s="75">
        <v>0.78</v>
      </c>
      <c r="C200" s="73" cm="1">
        <f t="array" aca="1" ref="C200" ca="1">IF(ISNUMBER(_xll.VoseSimPercentile(Out_Tot_T,0.78)),_xll.VoseSimPercentile(Out_Tot_T,0.78),NA())</f>
        <v>26.709707927271594</v>
      </c>
    </row>
    <row r="201" spans="2:3" hidden="1" outlineLevel="1" x14ac:dyDescent="0.45">
      <c r="B201" s="75">
        <v>0.79</v>
      </c>
      <c r="C201" s="73" cm="1">
        <f t="array" aca="1" ref="C201" ca="1">IF(ISNUMBER(_xll.VoseSimPercentile(Out_Tot_T,0.79)),_xll.VoseSimPercentile(Out_Tot_T,0.79),NA())</f>
        <v>28.02468708360621</v>
      </c>
    </row>
    <row r="202" spans="2:3" hidden="1" outlineLevel="1" x14ac:dyDescent="0.45">
      <c r="B202" s="75">
        <v>0.8</v>
      </c>
      <c r="C202" s="73" cm="1">
        <f t="array" aca="1" ref="C202" ca="1">IF(ISNUMBER(_xll.VoseSimPercentile(Out_Tot_T,0.8)),_xll.VoseSimPercentile(Out_Tot_T,0.8),NA())</f>
        <v>29.414445130271233</v>
      </c>
    </row>
    <row r="203" spans="2:3" hidden="1" outlineLevel="1" x14ac:dyDescent="0.45">
      <c r="B203" s="75">
        <v>0.81</v>
      </c>
      <c r="C203" s="73" cm="1">
        <f t="array" aca="1" ref="C203" ca="1">IF(ISNUMBER(_xll.VoseSimPercentile(Out_Tot_T,0.81)),_xll.VoseSimPercentile(Out_Tot_T,0.81),NA())</f>
        <v>30.968292619670152</v>
      </c>
    </row>
    <row r="204" spans="2:3" hidden="1" outlineLevel="1" x14ac:dyDescent="0.45">
      <c r="B204" s="75">
        <v>0.82</v>
      </c>
      <c r="C204" s="73" cm="1">
        <f t="array" aca="1" ref="C204" ca="1">IF(ISNUMBER(_xll.VoseSimPercentile(Out_Tot_T,0.82)),_xll.VoseSimPercentile(Out_Tot_T,0.82),NA())</f>
        <v>32.515263239023696</v>
      </c>
    </row>
    <row r="205" spans="2:3" hidden="1" outlineLevel="1" x14ac:dyDescent="0.45">
      <c r="B205" s="75">
        <v>0.83</v>
      </c>
      <c r="C205" s="73" cm="1">
        <f t="array" aca="1" ref="C205" ca="1">IF(ISNUMBER(_xll.VoseSimPercentile(Out_Tot_T,0.83)),_xll.VoseSimPercentile(Out_Tot_T,0.83),NA())</f>
        <v>34.270121020731416</v>
      </c>
    </row>
    <row r="206" spans="2:3" hidden="1" outlineLevel="1" x14ac:dyDescent="0.45">
      <c r="B206" s="75">
        <v>0.84</v>
      </c>
      <c r="C206" s="73" cm="1">
        <f t="array" aca="1" ref="C206" ca="1">IF(ISNUMBER(_xll.VoseSimPercentile(Out_Tot_T,0.84)),_xll.VoseSimPercentile(Out_Tot_T,0.84),NA())</f>
        <v>36.152880539022199</v>
      </c>
    </row>
    <row r="207" spans="2:3" hidden="1" outlineLevel="1" x14ac:dyDescent="0.45">
      <c r="B207" s="75">
        <v>0.85</v>
      </c>
      <c r="C207" s="73" cm="1">
        <f t="array" aca="1" ref="C207" ca="1">IF(ISNUMBER(_xll.VoseSimPercentile(Out_Tot_T,0.85)),_xll.VoseSimPercentile(Out_Tot_T,0.85),NA())</f>
        <v>37.961824475236646</v>
      </c>
    </row>
    <row r="208" spans="2:3" hidden="1" outlineLevel="1" x14ac:dyDescent="0.45">
      <c r="B208" s="75">
        <v>0.86</v>
      </c>
      <c r="C208" s="73" cm="1">
        <f t="array" aca="1" ref="C208" ca="1">IF(ISNUMBER(_xll.VoseSimPercentile(Out_Tot_T,0.86)),_xll.VoseSimPercentile(Out_Tot_T,0.86),NA())</f>
        <v>39.848991873697663</v>
      </c>
    </row>
    <row r="209" spans="2:7" hidden="1" outlineLevel="1" x14ac:dyDescent="0.45">
      <c r="B209" s="75">
        <v>0.87</v>
      </c>
      <c r="C209" s="73" cm="1">
        <f t="array" aca="1" ref="C209" ca="1">IF(ISNUMBER(_xll.VoseSimPercentile(Out_Tot_T,0.87)),_xll.VoseSimPercentile(Out_Tot_T,0.87),NA())</f>
        <v>41.825282560914083</v>
      </c>
    </row>
    <row r="210" spans="2:7" hidden="1" outlineLevel="1" x14ac:dyDescent="0.45">
      <c r="B210" s="75">
        <v>0.88</v>
      </c>
      <c r="C210" s="73" cm="1">
        <f t="array" aca="1" ref="C210" ca="1">IF(ISNUMBER(_xll.VoseSimPercentile(Out_Tot_T,0.88)),_xll.VoseSimPercentile(Out_Tot_T,0.88),NA())</f>
        <v>44.045139372187272</v>
      </c>
    </row>
    <row r="211" spans="2:7" hidden="1" outlineLevel="1" x14ac:dyDescent="0.45">
      <c r="B211" s="75">
        <v>0.89</v>
      </c>
      <c r="C211" s="73" cm="1">
        <f t="array" aca="1" ref="C211" ca="1">IF(ISNUMBER(_xll.VoseSimPercentile(Out_Tot_T,0.89)),_xll.VoseSimPercentile(Out_Tot_T,0.89),NA())</f>
        <v>46.401811634643593</v>
      </c>
    </row>
    <row r="212" spans="2:7" hidden="1" outlineLevel="1" x14ac:dyDescent="0.45">
      <c r="B212" s="75">
        <v>0.9</v>
      </c>
      <c r="C212" s="73" cm="1">
        <f t="array" aca="1" ref="C212" ca="1">IF(ISNUMBER(_xll.VoseSimPercentile(Out_Tot_T,0.9)),_xll.VoseSimPercentile(Out_Tot_T,0.9),NA())</f>
        <v>48.913374006551727</v>
      </c>
    </row>
    <row r="213" spans="2:7" hidden="1" outlineLevel="1" x14ac:dyDescent="0.45">
      <c r="B213" s="75">
        <v>0.91</v>
      </c>
      <c r="C213" s="73" cm="1">
        <f t="array" aca="1" ref="C213" ca="1">IF(ISNUMBER(_xll.VoseSimPercentile(Out_Tot_T,0.91)),_xll.VoseSimPercentile(Out_Tot_T,0.91),NA())</f>
        <v>51.817980485937014</v>
      </c>
    </row>
    <row r="214" spans="2:7" hidden="1" outlineLevel="1" x14ac:dyDescent="0.45">
      <c r="B214" s="75">
        <v>0.92</v>
      </c>
      <c r="C214" s="73" cm="1">
        <f t="array" aca="1" ref="C214" ca="1">IF(ISNUMBER(_xll.VoseSimPercentile(Out_Tot_T,0.92)),_xll.VoseSimPercentile(Out_Tot_T,0.92),NA())</f>
        <v>54.871215066708032</v>
      </c>
    </row>
    <row r="215" spans="2:7" hidden="1" outlineLevel="1" x14ac:dyDescent="0.45">
      <c r="B215" s="75">
        <v>0.93</v>
      </c>
      <c r="C215" s="73" cm="1">
        <f t="array" aca="1" ref="C215" ca="1">IF(ISNUMBER(_xll.VoseSimPercentile(Out_Tot_T,0.93)),_xll.VoseSimPercentile(Out_Tot_T,0.93),NA())</f>
        <v>58.348239318654294</v>
      </c>
    </row>
    <row r="216" spans="2:7" hidden="1" outlineLevel="1" x14ac:dyDescent="0.45">
      <c r="B216" s="75">
        <v>0.94</v>
      </c>
      <c r="C216" s="73" cm="1">
        <f t="array" aca="1" ref="C216" ca="1">IF(ISNUMBER(_xll.VoseSimPercentile(Out_Tot_T,0.94)),_xll.VoseSimPercentile(Out_Tot_T,0.94),NA())</f>
        <v>62.077920632535907</v>
      </c>
    </row>
    <row r="217" spans="2:7" hidden="1" outlineLevel="1" x14ac:dyDescent="0.45">
      <c r="B217" s="75">
        <v>0.95</v>
      </c>
      <c r="C217" s="73" cm="1">
        <f t="array" aca="1" ref="C217" ca="1">IF(ISNUMBER(_xll.VoseSimPercentile(Out_Tot_T,0.95)),_xll.VoseSimPercentile(Out_Tot_T,0.95),NA())</f>
        <v>66.861432287060964</v>
      </c>
    </row>
    <row r="218" spans="2:7" hidden="1" outlineLevel="1" x14ac:dyDescent="0.45">
      <c r="B218" s="75">
        <v>0.96</v>
      </c>
      <c r="C218" s="73" cm="1">
        <f t="array" aca="1" ref="C218" ca="1">IF(ISNUMBER(_xll.VoseSimPercentile(Out_Tot_T,0.96)),_xll.VoseSimPercentile(Out_Tot_T,0.96),NA())</f>
        <v>72.97192307563364</v>
      </c>
    </row>
    <row r="219" spans="2:7" hidden="1" outlineLevel="1" x14ac:dyDescent="0.45">
      <c r="B219" s="75">
        <v>0.97</v>
      </c>
      <c r="C219" s="73" cm="1">
        <f t="array" aca="1" ref="C219" ca="1">IF(ISNUMBER(_xll.VoseSimPercentile(Out_Tot_T,0.97)),_xll.VoseSimPercentile(Out_Tot_T,0.97),NA())</f>
        <v>80.404820281685289</v>
      </c>
    </row>
    <row r="220" spans="2:7" hidden="1" outlineLevel="1" x14ac:dyDescent="0.45">
      <c r="B220" s="75">
        <v>0.98</v>
      </c>
      <c r="C220" s="73" cm="1">
        <f t="array" aca="1" ref="C220" ca="1">IF(ISNUMBER(_xll.VoseSimPercentile(Out_Tot_T,0.98)),_xll.VoseSimPercentile(Out_Tot_T,0.98),NA())</f>
        <v>91.244313342078669</v>
      </c>
    </row>
    <row r="221" spans="2:7" hidden="1" outlineLevel="1" x14ac:dyDescent="0.45">
      <c r="B221" s="75">
        <v>0.99</v>
      </c>
      <c r="C221" s="73" cm="1">
        <f t="array" aca="1" ref="C221" ca="1">IF(ISNUMBER(_xll.VoseSimPercentile(Out_Tot_T,0.99)),_xll.VoseSimPercentile(Out_Tot_T,0.99),NA())</f>
        <v>109.44280620157558</v>
      </c>
    </row>
    <row r="222" spans="2:7" hidden="1" outlineLevel="1" x14ac:dyDescent="0.45">
      <c r="B222" s="75">
        <v>0.995</v>
      </c>
      <c r="C222" s="73" cm="1">
        <f t="array" aca="1" ref="C222" ca="1">IF(ISNUMBER(_xll.VoseSimPercentile(Out_Tot_T,0.995)),_xll.VoseSimPercentile(Out_Tot_T,0.995),NA())</f>
        <v>128.58818444799903</v>
      </c>
    </row>
    <row r="223" spans="2:7" hidden="1" outlineLevel="1" x14ac:dyDescent="0.45"/>
    <row r="224" spans="2:7" ht="18" hidden="1" customHeight="1" outlineLevel="1" x14ac:dyDescent="0.45">
      <c r="B224" s="23" t="s">
        <v>285</v>
      </c>
      <c r="C224" s="24" t="s">
        <v>286</v>
      </c>
      <c r="D224" s="24" t="s">
        <v>287</v>
      </c>
      <c r="E224" s="24" t="s">
        <v>288</v>
      </c>
      <c r="F224" s="24" t="s">
        <v>289</v>
      </c>
      <c r="G224" s="24" t="s">
        <v>290</v>
      </c>
    </row>
    <row r="225" spans="2:7" hidden="1" outlineLevel="1" x14ac:dyDescent="0.45">
      <c r="B225" s="76">
        <v>0</v>
      </c>
      <c r="C225" s="73">
        <f ca="1">IF(ISNUMBER($C$122),$C$122+($C$222-$C$122)*0/24,NA())</f>
        <v>-90.892363965394537</v>
      </c>
      <c r="D225" s="77">
        <f t="shared" ref="D225:D249" ca="1" si="3">IF(ISNUMBER(C225),MATCH(C225,$C$122:$C$222,1),NA())</f>
        <v>1</v>
      </c>
      <c r="E225" s="73">
        <f t="shared" ref="E225:E248" ca="1" si="4">IF(ISNUMBER(C225),(C225+C226)/2,NA())</f>
        <v>-86.319852540115505</v>
      </c>
      <c r="F225" s="75">
        <f t="shared" ref="F225:F248" ca="1" si="5">IF(ISNUMBER(G226),G226-G225,NA())</f>
        <v>5.0858650370670952E-3</v>
      </c>
      <c r="G225" s="75" cm="1">
        <f t="array" aca="1" ref="G225" ca="1">IF(ISNUMBER(D225),IF(D225&gt;=101,INDEX($B$122:$B$222,101),INDEX($B$122:$B$222,D225)+(C225-INDEX($C$122:$C$222,D225))/MAX(0.000000000001,INDEX($C$122:$C$222,D225+1)-INDEX($C$122:$C$222,D225))*(INDEX($B$122:$B$222,D225+1)-INDEX($B$122:$B$222,D225))),NA())</f>
        <v>5.0000000000000001E-3</v>
      </c>
    </row>
    <row r="226" spans="2:7" hidden="1" outlineLevel="1" x14ac:dyDescent="0.45">
      <c r="B226" s="76">
        <v>1</v>
      </c>
      <c r="C226" s="73">
        <f ca="1">IF(ISNUMBER($C$122),$C$122+($C$222-$C$122)*1/24,NA())</f>
        <v>-81.747341114836473</v>
      </c>
      <c r="D226" s="77">
        <f t="shared" ca="1" si="3"/>
        <v>2</v>
      </c>
      <c r="E226" s="73">
        <f t="shared" ca="1" si="4"/>
        <v>-77.174829689557441</v>
      </c>
      <c r="F226" s="75">
        <f t="shared" ca="1" si="5"/>
        <v>9.6669652965793544E-3</v>
      </c>
      <c r="G226" s="75" cm="1">
        <f t="array" aca="1" ref="G226" ca="1">IF(ISNUMBER(D226),IF(D226&gt;=101,INDEX($B$122:$B$222,101),INDEX($B$122:$B$222,D226)+(C226-INDEX($C$122:$C$222,D226))/MAX(0.000000000001,INDEX($C$122:$C$222,D226+1)-INDEX($C$122:$C$222,D226))*(INDEX($B$122:$B$222,D226+1)-INDEX($B$122:$B$222,D226))),NA())</f>
        <v>1.0085865037067095E-2</v>
      </c>
    </row>
    <row r="227" spans="2:7" hidden="1" outlineLevel="1" x14ac:dyDescent="0.45">
      <c r="B227" s="76">
        <v>2</v>
      </c>
      <c r="C227" s="73">
        <f ca="1">IF(ISNUMBER($C$122),$C$122+($C$222-$C$122)*2/24,NA())</f>
        <v>-72.602318264278409</v>
      </c>
      <c r="D227" s="77">
        <f t="shared" ca="1" si="3"/>
        <v>2</v>
      </c>
      <c r="E227" s="73">
        <f t="shared" ca="1" si="4"/>
        <v>-68.029806838999377</v>
      </c>
      <c r="F227" s="75">
        <f t="shared" ca="1" si="5"/>
        <v>1.6858043593435651E-2</v>
      </c>
      <c r="G227" s="75" cm="1">
        <f t="array" aca="1" ref="G227" ca="1">IF(ISNUMBER(D227),IF(D227&gt;=101,INDEX($B$122:$B$222,101),INDEX($B$122:$B$222,D227)+(C227-INDEX($C$122:$C$222,D227))/MAX(0.000000000001,INDEX($C$122:$C$222,D227+1)-INDEX($C$122:$C$222,D227))*(INDEX($B$122:$B$222,D227+1)-INDEX($B$122:$B$222,D227))),NA())</f>
        <v>1.975283033364645E-2</v>
      </c>
    </row>
    <row r="228" spans="2:7" hidden="1" outlineLevel="1" x14ac:dyDescent="0.45">
      <c r="B228" s="76">
        <v>3</v>
      </c>
      <c r="C228" s="73">
        <f ca="1">IF(ISNUMBER($C$122),$C$122+($C$222-$C$122)*3/24,NA())</f>
        <v>-63.457295413720345</v>
      </c>
      <c r="D228" s="77">
        <f t="shared" ca="1" si="3"/>
        <v>4</v>
      </c>
      <c r="E228" s="73">
        <f t="shared" ca="1" si="4"/>
        <v>-58.884783988441313</v>
      </c>
      <c r="F228" s="75">
        <f t="shared" ca="1" si="5"/>
        <v>2.7384514138861983E-2</v>
      </c>
      <c r="G228" s="75" cm="1">
        <f t="array" aca="1" ref="G228" ca="1">IF(ISNUMBER(D228),IF(D228&gt;=101,INDEX($B$122:$B$222,101),INDEX($B$122:$B$222,D228)+(C228-INDEX($C$122:$C$222,D228))/MAX(0.000000000001,INDEX($C$122:$C$222,D228+1)-INDEX($C$122:$C$222,D228))*(INDEX($B$122:$B$222,D228+1)-INDEX($B$122:$B$222,D228))),NA())</f>
        <v>3.6610873927082101E-2</v>
      </c>
    </row>
    <row r="229" spans="2:7" hidden="1" outlineLevel="1" x14ac:dyDescent="0.45">
      <c r="B229" s="76">
        <v>4</v>
      </c>
      <c r="C229" s="73">
        <f ca="1">IF(ISNUMBER($C$122),$C$122+($C$222-$C$122)*4/24,NA())</f>
        <v>-54.312272563162274</v>
      </c>
      <c r="D229" s="77">
        <f t="shared" ca="1" si="3"/>
        <v>7</v>
      </c>
      <c r="E229" s="73">
        <f t="shared" ca="1" si="4"/>
        <v>-49.739761137883242</v>
      </c>
      <c r="F229" s="75">
        <f t="shared" ca="1" si="5"/>
        <v>4.155977583341032E-2</v>
      </c>
      <c r="G229" s="75" cm="1">
        <f t="array" aca="1" ref="G229" ca="1">IF(ISNUMBER(D229),IF(D229&gt;=101,INDEX($B$122:$B$222,101),INDEX($B$122:$B$222,D229)+(C229-INDEX($C$122:$C$222,D229))/MAX(0.000000000001,INDEX($C$122:$C$222,D229+1)-INDEX($C$122:$C$222,D229))*(INDEX($B$122:$B$222,D229+1)-INDEX($B$122:$B$222,D229))),NA())</f>
        <v>6.3995388065944084E-2</v>
      </c>
    </row>
    <row r="230" spans="2:7" hidden="1" outlineLevel="1" x14ac:dyDescent="0.45">
      <c r="B230" s="76">
        <v>5</v>
      </c>
      <c r="C230" s="73">
        <f ca="1">IF(ISNUMBER($C$122),$C$122+($C$222-$C$122)*5/24,NA())</f>
        <v>-45.16724971260421</v>
      </c>
      <c r="D230" s="77">
        <f t="shared" ca="1" si="3"/>
        <v>11</v>
      </c>
      <c r="E230" s="73">
        <f t="shared" ca="1" si="4"/>
        <v>-40.594738287325178</v>
      </c>
      <c r="F230" s="75">
        <f t="shared" ca="1" si="5"/>
        <v>5.6690096927156736E-2</v>
      </c>
      <c r="G230" s="75" cm="1">
        <f t="array" aca="1" ref="G230" ca="1">IF(ISNUMBER(D230),IF(D230&gt;=101,INDEX($B$122:$B$222,101),INDEX($B$122:$B$222,D230)+(C230-INDEX($C$122:$C$222,D230))/MAX(0.000000000001,INDEX($C$122:$C$222,D230+1)-INDEX($C$122:$C$222,D230))*(INDEX($B$122:$B$222,D230+1)-INDEX($B$122:$B$222,D230))),NA())</f>
        <v>0.1055551638993544</v>
      </c>
    </row>
    <row r="231" spans="2:7" hidden="1" outlineLevel="1" x14ac:dyDescent="0.45">
      <c r="B231" s="76">
        <v>6</v>
      </c>
      <c r="C231" s="73">
        <f ca="1">IF(ISNUMBER($C$122),$C$122+($C$222-$C$122)*6/24,NA())</f>
        <v>-36.022226862046146</v>
      </c>
      <c r="D231" s="77">
        <f t="shared" ca="1" si="3"/>
        <v>17</v>
      </c>
      <c r="E231" s="73">
        <f t="shared" ca="1" si="4"/>
        <v>-31.449715436767111</v>
      </c>
      <c r="F231" s="75">
        <f t="shared" ca="1" si="5"/>
        <v>7.408036455450473E-2</v>
      </c>
      <c r="G231" s="75" cm="1">
        <f t="array" aca="1" ref="G231" ca="1">IF(ISNUMBER(D231),IF(D231&gt;=101,INDEX($B$122:$B$222,101),INDEX($B$122:$B$222,D231)+(C231-INDEX($C$122:$C$222,D231))/MAX(0.000000000001,INDEX($C$122:$C$222,D231+1)-INDEX($C$122:$C$222,D231))*(INDEX($B$122:$B$222,D231+1)-INDEX($B$122:$B$222,D231))),NA())</f>
        <v>0.16224526082651114</v>
      </c>
    </row>
    <row r="232" spans="2:7" hidden="1" outlineLevel="1" x14ac:dyDescent="0.45">
      <c r="B232" s="76">
        <v>7</v>
      </c>
      <c r="C232" s="73">
        <f ca="1">IF(ISNUMBER($C$122),$C$122+($C$222-$C$122)*7/24,NA())</f>
        <v>-26.877204011488075</v>
      </c>
      <c r="D232" s="77">
        <f t="shared" ca="1" si="3"/>
        <v>24</v>
      </c>
      <c r="E232" s="73">
        <f t="shared" ca="1" si="4"/>
        <v>-22.304692586209043</v>
      </c>
      <c r="F232" s="75">
        <f t="shared" ca="1" si="5"/>
        <v>8.8462474964908167E-2</v>
      </c>
      <c r="G232" s="75" cm="1">
        <f t="array" aca="1" ref="G232" ca="1">IF(ISNUMBER(D232),IF(D232&gt;=101,INDEX($B$122:$B$222,101),INDEX($B$122:$B$222,D232)+(C232-INDEX($C$122:$C$222,D232))/MAX(0.000000000001,INDEX($C$122:$C$222,D232+1)-INDEX($C$122:$C$222,D232))*(INDEX($B$122:$B$222,D232+1)-INDEX($B$122:$B$222,D232))),NA())</f>
        <v>0.23632562538101587</v>
      </c>
    </row>
    <row r="233" spans="2:7" hidden="1" outlineLevel="1" x14ac:dyDescent="0.45">
      <c r="B233" s="76">
        <v>8</v>
      </c>
      <c r="C233" s="73">
        <f ca="1">IF(ISNUMBER($C$122),$C$122+($C$222-$C$122)*8/24,NA())</f>
        <v>-17.732181160930011</v>
      </c>
      <c r="D233" s="77">
        <f t="shared" ca="1" si="3"/>
        <v>33</v>
      </c>
      <c r="E233" s="73">
        <f t="shared" ca="1" si="4"/>
        <v>-13.159669735650979</v>
      </c>
      <c r="F233" s="75">
        <f t="shared" ca="1" si="5"/>
        <v>0.10063286918876679</v>
      </c>
      <c r="G233" s="75" cm="1">
        <f t="array" aca="1" ref="G233" ca="1">IF(ISNUMBER(D233),IF(D233&gt;=101,INDEX($B$122:$B$222,101),INDEX($B$122:$B$222,D233)+(C233-INDEX($C$122:$C$222,D233))/MAX(0.000000000001,INDEX($C$122:$C$222,D233+1)-INDEX($C$122:$C$222,D233))*(INDEX($B$122:$B$222,D233+1)-INDEX($B$122:$B$222,D233))),NA())</f>
        <v>0.32478810034592404</v>
      </c>
    </row>
    <row r="234" spans="2:7" hidden="1" outlineLevel="1" x14ac:dyDescent="0.45">
      <c r="B234" s="76">
        <v>9</v>
      </c>
      <c r="C234" s="73">
        <f ca="1">IF(ISNUMBER($C$122),$C$122+($C$222-$C$122)*9/24,NA())</f>
        <v>-8.5871583103719473</v>
      </c>
      <c r="D234" s="77">
        <f t="shared" ca="1" si="3"/>
        <v>43</v>
      </c>
      <c r="E234" s="73">
        <f t="shared" ca="1" si="4"/>
        <v>-4.0146468850929153</v>
      </c>
      <c r="F234" s="75">
        <f t="shared" ca="1" si="5"/>
        <v>0.10522220223025319</v>
      </c>
      <c r="G234" s="75" cm="1">
        <f t="array" aca="1" ref="G234" ca="1">IF(ISNUMBER(D234),IF(D234&gt;=101,INDEX($B$122:$B$222,101),INDEX($B$122:$B$222,D234)+(C234-INDEX($C$122:$C$222,D234))/MAX(0.000000000001,INDEX($C$122:$C$222,D234+1)-INDEX($C$122:$C$222,D234))*(INDEX($B$122:$B$222,D234+1)-INDEX($B$122:$B$222,D234))),NA())</f>
        <v>0.42542096953469083</v>
      </c>
    </row>
    <row r="235" spans="2:7" hidden="1" outlineLevel="1" x14ac:dyDescent="0.45">
      <c r="B235" s="76">
        <v>10</v>
      </c>
      <c r="C235" s="73">
        <f ca="1">IF(ISNUMBER($C$122),$C$122+($C$222-$C$122)*10/24,NA())</f>
        <v>0.55786454018611664</v>
      </c>
      <c r="D235" s="77">
        <f t="shared" ca="1" si="3"/>
        <v>54</v>
      </c>
      <c r="E235" s="73">
        <f t="shared" ca="1" si="4"/>
        <v>5.1303759654651486</v>
      </c>
      <c r="F235" s="75">
        <f t="shared" ca="1" si="5"/>
        <v>9.7500611645362389E-2</v>
      </c>
      <c r="G235" s="75" cm="1">
        <f t="array" aca="1" ref="G235" ca="1">IF(ISNUMBER(D235),IF(D235&gt;=101,INDEX($B$122:$B$222,101),INDEX($B$122:$B$222,D235)+(C235-INDEX($C$122:$C$222,D235))/MAX(0.000000000001,INDEX($C$122:$C$222,D235+1)-INDEX($C$122:$C$222,D235))*(INDEX($B$122:$B$222,D235+1)-INDEX($B$122:$B$222,D235))),NA())</f>
        <v>0.53064317176494402</v>
      </c>
    </row>
    <row r="236" spans="2:7" hidden="1" outlineLevel="1" x14ac:dyDescent="0.45">
      <c r="B236" s="76">
        <v>11</v>
      </c>
      <c r="C236" s="73">
        <f ca="1">IF(ISNUMBER($C$122),$C$122+($C$222-$C$122)*11/24,NA())</f>
        <v>9.7028873907441806</v>
      </c>
      <c r="D236" s="77">
        <f t="shared" ca="1" si="3"/>
        <v>63</v>
      </c>
      <c r="E236" s="73">
        <f t="shared" ca="1" si="4"/>
        <v>14.275398816023213</v>
      </c>
      <c r="F236" s="75">
        <f t="shared" ca="1" si="5"/>
        <v>8.7886634578550948E-2</v>
      </c>
      <c r="G236" s="75" cm="1">
        <f t="array" aca="1" ref="G236" ca="1">IF(ISNUMBER(D236),IF(D236&gt;=101,INDEX($B$122:$B$222,101),INDEX($B$122:$B$222,D236)+(C236-INDEX($C$122:$C$222,D236))/MAX(0.000000000001,INDEX($C$122:$C$222,D236+1)-INDEX($C$122:$C$222,D236))*(INDEX($B$122:$B$222,D236+1)-INDEX($B$122:$B$222,D236))),NA())</f>
        <v>0.62814378341030641</v>
      </c>
    </row>
    <row r="237" spans="2:7" hidden="1" outlineLevel="1" x14ac:dyDescent="0.45">
      <c r="B237" s="76">
        <v>12</v>
      </c>
      <c r="C237" s="73">
        <f ca="1">IF(ISNUMBER($C$122),$C$122+($C$222-$C$122)*12/24,NA())</f>
        <v>18.847910241302245</v>
      </c>
      <c r="D237" s="77">
        <f t="shared" ca="1" si="3"/>
        <v>72</v>
      </c>
      <c r="E237" s="73">
        <f t="shared" ca="1" si="4"/>
        <v>23.420421666581277</v>
      </c>
      <c r="F237" s="75">
        <f t="shared" ca="1" si="5"/>
        <v>7.3728102961129305E-2</v>
      </c>
      <c r="G237" s="75" cm="1">
        <f t="array" aca="1" ref="G237" ca="1">IF(ISNUMBER(D237),IF(D237&gt;=101,INDEX($B$122:$B$222,101),INDEX($B$122:$B$222,D237)+(C237-INDEX($C$122:$C$222,D237))/MAX(0.000000000001,INDEX($C$122:$C$222,D237+1)-INDEX($C$122:$C$222,D237))*(INDEX($B$122:$B$222,D237+1)-INDEX($B$122:$B$222,D237))),NA())</f>
        <v>0.71603041798885736</v>
      </c>
    </row>
    <row r="238" spans="2:7" hidden="1" outlineLevel="1" x14ac:dyDescent="0.45">
      <c r="B238" s="76">
        <v>13</v>
      </c>
      <c r="C238" s="73">
        <f ca="1">IF(ISNUMBER($C$122),$C$122+($C$222-$C$122)*13/24,NA())</f>
        <v>27.992933091860309</v>
      </c>
      <c r="D238" s="77">
        <f t="shared" ca="1" si="3"/>
        <v>79</v>
      </c>
      <c r="E238" s="73">
        <f t="shared" ca="1" si="4"/>
        <v>32.565444517139348</v>
      </c>
      <c r="F238" s="75">
        <f t="shared" ca="1" si="5"/>
        <v>5.5687061876961708E-2</v>
      </c>
      <c r="G238" s="75" cm="1">
        <f t="array" aca="1" ref="G238" ca="1">IF(ISNUMBER(D238),IF(D238&gt;=101,INDEX($B$122:$B$222,101),INDEX($B$122:$B$222,D238)+(C238-INDEX($C$122:$C$222,D238))/MAX(0.000000000001,INDEX($C$122:$C$222,D238+1)-INDEX($C$122:$C$222,D238))*(INDEX($B$122:$B$222,D238+1)-INDEX($B$122:$B$222,D238))),NA())</f>
        <v>0.78975852094998666</v>
      </c>
    </row>
    <row r="239" spans="2:7" hidden="1" outlineLevel="1" x14ac:dyDescent="0.45">
      <c r="B239" s="76">
        <v>14</v>
      </c>
      <c r="C239" s="73">
        <f ca="1">IF(ISNUMBER($C$122),$C$122+($C$222-$C$122)*14/24,NA())</f>
        <v>37.137955942418387</v>
      </c>
      <c r="D239" s="77">
        <f t="shared" ca="1" si="3"/>
        <v>85</v>
      </c>
      <c r="E239" s="73">
        <f t="shared" ca="1" si="4"/>
        <v>41.710467367697419</v>
      </c>
      <c r="F239" s="75">
        <f t="shared" ca="1" si="5"/>
        <v>4.4050177175151917E-2</v>
      </c>
      <c r="G239" s="75" cm="1">
        <f t="array" aca="1" ref="G239" ca="1">IF(ISNUMBER(D239),IF(D239&gt;=101,INDEX($B$122:$B$222,101),INDEX($B$122:$B$222,D239)+(C239-INDEX($C$122:$C$222,D239))/MAX(0.000000000001,INDEX($C$122:$C$222,D239+1)-INDEX($C$122:$C$222,D239))*(INDEX($B$122:$B$222,D239+1)-INDEX($B$122:$B$222,D239))),NA())</f>
        <v>0.84544558282694837</v>
      </c>
    </row>
    <row r="240" spans="2:7" hidden="1" outlineLevel="1" x14ac:dyDescent="0.45">
      <c r="B240" s="76">
        <v>15</v>
      </c>
      <c r="C240" s="73">
        <f ca="1">IF(ISNUMBER($C$122),$C$122+($C$222-$C$122)*15/24,NA())</f>
        <v>46.282978792976451</v>
      </c>
      <c r="D240" s="77">
        <f t="shared" ca="1" si="3"/>
        <v>89</v>
      </c>
      <c r="E240" s="73">
        <f t="shared" ca="1" si="4"/>
        <v>50.855490218255483</v>
      </c>
      <c r="F240" s="75">
        <f t="shared" ca="1" si="5"/>
        <v>3.2105570723490184E-2</v>
      </c>
      <c r="G240" s="75" cm="1">
        <f t="array" aca="1" ref="G240" ca="1">IF(ISNUMBER(D240),IF(D240&gt;=101,INDEX($B$122:$B$222,101),INDEX($B$122:$B$222,D240)+(C240-INDEX($C$122:$C$222,D240))/MAX(0.000000000001,INDEX($C$122:$C$222,D240+1)-INDEX($C$122:$C$222,D240))*(INDEX($B$122:$B$222,D240+1)-INDEX($B$122:$B$222,D240))),NA())</f>
        <v>0.88949576000210029</v>
      </c>
    </row>
    <row r="241" spans="2:7" hidden="1" outlineLevel="1" x14ac:dyDescent="0.45">
      <c r="B241" s="76">
        <v>16</v>
      </c>
      <c r="C241" s="73">
        <f ca="1">IF(ISNUMBER($C$122),$C$122+($C$222-$C$122)*16/24,NA())</f>
        <v>55.428001643534515</v>
      </c>
      <c r="D241" s="77">
        <f t="shared" ca="1" si="3"/>
        <v>93</v>
      </c>
      <c r="E241" s="73">
        <f t="shared" ca="1" si="4"/>
        <v>60.000513068813547</v>
      </c>
      <c r="F241" s="75">
        <f t="shared" ca="1" si="5"/>
        <v>2.3614719828391917E-2</v>
      </c>
      <c r="G241" s="75" cm="1">
        <f t="array" aca="1" ref="G241" ca="1">IF(ISNUMBER(D241),IF(D241&gt;=101,INDEX($B$122:$B$222,101),INDEX($B$122:$B$222,D241)+(C241-INDEX($C$122:$C$222,D241))/MAX(0.000000000001,INDEX($C$122:$C$222,D241+1)-INDEX($C$122:$C$222,D241))*(INDEX($B$122:$B$222,D241+1)-INDEX($B$122:$B$222,D241))),NA())</f>
        <v>0.92160133072559047</v>
      </c>
    </row>
    <row r="242" spans="2:7" hidden="1" outlineLevel="1" x14ac:dyDescent="0.45">
      <c r="B242" s="76">
        <v>17</v>
      </c>
      <c r="C242" s="73">
        <f ca="1">IF(ISNUMBER($C$122),$C$122+($C$222-$C$122)*17/24,NA())</f>
        <v>64.573024494092579</v>
      </c>
      <c r="D242" s="77">
        <f t="shared" ca="1" si="3"/>
        <v>95</v>
      </c>
      <c r="E242" s="73">
        <f t="shared" ca="1" si="4"/>
        <v>69.145535919371611</v>
      </c>
      <c r="F242" s="75">
        <f t="shared" ca="1" si="5"/>
        <v>1.578776296359119E-2</v>
      </c>
      <c r="G242" s="75" cm="1">
        <f t="array" aca="1" ref="G242" ca="1">IF(ISNUMBER(D242),IF(D242&gt;=101,INDEX($B$122:$B$222,101),INDEX($B$122:$B$222,D242)+(C242-INDEX($C$122:$C$222,D242))/MAX(0.000000000001,INDEX($C$122:$C$222,D242+1)-INDEX($C$122:$C$222,D242))*(INDEX($B$122:$B$222,D242+1)-INDEX($B$122:$B$222,D242))),NA())</f>
        <v>0.94521605055398239</v>
      </c>
    </row>
    <row r="243" spans="2:7" hidden="1" outlineLevel="1" x14ac:dyDescent="0.45">
      <c r="B243" s="76">
        <v>18</v>
      </c>
      <c r="C243" s="73">
        <f ca="1">IF(ISNUMBER($C$122),$C$122+($C$222-$C$122)*18/24,NA())</f>
        <v>73.718047344650643</v>
      </c>
      <c r="D243" s="77">
        <f t="shared" ca="1" si="3"/>
        <v>97</v>
      </c>
      <c r="E243" s="73">
        <f t="shared" ca="1" si="4"/>
        <v>78.290558769929675</v>
      </c>
      <c r="F243" s="75">
        <f t="shared" ca="1" si="5"/>
        <v>1.1264050763373001E-2</v>
      </c>
      <c r="G243" s="75" cm="1">
        <f t="array" aca="1" ref="G243" ca="1">IF(ISNUMBER(D243),IF(D243&gt;=101,INDEX($B$122:$B$222,101),INDEX($B$122:$B$222,D243)+(C243-INDEX($C$122:$C$222,D243))/MAX(0.000000000001,INDEX($C$122:$C$222,D243+1)-INDEX($C$122:$C$222,D243))*(INDEX($B$122:$B$222,D243+1)-INDEX($B$122:$B$222,D243))),NA())</f>
        <v>0.96100381351757358</v>
      </c>
    </row>
    <row r="244" spans="2:7" hidden="1" outlineLevel="1" x14ac:dyDescent="0.45">
      <c r="B244" s="76">
        <v>19</v>
      </c>
      <c r="C244" s="73">
        <f ca="1">IF(ISNUMBER($C$122),$C$122+($C$222-$C$122)*19/24,NA())</f>
        <v>82.863070195208707</v>
      </c>
      <c r="D244" s="77">
        <f t="shared" ca="1" si="3"/>
        <v>98</v>
      </c>
      <c r="E244" s="73">
        <f t="shared" ca="1" si="4"/>
        <v>87.435581620487739</v>
      </c>
      <c r="F244" s="75">
        <f t="shared" ca="1" si="5"/>
        <v>8.1518296517240074E-3</v>
      </c>
      <c r="G244" s="75" cm="1">
        <f t="array" aca="1" ref="G244" ca="1">IF(ISNUMBER(D244),IF(D244&gt;=101,INDEX($B$122:$B$222,101),INDEX($B$122:$B$222,D244)+(C244-INDEX($C$122:$C$222,D244))/MAX(0.000000000001,INDEX($C$122:$C$222,D244+1)-INDEX($C$122:$C$222,D244))*(INDEX($B$122:$B$222,D244+1)-INDEX($B$122:$B$222,D244))),NA())</f>
        <v>0.97226786428094658</v>
      </c>
    </row>
    <row r="245" spans="2:7" hidden="1" outlineLevel="1" x14ac:dyDescent="0.45">
      <c r="B245" s="76">
        <v>20</v>
      </c>
      <c r="C245" s="73">
        <f ca="1">IF(ISNUMBER($C$122),$C$122+($C$222-$C$122)*20/24,NA())</f>
        <v>92.008093045766771</v>
      </c>
      <c r="D245" s="77">
        <f t="shared" ca="1" si="3"/>
        <v>99</v>
      </c>
      <c r="E245" s="73">
        <f t="shared" ca="1" si="4"/>
        <v>96.580604471045802</v>
      </c>
      <c r="F245" s="75">
        <f t="shared" ca="1" si="5"/>
        <v>5.0251539625633113E-3</v>
      </c>
      <c r="G245" s="75" cm="1">
        <f t="array" aca="1" ref="G245" ca="1">IF(ISNUMBER(D245),IF(D245&gt;=101,INDEX($B$122:$B$222,101),INDEX($B$122:$B$222,D245)+(C245-INDEX($C$122:$C$222,D245))/MAX(0.000000000001,INDEX($C$122:$C$222,D245+1)-INDEX($C$122:$C$222,D245))*(INDEX($B$122:$B$222,D245+1)-INDEX($B$122:$B$222,D245))),NA())</f>
        <v>0.98041969393267059</v>
      </c>
    </row>
    <row r="246" spans="2:7" hidden="1" outlineLevel="1" x14ac:dyDescent="0.45">
      <c r="B246" s="76">
        <v>21</v>
      </c>
      <c r="C246" s="73">
        <f ca="1">IF(ISNUMBER($C$122),$C$122+($C$222-$C$122)*21/24,NA())</f>
        <v>101.15311589632483</v>
      </c>
      <c r="D246" s="77">
        <f t="shared" ca="1" si="3"/>
        <v>99</v>
      </c>
      <c r="E246" s="73">
        <f t="shared" ca="1" si="4"/>
        <v>105.72562732160387</v>
      </c>
      <c r="F246" s="75">
        <f t="shared" ca="1" si="5"/>
        <v>4.7785304403357154E-3</v>
      </c>
      <c r="G246" s="75" cm="1">
        <f t="array" aca="1" ref="G246" ca="1">IF(ISNUMBER(D246),IF(D246&gt;=101,INDEX($B$122:$B$222,101),INDEX($B$122:$B$222,D246)+(C246-INDEX($C$122:$C$222,D246))/MAX(0.000000000001,INDEX($C$122:$C$222,D246+1)-INDEX($C$122:$C$222,D246))*(INDEX($B$122:$B$222,D246+1)-INDEX($B$122:$B$222,D246))),NA())</f>
        <v>0.9854448478952339</v>
      </c>
    </row>
    <row r="247" spans="2:7" hidden="1" outlineLevel="1" x14ac:dyDescent="0.45">
      <c r="B247" s="76">
        <v>22</v>
      </c>
      <c r="C247" s="73">
        <f ca="1">IF(ISNUMBER($C$122),$C$122+($C$222-$C$122)*22/24,NA())</f>
        <v>110.2981387468829</v>
      </c>
      <c r="D247" s="77">
        <f t="shared" ca="1" si="3"/>
        <v>100</v>
      </c>
      <c r="E247" s="73">
        <f t="shared" ca="1" si="4"/>
        <v>114.87065017216193</v>
      </c>
      <c r="F247" s="75">
        <f t="shared" ca="1" si="5"/>
        <v>2.3883108322151347E-3</v>
      </c>
      <c r="G247" s="75" cm="1">
        <f t="array" aca="1" ref="G247" ca="1">IF(ISNUMBER(D247),IF(D247&gt;=101,INDEX($B$122:$B$222,101),INDEX($B$122:$B$222,D247)+(C247-INDEX($C$122:$C$222,D247))/MAX(0.000000000001,INDEX($C$122:$C$222,D247+1)-INDEX($C$122:$C$222,D247))*(INDEX($B$122:$B$222,D247+1)-INDEX($B$122:$B$222,D247))),NA())</f>
        <v>0.99022337833556962</v>
      </c>
    </row>
    <row r="248" spans="2:7" hidden="1" outlineLevel="1" x14ac:dyDescent="0.45">
      <c r="B248" s="76">
        <v>23</v>
      </c>
      <c r="C248" s="73">
        <f ca="1">IF(ISNUMBER($C$122),$C$122+($C$222-$C$122)*23/24,NA())</f>
        <v>119.44316159744096</v>
      </c>
      <c r="D248" s="77">
        <f t="shared" ca="1" si="3"/>
        <v>100</v>
      </c>
      <c r="E248" s="73">
        <f t="shared" ca="1" si="4"/>
        <v>124.01567302271999</v>
      </c>
      <c r="F248" s="75">
        <f t="shared" ca="1" si="5"/>
        <v>2.3883108322152458E-3</v>
      </c>
      <c r="G248" s="75" cm="1">
        <f t="array" aca="1" ref="G248" ca="1">IF(ISNUMBER(D248),IF(D248&gt;=101,INDEX($B$122:$B$222,101),INDEX($B$122:$B$222,D248)+(C248-INDEX($C$122:$C$222,D248))/MAX(0.000000000001,INDEX($C$122:$C$222,D248+1)-INDEX($C$122:$C$222,D248))*(INDEX($B$122:$B$222,D248+1)-INDEX($B$122:$B$222,D248))),NA())</f>
        <v>0.99261168916778475</v>
      </c>
    </row>
    <row r="249" spans="2:7" hidden="1" outlineLevel="1" x14ac:dyDescent="0.45">
      <c r="B249" s="76">
        <v>24</v>
      </c>
      <c r="C249" s="73">
        <f ca="1">IF(ISNUMBER($C$122),$C$122+($C$222-$C$122)*24/24,NA())</f>
        <v>128.58818444799903</v>
      </c>
      <c r="D249" s="77">
        <f t="shared" ca="1" si="3"/>
        <v>101</v>
      </c>
      <c r="G249" s="75" cm="1">
        <f t="array" aca="1" ref="G249" ca="1">IF(ISNUMBER(D249),IF(D249&gt;=101,INDEX($B$122:$B$222,101),INDEX($B$122:$B$222,D249)+(C249-INDEX($C$122:$C$222,D249))/MAX(0.000000000001,INDEX($C$122:$C$222,D249+1)-INDEX($C$122:$C$222,D249))*(INDEX($B$122:$B$222,D249+1)-INDEX($B$122:$B$222,D249))),NA())</f>
        <v>0.995</v>
      </c>
    </row>
  </sheetData>
  <mergeCells count="6">
    <mergeCell ref="B51:G51"/>
    <mergeCell ref="B54:G54"/>
    <mergeCell ref="B49:G49"/>
    <mergeCell ref="B50:G50"/>
    <mergeCell ref="B52:G52"/>
    <mergeCell ref="B53:G53"/>
  </mergeCells>
  <conditionalFormatting sqref="B7">
    <cfRule type="expression" dxfId="4" priority="2">
      <formula>LEFT($B$7,1)="✗"</formula>
    </cfRule>
  </conditionalFormatting>
  <conditionalFormatting sqref="B6:G6">
    <cfRule type="expression" dxfId="3" priority="1">
      <formula>LEFT($B$6,1)&lt;&gt;"✔"</formula>
    </cfRule>
  </conditionalFormatting>
  <conditionalFormatting sqref="C122:G249">
    <cfRule type="expression" dxfId="2" priority="5">
      <formula>ISNA($C$122)</formula>
    </cfRule>
  </conditionalFormatting>
  <conditionalFormatting sqref="D60:D109">
    <cfRule type="expression" dxfId="1" priority="3">
      <formula>ISNA(D60)</formula>
    </cfRule>
  </conditionalFormatting>
  <conditionalFormatting sqref="D112:F119">
    <cfRule type="expression" dxfId="0" priority="4">
      <formula>ISNA(D112)</formula>
    </cfRule>
  </conditionalFormatting>
  <hyperlinks>
    <hyperlink ref="B4" location="'Capital'!A1" display="◂  Capital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47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E8CB4-26CE-41A2-865E-5992208946AB}">
  <dimension ref="A1:B1"/>
  <sheetViews>
    <sheetView workbookViewId="0"/>
  </sheetViews>
  <sheetFormatPr defaultRowHeight="14.25" x14ac:dyDescent="0.45"/>
  <sheetData>
    <row r="1" spans="1:2" x14ac:dyDescent="0.45">
      <c r="A1" s="82" t="s">
        <v>291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86908-8A23-4A7D-AF14-EA1CF98C397E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E0CFC-00E8-429A-B33C-CE0F128966D1}">
  <dimension ref="B3:B142"/>
  <sheetViews>
    <sheetView workbookViewId="0"/>
  </sheetViews>
  <sheetFormatPr defaultRowHeight="14.25" x14ac:dyDescent="0.45"/>
  <sheetData>
    <row r="3" spans="2:2" x14ac:dyDescent="0.45">
      <c r="B3">
        <v>411</v>
      </c>
    </row>
    <row r="4" spans="2:2" x14ac:dyDescent="0.45">
      <c r="B4">
        <v>1341</v>
      </c>
    </row>
    <row r="5" spans="2:2" x14ac:dyDescent="0.45">
      <c r="B5">
        <v>233</v>
      </c>
    </row>
    <row r="6" spans="2:2" x14ac:dyDescent="0.45">
      <c r="B6">
        <v>11</v>
      </c>
    </row>
    <row r="7" spans="2:2" x14ac:dyDescent="0.45">
      <c r="B7">
        <v>3</v>
      </c>
    </row>
    <row r="8" spans="2:2" x14ac:dyDescent="0.45">
      <c r="B8">
        <v>0</v>
      </c>
    </row>
    <row r="9" spans="2:2" x14ac:dyDescent="0.45">
      <c r="B9">
        <v>0</v>
      </c>
    </row>
    <row r="10" spans="2:2" x14ac:dyDescent="0.45">
      <c r="B10">
        <v>0</v>
      </c>
    </row>
    <row r="11" spans="2:2" x14ac:dyDescent="0.45">
      <c r="B11">
        <v>0</v>
      </c>
    </row>
    <row r="12" spans="2:2" x14ac:dyDescent="0.45">
      <c r="B12">
        <v>1</v>
      </c>
    </row>
    <row r="13" spans="2:2" x14ac:dyDescent="0.45">
      <c r="B13">
        <v>101</v>
      </c>
    </row>
    <row r="14" spans="2:2" x14ac:dyDescent="0.45">
      <c r="B14">
        <v>917</v>
      </c>
    </row>
    <row r="15" spans="2:2" x14ac:dyDescent="0.45">
      <c r="B15">
        <v>842</v>
      </c>
    </row>
    <row r="16" spans="2:2" x14ac:dyDescent="0.45">
      <c r="B16">
        <v>130</v>
      </c>
    </row>
    <row r="17" spans="2:2" x14ac:dyDescent="0.45">
      <c r="B17">
        <v>7</v>
      </c>
    </row>
    <row r="18" spans="2:2" x14ac:dyDescent="0.45">
      <c r="B18">
        <v>2</v>
      </c>
    </row>
    <row r="19" spans="2:2" x14ac:dyDescent="0.45">
      <c r="B19">
        <v>0</v>
      </c>
    </row>
    <row r="20" spans="2:2" x14ac:dyDescent="0.45">
      <c r="B20">
        <v>0</v>
      </c>
    </row>
    <row r="21" spans="2:2" x14ac:dyDescent="0.45">
      <c r="B21">
        <v>0</v>
      </c>
    </row>
    <row r="22" spans="2:2" x14ac:dyDescent="0.45">
      <c r="B22">
        <v>1</v>
      </c>
    </row>
    <row r="23" spans="2:2" x14ac:dyDescent="0.45">
      <c r="B23">
        <v>32</v>
      </c>
    </row>
    <row r="24" spans="2:2" x14ac:dyDescent="0.45">
      <c r="B24">
        <v>866</v>
      </c>
    </row>
    <row r="25" spans="2:2" x14ac:dyDescent="0.45">
      <c r="B25">
        <v>985</v>
      </c>
    </row>
    <row r="26" spans="2:2" x14ac:dyDescent="0.45">
      <c r="B26">
        <v>107</v>
      </c>
    </row>
    <row r="27" spans="2:2" x14ac:dyDescent="0.45">
      <c r="B27">
        <v>9</v>
      </c>
    </row>
    <row r="28" spans="2:2" x14ac:dyDescent="0.45">
      <c r="B28">
        <v>0</v>
      </c>
    </row>
    <row r="29" spans="2:2" x14ac:dyDescent="0.45">
      <c r="B29">
        <v>0</v>
      </c>
    </row>
    <row r="30" spans="2:2" x14ac:dyDescent="0.45">
      <c r="B30">
        <v>0</v>
      </c>
    </row>
    <row r="31" spans="2:2" x14ac:dyDescent="0.45">
      <c r="B31">
        <v>0</v>
      </c>
    </row>
    <row r="32" spans="2:2" x14ac:dyDescent="0.45">
      <c r="B32">
        <v>1</v>
      </c>
    </row>
    <row r="33" spans="2:2" x14ac:dyDescent="0.45">
      <c r="B33">
        <v>6</v>
      </c>
    </row>
    <row r="34" spans="2:2" x14ac:dyDescent="0.45">
      <c r="B34">
        <v>103</v>
      </c>
    </row>
    <row r="35" spans="2:2" x14ac:dyDescent="0.45">
      <c r="B35">
        <v>336</v>
      </c>
    </row>
    <row r="36" spans="2:2" x14ac:dyDescent="0.45">
      <c r="B36">
        <v>645</v>
      </c>
    </row>
    <row r="37" spans="2:2" x14ac:dyDescent="0.45">
      <c r="B37">
        <v>503</v>
      </c>
    </row>
    <row r="38" spans="2:2" x14ac:dyDescent="0.45">
      <c r="B38">
        <v>284</v>
      </c>
    </row>
    <row r="39" spans="2:2" x14ac:dyDescent="0.45">
      <c r="B39">
        <v>96</v>
      </c>
    </row>
    <row r="40" spans="2:2" x14ac:dyDescent="0.45">
      <c r="B40">
        <v>23</v>
      </c>
    </row>
    <row r="41" spans="2:2" x14ac:dyDescent="0.45">
      <c r="B41">
        <v>2</v>
      </c>
    </row>
    <row r="42" spans="2:2" x14ac:dyDescent="0.45">
      <c r="B42">
        <v>2</v>
      </c>
    </row>
    <row r="43" spans="2:2" x14ac:dyDescent="0.45">
      <c r="B43">
        <v>6</v>
      </c>
    </row>
    <row r="44" spans="2:2" x14ac:dyDescent="0.45">
      <c r="B44">
        <v>106</v>
      </c>
    </row>
    <row r="45" spans="2:2" x14ac:dyDescent="0.45">
      <c r="B45">
        <v>440</v>
      </c>
    </row>
    <row r="46" spans="2:2" x14ac:dyDescent="0.45">
      <c r="B46">
        <v>670</v>
      </c>
    </row>
    <row r="47" spans="2:2" x14ac:dyDescent="0.45">
      <c r="B47">
        <v>485</v>
      </c>
    </row>
    <row r="48" spans="2:2" x14ac:dyDescent="0.45">
      <c r="B48">
        <v>206</v>
      </c>
    </row>
    <row r="49" spans="2:2" x14ac:dyDescent="0.45">
      <c r="B49">
        <v>67</v>
      </c>
    </row>
    <row r="50" spans="2:2" x14ac:dyDescent="0.45">
      <c r="B50">
        <v>15</v>
      </c>
    </row>
    <row r="51" spans="2:2" x14ac:dyDescent="0.45">
      <c r="B51">
        <v>4</v>
      </c>
    </row>
    <row r="52" spans="2:2" x14ac:dyDescent="0.45">
      <c r="B52">
        <v>1</v>
      </c>
    </row>
    <row r="53" spans="2:2" x14ac:dyDescent="0.45">
      <c r="B53">
        <v>30</v>
      </c>
    </row>
    <row r="54" spans="2:2" x14ac:dyDescent="0.45">
      <c r="B54">
        <v>275</v>
      </c>
    </row>
    <row r="55" spans="2:2" x14ac:dyDescent="0.45">
      <c r="B55">
        <v>664</v>
      </c>
    </row>
    <row r="56" spans="2:2" x14ac:dyDescent="0.45">
      <c r="B56">
        <v>562</v>
      </c>
    </row>
    <row r="57" spans="2:2" x14ac:dyDescent="0.45">
      <c r="B57">
        <v>309</v>
      </c>
    </row>
    <row r="58" spans="2:2" x14ac:dyDescent="0.45">
      <c r="B58">
        <v>117</v>
      </c>
    </row>
    <row r="59" spans="2:2" x14ac:dyDescent="0.45">
      <c r="B59">
        <v>36</v>
      </c>
    </row>
    <row r="60" spans="2:2" x14ac:dyDescent="0.45">
      <c r="B60">
        <v>5</v>
      </c>
    </row>
    <row r="61" spans="2:2" x14ac:dyDescent="0.45">
      <c r="B61">
        <v>0</v>
      </c>
    </row>
    <row r="62" spans="2:2" x14ac:dyDescent="0.45">
      <c r="B62">
        <v>2</v>
      </c>
    </row>
    <row r="63" spans="2:2" x14ac:dyDescent="0.45">
      <c r="B63">
        <v>7</v>
      </c>
    </row>
    <row r="64" spans="2:2" x14ac:dyDescent="0.45">
      <c r="B64">
        <v>80</v>
      </c>
    </row>
    <row r="65" spans="2:2" x14ac:dyDescent="0.45">
      <c r="B65">
        <v>297</v>
      </c>
    </row>
    <row r="66" spans="2:2" x14ac:dyDescent="0.45">
      <c r="B66">
        <v>558</v>
      </c>
    </row>
    <row r="67" spans="2:2" x14ac:dyDescent="0.45">
      <c r="B67">
        <v>543</v>
      </c>
    </row>
    <row r="68" spans="2:2" x14ac:dyDescent="0.45">
      <c r="B68">
        <v>331</v>
      </c>
    </row>
    <row r="69" spans="2:2" x14ac:dyDescent="0.45">
      <c r="B69">
        <v>142</v>
      </c>
    </row>
    <row r="70" spans="2:2" x14ac:dyDescent="0.45">
      <c r="B70">
        <v>36</v>
      </c>
    </row>
    <row r="71" spans="2:2" x14ac:dyDescent="0.45">
      <c r="B71">
        <v>3</v>
      </c>
    </row>
    <row r="72" spans="2:2" x14ac:dyDescent="0.45">
      <c r="B72">
        <v>3</v>
      </c>
    </row>
    <row r="73" spans="2:2" x14ac:dyDescent="0.45">
      <c r="B73">
        <v>1970</v>
      </c>
    </row>
    <row r="74" spans="2:2" x14ac:dyDescent="0.45">
      <c r="B74">
        <v>23</v>
      </c>
    </row>
    <row r="75" spans="2:2" x14ac:dyDescent="0.45">
      <c r="B75">
        <v>4</v>
      </c>
    </row>
    <row r="76" spans="2:2" x14ac:dyDescent="0.45">
      <c r="B76">
        <v>2</v>
      </c>
    </row>
    <row r="77" spans="2:2" x14ac:dyDescent="0.45">
      <c r="B77">
        <v>0</v>
      </c>
    </row>
    <row r="78" spans="2:2" x14ac:dyDescent="0.45">
      <c r="B78">
        <v>0</v>
      </c>
    </row>
    <row r="79" spans="2:2" x14ac:dyDescent="0.45">
      <c r="B79">
        <v>0</v>
      </c>
    </row>
    <row r="80" spans="2:2" x14ac:dyDescent="0.45">
      <c r="B80">
        <v>0</v>
      </c>
    </row>
    <row r="81" spans="2:2" x14ac:dyDescent="0.45">
      <c r="B81">
        <v>0</v>
      </c>
    </row>
    <row r="82" spans="2:2" x14ac:dyDescent="0.45">
      <c r="B82">
        <v>1</v>
      </c>
    </row>
    <row r="83" spans="2:2" x14ac:dyDescent="0.45">
      <c r="B83">
        <v>1974</v>
      </c>
    </row>
    <row r="84" spans="2:2" x14ac:dyDescent="0.45">
      <c r="B84">
        <v>0</v>
      </c>
    </row>
    <row r="85" spans="2:2" x14ac:dyDescent="0.45">
      <c r="B85">
        <v>0</v>
      </c>
    </row>
    <row r="86" spans="2:2" x14ac:dyDescent="0.45">
      <c r="B86">
        <v>0</v>
      </c>
    </row>
    <row r="87" spans="2:2" x14ac:dyDescent="0.45">
      <c r="B87">
        <v>0</v>
      </c>
    </row>
    <row r="88" spans="2:2" x14ac:dyDescent="0.45">
      <c r="B88">
        <v>0</v>
      </c>
    </row>
    <row r="89" spans="2:2" x14ac:dyDescent="0.45">
      <c r="B89">
        <v>0</v>
      </c>
    </row>
    <row r="90" spans="2:2" x14ac:dyDescent="0.45">
      <c r="B90">
        <v>0</v>
      </c>
    </row>
    <row r="91" spans="2:2" x14ac:dyDescent="0.45">
      <c r="B91">
        <v>0</v>
      </c>
    </row>
    <row r="92" spans="2:2" x14ac:dyDescent="0.45">
      <c r="B92">
        <v>26</v>
      </c>
    </row>
    <row r="93" spans="2:2" x14ac:dyDescent="0.45">
      <c r="B93">
        <v>1978</v>
      </c>
    </row>
    <row r="94" spans="2:2" x14ac:dyDescent="0.45">
      <c r="B94">
        <v>4</v>
      </c>
    </row>
    <row r="95" spans="2:2" x14ac:dyDescent="0.45">
      <c r="B95">
        <v>2</v>
      </c>
    </row>
    <row r="96" spans="2:2" x14ac:dyDescent="0.45">
      <c r="B96">
        <v>4</v>
      </c>
    </row>
    <row r="97" spans="2:2" x14ac:dyDescent="0.45">
      <c r="B97">
        <v>3</v>
      </c>
    </row>
    <row r="98" spans="2:2" x14ac:dyDescent="0.45">
      <c r="B98">
        <v>3</v>
      </c>
    </row>
    <row r="99" spans="2:2" x14ac:dyDescent="0.45">
      <c r="B99">
        <v>3</v>
      </c>
    </row>
    <row r="100" spans="2:2" x14ac:dyDescent="0.45">
      <c r="B100">
        <v>1</v>
      </c>
    </row>
    <row r="101" spans="2:2" x14ac:dyDescent="0.45">
      <c r="B101">
        <v>0</v>
      </c>
    </row>
    <row r="102" spans="2:2" x14ac:dyDescent="0.45">
      <c r="B102">
        <v>2</v>
      </c>
    </row>
    <row r="103" spans="2:2" x14ac:dyDescent="0.45">
      <c r="B103">
        <v>1</v>
      </c>
    </row>
    <row r="104" spans="2:2" x14ac:dyDescent="0.45">
      <c r="B104">
        <v>3</v>
      </c>
    </row>
    <row r="105" spans="2:2" x14ac:dyDescent="0.45">
      <c r="B105">
        <v>3</v>
      </c>
    </row>
    <row r="106" spans="2:2" x14ac:dyDescent="0.45">
      <c r="B106">
        <v>1975</v>
      </c>
    </row>
    <row r="107" spans="2:2" x14ac:dyDescent="0.45">
      <c r="B107">
        <v>8</v>
      </c>
    </row>
    <row r="108" spans="2:2" x14ac:dyDescent="0.45">
      <c r="B108">
        <v>5</v>
      </c>
    </row>
    <row r="109" spans="2:2" x14ac:dyDescent="0.45">
      <c r="B109">
        <v>3</v>
      </c>
    </row>
    <row r="110" spans="2:2" x14ac:dyDescent="0.45">
      <c r="B110">
        <v>1</v>
      </c>
    </row>
    <row r="111" spans="2:2" x14ac:dyDescent="0.45">
      <c r="B111">
        <v>0</v>
      </c>
    </row>
    <row r="112" spans="2:2" x14ac:dyDescent="0.45">
      <c r="B112">
        <v>1</v>
      </c>
    </row>
    <row r="113" spans="2:2" x14ac:dyDescent="0.45">
      <c r="B113">
        <v>1977</v>
      </c>
    </row>
    <row r="114" spans="2:2" x14ac:dyDescent="0.45">
      <c r="B114">
        <v>3</v>
      </c>
    </row>
    <row r="115" spans="2:2" x14ac:dyDescent="0.45">
      <c r="B115">
        <v>2</v>
      </c>
    </row>
    <row r="116" spans="2:2" x14ac:dyDescent="0.45">
      <c r="B116">
        <v>5</v>
      </c>
    </row>
    <row r="117" spans="2:2" x14ac:dyDescent="0.45">
      <c r="B117">
        <v>3</v>
      </c>
    </row>
    <row r="118" spans="2:2" x14ac:dyDescent="0.45">
      <c r="B118">
        <v>4</v>
      </c>
    </row>
    <row r="119" spans="2:2" x14ac:dyDescent="0.45">
      <c r="B119">
        <v>3</v>
      </c>
    </row>
    <row r="120" spans="2:2" x14ac:dyDescent="0.45">
      <c r="B120">
        <v>1</v>
      </c>
    </row>
    <row r="121" spans="2:2" x14ac:dyDescent="0.45">
      <c r="B121">
        <v>1</v>
      </c>
    </row>
    <row r="122" spans="2:2" x14ac:dyDescent="0.45">
      <c r="B122">
        <v>1</v>
      </c>
    </row>
    <row r="123" spans="2:2" x14ac:dyDescent="0.45">
      <c r="B123">
        <v>2</v>
      </c>
    </row>
    <row r="124" spans="2:2" x14ac:dyDescent="0.45">
      <c r="B124">
        <v>1976</v>
      </c>
    </row>
    <row r="125" spans="2:2" x14ac:dyDescent="0.45">
      <c r="B125">
        <v>1</v>
      </c>
    </row>
    <row r="126" spans="2:2" x14ac:dyDescent="0.45">
      <c r="B126">
        <v>2</v>
      </c>
    </row>
    <row r="127" spans="2:2" x14ac:dyDescent="0.45">
      <c r="B127">
        <v>6</v>
      </c>
    </row>
    <row r="128" spans="2:2" x14ac:dyDescent="0.45">
      <c r="B128">
        <v>2</v>
      </c>
    </row>
    <row r="129" spans="2:2" x14ac:dyDescent="0.45">
      <c r="B129">
        <v>5</v>
      </c>
    </row>
    <row r="130" spans="2:2" x14ac:dyDescent="0.45">
      <c r="B130">
        <v>3</v>
      </c>
    </row>
    <row r="131" spans="2:2" x14ac:dyDescent="0.45">
      <c r="B131">
        <v>1</v>
      </c>
    </row>
    <row r="132" spans="2:2" x14ac:dyDescent="0.45">
      <c r="B132">
        <v>2</v>
      </c>
    </row>
    <row r="133" spans="2:2" x14ac:dyDescent="0.45">
      <c r="B133">
        <v>1990</v>
      </c>
    </row>
    <row r="134" spans="2:2" x14ac:dyDescent="0.45">
      <c r="B134">
        <v>5</v>
      </c>
    </row>
    <row r="135" spans="2:2" x14ac:dyDescent="0.45">
      <c r="B135">
        <v>3</v>
      </c>
    </row>
    <row r="136" spans="2:2" x14ac:dyDescent="0.45">
      <c r="B136">
        <v>1</v>
      </c>
    </row>
    <row r="137" spans="2:2" x14ac:dyDescent="0.45">
      <c r="B137">
        <v>0</v>
      </c>
    </row>
    <row r="138" spans="2:2" x14ac:dyDescent="0.45">
      <c r="B138">
        <v>0</v>
      </c>
    </row>
    <row r="139" spans="2:2" x14ac:dyDescent="0.45">
      <c r="B139">
        <v>0</v>
      </c>
    </row>
    <row r="140" spans="2:2" x14ac:dyDescent="0.45">
      <c r="B140">
        <v>0</v>
      </c>
    </row>
    <row r="141" spans="2:2" x14ac:dyDescent="0.45">
      <c r="B141">
        <v>0</v>
      </c>
    </row>
    <row r="142" spans="2:2" x14ac:dyDescent="0.45">
      <c r="B142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1884">PABGAEkATABUAEUAUgBTAD4ADQAKADwALwBDAE4AVAA6ADAADQAKAEYASQBMAFQARQBSAFMAPgANAAoAPABQAEEARwBFAFMAPgANAAoAQwBOAFQAOgAz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+AA0ACgBOADoAMwANAAoAVABZAFAARQA6ADIADQAKAE4ATQA6AEgAaQBzAHQAbwBnAHIAYQBtADMADQAKAFMASQBNAEkARAA6ADAADQAKAFMARQBMAFMAOgAwAA0ACgBDAFUAUgBTAEUATAA6ADAADQAKADwATwBQAFQASQBPAE4AUwA+AA0ACgBDAE4AVAA6ADgADQAKAE4ATQA6AEMAaABhAHIAdABfAFQAaQB0AGwAZQANAAoAVABQADoAMgANAAoAVgBBAEwAOgANAAoATgBNADoAcwBsAGkAZABlAHIAcwANAAoAVABQADoAMAANAAoAVgBBAEwAOgAxAA0ACgBOAE0AOgBzAGwAaQBkAGUAcgBzAF8AYwB1AG0AdQBsAA0ACgBUAFAAOgAwAA0ACgBWAEEATAA6ADAADQAKAE4ATQA6AGwAZQBnAGUAbgBkAA0ACgBUAFAAOgAwAA0ACgBWAEEATAA6ADAADQAKAE4ATQA6AE4AQgBhAHIAcwANAAoAVABQADoAMAANAAoAVgBBAEwAOgAtADEADQAKAE4ATQA6AEwAaQBuAGUAcwANAAoAVABQADoAMAANAAoAVgBBAEwAOgAwAA0ACgBOAE0AOgBZAEwAYQBiAGUAbAANAAoAVABQADoAMgANAAoAVgBBAEwAOgANAAoATgBNADoATwB2AGUAcgBsAGEAeQBWAGEAcgBzAA0ACgBUAFAAOgAwAA0ACgBWAEEATAA6ADMADQAKADwALwBPAFAAVABJAE8ATgBTAD4ADQAKADwALwBQAEEARwBFAFMAPgANAAoA</mr:Charts>
</mr:ModelRisk>
</file>

<file path=customXml/itemProps1.xml><?xml version="1.0" encoding="utf-8"?>
<ds:datastoreItem xmlns:ds="http://schemas.openxmlformats.org/officeDocument/2006/customXml" ds:itemID="{5B9680EE-495F-4CCF-AE34-BB060E27B1A0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57</vt:i4>
      </vt:variant>
    </vt:vector>
  </HeadingPairs>
  <TitlesOfParts>
    <vt:vector size="64" baseType="lpstr">
      <vt:lpstr>About</vt:lpstr>
      <vt:lpstr>Inputs</vt:lpstr>
      <vt:lpstr>Capital</vt:lpstr>
      <vt:lpstr>Results</vt:lpstr>
      <vt:lpstr>ModelRiskDSN</vt:lpstr>
      <vt:lpstr>ModelRiskSYS1</vt:lpstr>
      <vt:lpstr>ModelRiskCharts</vt:lpstr>
      <vt:lpstr>Bad_Cat</vt:lpstr>
      <vt:lpstr>Bad_Liab</vt:lpstr>
      <vt:lpstr>Bad_Mot</vt:lpstr>
      <vt:lpstr>Bad_Prop</vt:lpstr>
      <vt:lpstr>Bad_Res</vt:lpstr>
      <vt:lpstr>BadYear</vt:lpstr>
      <vt:lpstr>C_Liab_Res</vt:lpstr>
      <vt:lpstr>C_Mot_Liab</vt:lpstr>
      <vt:lpstr>C_Mot_Prop</vt:lpstr>
      <vt:lpstr>C_Mot_Res</vt:lpstr>
      <vt:lpstr>C_Prop_Liab</vt:lpstr>
      <vt:lpstr>C_Prop_Res</vt:lpstr>
      <vt:lpstr>CatB</vt:lpstr>
      <vt:lpstr>CatLam</vt:lpstr>
      <vt:lpstr>CatMoments</vt:lpstr>
      <vt:lpstr>CatQ</vt:lpstr>
      <vt:lpstr>Checks</vt:lpstr>
      <vt:lpstr>CorrEigen</vt:lpstr>
      <vt:lpstr>CorrMatrix</vt:lpstr>
      <vt:lpstr>CV_Liab</vt:lpstr>
      <vt:lpstr>CV_Mot</vt:lpstr>
      <vt:lpstr>CV_Prop</vt:lpstr>
      <vt:lpstr>IsBad</vt:lpstr>
      <vt:lpstr>Loss_Cat</vt:lpstr>
      <vt:lpstr>Loss_Liab</vt:lpstr>
      <vt:lpstr>Loss_Mot</vt:lpstr>
      <vt:lpstr>Loss_Prop</vt:lpstr>
      <vt:lpstr>Loss_Res</vt:lpstr>
      <vt:lpstr>LR_Liab</vt:lpstr>
      <vt:lpstr>LR_Mot</vt:lpstr>
      <vt:lpstr>LR_Prop</vt:lpstr>
      <vt:lpstr>NuCop</vt:lpstr>
      <vt:lpstr>Out_Bad_Cat</vt:lpstr>
      <vt:lpstr>Out_Bad_Liab</vt:lpstr>
      <vt:lpstr>Out_Bad_Mot</vt:lpstr>
      <vt:lpstr>Out_Bad_Prop</vt:lpstr>
      <vt:lpstr>Out_Bad_Res</vt:lpstr>
      <vt:lpstr>Out_Cat</vt:lpstr>
      <vt:lpstr>Out_IsBad</vt:lpstr>
      <vt:lpstr>Out_Liab</vt:lpstr>
      <vt:lpstr>Out_Mot</vt:lpstr>
      <vt:lpstr>Out_Prop</vt:lpstr>
      <vt:lpstr>Out_Res</vt:lpstr>
      <vt:lpstr>Out_Tot_I</vt:lpstr>
      <vt:lpstr>Out_Tot_N</vt:lpstr>
      <vt:lpstr>Out_Tot_T</vt:lpstr>
      <vt:lpstr>Prem_Liab</vt:lpstr>
      <vt:lpstr>Prem_Mot</vt:lpstr>
      <vt:lpstr>Prem_Prop</vt:lpstr>
      <vt:lpstr>Results!Print_Area</vt:lpstr>
      <vt:lpstr>Inputs!Print_Titles</vt:lpstr>
      <vt:lpstr>Results!Print_Titles</vt:lpstr>
      <vt:lpstr>ResAmt</vt:lpstr>
      <vt:lpstr>ResCV</vt:lpstr>
      <vt:lpstr>Tot_I</vt:lpstr>
      <vt:lpstr>Tot_N</vt:lpstr>
      <vt:lpstr>Tot_T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IN-07 Capital Requirement and Diversification</dc:title>
  <dc:subject>ModelRisk industry example library — Insurance</dc:subject>
  <dc:creator>Vose Software</dc:creator>
  <cp:keywords>ModelRisk; Monte Carlo; Insurance</cp:keywords>
  <dc:description>An insurer's 1-in-200 capital with five risks joined by copulas: diversification, tail dependence, the square-root formula and capital allocation.</dc:description>
  <cp:lastModifiedBy>Timour Koupeev</cp:lastModifiedBy>
  <cp:lastPrinted>2026-10-05T15:29:08Z</cp:lastPrinted>
  <dcterms:created xsi:type="dcterms:W3CDTF">2026-10-05T15:15:13Z</dcterms:created>
  <dcterms:modified xsi:type="dcterms:W3CDTF">2026-10-05T15:29:10Z</dcterms:modified>
</cp:coreProperties>
</file>