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Insurance\"/>
    </mc:Choice>
  </mc:AlternateContent>
  <xr:revisionPtr revIDLastSave="0" documentId="8_{4D450838-B24A-4561-8C77-921A6D76071F}"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ricing" sheetId="3" r:id="rId3"/>
    <sheet name="Results" sheetId="4" r:id="rId4"/>
    <sheet name="ModelRiskDSN" sheetId="5" state="hidden" r:id="rId5"/>
    <sheet name="ModelRiskSYS1" sheetId="6" state="hidden" r:id="rId6"/>
    <sheet name="ModelRiskCharts" sheetId="7" state="hidden" r:id="rId7"/>
  </sheets>
  <definedNames>
    <definedName name="AggSDA">Pricing!$D$21</definedName>
    <definedName name="AggSDB">Pricing!$E$21</definedName>
    <definedName name="AlphaSD">Inputs!$D$26</definedName>
    <definedName name="Calc75_A">Pricing!$D$23</definedName>
    <definedName name="Calc75_B">Pricing!$E$23</definedName>
    <definedName name="Calc95_A">Pricing!$D$24</definedName>
    <definedName name="Calc95_B">Pricing!$E$24</definedName>
    <definedName name="Checks">Pricing!$D$61:$D$64</definedName>
    <definedName name="Claims_A">Pricing!$D$49</definedName>
    <definedName name="Claims_B">Pricing!$D$50</definedName>
    <definedName name="ClaimSDA">Inputs!$D$13</definedName>
    <definedName name="ClaimSDB">Inputs!$D$20</definedName>
    <definedName name="CoC">Inputs!$D$28</definedName>
    <definedName name="ExpRatio">Inputs!$D$32</definedName>
    <definedName name="FreqA">Pricing!$D$9</definedName>
    <definedName name="FreqB">Pricing!$D$11</definedName>
    <definedName name="Gross_CoC_A">Pricing!$C$44</definedName>
    <definedName name="Gross_CoC_B">Pricing!$E$44</definedName>
    <definedName name="Gross_EV_A">Pricing!$C$41</definedName>
    <definedName name="Gross_EV_B">Pricing!$E$41</definedName>
    <definedName name="Gross_RA_A">Pricing!$C$43</definedName>
    <definedName name="Gross_RA_B">Pricing!$E$43</definedName>
    <definedName name="Gross_SD_A">Pricing!$C$42</definedName>
    <definedName name="Gross_SD_B">Pricing!$E$42</definedName>
    <definedName name="LamA">Inputs!$D$11</definedName>
    <definedName name="LamB">Inputs!$D$18</definedName>
    <definedName name="MeanA">Inputs!$D$12</definedName>
    <definedName name="MeanAS">Pricing!$D$17</definedName>
    <definedName name="MeanB">Inputs!$D$19</definedName>
    <definedName name="MeanBS">Pricing!$E$17</definedName>
    <definedName name="OneIn200_A">Pricing!$D$25</definedName>
    <definedName name="OneIn200_B">Pricing!$E$25</definedName>
    <definedName name="Prem_CoC_A">Pricing!$C$35</definedName>
    <definedName name="Prem_CoC_B">Pricing!$E$35</definedName>
    <definedName name="Prem_EV_A">Pricing!$C$32</definedName>
    <definedName name="Prem_EV_B">Pricing!$E$32</definedName>
    <definedName name="Prem_RA_A">Pricing!$C$34</definedName>
    <definedName name="Prem_RA_B">Pricing!$E$34</definedName>
    <definedName name="Prem_SD_A">Pricing!$C$33</definedName>
    <definedName name="Prem_SD_B">Pricing!$E$33</definedName>
    <definedName name="_xlnm.Print_Area" localSheetId="3">Results!$A$1:$R$52</definedName>
    <definedName name="_xlnm.Print_Titles" localSheetId="1">Inputs!$1:$4</definedName>
    <definedName name="_xlnm.Print_Titles" localSheetId="3">Results!$1:$4</definedName>
    <definedName name="RatioEV_A">Pricing!$D$55</definedName>
    <definedName name="RatioEV_B">Pricing!$E$55</definedName>
    <definedName name="RatioRA1_A">Pricing!$D$57</definedName>
    <definedName name="RatioRA1_B">Pricing!$E$57</definedName>
    <definedName name="RatioSD_A">Pricing!$D$56</definedName>
    <definedName name="RatioSD_B">Pricing!$E$56</definedName>
    <definedName name="RhoPH">Inputs!$D$27</definedName>
    <definedName name="SevA">Pricing!$D$10</definedName>
    <definedName name="SevB">Pricing!$D$12</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hetaEV">Inputs!$D$25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3" l="1" a="1"/>
  <c r="D12" i="3" s="1"/>
  <c r="D11" i="3" a="1"/>
  <c r="D11" i="3" s="1"/>
  <c r="D10" i="3" a="1"/>
  <c r="D10" i="3"/>
  <c r="D9" i="3" a="1"/>
  <c r="D9" i="3" s="1"/>
  <c r="C117" i="4"/>
  <c r="C116" i="4"/>
  <c r="C115" i="4"/>
  <c r="C114" i="4"/>
  <c r="C113" i="4"/>
  <c r="C112" i="4"/>
  <c r="C111" i="4"/>
  <c r="C110"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D64" i="3"/>
  <c r="D63" i="3"/>
  <c r="D17" i="3" a="1"/>
  <c r="C34" i="3" a="1"/>
  <c r="E17" i="3" a="1"/>
  <c r="D50" i="3" a="1"/>
  <c r="D49" i="3" a="1"/>
  <c r="E34" i="3" a="1"/>
  <c r="E23" i="3" a="1"/>
  <c r="E23" i="3" l="1"/>
  <c r="E43" i="4" s="1"/>
  <c r="E34" i="3"/>
  <c r="E16" i="4" s="1"/>
  <c r="D49" i="3"/>
  <c r="D50" i="3"/>
  <c r="E20" i="3"/>
  <c r="E19" i="3"/>
  <c r="E17" i="3"/>
  <c r="E18" i="3"/>
  <c r="E21" i="3" s="1"/>
  <c r="C34" i="3"/>
  <c r="C16" i="4" s="1"/>
  <c r="D19" i="3"/>
  <c r="D18" i="3"/>
  <c r="D21" i="3" s="1"/>
  <c r="D17" i="3"/>
  <c r="D20" i="3"/>
  <c r="E88" i="4" a="1"/>
  <c r="E101" i="4" a="1"/>
  <c r="E69" i="4" a="1"/>
  <c r="E70" i="4" a="1"/>
  <c r="E99" i="4" a="1"/>
  <c r="D42" i="4" a="1"/>
  <c r="E97" i="4" a="1"/>
  <c r="E116" i="4" a="1"/>
  <c r="E113" i="4" a="1"/>
  <c r="E95" i="4" a="1"/>
  <c r="E79" i="4" a="1"/>
  <c r="E63" i="4" a="1"/>
  <c r="E114" i="4" a="1"/>
  <c r="E96" i="4" a="1"/>
  <c r="E80" i="4" a="1"/>
  <c r="E64" i="4" a="1"/>
  <c r="E87" i="4" a="1"/>
  <c r="E104" i="4" a="1"/>
  <c r="D33" i="4" a="1"/>
  <c r="E86" i="4" a="1"/>
  <c r="E111" i="4" a="1"/>
  <c r="E93" i="4" a="1"/>
  <c r="E77" i="4" a="1"/>
  <c r="E61" i="4" a="1"/>
  <c r="E112" i="4" a="1"/>
  <c r="E94" i="4" a="1"/>
  <c r="E78" i="4" a="1"/>
  <c r="E62" i="4" a="1"/>
  <c r="E103" i="4" a="1"/>
  <c r="E71" i="4" a="1"/>
  <c r="E42" i="4" a="1"/>
  <c r="E115" i="4" a="1"/>
  <c r="E81" i="4" a="1"/>
  <c r="E98" i="4" a="1"/>
  <c r="E107" i="4" a="1"/>
  <c r="E91" i="4" a="1"/>
  <c r="E75" i="4" a="1"/>
  <c r="E59" i="4" a="1"/>
  <c r="E110" i="4" a="1"/>
  <c r="E92" i="4" a="1"/>
  <c r="E76" i="4" a="1"/>
  <c r="E60" i="4" a="1"/>
  <c r="C42" i="4" a="1"/>
  <c r="E72" i="4" a="1"/>
  <c r="E85" i="4" a="1"/>
  <c r="E102" i="4" a="1"/>
  <c r="B6" i="4" a="1"/>
  <c r="E117" i="4" a="1"/>
  <c r="E83" i="4" a="1"/>
  <c r="E67" i="4" a="1"/>
  <c r="F42" i="4" a="1"/>
  <c r="E100" i="4" a="1"/>
  <c r="E84" i="4" a="1"/>
  <c r="E68" i="4" a="1"/>
  <c r="E65" i="4" a="1"/>
  <c r="E82" i="4" a="1"/>
  <c r="E66" i="4" a="1"/>
  <c r="E105" i="4" a="1"/>
  <c r="E89" i="4" a="1"/>
  <c r="E73" i="4" a="1"/>
  <c r="G42" i="4" a="1"/>
  <c r="E106" i="4" a="1"/>
  <c r="E90" i="4" a="1"/>
  <c r="E74" i="4" a="1"/>
  <c r="E58" i="4" a="1"/>
  <c r="D61" i="4" a="1"/>
  <c r="D68" i="4" a="1"/>
  <c r="D69" i="4" a="1"/>
  <c r="D59" i="4" a="1"/>
  <c r="D64" i="4" a="1"/>
  <c r="D106" i="4" a="1"/>
  <c r="D40" i="4" a="1"/>
  <c r="D79" i="4" a="1"/>
  <c r="C33" i="4" a="1"/>
  <c r="D86" i="4" a="1"/>
  <c r="D113" i="4" a="1"/>
  <c r="D117" i="4" a="1"/>
  <c r="D97" i="4" a="1"/>
  <c r="D75" i="4" a="1"/>
  <c r="F40" i="4" a="1"/>
  <c r="D58" i="4" a="1"/>
  <c r="D102" i="4" a="1"/>
  <c r="D84" i="4" a="1"/>
  <c r="D73" i="4" a="1"/>
  <c r="D72" i="4" a="1"/>
  <c r="D103" i="4" a="1"/>
  <c r="D110" i="4" a="1"/>
  <c r="D89" i="4" a="1"/>
  <c r="D115" i="4" a="1"/>
  <c r="D95" i="4" a="1"/>
  <c r="D71" i="4" a="1"/>
  <c r="D88" i="4" a="1"/>
  <c r="E40" i="4" a="1"/>
  <c r="D100" i="4" a="1"/>
  <c r="D82" i="4" a="1"/>
  <c r="D87" i="4" a="1"/>
  <c r="D112" i="4" a="1"/>
  <c r="D65" i="4" a="1"/>
  <c r="D81" i="4" a="1"/>
  <c r="D66" i="4" a="1"/>
  <c r="D90" i="4" a="1"/>
  <c r="C40" i="4" a="1"/>
  <c r="D62" i="4" a="1"/>
  <c r="D83" i="4" a="1"/>
  <c r="D111" i="4" a="1"/>
  <c r="D93" i="4" a="1"/>
  <c r="D67" i="4" a="1"/>
  <c r="D80" i="4" a="1"/>
  <c r="D116" i="4" a="1"/>
  <c r="D98" i="4" a="1"/>
  <c r="D78" i="4" a="1"/>
  <c r="D105" i="4" a="1"/>
  <c r="D94" i="4" a="1"/>
  <c r="D85" i="4" a="1"/>
  <c r="D70" i="4" a="1"/>
  <c r="D92" i="4" a="1"/>
  <c r="D101" i="4" a="1"/>
  <c r="G40" i="4" a="1"/>
  <c r="D60" i="4" a="1"/>
  <c r="D99" i="4" a="1"/>
  <c r="D104" i="4" a="1"/>
  <c r="D77" i="4" a="1"/>
  <c r="D107" i="4" a="1"/>
  <c r="D91" i="4" a="1"/>
  <c r="D63" i="4" a="1"/>
  <c r="D76" i="4" a="1"/>
  <c r="D114" i="4" a="1"/>
  <c r="D96" i="4" a="1"/>
  <c r="D74" i="4" a="1"/>
  <c r="E25" i="3" a="1"/>
  <c r="E24" i="3" a="1"/>
  <c r="E57" i="3" a="1"/>
  <c r="D24" i="3" a="1"/>
  <c r="D57" i="3" a="1"/>
  <c r="D25" i="3" a="1"/>
  <c r="D23" i="3" a="1"/>
  <c r="D22" i="3" l="1"/>
  <c r="D41" i="4"/>
  <c r="E22" i="3"/>
  <c r="D43" i="4"/>
  <c r="C13" i="4"/>
  <c r="C41" i="4"/>
  <c r="D16" i="4"/>
  <c r="C43" i="4"/>
  <c r="E13" i="4"/>
  <c r="D74" i="4"/>
  <c r="D96" i="4"/>
  <c r="D114" i="4"/>
  <c r="D76" i="4"/>
  <c r="D63" i="4"/>
  <c r="D91" i="4"/>
  <c r="D107" i="4"/>
  <c r="D77" i="4"/>
  <c r="D104" i="4"/>
  <c r="D99" i="4"/>
  <c r="D60" i="4"/>
  <c r="G40" i="4"/>
  <c r="D101" i="4"/>
  <c r="D92" i="4"/>
  <c r="D70" i="4"/>
  <c r="D85" i="4"/>
  <c r="D94" i="4"/>
  <c r="D105" i="4"/>
  <c r="D78" i="4"/>
  <c r="D98" i="4"/>
  <c r="D116" i="4"/>
  <c r="D80" i="4"/>
  <c r="D67" i="4"/>
  <c r="D93" i="4"/>
  <c r="D111" i="4"/>
  <c r="D83" i="4"/>
  <c r="D62" i="4"/>
  <c r="C40" i="4"/>
  <c r="D90" i="4"/>
  <c r="D66" i="4"/>
  <c r="D81" i="4"/>
  <c r="D65" i="4"/>
  <c r="D112" i="4"/>
  <c r="D87" i="4"/>
  <c r="D82" i="4"/>
  <c r="D100" i="4"/>
  <c r="E40" i="4"/>
  <c r="D88" i="4"/>
  <c r="D71" i="4"/>
  <c r="D95" i="4"/>
  <c r="D115" i="4"/>
  <c r="D89" i="4"/>
  <c r="D110" i="4"/>
  <c r="D103" i="4"/>
  <c r="D72" i="4"/>
  <c r="D73" i="4"/>
  <c r="D84" i="4"/>
  <c r="D102" i="4"/>
  <c r="D58" i="4"/>
  <c r="F40" i="4"/>
  <c r="D75" i="4"/>
  <c r="D97" i="4"/>
  <c r="D117" i="4"/>
  <c r="D113" i="4"/>
  <c r="D86" i="4"/>
  <c r="C33" i="4"/>
  <c r="D79" i="4"/>
  <c r="D40" i="4"/>
  <c r="D106" i="4"/>
  <c r="D64" i="4"/>
  <c r="D59" i="4"/>
  <c r="D69" i="4"/>
  <c r="D68" i="4"/>
  <c r="D61" i="4"/>
  <c r="E58" i="4"/>
  <c r="E74" i="4"/>
  <c r="E90" i="4"/>
  <c r="E106" i="4"/>
  <c r="G42" i="4"/>
  <c r="E73" i="4"/>
  <c r="E89" i="4"/>
  <c r="E105" i="4"/>
  <c r="E66" i="4"/>
  <c r="E82" i="4"/>
  <c r="E65" i="4"/>
  <c r="E68" i="4"/>
  <c r="E84" i="4"/>
  <c r="E100" i="4"/>
  <c r="F42" i="4"/>
  <c r="E67" i="4"/>
  <c r="E83" i="4"/>
  <c r="E117" i="4"/>
  <c r="B6" i="4"/>
  <c r="E102" i="4"/>
  <c r="E85" i="4"/>
  <c r="E72" i="4"/>
  <c r="C42" i="4"/>
  <c r="E60" i="4"/>
  <c r="E76" i="4"/>
  <c r="E92" i="4"/>
  <c r="E110" i="4"/>
  <c r="E59" i="4"/>
  <c r="E75" i="4"/>
  <c r="E91" i="4"/>
  <c r="E107" i="4"/>
  <c r="E98" i="4"/>
  <c r="E81" i="4"/>
  <c r="E115" i="4"/>
  <c r="E42" i="4"/>
  <c r="E71" i="4"/>
  <c r="E103" i="4"/>
  <c r="E62" i="4"/>
  <c r="E78" i="4"/>
  <c r="E94" i="4"/>
  <c r="E112" i="4"/>
  <c r="E61" i="4"/>
  <c r="E77" i="4"/>
  <c r="E93" i="4"/>
  <c r="E111" i="4"/>
  <c r="E86" i="4"/>
  <c r="D33" i="4"/>
  <c r="E104" i="4"/>
  <c r="E87" i="4"/>
  <c r="E64" i="4"/>
  <c r="E80" i="4"/>
  <c r="E96" i="4"/>
  <c r="E114" i="4"/>
  <c r="E63" i="4"/>
  <c r="E79" i="4"/>
  <c r="E95" i="4"/>
  <c r="E113" i="4"/>
  <c r="E116" i="4"/>
  <c r="E97" i="4"/>
  <c r="D42" i="4"/>
  <c r="E99" i="4"/>
  <c r="E70" i="4"/>
  <c r="E69" i="4"/>
  <c r="E101" i="4"/>
  <c r="E88" i="4"/>
  <c r="G16" i="4"/>
  <c r="F16" i="4"/>
  <c r="D23" i="3"/>
  <c r="E41" i="4" s="1"/>
  <c r="D25" i="3"/>
  <c r="G41" i="4" s="1"/>
  <c r="D57" i="3"/>
  <c r="D24" i="3"/>
  <c r="F41" i="4" s="1"/>
  <c r="E57" i="3"/>
  <c r="E24" i="3"/>
  <c r="F43" i="4" s="1"/>
  <c r="E25" i="3"/>
  <c r="C31" i="3"/>
  <c r="D34" i="3" s="1"/>
  <c r="C35" i="3"/>
  <c r="C33" i="3"/>
  <c r="C32" i="3"/>
  <c r="E33" i="3"/>
  <c r="E31" i="3"/>
  <c r="F34" i="3" s="1"/>
  <c r="E32" i="3"/>
  <c r="E43" i="3"/>
  <c r="D25" i="4" s="1"/>
  <c r="C43" i="3"/>
  <c r="C25" i="4" s="1"/>
  <c r="C31" i="4" a="1"/>
  <c r="C34" i="4" a="1"/>
  <c r="D32" i="4" a="1"/>
  <c r="D31" i="4" a="1"/>
  <c r="C32" i="4" a="1"/>
  <c r="D55" i="3" a="1"/>
  <c r="E56" i="3" a="1"/>
  <c r="D56" i="3" a="1"/>
  <c r="E55" i="3" a="1"/>
  <c r="C32" i="4" l="1"/>
  <c r="D31" i="4"/>
  <c r="D32" i="4"/>
  <c r="C34" i="4"/>
  <c r="C31" i="4"/>
  <c r="D17" i="4"/>
  <c r="C15" i="4"/>
  <c r="E14" i="4"/>
  <c r="E15" i="4"/>
  <c r="F15" i="4" s="1"/>
  <c r="C17" i="4"/>
  <c r="C14" i="4"/>
  <c r="D14" i="4" s="1"/>
  <c r="E35" i="3"/>
  <c r="G43" i="4"/>
  <c r="G13" i="4"/>
  <c r="E55" i="3"/>
  <c r="D56" i="3"/>
  <c r="E56" i="3"/>
  <c r="D55" i="3"/>
  <c r="F35" i="3"/>
  <c r="E41" i="3"/>
  <c r="D23" i="4" s="1"/>
  <c r="F32" i="3"/>
  <c r="D62" i="3"/>
  <c r="D33" i="3"/>
  <c r="C42" i="3"/>
  <c r="C24" i="4" s="1"/>
  <c r="F33" i="3"/>
  <c r="E42" i="3"/>
  <c r="D24" i="4" s="1"/>
  <c r="C41" i="3"/>
  <c r="C23" i="4" s="1"/>
  <c r="D32" i="3"/>
  <c r="C44" i="3"/>
  <c r="C26" i="4" s="1"/>
  <c r="D35" i="3"/>
  <c r="D34" i="4" a="1"/>
  <c r="D34" i="4" l="1"/>
  <c r="G14" i="4"/>
  <c r="F14" i="4"/>
  <c r="G15" i="4"/>
  <c r="D15" i="4"/>
  <c r="E17" i="4"/>
  <c r="E44" i="3"/>
  <c r="D26" i="4" s="1"/>
  <c r="D61" i="3"/>
  <c r="B7" i="4" s="1"/>
  <c r="F17" i="4" l="1"/>
  <c r="G17"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<sst xmlns="http://schemas.openxmlformats.org/spreadsheetml/2006/main" count="362" uniqueCount="254">
  <si>
    <t>Pricing a Policy: Premium Principles</t>
  </si>
  <si>
    <t>ModelRisk example  ·  Insurance  ·  IN-06</t>
  </si>
  <si>
    <t>Two policies cost the same on average — should they cost the same to insure?  Four premium principles compared.</t>
  </si>
  <si>
    <t>Next:  Inputs  ▸</t>
  </si>
  <si>
    <t>Model card</t>
  </si>
  <si>
    <t>Industry</t>
  </si>
  <si>
    <t>Insurance</t>
  </si>
  <si>
    <t>Difficulty</t>
  </si>
  <si>
    <t>★★☆☆☆   Two policies with the same expected claims, priced four ways: the risk loading is what tells them apart.</t>
  </si>
  <si>
    <t>Business question</t>
  </si>
  <si>
    <t>An insurer is quoting two commercial policies: a delivery company's fleet of vans, with about 20 small claims a year, and a manufacturing group's property, with about one claim a year that can be very large. Both are expected to cost US$100,000 a year in claims. What premium should each be charged, how do the classic premium principles differ, and how often would each premium fall short of the year's claims?</t>
  </si>
  <si>
    <t>Who it is for</t>
  </si>
  <si>
    <t>Underwriters, pricing actuaries, reinsurance buyers; a first pricing model.</t>
  </si>
  <si>
    <t>Main outputs</t>
  </si>
  <si>
    <t>The risk premium and its loading for each policy under four principles — expected value, standard deviation, risk-adjusted and cost of capital · the gross premium after expenses · the chance that a year's claims exceed each premium · each policy's distribution of annual claims.</t>
  </si>
  <si>
    <t>ModelRisk techniques</t>
  </si>
  <si>
    <t>Claim numbers and sizes as distribution objects · exact moments of the year's claims (VoseAggregateMoments) · its 1-in-200 year calculated by Fast Fourier Transform (VoseAggregateFFTObject) · the expected-value, standard-deviation and cost-of-capital premiums as plain arithmetic, cross-checked by ModelRisk's own premium functions · the risk-adjusted premium (VosePrincipleRA) · the year's claims simulated (VoseAggregateMC) to test every premium.</t>
  </si>
  <si>
    <t>File</t>
  </si>
  <si>
    <t>IN-06 Pricing a policy premium principles  ·  Version 1.0  ·  October 2026  ·  built with ModelRisk 10</t>
  </si>
  <si>
    <t>The business question</t>
  </si>
  <si>
    <t>An insurer's underwriters are quoting two commercial policies. The first covers a delivery company's 150 vans: about 20 claims a year, averaging US$5,000 — scratches, broken mirrors, the occasional collision. The second covers a manufacturing group's twelve sites against fire and damage: about one claim a year, averaging US$100,000, but a fire can cost many times that. Both are expected to cost US$100,000 a year. A premium of expected claims plus a fixed percentage would charge them the same, yet the second is far riskier: in a bad year it can cost seven times its average, the first barely twice. The model prices both with four premium principles and shows how often each premium would fail to cover the year's claims.</t>
  </si>
  <si>
    <t>How the model works</t>
  </si>
  <si>
    <t>Three sheets after this one, read from left to right. Each one feeds the next.</t>
  </si>
  <si>
    <t>1  Inputs</t>
  </si>
  <si>
    <t>For each policy, the expected number of claims and the average and standard deviation of a claim; the parameter of each premium principle; the expense ratio.</t>
  </si>
  <si>
    <t>2  Pricing</t>
  </si>
  <si>
    <t>Claim numbers are Poisson and claim sizes Lognormal, as objects. VoseAggregateMoments gives the exact mean and standard deviation of a year's claims, and VoseAggregateFFTObject its percentiles. The expected-value, standard-deviation and cost-of-capital premiums are arithmetic on these; VosePrincipleRA gives the risk-adjusted premium; VosePrincipleEV and VosePrincipleStdev cross-check the arithmetic. Each year's claims are simulated with VoseAggregateMC.</t>
  </si>
  <si>
    <t>3  Results</t>
  </si>
  <si>
    <t>The risk premium and loading of each policy under each principle; the gross premium to quote; the chance that the year's claims exceed each risk premium; each policy's claims, simulated and calculated.</t>
  </si>
  <si>
    <t>How to use it</t>
  </si>
  <si>
    <t>Step 1</t>
  </si>
  <si>
    <t>Enter each policy's expected claim numbers and claim sizes.</t>
  </si>
  <si>
    <t>Step 2</t>
  </si>
  <si>
    <t>Set the loading of each principle to your company's practice.</t>
  </si>
  <si>
    <t>Step 3</t>
  </si>
  <si>
    <t>Run a simulation from the ModelRisk ribbon (10,000 samples with a fixed seed are set).</t>
  </si>
  <si>
    <t>Step 4</t>
  </si>
  <si>
    <t>Compare the premiums: a loading that ignores risk undercharges the volatile policy.</t>
  </si>
  <si>
    <t>Workbook map</t>
  </si>
  <si>
    <t>Inputs</t>
  </si>
  <si>
    <t>The two policies, the principles' parameters, expenses.</t>
  </si>
  <si>
    <t>Pricing</t>
  </si>
  <si>
    <t>Distributions, the year's claims calculated, premiums by principle, gross premiums; outputs; cross-checks and checks.</t>
  </si>
  <si>
    <t>Results</t>
  </si>
  <si>
    <t>Risk and gross premiums side by side; chance of a shortfall; the year's claims.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</si>
  <si>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</si>
  <si>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</si>
  <si>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</si>
  <si>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</si>
  <si>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</si>
  <si>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</si>
  <si>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</si>
  <si>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</si>
  <si>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</si>
  <si>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</si>
  <si>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</si>
  <si>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</si>
  <si>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</si>
  <si>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thousand.</t>
  </si>
  <si>
    <t>Risk premium</t>
  </si>
  <si>
    <t>Expected claims plus a loading for risk, before expenses.</t>
  </si>
  <si>
    <t>Gross premium</t>
  </si>
  <si>
    <t>The risk premium plus expenses: risk premium ÷ (1 − expense ratio).</t>
  </si>
  <si>
    <t>Loading</t>
  </si>
  <si>
    <t>How far the premium is above the expected claims, as a percentage of them.</t>
  </si>
  <si>
    <t>1-in-200</t>
  </si>
  <si>
    <t>The 99.5th percentile of a year's claims.</t>
  </si>
  <si>
    <t>Key assumptions and limitations</t>
  </si>
  <si>
    <t>Claims</t>
  </si>
  <si>
    <t>Claim numbers are Poisson; claim sizes are Lognormal and independent of each other and of their number.</t>
  </si>
  <si>
    <t>Policies</t>
  </si>
  <si>
    <t>One year of cover, no deductible or limit; the two policies are priced separately.</t>
  </si>
  <si>
    <t>Principles</t>
  </si>
  <si>
    <t>The risk-adjusted principle and the percentiles of a year's claims are computed by ModelRisk through a Fast Fourier Transform; a check confirms it reproduces the expected claims when ρ = 1, and Results shows each calculated figure beside the simulated one.</t>
  </si>
  <si>
    <t>Data</t>
  </si>
  <si>
    <t>The policies and all figures are invented for this example.</t>
  </si>
  <si>
    <t>ModelRisk functions used</t>
  </si>
  <si>
    <t>VosePoissonObject, VoseLognormalObject</t>
  </si>
  <si>
    <t>Claim numbers and claim sizes as distribution objects.</t>
  </si>
  <si>
    <t>VoseAggregateMoments</t>
  </si>
  <si>
    <t>The exact mean, variance, skewness and kurtosis of a year's claims (an array over four cells).</t>
  </si>
  <si>
    <t>VoseAggregateFFTObject, VosePercentile</t>
  </si>
  <si>
    <t>A year's claims as a calculated distribution, and its percentiles: the 1-in-200 year for the cost-of-capital premium.</t>
  </si>
  <si>
    <t>VosePrincipleRA</t>
  </si>
  <si>
    <t>The premium by the risk-adjusted (proportional hazards) principle.</t>
  </si>
  <si>
    <t>VosePrincipleEV, VosePrincipleStdev</t>
  </si>
  <si>
    <t>ModelRisk's expected-value and standard-deviation premiums: a cross-check of the arithmetic.</t>
  </si>
  <si>
    <t>VoseAggregateMC</t>
  </si>
  <si>
    <t>One year's total claims: a number of claims, then a size for every claim.</t>
  </si>
  <si>
    <t>VoseSimPercentile, VoseSimProbability</t>
  </si>
  <si>
    <t>Statistics of the simulation on the Results sheet.</t>
  </si>
  <si>
    <t>Further reading</t>
  </si>
  <si>
    <t>Premium principles</t>
  </si>
  <si>
    <t>Kaas, R., Goovaerts, M., Dhaene, J. &amp; Denuit, M. (2008). Modern Actuarial Risk Theory, 2nd edition. Springer.</t>
  </si>
  <si>
    <t>Proportional hazards</t>
  </si>
  <si>
    <t>Wang, S. (1995). Insurance pricing and increased limits ratemaking by proportional hazards transforms. Insurance: Mathematics and Economics 17(1), 43–54.</t>
  </si>
  <si>
    <t>Risk analysis</t>
  </si>
  <si>
    <t>Vose, D. (2008). Risk Analysis: A Quantitative Guide, 3rd edition. Wiley.</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</si>
  <si>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</si>
  <si>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</si>
  <si>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</si>
  <si>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Pricing  ▸</t>
  </si>
  <si>
    <t>How to read this sheet:  yellow cells are inputs.</t>
  </si>
  <si>
    <t>1   Policy A: delivery fleet</t>
  </si>
  <si>
    <t>About 150 vans: many small claims.</t>
  </si>
  <si>
    <t>Assumption</t>
  </si>
  <si>
    <t>Unit</t>
  </si>
  <si>
    <t>Value in model</t>
  </si>
  <si>
    <t>Uncertainty</t>
  </si>
  <si>
    <t>Basis / source (illustrative)</t>
  </si>
  <si>
    <t>Expected number of claims</t>
  </si>
  <si>
    <t>claims a year</t>
  </si>
  <si>
    <t>Fixed</t>
  </si>
  <si>
    <t>Fleet size × claim rate.</t>
  </si>
  <si>
    <t>Average claim</t>
  </si>
  <si>
    <t>US$ thousand</t>
  </si>
  <si>
    <t>Repairs, glass, the occasional collision.</t>
  </si>
  <si>
    <t>Standard deviation of a claim</t>
  </si>
  <si>
    <t>2   Policy B: manufacturing property</t>
  </si>
  <si>
    <t>Twelve sites: about one claim a year, sometimes very large.</t>
  </si>
  <si>
    <t>Sites × claim rate.</t>
  </si>
  <si>
    <t>Fires, floods, machinery damage.</t>
  </si>
  <si>
    <t>3   Premium principles</t>
  </si>
  <si>
    <t>The loading parameter of each principle.</t>
  </si>
  <si>
    <t>Expected value principle: loading θ</t>
  </si>
  <si>
    <t>of expected claims</t>
  </si>
  <si>
    <t>Premium = (1 + θ) × expected claims.</t>
  </si>
  <si>
    <t>Standard deviation principle: multiple α</t>
  </si>
  <si>
    <t>× std deviation</t>
  </si>
  <si>
    <t>Premium = expected claims + α × standard deviation of the year's claims.</t>
  </si>
  <si>
    <t>Risk-adjusted principle: risk aversion ρ</t>
  </si>
  <si>
    <t>1 or more</t>
  </si>
  <si>
    <t>Each chance of a loss raised to the power 1 ÷ ρ; ρ = 1 gives the expected claims.</t>
  </si>
  <si>
    <t>Cost-of-capital principle: cost of capital</t>
  </si>
  <si>
    <t>a year</t>
  </si>
  <si>
    <t>Premium = expected claims + cost of capital × (1-in-200 claims − expected claims).</t>
  </si>
  <si>
    <t>4   Expenses</t>
  </si>
  <si>
    <t>Expense ratio</t>
  </si>
  <si>
    <t>of gross premium</t>
  </si>
  <si>
    <t>Brokers' commission and administration.</t>
  </si>
  <si>
    <t>PRICING   ·   The two policies' claims, calculated, and the premium under each principle.</t>
  </si>
  <si>
    <t>◂  Inputs</t>
  </si>
  <si>
    <t>Next:  Results  ▸</t>
  </si>
  <si>
    <t>1   Distributions</t>
  </si>
  <si>
    <t>Claim numbers and sizes as ModelRisk distribution objects.</t>
  </si>
  <si>
    <t>Quantity</t>
  </si>
  <si>
    <t>Value</t>
  </si>
  <si>
    <t>How it is calculated</t>
  </si>
  <si>
    <t>Policy A: number of claims</t>
  </si>
  <si>
    <t>object</t>
  </si>
  <si>
    <t>Poisson: claims arrive independently</t>
  </si>
  <si>
    <t>Policy A: size of a claim</t>
  </si>
  <si>
    <t>Lognormal, by its mean and standard deviation</t>
  </si>
  <si>
    <t>Policy B: number of claims</t>
  </si>
  <si>
    <t>Policy B: size of a claim</t>
  </si>
  <si>
    <t>2   A year's claims, calculated</t>
  </si>
  <si>
    <t>The sum of a random number of claims, calculated, not simulated: its moments exactly (VoseAggregateMoments), its percentiles by Fast Fourier Transform.</t>
  </si>
  <si>
    <t>Policy A</t>
  </si>
  <si>
    <t>Policy B</t>
  </si>
  <si>
    <t>Expected claims</t>
  </si>
  <si>
    <t>VoseAggregateMoments(frequency, severity): an array over four cells</t>
  </si>
  <si>
    <t>Variance</t>
  </si>
  <si>
    <t>US$ thousand²</t>
  </si>
  <si>
    <t>Skewness</t>
  </si>
  <si>
    <t>Kurtosis</t>
  </si>
  <si>
    <t>Standard deviation</t>
  </si>
  <si>
    <t>√variance</t>
  </si>
  <si>
    <t>Coefficient of variation</t>
  </si>
  <si>
    <t>Standard deviation ÷ expected claims: the risk per US$ of expected claims</t>
  </si>
  <si>
    <t>75th percentile</t>
  </si>
  <si>
    <t>VosePercentile of the year's claims as an FFT object (VoseAggregateFFTObject)</t>
  </si>
  <si>
    <t>95th percentile</t>
  </si>
  <si>
    <t>1-in-200 year  (99.5th percentile)</t>
  </si>
  <si>
    <t>The year the capital is held for: the cost-of-capital principle</t>
  </si>
  <si>
    <t>3   Risk premium by principle</t>
  </si>
  <si>
    <t>The premium before expenses, and its loading above the expected claims.</t>
  </si>
  <si>
    <t>Principle</t>
  </si>
  <si>
    <t>Premium =</t>
  </si>
  <si>
    <t>Expected claims  (no loading)</t>
  </si>
  <si>
    <t>The pure premium: what the claims cost on average</t>
  </si>
  <si>
    <t>Expected value</t>
  </si>
  <si>
    <t>(1 + θ) × expected claims</t>
  </si>
  <si>
    <t>Expected claims + α × standard deviation</t>
  </si>
  <si>
    <t>Risk-adjusted  (proportional hazards)</t>
  </si>
  <si>
    <t>VosePrincipleRA: ∫ P(claims &gt; x)^(1/ρ) dx, the tail weighted up</t>
  </si>
  <si>
    <t>Cost of capital</t>
  </si>
  <si>
    <t>Expected claims + cost of capital × (1-in-200 year − expected claims)</t>
  </si>
  <si>
    <t>4   Gross premium</t>
  </si>
  <si>
    <t>The price quoted: the risk premium plus expenses, risk premium ÷ (1 − expense ratio).</t>
  </si>
  <si>
    <t>5   Value in this iteration</t>
  </si>
  <si>
    <t>Key outputs, recorded by ModelRisk at every sample (VoseOutput). Their statistics appear on the Results sheet.</t>
  </si>
  <si>
    <t>Output</t>
  </si>
  <si>
    <t>Meaning</t>
  </si>
  <si>
    <t>This year's claims: delivery fleet</t>
  </si>
  <si>
    <t>A number of claims, then a size for every claim</t>
  </si>
  <si>
    <t>This year's claims: manufacturing property</t>
  </si>
  <si>
    <t>6   ModelRisk's premium functions, as a cross-check</t>
  </si>
  <si>
    <t>ModelRisk's own function for each principle, divided by the premium above.</t>
  </si>
  <si>
    <t>Cross-check</t>
  </si>
  <si>
    <t>Should read</t>
  </si>
  <si>
    <t>VosePrincipleEV ÷ the expected-value premium</t>
  </si>
  <si>
    <t>ratio</t>
  </si>
  <si>
    <t>1: the same arithmetic</t>
  </si>
  <si>
    <t>VosePrincipleStdev ÷ the standard-deviation premium</t>
  </si>
  <si>
    <t>VosePrincipleRA at ρ = 1 ÷ the expected claims</t>
  </si>
  <si>
    <t>1 within 1%: at ρ = 1 there is no loading, only the FFT's error</t>
  </si>
  <si>
    <t>7   Model checks</t>
  </si>
  <si>
    <t>Should all read OK. If the second reads CHECK, ModelRisk's FFT is too coarse for these claims: trust the expected-value and standard-deviation premiums, and compare the 1-in-200 year with the simulated one on the Results sheet.</t>
  </si>
  <si>
    <t>ModelRisk's premium functions agree with the arithmetic  (to 1 in a million)</t>
  </si>
  <si>
    <t>The risk-adjusted principle gives the expected claims at ρ = 1  (within 1%)</t>
  </si>
  <si>
    <t>The risk aversion ρ is at least 1</t>
  </si>
  <si>
    <t>The expense ratio is below 100%</t>
  </si>
  <si>
    <t>RESULTS   ·   Filled in automatically from the last simulation. Run a simulation after changing any input.</t>
  </si>
  <si>
    <t>◂  Pricing</t>
  </si>
  <si>
    <t>1   What should each policy cost?</t>
  </si>
  <si>
    <t>A year's claims — cumulative probability</t>
  </si>
  <si>
    <t>The risk premium (US$ thousand, before expenses) and its loading above the expected claims.</t>
  </si>
  <si>
    <t>B ÷ A</t>
  </si>
  <si>
    <t>fleet</t>
  </si>
  <si>
    <t>property</t>
  </si>
  <si>
    <t>premium</t>
  </si>
  <si>
    <t>2   What to quote: the gross premium</t>
  </si>
  <si>
    <t>The risk premium plus expenses (US$ thousand): risk premium ÷ (1 − expense ratio).</t>
  </si>
  <si>
    <t>3   How often is the premium not enough?</t>
  </si>
  <si>
    <t>A year's claims — return periods</t>
  </si>
  <si>
    <t>The chance that a year's claims exceed the risk premium.</t>
  </si>
  <si>
    <t>4   A year's claims</t>
  </si>
  <si>
    <t>Each policy's total claims in a year (US$ thousand): simulated, and calculated on the Pricing sheet.</t>
  </si>
  <si>
    <t>Policy</t>
  </si>
  <si>
    <t>Mean</t>
  </si>
  <si>
    <t>Std dev</t>
  </si>
  <si>
    <t>75th pct</t>
  </si>
  <si>
    <t>95th pct</t>
  </si>
  <si>
    <t>99.5th pct</t>
  </si>
  <si>
    <t>Policy A: delivery fleet</t>
  </si>
  <si>
    <t>calculated  (no simulation)</t>
  </si>
  <si>
    <t>Policy B: manufacturing property</t>
  </si>
  <si>
    <t>5   How to read these results</t>
  </si>
  <si>
    <t>•  Both policies are expected to cost US$100,000 a year, but Policy B's claims vary four times as much — a standard deviation of about US$141,000 against US$35,000 — and its 1-in-200 year is about seven and a half times its average, against about twice for Policy A.</t>
  </si>
  <si>
    <t>•  The expected-value principle charges both the same US$115,000: its loading ignores risk. With it, Policy B's premium falls short in nearly a third of years, much as Policy A's does — but B's shortfalls are far larger.</t>
  </si>
  <si>
    <t>•  The standard-deviation, risk-adjusted and cost-of-capital principles all charge Policy B 20% to 50% more than Policy A, because its claims are riskier. The cost-of-capital principle is the most sensitive to the tail: it prices the capital that a 1-in-200 year requires.</t>
  </si>
  <si>
    <t>•  The price quoted is the gross premium: a quarter of it pays brokers and administration, so each risk premium is divided by 0.75. Under the expected-value principle that is about US$153,000 for either policy; under the cost-of-capital principle about US$149,000 for Policy A and US$221,000 for Policy B.</t>
  </si>
  <si>
    <t>•  The chance of a shortfall alone is a poor guide: under the risk-sensitive principles Policy A's premium falls short more often than Policy B's, but by small amounts. A premium must reflect how large the bad years are, not only how often they come.</t>
  </si>
  <si>
    <t>•  ModelRisk computes the risk-adjusted premium and the percentiles of a year's claims from a Fast Fourier Transform, which can be coarse for rare, very large claims: the Pricing sheet checks that the risk-adjusted principle returns the expected claims when ρ = 1, and the table of a year's claims shows each calculated figure beside the simulated one.</t>
  </si>
  <si>
    <t>•  The simulated 1-in-200 year can differ from the calculated one by a few per cent: only 50 of 10,000 samples lie beyond it, so it moves from run to run. The calculated one does not, which is why the cost-of-capital premium is built on it. ModelRisk's Esscher principle (VosePrincipleEsscher) needs claims with a light tail and is not used here.</t>
  </si>
  <si>
    <t>Chart data</t>
  </si>
  <si>
    <t>Statistics of the last simulation behind the charts and the ranking above. Grouped: click + in the left margin to show them.</t>
  </si>
  <si>
    <t>Cumulative probability</t>
  </si>
  <si>
    <t>Exceedance</t>
  </si>
  <si>
    <t>Claims_A</t>
  </si>
  <si>
    <t>Claims_B</t>
  </si>
  <si>
    <t>Return period (years)</t>
  </si>
  <si>
    <t>Percentile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</si>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</sst>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0\);&quot;–&quot;_)"/>
    <numFmt numFmtId="165" formatCode="#,##0.0_);\(#,##0.0\);&quot;–&quot;_)"/>
    <numFmt numFmtId="166" formatCode="0.0%"/>
    <numFmt numFmtId="167" formatCode="0.0000"/>
    <numFmt numFmtId="168" formatCode="0.0%;\-0.0%;0.0%;&quot;–&quot;"/>
    <numFmt numFmtId="169" formatCode="#,##0.0_);\(#,##0.0\);&quot;–&quot;_);&quot;–&quot;"/>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sz val="10"/>
      <color rgb="FF3F5876"/>
      <name val="Calibri"/>
    </font>
    <font>
      <b/>
      <sz val="10"/>
      <color rgb="FF15803D"/>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8">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9" fontId="1" fillId="2" borderId="7" xfId="1" applyNumberFormat="1" applyBorder="1">
      <alignment horizontal="right" vertical="center"/>
    </xf>
    <xf numFmtId="2"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3" fillId="0" borderId="8" xfId="3" applyBorder="1" applyAlignment="1">
      <alignment horizontal="left" vertical="center" indent="1"/>
    </xf>
    <xf numFmtId="165" fontId="3" fillId="0" borderId="8" xfId="3" applyNumberFormat="1" applyBorder="1">
      <alignment horizontal="right" vertical="center"/>
    </xf>
    <xf numFmtId="0" fontId="18" fillId="0" borderId="0" xfId="0" applyFont="1" applyAlignment="1">
      <alignment horizontal="left" vertical="center" indent="1"/>
    </xf>
    <xf numFmtId="164" fontId="3" fillId="0" borderId="8" xfId="3" applyNumberFormat="1" applyBorder="1">
      <alignment horizontal="right" vertical="center"/>
    </xf>
    <xf numFmtId="2" fontId="3" fillId="0" borderId="8" xfId="3" applyNumberFormat="1" applyBorder="1">
      <alignment horizontal="right" vertical="center"/>
    </xf>
    <xf numFmtId="9" fontId="3" fillId="0" borderId="8" xfId="3" applyNumberFormat="1" applyBorder="1">
      <alignment horizontal="right" vertical="center"/>
    </xf>
    <xf numFmtId="0" fontId="12" fillId="0" borderId="6" xfId="0" applyFont="1" applyBorder="1" applyAlignment="1">
      <alignment horizontal="left" vertical="center" indent="1"/>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19" fillId="7" borderId="4" xfId="0" applyFont="1" applyFill="1" applyBorder="1" applyAlignment="1">
      <alignment horizontal="right" vertical="center"/>
    </xf>
    <xf numFmtId="0" fontId="20" fillId="0" borderId="6" xfId="0" applyFont="1" applyBorder="1" applyAlignment="1">
      <alignment horizontal="left" vertical="center" indent="1"/>
    </xf>
    <xf numFmtId="166" fontId="3" fillId="0" borderId="8" xfId="3" applyNumberFormat="1" applyBorder="1">
      <alignment horizontal="right" vertical="center"/>
    </xf>
    <xf numFmtId="0" fontId="0" fillId="7" borderId="2" xfId="0" applyFill="1" applyBorder="1"/>
    <xf numFmtId="165" fontId="4" fillId="4" borderId="9" xfId="4" applyNumberFormat="1" applyBorder="1">
      <alignment horizontal="right" vertical="center"/>
    </xf>
    <xf numFmtId="167" fontId="3" fillId="0" borderId="8" xfId="3" applyNumberFormat="1" applyBorder="1">
      <alignment horizontal="right" vertical="center"/>
    </xf>
    <xf numFmtId="0" fontId="21"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22"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68" fontId="1" fillId="5" borderId="7" xfId="5" applyNumberFormat="1" applyBorder="1">
      <alignment horizontal="right" vertical="center"/>
    </xf>
    <xf numFmtId="169" fontId="1" fillId="5" borderId="7" xfId="5" applyNumberFormat="1" applyBorder="1">
      <alignment horizontal="right" vertical="center"/>
    </xf>
    <xf numFmtId="0" fontId="20" fillId="0" borderId="6" xfId="0" applyFont="1" applyBorder="1" applyAlignment="1">
      <alignment horizontal="left" vertical="center" indent="2"/>
    </xf>
    <xf numFmtId="9" fontId="3" fillId="0" borderId="2" xfId="3" applyNumberFormat="1">
      <alignment horizontal="right" vertical="center"/>
    </xf>
    <xf numFmtId="4" fontId="3" fillId="0" borderId="2" xfId="3" applyNumberFormat="1">
      <alignment horizontal="right" vertical="center"/>
    </xf>
    <xf numFmtId="3" fontId="3" fillId="0" borderId="2" xfId="3" applyNumberFormat="1">
      <alignment horizontal="right" vertical="center"/>
    </xf>
    <xf numFmtId="166"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Policy A: delivery fleet</c:v>
          </c:tx>
          <c:spPr>
            <a:ln w="25400">
              <a:solidFill>
                <a:srgbClr val="0E4F92"/>
              </a:solidFill>
              <a:prstDash val="solid"/>
            </a:ln>
          </c:spPr>
          <c:marker>
            <c:symbol val="none"/>
          </c:marker>
          <c:xVal>
            <c:numRef>
              <c:f>Results!$D$58:$D$107</c:f>
              <c:numCache>
                <c:formatCode>#,##0.00</c:formatCode>
                <c:ptCount val="50"/>
                <c:pt idx="0">
                  <c:v>36.947837978610771</c:v>
                </c:pt>
                <c:pt idx="1">
                  <c:v>45.491189485760742</c:v>
                </c:pt>
                <c:pt idx="2">
                  <c:v>50.423447247841587</c:v>
                </c:pt>
                <c:pt idx="3">
                  <c:v>53.799334303805104</c:v>
                </c:pt>
                <c:pt idx="4">
                  <c:v>57.065050053088839</c:v>
                </c:pt>
                <c:pt idx="5">
                  <c:v>60.150905428537229</c:v>
                </c:pt>
                <c:pt idx="6">
                  <c:v>62.732366973320154</c:v>
                </c:pt>
                <c:pt idx="7">
                  <c:v>64.725705290735206</c:v>
                </c:pt>
                <c:pt idx="8">
                  <c:v>66.77944128518061</c:v>
                </c:pt>
                <c:pt idx="9">
                  <c:v>69.000357919468129</c:v>
                </c:pt>
                <c:pt idx="10">
                  <c:v>70.986514802547404</c:v>
                </c:pt>
                <c:pt idx="11">
                  <c:v>72.868789463731417</c:v>
                </c:pt>
                <c:pt idx="12">
                  <c:v>74.560966231681491</c:v>
                </c:pt>
                <c:pt idx="13">
                  <c:v>76.377866823203846</c:v>
                </c:pt>
                <c:pt idx="14">
                  <c:v>78.193456709668141</c:v>
                </c:pt>
                <c:pt idx="15">
                  <c:v>80.088290896814073</c:v>
                </c:pt>
                <c:pt idx="16">
                  <c:v>82.011654673362457</c:v>
                </c:pt>
                <c:pt idx="17">
                  <c:v>83.699953239106406</c:v>
                </c:pt>
                <c:pt idx="18">
                  <c:v>85.531174280894732</c:v>
                </c:pt>
                <c:pt idx="19">
                  <c:v>87.202873689353808</c:v>
                </c:pt>
                <c:pt idx="20">
                  <c:v>88.914262706644422</c:v>
                </c:pt>
                <c:pt idx="21">
                  <c:v>90.361361874693273</c:v>
                </c:pt>
                <c:pt idx="22">
                  <c:v>91.891569876207612</c:v>
                </c:pt>
                <c:pt idx="23">
                  <c:v>93.569590042311376</c:v>
                </c:pt>
                <c:pt idx="24">
                  <c:v>95.169662338835565</c:v>
                </c:pt>
                <c:pt idx="25">
                  <c:v>96.731991880933435</c:v>
                </c:pt>
                <c:pt idx="26">
                  <c:v>98.346672180383436</c:v>
                </c:pt>
                <c:pt idx="27">
                  <c:v>100.08237584081154</c:v>
                </c:pt>
                <c:pt idx="28">
                  <c:v>101.68270917019812</c:v>
                </c:pt>
                <c:pt idx="29">
                  <c:v>103.43827751715042</c:v>
                </c:pt>
                <c:pt idx="30">
                  <c:v>105.10761928086163</c:v>
                </c:pt>
                <c:pt idx="31">
                  <c:v>107.00039328635332</c:v>
                </c:pt>
                <c:pt idx="32">
                  <c:v>109.05602554674205</c:v>
                </c:pt>
                <c:pt idx="33">
                  <c:v>111.02344287601234</c:v>
                </c:pt>
                <c:pt idx="34">
                  <c:v>113.28820885106083</c:v>
                </c:pt>
                <c:pt idx="35">
                  <c:v>115.32088830795088</c:v>
                </c:pt>
                <c:pt idx="36">
                  <c:v>117.68361885801643</c:v>
                </c:pt>
                <c:pt idx="37">
                  <c:v>120.16794493399269</c:v>
                </c:pt>
                <c:pt idx="38">
                  <c:v>122.4343670518839</c:v>
                </c:pt>
                <c:pt idx="39">
                  <c:v>125.44120101671331</c:v>
                </c:pt>
                <c:pt idx="40">
                  <c:v>128.54439063236785</c:v>
                </c:pt>
                <c:pt idx="41">
                  <c:v>131.3181655042018</c:v>
                </c:pt>
                <c:pt idx="42">
                  <c:v>134.97121622125127</c:v>
                </c:pt>
                <c:pt idx="43">
                  <c:v>139.30333741830171</c:v>
                </c:pt>
                <c:pt idx="44">
                  <c:v>143.49810398332298</c:v>
                </c:pt>
                <c:pt idx="45">
                  <c:v>148.79820042699922</c:v>
                </c:pt>
                <c:pt idx="46">
                  <c:v>155.10972792127234</c:v>
                </c:pt>
                <c:pt idx="47">
                  <c:v>163.10203171944181</c:v>
                </c:pt>
                <c:pt idx="48">
                  <c:v>175.17041980017811</c:v>
                </c:pt>
                <c:pt idx="49">
                  <c:v>200.76925791831013</c:v>
                </c:pt>
              </c:numCache>
            </c:numRef>
          </c:xVal>
          <c:yVal>
            <c:numRef>
              <c:f>Results!$B$58:$B$107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09DA-4C84-BD4B-ACB3EB1EEF1A}"/>
            </c:ext>
          </c:extLst>
        </c:ser>
        <c:ser>
          <c:idx val="1"/>
          <c:order val="1"/>
          <c:tx>
            <c:v>Policy B: manufacturing property</c:v>
          </c:tx>
          <c:spPr>
            <a:ln w="25400">
              <a:solidFill>
                <a:srgbClr val="B45309"/>
              </a:solidFill>
              <a:prstDash val="dash"/>
            </a:ln>
          </c:spPr>
          <c:marker>
            <c:symbol val="none"/>
          </c:marker>
          <c:xVal>
            <c:numRef>
              <c:f>Results!$E$58:$E$107</c:f>
              <c:numCache>
                <c:formatCode>#,##0.00</c:formatCode>
                <c:ptCount val="5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7.1329644882261372</c:v>
                </c:pt>
                <c:pt idx="19">
                  <c:v>19.370155201259937</c:v>
                </c:pt>
                <c:pt idx="20">
                  <c:v>25.419021371687137</c:v>
                </c:pt>
                <c:pt idx="21">
                  <c:v>31.21589912383951</c:v>
                </c:pt>
                <c:pt idx="22">
                  <c:v>36.889372144768132</c:v>
                </c:pt>
                <c:pt idx="23">
                  <c:v>42.298075126072831</c:v>
                </c:pt>
                <c:pt idx="24">
                  <c:v>47.787714230931634</c:v>
                </c:pt>
                <c:pt idx="25">
                  <c:v>53.364484689691437</c:v>
                </c:pt>
                <c:pt idx="26">
                  <c:v>58.738438049900402</c:v>
                </c:pt>
                <c:pt idx="27">
                  <c:v>63.943254686211169</c:v>
                </c:pt>
                <c:pt idx="28">
                  <c:v>70.581434353192208</c:v>
                </c:pt>
                <c:pt idx="29">
                  <c:v>76.73294665752185</c:v>
                </c:pt>
                <c:pt idx="30">
                  <c:v>84.169273924595728</c:v>
                </c:pt>
                <c:pt idx="31">
                  <c:v>90.771428376461387</c:v>
                </c:pt>
                <c:pt idx="32">
                  <c:v>98.60997582732729</c:v>
                </c:pt>
                <c:pt idx="33">
                  <c:v>107.29193116535916</c:v>
                </c:pt>
                <c:pt idx="34">
                  <c:v>115.7690903556946</c:v>
                </c:pt>
                <c:pt idx="35">
                  <c:v>125.32545679887934</c:v>
                </c:pt>
                <c:pt idx="36">
                  <c:v>134.50289560184333</c:v>
                </c:pt>
                <c:pt idx="37">
                  <c:v>145.63491239352311</c:v>
                </c:pt>
                <c:pt idx="38">
                  <c:v>158.29754602250992</c:v>
                </c:pt>
                <c:pt idx="39">
                  <c:v>171.33062877173711</c:v>
                </c:pt>
                <c:pt idx="40">
                  <c:v>184.70135051134304</c:v>
                </c:pt>
                <c:pt idx="41">
                  <c:v>200.94836241853653</c:v>
                </c:pt>
                <c:pt idx="42">
                  <c:v>218.50318423746779</c:v>
                </c:pt>
                <c:pt idx="43">
                  <c:v>240.61319682664777</c:v>
                </c:pt>
                <c:pt idx="44">
                  <c:v>264.94429169196599</c:v>
                </c:pt>
                <c:pt idx="45">
                  <c:v>296.35131720106449</c:v>
                </c:pt>
                <c:pt idx="46">
                  <c:v>333.43903868083999</c:v>
                </c:pt>
                <c:pt idx="47">
                  <c:v>381.00329239710896</c:v>
                </c:pt>
                <c:pt idx="48">
                  <c:v>466.46020832453479</c:v>
                </c:pt>
                <c:pt idx="49">
                  <c:v>651.30104822705391</c:v>
                </c:pt>
              </c:numCache>
            </c:numRef>
          </c:xVal>
          <c:yVal>
            <c:numRef>
              <c:f>Results!$B$58:$B$107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09DA-4C84-BD4B-ACB3EB1EEF1A}"/>
            </c:ext>
          </c:extLst>
        </c:ser>
        <c:dLbls>
          <c:showLegendKey val="0"/>
          <c:showVal val="0"/>
          <c:showCatName val="0"/>
          <c:showSerName val="0"/>
          <c:showPercent val="0"/>
          <c:showBubbleSize val="0"/>
        </c:dLbls>
        <c:axId val="10"/>
        <c:axId val="20"/>
      </c:scatterChart>
      <c:valAx>
        <c:axId val="10"/>
        <c:scaling>
          <c:orientation val="minMax"/>
          <c:min val="0"/>
        </c:scaling>
        <c:delete val="0"/>
        <c:axPos val="b"/>
        <c:title>
          <c:tx>
            <c:rich>
              <a:bodyPr/>
              <a:lstStyle/>
              <a:p>
                <a:pPr>
                  <a:defRPr/>
                </a:pPr>
                <a:r>
                  <a:rPr lang="en-US"/>
                  <a:t>US$ thousand</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Policy A: delivery fleet</c:v>
          </c:tx>
          <c:spPr>
            <a:ln w="22000">
              <a:solidFill>
                <a:srgbClr val="0E4F92"/>
              </a:solidFill>
              <a:prstDash val="solid"/>
            </a:ln>
          </c:spPr>
          <c:marker>
            <c:symbol val="circle"/>
            <c:size val="4"/>
            <c:spPr>
              <a:solidFill>
                <a:srgbClr val="0E4F92"/>
              </a:solidFill>
              <a:ln>
                <a:solidFill>
                  <a:srgbClr val="0E4F92"/>
                </a:solidFill>
                <a:prstDash val="solid"/>
              </a:ln>
            </c:spPr>
          </c:marker>
          <c:xVal>
            <c:numRef>
              <c:f>Results!$B$110:$B$117</c:f>
              <c:numCache>
                <c:formatCode>#,##0</c:formatCode>
                <c:ptCount val="8"/>
                <c:pt idx="0">
                  <c:v>2</c:v>
                </c:pt>
                <c:pt idx="1">
                  <c:v>5</c:v>
                </c:pt>
                <c:pt idx="2">
                  <c:v>10</c:v>
                </c:pt>
                <c:pt idx="3">
                  <c:v>20</c:v>
                </c:pt>
                <c:pt idx="4">
                  <c:v>50</c:v>
                </c:pt>
                <c:pt idx="5">
                  <c:v>100</c:v>
                </c:pt>
                <c:pt idx="6">
                  <c:v>200</c:v>
                </c:pt>
                <c:pt idx="7">
                  <c:v>500</c:v>
                </c:pt>
              </c:numCache>
            </c:numRef>
          </c:xVal>
          <c:yVal>
            <c:numRef>
              <c:f>Results!$D$110:$D$117</c:f>
              <c:numCache>
                <c:formatCode>#,##0.00</c:formatCode>
                <c:ptCount val="8"/>
                <c:pt idx="0">
                  <c:v>96.041874419902882</c:v>
                </c:pt>
                <c:pt idx="1">
                  <c:v>126.78570916366586</c:v>
                </c:pt>
                <c:pt idx="2">
                  <c:v>146.03667244282877</c:v>
                </c:pt>
                <c:pt idx="3">
                  <c:v>163.10203171944181</c:v>
                </c:pt>
                <c:pt idx="4">
                  <c:v>185.0887137107832</c:v>
                </c:pt>
                <c:pt idx="5">
                  <c:v>200.76925791831013</c:v>
                </c:pt>
                <c:pt idx="6">
                  <c:v>214.05330198778421</c:v>
                </c:pt>
                <c:pt idx="7">
                  <c:v>228.99677706283879</c:v>
                </c:pt>
              </c:numCache>
            </c:numRef>
          </c:yVal>
          <c:smooth val="0"/>
          <c:extLst>
            <c:ext xmlns:c16="http://schemas.microsoft.com/office/drawing/2014/chart" uri="{C3380CC4-5D6E-409C-BE32-E72D297353CC}">
              <c16:uniqueId val="{00000000-D4E4-4450-9AE9-7268DD7C09DF}"/>
            </c:ext>
          </c:extLst>
        </c:ser>
        <c:ser>
          <c:idx val="1"/>
          <c:order val="1"/>
          <c:tx>
            <c:v>Policy B: manufacturing property</c:v>
          </c:tx>
          <c:spPr>
            <a:ln w="22000">
              <a:solidFill>
                <a:srgbClr val="B45309"/>
              </a:solidFill>
              <a:prstDash val="solid"/>
            </a:ln>
          </c:spPr>
          <c:marker>
            <c:symbol val="circle"/>
            <c:size val="4"/>
            <c:spPr>
              <a:solidFill>
                <a:srgbClr val="B45309"/>
              </a:solidFill>
              <a:ln>
                <a:solidFill>
                  <a:srgbClr val="B45309"/>
                </a:solidFill>
                <a:prstDash val="solid"/>
              </a:ln>
            </c:spPr>
          </c:marker>
          <c:xVal>
            <c:numRef>
              <c:f>Results!$B$110:$B$117</c:f>
              <c:numCache>
                <c:formatCode>#,##0</c:formatCode>
                <c:ptCount val="8"/>
                <c:pt idx="0">
                  <c:v>2</c:v>
                </c:pt>
                <c:pt idx="1">
                  <c:v>5</c:v>
                </c:pt>
                <c:pt idx="2">
                  <c:v>10</c:v>
                </c:pt>
                <c:pt idx="3">
                  <c:v>20</c:v>
                </c:pt>
                <c:pt idx="4">
                  <c:v>50</c:v>
                </c:pt>
                <c:pt idx="5">
                  <c:v>100</c:v>
                </c:pt>
                <c:pt idx="6">
                  <c:v>200</c:v>
                </c:pt>
                <c:pt idx="7">
                  <c:v>500</c:v>
                </c:pt>
              </c:numCache>
            </c:numRef>
          </c:xVal>
          <c:yVal>
            <c:numRef>
              <c:f>Results!$E$110:$E$117</c:f>
              <c:numCache>
                <c:formatCode>#,##0.00</c:formatCode>
                <c:ptCount val="8"/>
                <c:pt idx="0">
                  <c:v>50.830011221589849</c:v>
                </c:pt>
                <c:pt idx="1">
                  <c:v>177.35921334080794</c:v>
                </c:pt>
                <c:pt idx="2">
                  <c:v>279.91680901278096</c:v>
                </c:pt>
                <c:pt idx="3">
                  <c:v>381.00329239710896</c:v>
                </c:pt>
                <c:pt idx="4">
                  <c:v>535.33532092186442</c:v>
                </c:pt>
                <c:pt idx="5">
                  <c:v>651.30104822705391</c:v>
                </c:pt>
                <c:pt idx="6">
                  <c:v>783.56955671531864</c:v>
                </c:pt>
                <c:pt idx="7">
                  <c:v>890.62178074745304</c:v>
                </c:pt>
              </c:numCache>
            </c:numRef>
          </c:yVal>
          <c:smooth val="0"/>
          <c:extLst>
            <c:ext xmlns:c16="http://schemas.microsoft.com/office/drawing/2014/chart" uri="{C3380CC4-5D6E-409C-BE32-E72D297353CC}">
              <c16:uniqueId val="{00000001-D4E4-4450-9AE9-7268DD7C09DF}"/>
            </c:ext>
          </c:extLst>
        </c:ser>
        <c:dLbls>
          <c:showLegendKey val="0"/>
          <c:showVal val="0"/>
          <c:showCatName val="0"/>
          <c:showSerName val="0"/>
          <c:showPercent val="0"/>
          <c:showBubbleSize val="0"/>
        </c:dLbls>
        <c:axId val="10"/>
        <c:axId val="20"/>
      </c:scatterChart>
      <c:valAx>
        <c:axId val="10"/>
        <c:scaling>
          <c:logBase val="10"/>
          <c:orientation val="minMax"/>
          <c:max val="1000"/>
          <c:min val="1"/>
        </c:scaling>
        <c:delete val="0"/>
        <c:axPos val="b"/>
        <c:title>
          <c:tx>
            <c:rich>
              <a:bodyPr/>
              <a:lstStyle/>
              <a:p>
                <a:pPr>
                  <a:defRPr/>
                </a:pPr>
                <a:r>
                  <a:rPr lang="en-US"/>
                  <a:t>Return period (years, logarithmic scale)</a:t>
                </a:r>
              </a:p>
            </c:rich>
          </c:tx>
          <c:overlay val="0"/>
        </c:title>
        <c:numFmt formatCode="#,##0" sourceLinked="0"/>
        <c:majorTickMark val="none"/>
        <c:minorTickMark val="none"/>
        <c:tickLblPos val="nextTo"/>
        <c:crossAx val="20"/>
        <c:crosses val="autoZero"/>
        <c:crossBetween val="midCat"/>
      </c:valAx>
      <c:valAx>
        <c:axId val="20"/>
        <c:scaling>
          <c:orientation val="minMax"/>
          <c:min val="0"/>
        </c:scaling>
        <c:delete val="0"/>
        <c:axPos val="l"/>
        <c:majorGridlines>
          <c:spPr>
            <a:ln>
              <a:solidFill>
                <a:srgbClr val="E4E9F0"/>
              </a:solidFill>
              <a:prstDash val="solid"/>
            </a:ln>
          </c:spPr>
        </c:majorGridlines>
        <c:title>
          <c:tx>
            <c:rich>
              <a:bodyPr/>
              <a:lstStyle/>
              <a:p>
                <a:pPr>
                  <a:defRPr/>
                </a:pPr>
                <a:r>
                  <a:rPr lang="en-US"/>
                  <a:t>US$ thousand</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28</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7"/>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5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65" t="s">
        <v>20</v>
      </c>
      <c r="C16" s="64"/>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5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x14ac:dyDescent="0.45">
      <c r="B58" s="9" t="s">
        <v>68</v>
      </c>
      <c r="C58" s="10" t="s">
        <v>69</v>
      </c>
    </row>
    <row r="59" spans="2:3" x14ac:dyDescent="0.45">
      <c r="B59" s="9" t="s">
        <v>70</v>
      </c>
      <c r="C59" s="10" t="s">
        <v>71</v>
      </c>
    </row>
    <row r="60" spans="2:3" ht="26.25" x14ac:dyDescent="0.45">
      <c r="B60" s="9" t="s">
        <v>72</v>
      </c>
      <c r="C60" s="10" t="s">
        <v>73</v>
      </c>
    </row>
    <row r="61" spans="2:3" x14ac:dyDescent="0.45">
      <c r="B61" s="9" t="s">
        <v>74</v>
      </c>
      <c r="C61" s="10" t="s">
        <v>75</v>
      </c>
    </row>
    <row r="62" spans="2:3" ht="12" customHeight="1" x14ac:dyDescent="0.45"/>
    <row r="63" spans="2:3" ht="22.05" customHeight="1" x14ac:dyDescent="0.5">
      <c r="B63" s="7" t="s">
        <v>76</v>
      </c>
      <c r="C63" s="8"/>
    </row>
    <row r="64" spans="2:3" ht="26.25" x14ac:dyDescent="0.45">
      <c r="B64" s="20" t="s">
        <v>77</v>
      </c>
      <c r="C64" s="10" t="s">
        <v>78</v>
      </c>
    </row>
    <row r="65" spans="2:3" x14ac:dyDescent="0.45">
      <c r="B65" s="20" t="s">
        <v>79</v>
      </c>
      <c r="C65" s="10" t="s">
        <v>80</v>
      </c>
    </row>
    <row r="66" spans="2:3" ht="26.25" x14ac:dyDescent="0.45">
      <c r="B66" s="20" t="s">
        <v>81</v>
      </c>
      <c r="C66" s="10" t="s">
        <v>82</v>
      </c>
    </row>
    <row r="67" spans="2:3" x14ac:dyDescent="0.45">
      <c r="B67" s="20" t="s">
        <v>83</v>
      </c>
      <c r="C67" s="10" t="s">
        <v>84</v>
      </c>
    </row>
    <row r="68" spans="2:3" ht="26.25" x14ac:dyDescent="0.45">
      <c r="B68" s="20" t="s">
        <v>85</v>
      </c>
      <c r="C68" s="10" t="s">
        <v>86</v>
      </c>
    </row>
    <row r="69" spans="2:3" x14ac:dyDescent="0.45">
      <c r="B69" s="20" t="s">
        <v>87</v>
      </c>
      <c r="C69" s="10" t="s">
        <v>88</v>
      </c>
    </row>
    <row r="70" spans="2:3" ht="26.25" x14ac:dyDescent="0.45">
      <c r="B70" s="20" t="s">
        <v>89</v>
      </c>
      <c r="C70" s="10" t="s">
        <v>90</v>
      </c>
    </row>
    <row r="71" spans="2:3" ht="12" customHeight="1" x14ac:dyDescent="0.45"/>
    <row r="72" spans="2:3" ht="22.05" customHeight="1" x14ac:dyDescent="0.5">
      <c r="B72" s="7" t="s">
        <v>91</v>
      </c>
      <c r="C72" s="8"/>
    </row>
    <row r="73" spans="2:3" x14ac:dyDescent="0.45">
      <c r="B73" s="9" t="s">
        <v>92</v>
      </c>
      <c r="C73" s="10" t="s">
        <v>93</v>
      </c>
    </row>
    <row r="74" spans="2:3" ht="26.25" x14ac:dyDescent="0.45">
      <c r="B74" s="9" t="s">
        <v>94</v>
      </c>
      <c r="C74" s="10" t="s">
        <v>95</v>
      </c>
    </row>
    <row r="75" spans="2:3" x14ac:dyDescent="0.45">
      <c r="B75" s="9" t="s">
        <v>96</v>
      </c>
      <c r="C75" s="10" t="s">
        <v>97</v>
      </c>
    </row>
    <row r="76" spans="2:3" ht="16.05" customHeight="1" x14ac:dyDescent="0.45"/>
    <row r="77" spans="2:3" x14ac:dyDescent="0.45">
      <c r="B77" s="63" t="s">
        <v>98</v>
      </c>
      <c r="C77" s="64"/>
    </row>
  </sheetData>
  <mergeCells count="2">
    <mergeCell ref="B77:C77"/>
    <mergeCell ref="B16:C16"/>
  </mergeCells>
  <hyperlinks>
    <hyperlink ref="D4" location="'Inputs'!A1" display="Next:  Inputs  ▸" xr:uid="{00000000-0004-0000-0000-000000000000}"/>
    <hyperlink ref="B39" location="'Inputs'!A1" display="Inputs" xr:uid="{00000000-0004-0000-0000-000001000000}"/>
    <hyperlink ref="B40" location="'Pricing'!A1" display="Pricing"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3"/>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99</v>
      </c>
      <c r="C3" s="1"/>
      <c r="D3" s="1"/>
      <c r="E3" s="1"/>
      <c r="F3" s="1"/>
      <c r="G3" s="1"/>
      <c r="H3" s="1"/>
      <c r="I3" s="1"/>
      <c r="J3" s="1"/>
    </row>
    <row r="4" spans="1:10" ht="20" customHeight="1" x14ac:dyDescent="0.45">
      <c r="A4" s="5"/>
      <c r="B4" s="22" t="s">
        <v>100</v>
      </c>
      <c r="C4" s="5"/>
      <c r="D4" s="5"/>
      <c r="E4" s="5"/>
      <c r="F4" s="5"/>
      <c r="G4" s="5"/>
      <c r="H4" s="5"/>
      <c r="I4" s="5"/>
      <c r="J4" s="6" t="s">
        <v>101</v>
      </c>
    </row>
    <row r="5" spans="1:10" ht="8" customHeight="1" x14ac:dyDescent="0.45"/>
    <row r="6" spans="1:10" ht="20" customHeight="1" x14ac:dyDescent="0.45">
      <c r="B6" s="66" t="s">
        <v>102</v>
      </c>
      <c r="C6" s="64"/>
      <c r="D6" s="64"/>
      <c r="E6" s="64"/>
      <c r="F6" s="64"/>
      <c r="G6" s="64"/>
      <c r="H6" s="64"/>
      <c r="I6" s="64"/>
      <c r="J6" s="64"/>
    </row>
    <row r="7" spans="1:10" ht="6" customHeight="1" x14ac:dyDescent="0.45"/>
    <row r="8" spans="1:10" ht="22.05" customHeight="1" x14ac:dyDescent="0.5">
      <c r="B8" s="7" t="s">
        <v>103</v>
      </c>
      <c r="C8" s="8"/>
      <c r="D8" s="8"/>
      <c r="E8" s="8"/>
      <c r="F8" s="8"/>
      <c r="G8" s="8"/>
      <c r="H8" s="8"/>
      <c r="I8" s="8"/>
      <c r="J8" s="8"/>
    </row>
    <row r="9" spans="1:10" ht="18" customHeight="1" x14ac:dyDescent="0.45">
      <c r="B9" s="13" t="s">
        <v>104</v>
      </c>
    </row>
    <row r="10" spans="1:10" ht="18" customHeight="1" x14ac:dyDescent="0.45">
      <c r="B10" s="23" t="s">
        <v>105</v>
      </c>
      <c r="C10" s="23" t="s">
        <v>106</v>
      </c>
      <c r="D10" s="24" t="s">
        <v>107</v>
      </c>
      <c r="E10" s="23" t="s">
        <v>108</v>
      </c>
      <c r="F10" s="5"/>
      <c r="G10" s="5"/>
      <c r="H10" s="5"/>
      <c r="I10" s="5"/>
      <c r="J10" s="23" t="s">
        <v>109</v>
      </c>
    </row>
    <row r="11" spans="1:10" x14ac:dyDescent="0.45">
      <c r="B11" s="25" t="s">
        <v>110</v>
      </c>
      <c r="C11" s="26" t="s">
        <v>111</v>
      </c>
      <c r="D11" s="27">
        <v>20</v>
      </c>
      <c r="E11" s="26" t="s">
        <v>112</v>
      </c>
      <c r="F11" s="28"/>
      <c r="G11" s="28"/>
      <c r="H11" s="28"/>
      <c r="I11" s="28"/>
      <c r="J11" s="29" t="s">
        <v>113</v>
      </c>
    </row>
    <row r="12" spans="1:10" x14ac:dyDescent="0.45">
      <c r="B12" s="25" t="s">
        <v>114</v>
      </c>
      <c r="C12" s="26" t="s">
        <v>115</v>
      </c>
      <c r="D12" s="30">
        <v>5</v>
      </c>
      <c r="E12" s="26" t="s">
        <v>112</v>
      </c>
      <c r="F12" s="28"/>
      <c r="G12" s="28"/>
      <c r="H12" s="28"/>
      <c r="I12" s="28"/>
      <c r="J12" s="29" t="s">
        <v>116</v>
      </c>
    </row>
    <row r="13" spans="1:10" x14ac:dyDescent="0.45">
      <c r="B13" s="25" t="s">
        <v>117</v>
      </c>
      <c r="C13" s="26" t="s">
        <v>115</v>
      </c>
      <c r="D13" s="30">
        <v>6</v>
      </c>
      <c r="E13" s="26" t="s">
        <v>112</v>
      </c>
      <c r="F13" s="28"/>
      <c r="G13" s="28"/>
      <c r="H13" s="28"/>
      <c r="I13" s="28"/>
      <c r="J13" s="29"/>
    </row>
    <row r="14" spans="1:10" ht="8" customHeight="1" x14ac:dyDescent="0.45"/>
    <row r="15" spans="1:10" ht="22.05" customHeight="1" x14ac:dyDescent="0.5">
      <c r="B15" s="7" t="s">
        <v>118</v>
      </c>
      <c r="C15" s="8"/>
      <c r="D15" s="8"/>
      <c r="E15" s="8"/>
      <c r="F15" s="8"/>
      <c r="G15" s="8"/>
      <c r="H15" s="8"/>
      <c r="I15" s="8"/>
      <c r="J15" s="8"/>
    </row>
    <row r="16" spans="1:10" ht="18" customHeight="1" x14ac:dyDescent="0.45">
      <c r="B16" s="13" t="s">
        <v>119</v>
      </c>
    </row>
    <row r="17" spans="2:10" ht="18" customHeight="1" x14ac:dyDescent="0.45">
      <c r="B17" s="23" t="s">
        <v>105</v>
      </c>
      <c r="C17" s="23" t="s">
        <v>106</v>
      </c>
      <c r="D17" s="24" t="s">
        <v>107</v>
      </c>
      <c r="E17" s="23" t="s">
        <v>108</v>
      </c>
      <c r="F17" s="5"/>
      <c r="G17" s="5"/>
      <c r="H17" s="5"/>
      <c r="I17" s="5"/>
      <c r="J17" s="23" t="s">
        <v>109</v>
      </c>
    </row>
    <row r="18" spans="2:10" x14ac:dyDescent="0.45">
      <c r="B18" s="25" t="s">
        <v>110</v>
      </c>
      <c r="C18" s="26" t="s">
        <v>111</v>
      </c>
      <c r="D18" s="30">
        <v>1</v>
      </c>
      <c r="E18" s="26" t="s">
        <v>112</v>
      </c>
      <c r="F18" s="28"/>
      <c r="G18" s="28"/>
      <c r="H18" s="28"/>
      <c r="I18" s="28"/>
      <c r="J18" s="29" t="s">
        <v>120</v>
      </c>
    </row>
    <row r="19" spans="2:10" x14ac:dyDescent="0.45">
      <c r="B19" s="25" t="s">
        <v>114</v>
      </c>
      <c r="C19" s="26" t="s">
        <v>115</v>
      </c>
      <c r="D19" s="30">
        <v>100</v>
      </c>
      <c r="E19" s="26" t="s">
        <v>112</v>
      </c>
      <c r="F19" s="28"/>
      <c r="G19" s="28"/>
      <c r="H19" s="28"/>
      <c r="I19" s="28"/>
      <c r="J19" s="29" t="s">
        <v>121</v>
      </c>
    </row>
    <row r="20" spans="2:10" x14ac:dyDescent="0.45">
      <c r="B20" s="25" t="s">
        <v>117</v>
      </c>
      <c r="C20" s="26" t="s">
        <v>115</v>
      </c>
      <c r="D20" s="30">
        <v>100</v>
      </c>
      <c r="E20" s="26" t="s">
        <v>112</v>
      </c>
      <c r="F20" s="28"/>
      <c r="G20" s="28"/>
      <c r="H20" s="28"/>
      <c r="I20" s="28"/>
      <c r="J20" s="29"/>
    </row>
    <row r="21" spans="2:10" ht="8" customHeight="1" x14ac:dyDescent="0.45"/>
    <row r="22" spans="2:10" ht="22.05" customHeight="1" x14ac:dyDescent="0.5">
      <c r="B22" s="7" t="s">
        <v>122</v>
      </c>
      <c r="C22" s="8"/>
      <c r="D22" s="8"/>
      <c r="E22" s="8"/>
      <c r="F22" s="8"/>
      <c r="G22" s="8"/>
      <c r="H22" s="8"/>
      <c r="I22" s="8"/>
      <c r="J22" s="8"/>
    </row>
    <row r="23" spans="2:10" ht="18" customHeight="1" x14ac:dyDescent="0.45">
      <c r="B23" s="13" t="s">
        <v>123</v>
      </c>
    </row>
    <row r="24" spans="2:10" ht="18" customHeight="1" x14ac:dyDescent="0.45">
      <c r="B24" s="23" t="s">
        <v>105</v>
      </c>
      <c r="C24" s="23" t="s">
        <v>106</v>
      </c>
      <c r="D24" s="24" t="s">
        <v>107</v>
      </c>
      <c r="E24" s="23" t="s">
        <v>108</v>
      </c>
      <c r="F24" s="5"/>
      <c r="G24" s="5"/>
      <c r="H24" s="5"/>
      <c r="I24" s="5"/>
      <c r="J24" s="23" t="s">
        <v>109</v>
      </c>
    </row>
    <row r="25" spans="2:10" x14ac:dyDescent="0.45">
      <c r="B25" s="25" t="s">
        <v>124</v>
      </c>
      <c r="C25" s="26" t="s">
        <v>125</v>
      </c>
      <c r="D25" s="31">
        <v>0.15</v>
      </c>
      <c r="E25" s="26" t="s">
        <v>112</v>
      </c>
      <c r="F25" s="28"/>
      <c r="G25" s="28"/>
      <c r="H25" s="28"/>
      <c r="I25" s="28"/>
      <c r="J25" s="29" t="s">
        <v>126</v>
      </c>
    </row>
    <row r="26" spans="2:10" x14ac:dyDescent="0.45">
      <c r="B26" s="25" t="s">
        <v>127</v>
      </c>
      <c r="C26" s="26" t="s">
        <v>128</v>
      </c>
      <c r="D26" s="32">
        <v>0.25</v>
      </c>
      <c r="E26" s="26" t="s">
        <v>112</v>
      </c>
      <c r="F26" s="28"/>
      <c r="G26" s="28"/>
      <c r="H26" s="28"/>
      <c r="I26" s="28"/>
      <c r="J26" s="29" t="s">
        <v>129</v>
      </c>
    </row>
    <row r="27" spans="2:10" x14ac:dyDescent="0.45">
      <c r="B27" s="25" t="s">
        <v>130</v>
      </c>
      <c r="C27" s="26" t="s">
        <v>131</v>
      </c>
      <c r="D27" s="32">
        <v>1.2</v>
      </c>
      <c r="E27" s="26" t="s">
        <v>112</v>
      </c>
      <c r="F27" s="28"/>
      <c r="G27" s="28"/>
      <c r="H27" s="28"/>
      <c r="I27" s="28"/>
      <c r="J27" s="29" t="s">
        <v>132</v>
      </c>
    </row>
    <row r="28" spans="2:10" x14ac:dyDescent="0.45">
      <c r="B28" s="25" t="s">
        <v>133</v>
      </c>
      <c r="C28" s="26" t="s">
        <v>134</v>
      </c>
      <c r="D28" s="31">
        <v>0.1</v>
      </c>
      <c r="E28" s="26" t="s">
        <v>112</v>
      </c>
      <c r="F28" s="28"/>
      <c r="G28" s="28"/>
      <c r="H28" s="28"/>
      <c r="I28" s="28"/>
      <c r="J28" s="29" t="s">
        <v>135</v>
      </c>
    </row>
    <row r="29" spans="2:10" ht="8" customHeight="1" x14ac:dyDescent="0.45"/>
    <row r="30" spans="2:10" ht="22.05" customHeight="1" x14ac:dyDescent="0.5">
      <c r="B30" s="7" t="s">
        <v>136</v>
      </c>
      <c r="C30" s="8"/>
      <c r="D30" s="8"/>
      <c r="E30" s="8"/>
      <c r="F30" s="8"/>
      <c r="G30" s="8"/>
      <c r="H30" s="8"/>
      <c r="I30" s="8"/>
      <c r="J30" s="8"/>
    </row>
    <row r="31" spans="2:10" ht="18" customHeight="1" x14ac:dyDescent="0.45">
      <c r="B31" s="23" t="s">
        <v>105</v>
      </c>
      <c r="C31" s="23" t="s">
        <v>106</v>
      </c>
      <c r="D31" s="24" t="s">
        <v>107</v>
      </c>
      <c r="E31" s="23" t="s">
        <v>108</v>
      </c>
      <c r="F31" s="5"/>
      <c r="G31" s="5"/>
      <c r="H31" s="5"/>
      <c r="I31" s="5"/>
      <c r="J31" s="23" t="s">
        <v>109</v>
      </c>
    </row>
    <row r="32" spans="2:10" x14ac:dyDescent="0.45">
      <c r="B32" s="25" t="s">
        <v>137</v>
      </c>
      <c r="C32" s="26" t="s">
        <v>138</v>
      </c>
      <c r="D32" s="31">
        <v>0.25</v>
      </c>
      <c r="E32" s="26" t="s">
        <v>112</v>
      </c>
      <c r="F32" s="28"/>
      <c r="G32" s="28"/>
      <c r="H32" s="28"/>
      <c r="I32" s="28"/>
      <c r="J32" s="29" t="s">
        <v>139</v>
      </c>
    </row>
    <row r="33" ht="8" customHeight="1" x14ac:dyDescent="0.45"/>
  </sheetData>
  <mergeCells count="1">
    <mergeCell ref="B6:J6"/>
  </mergeCells>
  <dataValidations count="2">
    <dataValidation type="decimal" operator="greaterThan" showErrorMessage="1" errorTitle="Positive value" error="Enter a value greater than zero." sqref="D25:D27 D18:D20 D11:D13" xr:uid="{00000000-0002-0000-0100-000000000000}">
      <formula1>0</formula1>
    </dataValidation>
    <dataValidation type="decimal" showErrorMessage="1" errorTitle="Probability" error="Enter a value between 0% and 100%." sqref="D28 D32" xr:uid="{00000000-0002-0000-0100-000009000000}">
      <formula1>0</formula1>
      <formula2>1</formula2>
    </dataValidation>
  </dataValidations>
  <hyperlinks>
    <hyperlink ref="B4" location="'About'!A1" display="◂  About" xr:uid="{00000000-0004-0000-0100-000000000000}"/>
    <hyperlink ref="J4" location="'Pricing'!A1" display="Next:  Pricing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H65"/>
  <sheetViews>
    <sheetView showGridLines="0" workbookViewId="0"/>
  </sheetViews>
  <sheetFormatPr defaultRowHeight="14.25" x14ac:dyDescent="0.45"/>
  <cols>
    <col min="1" max="1" width="2" customWidth="1"/>
    <col min="2" max="2" width="46" customWidth="1"/>
    <col min="3" max="6" width="13" customWidth="1"/>
    <col min="7" max="7" width="3" customWidth="1"/>
    <col min="8" max="8" width="54" customWidth="1"/>
  </cols>
  <sheetData>
    <row r="1" spans="1:8" ht="6" customHeight="1" x14ac:dyDescent="0.45"/>
    <row r="2" spans="1:8" ht="30" customHeight="1" x14ac:dyDescent="0.45">
      <c r="A2" s="1"/>
      <c r="B2" s="21" t="s">
        <v>0</v>
      </c>
      <c r="C2" s="1"/>
      <c r="D2" s="1"/>
      <c r="E2" s="1"/>
      <c r="F2" s="1"/>
      <c r="G2" s="1"/>
      <c r="H2" s="3" t="s">
        <v>1</v>
      </c>
    </row>
    <row r="3" spans="1:8" ht="20" customHeight="1" x14ac:dyDescent="0.45">
      <c r="A3" s="1"/>
      <c r="B3" s="4" t="s">
        <v>140</v>
      </c>
      <c r="C3" s="1"/>
      <c r="D3" s="1"/>
      <c r="E3" s="1"/>
      <c r="F3" s="1"/>
      <c r="G3" s="1"/>
      <c r="H3" s="1"/>
    </row>
    <row r="4" spans="1:8" ht="20" customHeight="1" x14ac:dyDescent="0.45">
      <c r="A4" s="5"/>
      <c r="B4" s="22" t="s">
        <v>141</v>
      </c>
      <c r="C4" s="5"/>
      <c r="D4" s="5"/>
      <c r="E4" s="5"/>
      <c r="F4" s="5"/>
      <c r="G4" s="5"/>
      <c r="H4" s="6" t="s">
        <v>142</v>
      </c>
    </row>
    <row r="5" spans="1:8" ht="8" customHeight="1" x14ac:dyDescent="0.45"/>
    <row r="6" spans="1:8" ht="22.05" customHeight="1" x14ac:dyDescent="0.5">
      <c r="B6" s="7" t="s">
        <v>143</v>
      </c>
      <c r="C6" s="8"/>
      <c r="D6" s="8"/>
      <c r="E6" s="8"/>
      <c r="F6" s="8"/>
      <c r="G6" s="8"/>
      <c r="H6" s="8"/>
    </row>
    <row r="7" spans="1:8" ht="18" customHeight="1" x14ac:dyDescent="0.45">
      <c r="B7" s="13" t="s">
        <v>144</v>
      </c>
    </row>
    <row r="8" spans="1:8" ht="18" customHeight="1" x14ac:dyDescent="0.45">
      <c r="B8" s="33" t="s">
        <v>145</v>
      </c>
      <c r="C8" s="33" t="s">
        <v>106</v>
      </c>
      <c r="D8" s="34" t="s">
        <v>146</v>
      </c>
      <c r="E8" s="5"/>
      <c r="F8" s="5"/>
      <c r="G8" s="5"/>
      <c r="H8" s="33" t="s">
        <v>147</v>
      </c>
    </row>
    <row r="9" spans="1:8" x14ac:dyDescent="0.45">
      <c r="B9" s="25" t="s">
        <v>148</v>
      </c>
      <c r="C9" s="26" t="s">
        <v>149</v>
      </c>
      <c r="D9" s="35" t="str" cm="1">
        <f t="array" ref="D9">_xll.VosePoissonObject(LamA)</f>
        <v>VosePoisson(20)</v>
      </c>
      <c r="E9" s="28"/>
      <c r="F9" s="28"/>
      <c r="G9" s="28"/>
      <c r="H9" s="26" t="s">
        <v>150</v>
      </c>
    </row>
    <row r="10" spans="1:8" x14ac:dyDescent="0.45">
      <c r="B10" s="25" t="s">
        <v>151</v>
      </c>
      <c r="C10" s="26" t="s">
        <v>149</v>
      </c>
      <c r="D10" s="35" t="str" cm="1">
        <f t="array" ref="D10">_xll.VoseLognormalObject(MeanA,ClaimSDA)</f>
        <v>VoseLognormal(5,6)</v>
      </c>
      <c r="E10" s="28"/>
      <c r="F10" s="28"/>
      <c r="G10" s="28"/>
      <c r="H10" s="26" t="s">
        <v>152</v>
      </c>
    </row>
    <row r="11" spans="1:8" x14ac:dyDescent="0.45">
      <c r="B11" s="25" t="s">
        <v>153</v>
      </c>
      <c r="C11" s="26" t="s">
        <v>149</v>
      </c>
      <c r="D11" s="35" t="str" cm="1">
        <f t="array" ref="D11">_xll.VosePoissonObject(LamB)</f>
        <v>VosePoisson(1)</v>
      </c>
      <c r="E11" s="28"/>
      <c r="F11" s="28"/>
      <c r="G11" s="28"/>
      <c r="H11" s="26" t="s">
        <v>150</v>
      </c>
    </row>
    <row r="12" spans="1:8" x14ac:dyDescent="0.45">
      <c r="B12" s="25" t="s">
        <v>154</v>
      </c>
      <c r="C12" s="26" t="s">
        <v>149</v>
      </c>
      <c r="D12" s="35" t="str" cm="1">
        <f t="array" ref="D12">_xll.VoseLognormalObject(MeanB,ClaimSDB)</f>
        <v>VoseLognormal(100,100)</v>
      </c>
      <c r="E12" s="28"/>
      <c r="F12" s="28"/>
      <c r="G12" s="28"/>
      <c r="H12" s="26" t="s">
        <v>152</v>
      </c>
    </row>
    <row r="13" spans="1:8" ht="8" customHeight="1" x14ac:dyDescent="0.45"/>
    <row r="14" spans="1:8" ht="22.05" customHeight="1" x14ac:dyDescent="0.5">
      <c r="B14" s="7" t="s">
        <v>155</v>
      </c>
      <c r="C14" s="8"/>
      <c r="D14" s="8"/>
      <c r="E14" s="8"/>
      <c r="F14" s="8"/>
    </row>
    <row r="15" spans="1:8" ht="18" customHeight="1" x14ac:dyDescent="0.45">
      <c r="B15" s="13" t="s">
        <v>156</v>
      </c>
    </row>
    <row r="16" spans="1:8" ht="18" customHeight="1" x14ac:dyDescent="0.45">
      <c r="B16" s="33" t="s">
        <v>145</v>
      </c>
      <c r="C16" s="33" t="s">
        <v>106</v>
      </c>
      <c r="D16" s="34" t="s">
        <v>157</v>
      </c>
      <c r="E16" s="34" t="s">
        <v>158</v>
      </c>
      <c r="F16" s="5"/>
    </row>
    <row r="17" spans="2:8" x14ac:dyDescent="0.45">
      <c r="B17" s="25" t="s">
        <v>159</v>
      </c>
      <c r="C17" s="26" t="s">
        <v>115</v>
      </c>
      <c r="D17" s="36">
        <f t="array" ref="D17:D20">_xll.VoseAggregateMoments(FreqA,SevA)</f>
        <v>100</v>
      </c>
      <c r="E17" s="36">
        <f t="array" ref="E17:E20">_xll.VoseAggregateMoments(FreqB,SevB)</f>
        <v>100</v>
      </c>
      <c r="F17" s="28"/>
      <c r="H17" s="37" t="s">
        <v>160</v>
      </c>
    </row>
    <row r="18" spans="2:8" x14ac:dyDescent="0.45">
      <c r="B18" s="25" t="s">
        <v>161</v>
      </c>
      <c r="C18" s="26" t="s">
        <v>162</v>
      </c>
      <c r="D18" s="38">
        <v>1220</v>
      </c>
      <c r="E18" s="38">
        <v>20000</v>
      </c>
      <c r="F18" s="28"/>
    </row>
    <row r="19" spans="2:8" x14ac:dyDescent="0.45">
      <c r="B19" s="25" t="s">
        <v>163</v>
      </c>
      <c r="C19" s="26"/>
      <c r="D19" s="39">
        <v>0.85225536079276143</v>
      </c>
      <c r="E19" s="39">
        <v>2.8284271247461903</v>
      </c>
      <c r="F19" s="28"/>
    </row>
    <row r="20" spans="2:8" x14ac:dyDescent="0.45">
      <c r="B20" s="25" t="s">
        <v>164</v>
      </c>
      <c r="C20" s="26"/>
      <c r="D20" s="39">
        <v>4.7722676479999846</v>
      </c>
      <c r="E20" s="39">
        <v>19</v>
      </c>
      <c r="F20" s="28"/>
    </row>
    <row r="21" spans="2:8" x14ac:dyDescent="0.45">
      <c r="B21" s="25" t="s">
        <v>165</v>
      </c>
      <c r="C21" s="26" t="s">
        <v>115</v>
      </c>
      <c r="D21" s="36">
        <f>SQRT(D18)</f>
        <v>34.928498393145958</v>
      </c>
      <c r="E21" s="36">
        <f>SQRT(E18)</f>
        <v>141.42135623730951</v>
      </c>
      <c r="F21" s="28"/>
      <c r="H21" s="37" t="s">
        <v>166</v>
      </c>
    </row>
    <row r="22" spans="2:8" x14ac:dyDescent="0.45">
      <c r="B22" s="25" t="s">
        <v>167</v>
      </c>
      <c r="C22" s="26"/>
      <c r="D22" s="40">
        <f>D21/D17</f>
        <v>0.34928498393145957</v>
      </c>
      <c r="E22" s="40">
        <f>E21/E17</f>
        <v>1.4142135623730951</v>
      </c>
      <c r="F22" s="28"/>
      <c r="H22" s="37" t="s">
        <v>168</v>
      </c>
    </row>
    <row r="23" spans="2:8" x14ac:dyDescent="0.45">
      <c r="B23" s="25" t="s">
        <v>169</v>
      </c>
      <c r="C23" s="26" t="s">
        <v>115</v>
      </c>
      <c r="D23" s="36" cm="1">
        <f t="array" ref="D23">_xll.VosePercentile(_xll.VoseAggregateFFTObject(FreqA,SevA),0.75)</f>
        <v>120.05160323324758</v>
      </c>
      <c r="E23" s="36" cm="1">
        <f t="array" ref="E23">_xll.VosePercentile(_xll.VoseAggregateFFTObject(FreqB,SevB),0.75)</f>
        <v>144.9683999997055</v>
      </c>
      <c r="F23" s="28"/>
      <c r="H23" s="37" t="s">
        <v>170</v>
      </c>
    </row>
    <row r="24" spans="2:8" x14ac:dyDescent="0.45">
      <c r="B24" s="25" t="s">
        <v>171</v>
      </c>
      <c r="C24" s="26" t="s">
        <v>115</v>
      </c>
      <c r="D24" s="36" cm="1">
        <f t="array" ref="D24">_xll.VosePercentile(_xll.VoseAggregateFFTObject(FreqA,SevA),0.95)</f>
        <v>163.01308093756646</v>
      </c>
      <c r="E24" s="36" cm="1">
        <f t="array" ref="E24">_xll.VosePercentile(_xll.VoseAggregateFFTObject(FreqB,SevB),0.95)</f>
        <v>373.72257855858248</v>
      </c>
      <c r="F24" s="28"/>
    </row>
    <row r="25" spans="2:8" x14ac:dyDescent="0.45">
      <c r="B25" s="41" t="s">
        <v>172</v>
      </c>
      <c r="C25" s="26" t="s">
        <v>115</v>
      </c>
      <c r="D25" s="36" cm="1">
        <f t="array" ref="D25">_xll.VosePercentile(_xll.VoseAggregateFFTObject(FreqA,SevA),0.995)</f>
        <v>217.94601543547316</v>
      </c>
      <c r="E25" s="36" cm="1">
        <f t="array" ref="E25">_xll.VosePercentile(_xll.VoseAggregateFFTObject(FreqB,SevB),0.995)</f>
        <v>756.51889050989018</v>
      </c>
      <c r="F25" s="28"/>
      <c r="H25" s="37" t="s">
        <v>173</v>
      </c>
    </row>
    <row r="26" spans="2:8" ht="8" customHeight="1" x14ac:dyDescent="0.45"/>
    <row r="27" spans="2:8" ht="22.05" customHeight="1" x14ac:dyDescent="0.5">
      <c r="B27" s="7" t="s">
        <v>174</v>
      </c>
      <c r="C27" s="8"/>
      <c r="D27" s="8"/>
      <c r="E27" s="8"/>
      <c r="F27" s="8"/>
    </row>
    <row r="28" spans="2:8" ht="18" customHeight="1" x14ac:dyDescent="0.45">
      <c r="B28" s="13" t="s">
        <v>175</v>
      </c>
    </row>
    <row r="29" spans="2:8" ht="18" customHeight="1" x14ac:dyDescent="0.45">
      <c r="B29" s="42" t="s">
        <v>176</v>
      </c>
      <c r="C29" s="43" t="s">
        <v>157</v>
      </c>
      <c r="D29" s="43" t="s">
        <v>63</v>
      </c>
      <c r="E29" s="43" t="s">
        <v>158</v>
      </c>
      <c r="F29" s="43" t="s">
        <v>63</v>
      </c>
      <c r="G29" s="5"/>
      <c r="H29" s="33" t="s">
        <v>177</v>
      </c>
    </row>
    <row r="30" spans="2:8" x14ac:dyDescent="0.45">
      <c r="B30" s="44"/>
      <c r="C30" s="44" t="s">
        <v>115</v>
      </c>
      <c r="D30" s="44"/>
      <c r="E30" s="44" t="s">
        <v>115</v>
      </c>
      <c r="F30" s="44"/>
    </row>
    <row r="31" spans="2:8" x14ac:dyDescent="0.45">
      <c r="B31" s="45" t="s">
        <v>178</v>
      </c>
      <c r="C31" s="36">
        <f>MeanAS</f>
        <v>100</v>
      </c>
      <c r="D31" s="28"/>
      <c r="E31" s="36">
        <f>MeanBS</f>
        <v>100</v>
      </c>
      <c r="F31" s="28"/>
      <c r="G31" s="28"/>
      <c r="H31" s="26" t="s">
        <v>179</v>
      </c>
    </row>
    <row r="32" spans="2:8" x14ac:dyDescent="0.45">
      <c r="B32" s="25" t="s">
        <v>180</v>
      </c>
      <c r="C32" s="36">
        <f>(1+ThetaEV)*MeanAS</f>
        <v>114.99999999999999</v>
      </c>
      <c r="D32" s="46">
        <f>C32/C$31-1</f>
        <v>0.14999999999999991</v>
      </c>
      <c r="E32" s="36">
        <f>(1+ThetaEV)*MeanBS</f>
        <v>114.99999999999999</v>
      </c>
      <c r="F32" s="46">
        <f>E32/E$31-1</f>
        <v>0.14999999999999991</v>
      </c>
      <c r="G32" s="28"/>
      <c r="H32" s="26" t="s">
        <v>181</v>
      </c>
    </row>
    <row r="33" spans="2:8" x14ac:dyDescent="0.45">
      <c r="B33" s="25" t="s">
        <v>165</v>
      </c>
      <c r="C33" s="36">
        <f>MeanAS+AlphaSD*AggSDA</f>
        <v>108.73212459828649</v>
      </c>
      <c r="D33" s="46">
        <f>C33/C$31-1</f>
        <v>8.7321245982864948E-2</v>
      </c>
      <c r="E33" s="36">
        <f>MeanBS+AlphaSD*AggSDB</f>
        <v>135.35533905932738</v>
      </c>
      <c r="F33" s="46">
        <f>E33/E$31-1</f>
        <v>0.35355339059327373</v>
      </c>
      <c r="G33" s="28"/>
      <c r="H33" s="26" t="s">
        <v>182</v>
      </c>
    </row>
    <row r="34" spans="2:8" x14ac:dyDescent="0.45">
      <c r="B34" s="25" t="s">
        <v>183</v>
      </c>
      <c r="C34" s="36" cm="1">
        <f t="array" aca="1" ref="C34" ca="1">_xll.VosePrincipleRA(FreqA,SevA,RhoPH)</f>
        <v>106.53325731957541</v>
      </c>
      <c r="D34" s="46">
        <f ca="1">C34/C$31-1</f>
        <v>6.533257319575414E-2</v>
      </c>
      <c r="E34" s="36" cm="1">
        <f t="array" aca="1" ref="E34" ca="1">_xll.VosePrincipleRA(FreqB,SevB,RhoPH)</f>
        <v>128.36966173124389</v>
      </c>
      <c r="F34" s="46">
        <f ca="1">E34/E$31-1</f>
        <v>0.28369661731243889</v>
      </c>
      <c r="G34" s="28"/>
      <c r="H34" s="26" t="s">
        <v>184</v>
      </c>
    </row>
    <row r="35" spans="2:8" x14ac:dyDescent="0.45">
      <c r="B35" s="25" t="s">
        <v>185</v>
      </c>
      <c r="C35" s="36">
        <f>MeanAS+CoC*(OneIn200_A-MeanAS)</f>
        <v>111.79460154354732</v>
      </c>
      <c r="D35" s="46">
        <f>C35/C$31-1</f>
        <v>0.11794601543547323</v>
      </c>
      <c r="E35" s="36">
        <f>MeanBS+CoC*(OneIn200_B-MeanBS)</f>
        <v>165.65188905098904</v>
      </c>
      <c r="F35" s="46">
        <f>E35/E$31-1</f>
        <v>0.65651889050989043</v>
      </c>
      <c r="G35" s="28"/>
      <c r="H35" s="26" t="s">
        <v>186</v>
      </c>
    </row>
    <row r="36" spans="2:8" ht="8" customHeight="1" x14ac:dyDescent="0.45"/>
    <row r="37" spans="2:8" ht="22.05" customHeight="1" x14ac:dyDescent="0.5">
      <c r="B37" s="7" t="s">
        <v>187</v>
      </c>
      <c r="C37" s="8"/>
      <c r="D37" s="8"/>
      <c r="E37" s="8"/>
      <c r="F37" s="8"/>
    </row>
    <row r="38" spans="2:8" ht="18" customHeight="1" x14ac:dyDescent="0.45">
      <c r="B38" s="13" t="s">
        <v>188</v>
      </c>
    </row>
    <row r="39" spans="2:8" ht="18" customHeight="1" x14ac:dyDescent="0.45">
      <c r="B39" s="42" t="s">
        <v>176</v>
      </c>
      <c r="C39" s="43" t="s">
        <v>157</v>
      </c>
      <c r="D39" s="47"/>
      <c r="E39" s="43" t="s">
        <v>158</v>
      </c>
      <c r="F39" s="5"/>
    </row>
    <row r="40" spans="2:8" x14ac:dyDescent="0.45">
      <c r="B40" s="44"/>
      <c r="C40" s="44" t="s">
        <v>115</v>
      </c>
      <c r="D40" s="44"/>
      <c r="E40" s="44" t="s">
        <v>115</v>
      </c>
    </row>
    <row r="41" spans="2:8" x14ac:dyDescent="0.45">
      <c r="B41" s="25" t="s">
        <v>180</v>
      </c>
      <c r="C41" s="36">
        <f>Prem_EV_A/(1-ExpRatio)</f>
        <v>153.33333333333331</v>
      </c>
      <c r="D41" s="28"/>
      <c r="E41" s="36">
        <f>Prem_EV_B/(1-ExpRatio)</f>
        <v>153.33333333333331</v>
      </c>
      <c r="F41" s="28"/>
    </row>
    <row r="42" spans="2:8" x14ac:dyDescent="0.45">
      <c r="B42" s="25" t="s">
        <v>165</v>
      </c>
      <c r="C42" s="36">
        <f>Prem_SD_A/(1-ExpRatio)</f>
        <v>144.97616613104864</v>
      </c>
      <c r="D42" s="28"/>
      <c r="E42" s="36">
        <f>Prem_SD_B/(1-ExpRatio)</f>
        <v>180.47378541243651</v>
      </c>
      <c r="F42" s="28"/>
    </row>
    <row r="43" spans="2:8" x14ac:dyDescent="0.45">
      <c r="B43" s="25" t="s">
        <v>183</v>
      </c>
      <c r="C43" s="36">
        <f ca="1">Prem_RA_A/(1-ExpRatio)</f>
        <v>142.04434309276721</v>
      </c>
      <c r="D43" s="28"/>
      <c r="E43" s="36">
        <f ca="1">Prem_RA_B/(1-ExpRatio)</f>
        <v>171.15954897499185</v>
      </c>
      <c r="F43" s="28"/>
    </row>
    <row r="44" spans="2:8" x14ac:dyDescent="0.45">
      <c r="B44" s="25" t="s">
        <v>185</v>
      </c>
      <c r="C44" s="36">
        <f>Prem_CoC_A/(1-ExpRatio)</f>
        <v>149.05946872472975</v>
      </c>
      <c r="D44" s="28"/>
      <c r="E44" s="36">
        <f>Prem_CoC_B/(1-ExpRatio)</f>
        <v>220.86918540131873</v>
      </c>
      <c r="F44" s="28"/>
    </row>
    <row r="45" spans="2:8" ht="8" customHeight="1" x14ac:dyDescent="0.45"/>
    <row r="46" spans="2:8" ht="22.05" customHeight="1" x14ac:dyDescent="0.5">
      <c r="B46" s="7" t="s">
        <v>189</v>
      </c>
      <c r="C46" s="8"/>
      <c r="D46" s="8"/>
      <c r="E46" s="8"/>
      <c r="F46" s="8"/>
      <c r="G46" s="8"/>
      <c r="H46" s="8"/>
    </row>
    <row r="47" spans="2:8" ht="18" customHeight="1" x14ac:dyDescent="0.45">
      <c r="B47" s="13" t="s">
        <v>190</v>
      </c>
    </row>
    <row r="48" spans="2:8" ht="18" customHeight="1" x14ac:dyDescent="0.45">
      <c r="B48" s="33" t="s">
        <v>191</v>
      </c>
      <c r="C48" s="33" t="s">
        <v>106</v>
      </c>
      <c r="D48" s="34" t="s">
        <v>146</v>
      </c>
      <c r="E48" s="5"/>
      <c r="F48" s="5"/>
      <c r="G48" s="5"/>
      <c r="H48" s="33" t="s">
        <v>192</v>
      </c>
    </row>
    <row r="49" spans="2:8" x14ac:dyDescent="0.45">
      <c r="B49" s="25" t="s">
        <v>193</v>
      </c>
      <c r="C49" s="26" t="s">
        <v>115</v>
      </c>
      <c r="D49" s="48" cm="1">
        <f t="array" aca="1" ref="D49" ca="1">_xll.VoseOutput("Claims, policy A","US$ thousand")+_xll.VoseAggregateMC(FreqA,SevA)</f>
        <v>122.85685637946091</v>
      </c>
      <c r="E49" s="28"/>
      <c r="F49" s="28"/>
      <c r="G49" s="28"/>
      <c r="H49" s="26" t="s">
        <v>194</v>
      </c>
    </row>
    <row r="50" spans="2:8" x14ac:dyDescent="0.45">
      <c r="B50" s="25" t="s">
        <v>195</v>
      </c>
      <c r="C50" s="26" t="s">
        <v>115</v>
      </c>
      <c r="D50" s="48" cm="1">
        <f t="array" aca="1" ref="D50" ca="1">_xll.VoseOutput("Claims, policy B","US$ thousand")+_xll.VoseAggregateMC(FreqB,SevB)</f>
        <v>450.3615732995442</v>
      </c>
      <c r="E50" s="28"/>
      <c r="F50" s="28"/>
      <c r="G50" s="28"/>
      <c r="H50" s="26" t="s">
        <v>194</v>
      </c>
    </row>
    <row r="51" spans="2:8" ht="8" customHeight="1" x14ac:dyDescent="0.45"/>
    <row r="52" spans="2:8" ht="22.05" customHeight="1" x14ac:dyDescent="0.5">
      <c r="B52" s="7" t="s">
        <v>196</v>
      </c>
      <c r="C52" s="8"/>
      <c r="D52" s="8"/>
      <c r="E52" s="8"/>
      <c r="F52" s="8"/>
    </row>
    <row r="53" spans="2:8" ht="18" customHeight="1" x14ac:dyDescent="0.45">
      <c r="B53" s="13" t="s">
        <v>197</v>
      </c>
    </row>
    <row r="54" spans="2:8" ht="18" customHeight="1" x14ac:dyDescent="0.45">
      <c r="B54" s="33" t="s">
        <v>198</v>
      </c>
      <c r="C54" s="33" t="s">
        <v>106</v>
      </c>
      <c r="D54" s="34" t="s">
        <v>157</v>
      </c>
      <c r="E54" s="34" t="s">
        <v>158</v>
      </c>
      <c r="F54" s="5"/>
      <c r="G54" s="5"/>
      <c r="H54" s="33" t="s">
        <v>199</v>
      </c>
    </row>
    <row r="55" spans="2:8" x14ac:dyDescent="0.45">
      <c r="B55" s="25" t="s">
        <v>200</v>
      </c>
      <c r="C55" s="26" t="s">
        <v>201</v>
      </c>
      <c r="D55" s="49" cm="1">
        <f t="array" aca="1" ref="D55" ca="1">_xll.VosePrincipleEV(FreqA,SevA,ThetaEV)/Prem_EV_A</f>
        <v>1</v>
      </c>
      <c r="E55" s="49" cm="1">
        <f t="array" aca="1" ref="E55" ca="1">_xll.VosePrincipleEV(FreqB,SevB,ThetaEV)/Prem_EV_B</f>
        <v>1</v>
      </c>
      <c r="F55" s="28"/>
      <c r="G55" s="28"/>
      <c r="H55" s="26" t="s">
        <v>202</v>
      </c>
    </row>
    <row r="56" spans="2:8" x14ac:dyDescent="0.45">
      <c r="B56" s="25" t="s">
        <v>203</v>
      </c>
      <c r="C56" s="26" t="s">
        <v>201</v>
      </c>
      <c r="D56" s="49" cm="1">
        <f t="array" aca="1" ref="D56" ca="1">_xll.VosePrincipleStdev(FreqA,SevA,AlphaSD)/Prem_SD_A</f>
        <v>1</v>
      </c>
      <c r="E56" s="49" cm="1">
        <f t="array" aca="1" ref="E56" ca="1">_xll.VosePrincipleStdev(FreqB,SevB,AlphaSD)/Prem_SD_B</f>
        <v>1</v>
      </c>
      <c r="F56" s="28"/>
      <c r="G56" s="28"/>
      <c r="H56" s="26" t="s">
        <v>202</v>
      </c>
    </row>
    <row r="57" spans="2:8" x14ac:dyDescent="0.45">
      <c r="B57" s="25" t="s">
        <v>204</v>
      </c>
      <c r="C57" s="26" t="s">
        <v>201</v>
      </c>
      <c r="D57" s="49" cm="1">
        <f t="array" aca="1" ref="D57" ca="1">_xll.VosePrincipleRA(FreqA,SevA,1)/MeanAS</f>
        <v>0.99995953772415702</v>
      </c>
      <c r="E57" s="49" cm="1">
        <f t="array" aca="1" ref="E57" ca="1">_xll.VosePrincipleRA(FreqB,SevB,1)/MeanBS</f>
        <v>0.99910980864014065</v>
      </c>
      <c r="F57" s="28"/>
      <c r="G57" s="28"/>
      <c r="H57" s="26" t="s">
        <v>205</v>
      </c>
    </row>
    <row r="58" spans="2:8" ht="8" customHeight="1" x14ac:dyDescent="0.45"/>
    <row r="59" spans="2:8" ht="22.05" customHeight="1" x14ac:dyDescent="0.5">
      <c r="B59" s="7" t="s">
        <v>206</v>
      </c>
      <c r="C59" s="8"/>
      <c r="D59" s="8"/>
      <c r="E59" s="8"/>
      <c r="F59" s="8"/>
      <c r="G59" s="8"/>
      <c r="H59" s="8"/>
    </row>
    <row r="60" spans="2:8" ht="18" customHeight="1" x14ac:dyDescent="0.45">
      <c r="B60" s="13" t="s">
        <v>207</v>
      </c>
    </row>
    <row r="61" spans="2:8" x14ac:dyDescent="0.45">
      <c r="B61" s="25" t="s">
        <v>208</v>
      </c>
      <c r="C61" s="28"/>
      <c r="D61" s="50" t="str">
        <f ca="1">IF(AND(ABS(RatioEV_A-1)&lt;0.000001,ABS(RatioEV_B-1)&lt;0.000001,ABS(RatioSD_A-1)&lt;0.000001,ABS(RatioSD_B-1)&lt;0.000001),"OK","CHECK")</f>
        <v>OK</v>
      </c>
      <c r="E61" s="28"/>
      <c r="F61" s="28"/>
      <c r="G61" s="28"/>
      <c r="H61" s="28"/>
    </row>
    <row r="62" spans="2:8" x14ac:dyDescent="0.45">
      <c r="B62" s="25" t="s">
        <v>209</v>
      </c>
      <c r="C62" s="28"/>
      <c r="D62" s="50" t="str">
        <f ca="1">IF(AND(ABS(RatioRA1_A-1)&lt;0.01,ABS(RatioRA1_B-1)&lt;0.01),"OK","CHECK")</f>
        <v>OK</v>
      </c>
      <c r="E62" s="28"/>
      <c r="F62" s="28"/>
      <c r="G62" s="28"/>
      <c r="H62" s="28"/>
    </row>
    <row r="63" spans="2:8" x14ac:dyDescent="0.45">
      <c r="B63" s="25" t="s">
        <v>210</v>
      </c>
      <c r="C63" s="28"/>
      <c r="D63" s="50" t="str">
        <f>IF(RhoPH&gt;=1,"OK","CHECK")</f>
        <v>OK</v>
      </c>
      <c r="E63" s="28"/>
      <c r="F63" s="28"/>
      <c r="G63" s="28"/>
      <c r="H63" s="28"/>
    </row>
    <row r="64" spans="2:8" x14ac:dyDescent="0.45">
      <c r="B64" s="25" t="s">
        <v>211</v>
      </c>
      <c r="C64" s="28"/>
      <c r="D64" s="50" t="str">
        <f>IF(ExpRatio&lt;1,"OK","CHECK")</f>
        <v>OK</v>
      </c>
      <c r="E64" s="28"/>
      <c r="F64" s="28"/>
      <c r="G64" s="28"/>
      <c r="H64" s="28"/>
    </row>
    <row r="65" ht="14" customHeight="1" x14ac:dyDescent="0.45"/>
  </sheetData>
  <conditionalFormatting sqref="D61:D64">
    <cfRule type="expression" dxfId="4" priority="1">
      <formula>D61="CHECK"</formula>
    </cfRule>
  </conditionalFormatting>
  <hyperlinks>
    <hyperlink ref="B4" location="'Inputs'!A1" display="◂  Inputs" xr:uid="{00000000-0004-0000-0200-000000000000}"/>
    <hyperlink ref="H4" location="'Results'!A1" display="Next:  Results  ▸" xr:uid="{00000000-0004-0000-0200-000001000000}"/>
  </hyperlinks>
  <printOptions horizontalCentered="1"/>
  <pageMargins left="0.4" right="0.4" top="0.5" bottom="0.6" header="0.25" footer="0.25"/>
  <pageSetup paperSize="9" scale="88" fitToHeight="0" orientation="landscape" r:id="rId1"/>
  <headerFooter>
    <oddFooter>&amp;L&amp;K3F5876&amp;8&amp;F · &amp;A&amp;R&amp;K3F5876&amp;8Page &amp;P of &amp;N</oddFooter>
  </headerFooter>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17"/>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212</v>
      </c>
      <c r="C3" s="1"/>
      <c r="D3" s="1"/>
      <c r="E3" s="1"/>
      <c r="F3" s="1"/>
      <c r="G3" s="1"/>
      <c r="H3" s="1"/>
      <c r="I3" s="1"/>
      <c r="J3" s="1"/>
      <c r="K3" s="1"/>
      <c r="L3" s="1"/>
      <c r="M3" s="1"/>
      <c r="N3" s="1"/>
      <c r="O3" s="1"/>
      <c r="P3" s="1"/>
      <c r="Q3" s="1"/>
      <c r="R3" s="1"/>
    </row>
    <row r="4" spans="1:18" ht="20" customHeight="1" x14ac:dyDescent="0.45">
      <c r="A4" s="5"/>
      <c r="B4" s="22" t="s">
        <v>213</v>
      </c>
      <c r="C4" s="5"/>
      <c r="D4" s="5"/>
      <c r="E4" s="5"/>
      <c r="F4" s="5"/>
      <c r="G4" s="5"/>
      <c r="H4" s="5"/>
      <c r="I4" s="5"/>
      <c r="J4" s="5"/>
      <c r="K4" s="5"/>
      <c r="L4" s="5"/>
      <c r="M4" s="5"/>
      <c r="N4" s="5"/>
      <c r="O4" s="5"/>
      <c r="P4" s="5"/>
      <c r="Q4" s="5"/>
      <c r="R4" s="5"/>
    </row>
    <row r="5" spans="1:18" ht="8" customHeight="1" x14ac:dyDescent="0.45"/>
    <row r="6" spans="1:18" ht="26" customHeight="1" x14ac:dyDescent="0.45">
      <c r="B6" s="51" t="str" cm="1">
        <f t="array" aca="1" ref="B6" ca="1">IF(ISNUMBER(_xll.VoseSimMean(Claims_B)),"✔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2"/>
      <c r="D6" s="52"/>
      <c r="E6" s="52"/>
      <c r="F6" s="52"/>
      <c r="G6" s="52"/>
    </row>
    <row r="7" spans="1:18" x14ac:dyDescent="0.45">
      <c r="B7" s="37"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214</v>
      </c>
      <c r="C9" s="8"/>
      <c r="D9" s="8"/>
      <c r="E9" s="8"/>
      <c r="F9" s="8"/>
      <c r="G9" s="8"/>
      <c r="I9" s="53" t="s">
        <v>215</v>
      </c>
      <c r="J9" s="8"/>
      <c r="K9" s="8"/>
      <c r="L9" s="8"/>
      <c r="M9" s="8"/>
      <c r="N9" s="8"/>
      <c r="O9" s="8"/>
      <c r="P9" s="8"/>
      <c r="Q9" s="8"/>
      <c r="R9" s="8"/>
    </row>
    <row r="10" spans="1:18" ht="18" customHeight="1" x14ac:dyDescent="0.45">
      <c r="B10" s="13" t="s">
        <v>216</v>
      </c>
    </row>
    <row r="11" spans="1:18" ht="18" customHeight="1" x14ac:dyDescent="0.45">
      <c r="B11" s="54" t="s">
        <v>176</v>
      </c>
      <c r="C11" s="55" t="s">
        <v>157</v>
      </c>
      <c r="D11" s="55" t="s">
        <v>63</v>
      </c>
      <c r="E11" s="55" t="s">
        <v>158</v>
      </c>
      <c r="F11" s="55" t="s">
        <v>63</v>
      </c>
      <c r="G11" s="55" t="s">
        <v>217</v>
      </c>
    </row>
    <row r="12" spans="1:18" x14ac:dyDescent="0.45">
      <c r="B12" s="44"/>
      <c r="C12" s="44" t="s">
        <v>218</v>
      </c>
      <c r="D12" s="44"/>
      <c r="E12" s="44" t="s">
        <v>219</v>
      </c>
      <c r="F12" s="44"/>
      <c r="G12" s="44" t="s">
        <v>220</v>
      </c>
    </row>
    <row r="13" spans="1:18" x14ac:dyDescent="0.45">
      <c r="B13" s="45" t="s">
        <v>178</v>
      </c>
      <c r="C13" s="36">
        <f>MeanAS</f>
        <v>100</v>
      </c>
      <c r="D13" s="28"/>
      <c r="E13" s="36">
        <f>MeanBS</f>
        <v>100</v>
      </c>
      <c r="F13" s="28"/>
      <c r="G13" s="39">
        <f>E13/C13</f>
        <v>1</v>
      </c>
    </row>
    <row r="14" spans="1:18" x14ac:dyDescent="0.45">
      <c r="B14" s="25" t="s">
        <v>180</v>
      </c>
      <c r="C14" s="36">
        <f>Prem_EV_A</f>
        <v>114.99999999999999</v>
      </c>
      <c r="D14" s="46">
        <f>C14/C$13-1</f>
        <v>0.14999999999999991</v>
      </c>
      <c r="E14" s="36">
        <f>Prem_EV_B</f>
        <v>114.99999999999999</v>
      </c>
      <c r="F14" s="46">
        <f>E14/E$13-1</f>
        <v>0.14999999999999991</v>
      </c>
      <c r="G14" s="39">
        <f>E14/C14</f>
        <v>1</v>
      </c>
    </row>
    <row r="15" spans="1:18" x14ac:dyDescent="0.45">
      <c r="B15" s="25" t="s">
        <v>165</v>
      </c>
      <c r="C15" s="36">
        <f>Prem_SD_A</f>
        <v>108.73212459828649</v>
      </c>
      <c r="D15" s="46">
        <f>C15/C$13-1</f>
        <v>8.7321245982864948E-2</v>
      </c>
      <c r="E15" s="36">
        <f>Prem_SD_B</f>
        <v>135.35533905932738</v>
      </c>
      <c r="F15" s="46">
        <f>E15/E$13-1</f>
        <v>0.35355339059327373</v>
      </c>
      <c r="G15" s="39">
        <f>E15/C15</f>
        <v>1.2448514140545033</v>
      </c>
    </row>
    <row r="16" spans="1:18" x14ac:dyDescent="0.45">
      <c r="B16" s="25" t="s">
        <v>183</v>
      </c>
      <c r="C16" s="36">
        <f ca="1">Prem_RA_A</f>
        <v>106.53325731957541</v>
      </c>
      <c r="D16" s="46">
        <f ca="1">C16/C$13-1</f>
        <v>6.533257319575414E-2</v>
      </c>
      <c r="E16" s="36">
        <f ca="1">Prem_RA_B</f>
        <v>128.36966173124389</v>
      </c>
      <c r="F16" s="46">
        <f ca="1">E16/E$13-1</f>
        <v>0.28369661731243889</v>
      </c>
      <c r="G16" s="39">
        <f ca="1">E16/C16</f>
        <v>1.2049726532454017</v>
      </c>
    </row>
    <row r="17" spans="2:18" x14ac:dyDescent="0.45">
      <c r="B17" s="25" t="s">
        <v>185</v>
      </c>
      <c r="C17" s="36">
        <f>Prem_CoC_A</f>
        <v>111.79460154354732</v>
      </c>
      <c r="D17" s="46">
        <f>C17/C$13-1</f>
        <v>0.11794601543547323</v>
      </c>
      <c r="E17" s="36">
        <f>Prem_CoC_B</f>
        <v>165.65188905098904</v>
      </c>
      <c r="F17" s="46">
        <f>E17/E$13-1</f>
        <v>0.65651889050989043</v>
      </c>
      <c r="G17" s="39">
        <f>E17/C17</f>
        <v>1.481752130817003</v>
      </c>
    </row>
    <row r="18" spans="2:18" ht="8" customHeight="1" x14ac:dyDescent="0.45"/>
    <row r="19" spans="2:18" ht="22.05" customHeight="1" x14ac:dyDescent="0.5">
      <c r="B19" s="7" t="s">
        <v>221</v>
      </c>
      <c r="C19" s="8"/>
      <c r="D19" s="8"/>
      <c r="E19" s="8"/>
      <c r="F19" s="8"/>
      <c r="G19" s="8"/>
    </row>
    <row r="20" spans="2:18" ht="18" customHeight="1" x14ac:dyDescent="0.45">
      <c r="B20" s="13" t="s">
        <v>222</v>
      </c>
    </row>
    <row r="21" spans="2:18" ht="18" customHeight="1" x14ac:dyDescent="0.45">
      <c r="B21" s="54" t="s">
        <v>176</v>
      </c>
      <c r="C21" s="55" t="s">
        <v>157</v>
      </c>
      <c r="D21" s="55" t="s">
        <v>158</v>
      </c>
      <c r="E21" s="5"/>
      <c r="F21" s="5"/>
      <c r="G21" s="5"/>
    </row>
    <row r="22" spans="2:18" x14ac:dyDescent="0.45">
      <c r="B22" s="44"/>
      <c r="C22" s="44" t="s">
        <v>218</v>
      </c>
      <c r="D22" s="44" t="s">
        <v>219</v>
      </c>
    </row>
    <row r="23" spans="2:18" x14ac:dyDescent="0.45">
      <c r="B23" s="25" t="s">
        <v>180</v>
      </c>
      <c r="C23" s="36">
        <f>Gross_EV_A</f>
        <v>153.33333333333331</v>
      </c>
      <c r="D23" s="36">
        <f>Gross_EV_B</f>
        <v>153.33333333333331</v>
      </c>
      <c r="E23" s="28"/>
      <c r="F23" s="28"/>
      <c r="G23" s="28"/>
    </row>
    <row r="24" spans="2:18" x14ac:dyDescent="0.45">
      <c r="B24" s="25" t="s">
        <v>165</v>
      </c>
      <c r="C24" s="36">
        <f>Gross_SD_A</f>
        <v>144.97616613104864</v>
      </c>
      <c r="D24" s="36">
        <f>Gross_SD_B</f>
        <v>180.47378541243651</v>
      </c>
      <c r="E24" s="28"/>
      <c r="F24" s="28"/>
      <c r="G24" s="28"/>
    </row>
    <row r="25" spans="2:18" x14ac:dyDescent="0.45">
      <c r="B25" s="25" t="s">
        <v>183</v>
      </c>
      <c r="C25" s="36">
        <f ca="1">Gross_RA_A</f>
        <v>142.04434309276721</v>
      </c>
      <c r="D25" s="36">
        <f ca="1">Gross_RA_B</f>
        <v>171.15954897499185</v>
      </c>
      <c r="E25" s="28"/>
      <c r="F25" s="28"/>
      <c r="G25" s="28"/>
    </row>
    <row r="26" spans="2:18" x14ac:dyDescent="0.45">
      <c r="B26" s="25" t="s">
        <v>185</v>
      </c>
      <c r="C26" s="36">
        <f>Gross_CoC_A</f>
        <v>149.05946872472975</v>
      </c>
      <c r="D26" s="36">
        <f>Gross_CoC_B</f>
        <v>220.86918540131873</v>
      </c>
      <c r="E26" s="28"/>
      <c r="F26" s="28"/>
      <c r="G26" s="28"/>
    </row>
    <row r="27" spans="2:18" ht="8" customHeight="1" x14ac:dyDescent="0.45"/>
    <row r="28" spans="2:18" ht="22.05" customHeight="1" x14ac:dyDescent="0.5">
      <c r="B28" s="7" t="s">
        <v>223</v>
      </c>
      <c r="C28" s="8"/>
      <c r="D28" s="8"/>
      <c r="E28" s="8"/>
      <c r="F28" s="8"/>
      <c r="G28" s="8"/>
      <c r="I28" s="53" t="s">
        <v>224</v>
      </c>
      <c r="J28" s="8"/>
      <c r="K28" s="8"/>
      <c r="L28" s="8"/>
      <c r="M28" s="8"/>
      <c r="N28" s="8"/>
      <c r="O28" s="8"/>
      <c r="P28" s="8"/>
      <c r="Q28" s="8"/>
      <c r="R28" s="8"/>
    </row>
    <row r="29" spans="2:18" ht="18" customHeight="1" x14ac:dyDescent="0.45">
      <c r="B29" s="13" t="s">
        <v>225</v>
      </c>
    </row>
    <row r="30" spans="2:18" ht="18" customHeight="1" x14ac:dyDescent="0.45">
      <c r="B30" s="23" t="s">
        <v>176</v>
      </c>
      <c r="C30" s="24" t="s">
        <v>157</v>
      </c>
      <c r="D30" s="24" t="s">
        <v>158</v>
      </c>
      <c r="E30" s="5"/>
      <c r="F30" s="5"/>
      <c r="G30" s="5"/>
    </row>
    <row r="31" spans="2:18" x14ac:dyDescent="0.45">
      <c r="B31" s="25" t="s">
        <v>180</v>
      </c>
      <c r="C31" s="56" cm="1">
        <f t="array" aca="1" ref="C31" ca="1">IFERROR(1-_xll.VoseSimProbability(Claims_A,Prem_EV_A),"–")</f>
        <v>0.29237076292370767</v>
      </c>
      <c r="D31" s="56" cm="1">
        <f t="array" aca="1" ref="D31" ca="1">IFERROR(1-_xll.VoseSimProbability(Claims_B,Prem_EV_B),"–")</f>
        <v>0.31156884311568844</v>
      </c>
      <c r="E31" s="28"/>
      <c r="F31" s="28"/>
      <c r="G31" s="28"/>
    </row>
    <row r="32" spans="2:18" x14ac:dyDescent="0.45">
      <c r="B32" s="25" t="s">
        <v>165</v>
      </c>
      <c r="C32" s="56" cm="1">
        <f t="array" aca="1" ref="C32" ca="1">IFERROR(1-_xll.VoseSimProbability(Claims_A,Prem_SD_A),"–")</f>
        <v>0.35256474352564748</v>
      </c>
      <c r="D32" s="56" cm="1">
        <f t="array" aca="1" ref="D32" ca="1">IFERROR(1-_xll.VoseSimProbability(Claims_B,Prem_SD_B),"–")</f>
        <v>0.26867313268673132</v>
      </c>
      <c r="E32" s="28"/>
      <c r="F32" s="28"/>
      <c r="G32" s="28"/>
    </row>
    <row r="33" spans="2:7" x14ac:dyDescent="0.45">
      <c r="B33" s="25" t="s">
        <v>183</v>
      </c>
      <c r="C33" s="56" cm="1">
        <f t="array" aca="1" ref="C33" ca="1">IFERROR(1-_xll.VoseSimProbability(Claims_A,Prem_RA_A),"–")</f>
        <v>0.3754624537546245</v>
      </c>
      <c r="D33" s="56" cm="1">
        <f t="array" aca="1" ref="D33" ca="1">IFERROR(1-_xll.VoseSimProbability(Claims_B,Prem_RA_B),"–")</f>
        <v>0.28307169283071698</v>
      </c>
      <c r="E33" s="28"/>
      <c r="F33" s="28"/>
      <c r="G33" s="28"/>
    </row>
    <row r="34" spans="2:7" x14ac:dyDescent="0.45">
      <c r="B34" s="25" t="s">
        <v>185</v>
      </c>
      <c r="C34" s="56" cm="1">
        <f t="array" aca="1" ref="C34" ca="1">IFERROR(1-_xll.VoseSimProbability(Claims_A,Prem_CoC_A),"–")</f>
        <v>0.32376762323767627</v>
      </c>
      <c r="D34" s="56" cm="1">
        <f t="array" aca="1" ref="D34" ca="1">IFERROR(1-_xll.VoseSimProbability(Claims_B,Prem_CoC_B),"–")</f>
        <v>0.21927807219278073</v>
      </c>
      <c r="E34" s="28"/>
      <c r="F34" s="28"/>
      <c r="G34" s="28"/>
    </row>
    <row r="35" spans="2:7" ht="8" customHeight="1" x14ac:dyDescent="0.45"/>
    <row r="36" spans="2:7" ht="22.05" customHeight="1" x14ac:dyDescent="0.5">
      <c r="B36" s="7" t="s">
        <v>226</v>
      </c>
      <c r="C36" s="8"/>
      <c r="D36" s="8"/>
      <c r="E36" s="8"/>
      <c r="F36" s="8"/>
      <c r="G36" s="8"/>
    </row>
    <row r="37" spans="2:7" ht="18" customHeight="1" x14ac:dyDescent="0.45">
      <c r="B37" s="13" t="s">
        <v>227</v>
      </c>
    </row>
    <row r="38" spans="2:7" ht="18" customHeight="1" x14ac:dyDescent="0.45">
      <c r="B38" s="54" t="s">
        <v>228</v>
      </c>
      <c r="C38" s="55" t="s">
        <v>229</v>
      </c>
      <c r="D38" s="55" t="s">
        <v>230</v>
      </c>
      <c r="E38" s="55" t="s">
        <v>231</v>
      </c>
      <c r="F38" s="55" t="s">
        <v>232</v>
      </c>
      <c r="G38" s="55" t="s">
        <v>65</v>
      </c>
    </row>
    <row r="39" spans="2:7" x14ac:dyDescent="0.45">
      <c r="B39" s="44"/>
      <c r="C39" s="44"/>
      <c r="D39" s="44"/>
      <c r="E39" s="44"/>
      <c r="F39" s="44"/>
      <c r="G39" s="44" t="s">
        <v>233</v>
      </c>
    </row>
    <row r="40" spans="2:7" x14ac:dyDescent="0.45">
      <c r="B40" s="25" t="s">
        <v>234</v>
      </c>
      <c r="C40" s="57" cm="1">
        <f t="array" aca="1" ref="C40" ca="1">_xll.VoseSimMean(Claims_A)</f>
        <v>99.858581623933318</v>
      </c>
      <c r="D40" s="57" cm="1">
        <f t="array" aca="1" ref="D40" ca="1">_xll.VoseSimStdev(Claims_A)</f>
        <v>35.051304392109003</v>
      </c>
      <c r="E40" s="57" cm="1">
        <f t="array" aca="1" ref="E40" ca="1">_xll.VoseSimPercentile(Claims_A,0.75)</f>
        <v>120.16794493399269</v>
      </c>
      <c r="F40" s="57" cm="1">
        <f t="array" aca="1" ref="F40" ca="1">_xll.VoseSimPercentile(Claims_A,0.95)</f>
        <v>163.10203171944181</v>
      </c>
      <c r="G40" s="57" cm="1">
        <f t="array" aca="1" ref="G40" ca="1">_xll.VoseSimPercentile(Claims_A,0.995)</f>
        <v>214.05330198778421</v>
      </c>
    </row>
    <row r="41" spans="2:7" x14ac:dyDescent="0.45">
      <c r="B41" s="58" t="s">
        <v>235</v>
      </c>
      <c r="C41" s="36">
        <f>MeanAS</f>
        <v>100</v>
      </c>
      <c r="D41" s="36">
        <f>AggSDA</f>
        <v>34.928498393145958</v>
      </c>
      <c r="E41" s="36">
        <f>Calc75_A</f>
        <v>120.05160323324758</v>
      </c>
      <c r="F41" s="36">
        <f>Calc95_A</f>
        <v>163.01308093756646</v>
      </c>
      <c r="G41" s="36">
        <f>OneIn200_A</f>
        <v>217.94601543547316</v>
      </c>
    </row>
    <row r="42" spans="2:7" x14ac:dyDescent="0.45">
      <c r="B42" s="25" t="s">
        <v>236</v>
      </c>
      <c r="C42" s="57" cm="1">
        <f t="array" aca="1" ref="C42" ca="1">_xll.VoseSimMean(Claims_B)</f>
        <v>101.26840479214127</v>
      </c>
      <c r="D42" s="57" cm="1">
        <f t="array" aca="1" ref="D42" ca="1">_xll.VoseSimStdev(Claims_B)</f>
        <v>142.83556326076382</v>
      </c>
      <c r="E42" s="57" cm="1">
        <f t="array" aca="1" ref="E42" ca="1">_xll.VoseSimPercentile(Claims_B,0.75)</f>
        <v>145.63491239352311</v>
      </c>
      <c r="F42" s="57" cm="1">
        <f t="array" aca="1" ref="F42" ca="1">_xll.VoseSimPercentile(Claims_B,0.95)</f>
        <v>381.00329239710896</v>
      </c>
      <c r="G42" s="57" cm="1">
        <f t="array" aca="1" ref="G42" ca="1">_xll.VoseSimPercentile(Claims_B,0.995)</f>
        <v>783.56955671531864</v>
      </c>
    </row>
    <row r="43" spans="2:7" x14ac:dyDescent="0.45">
      <c r="B43" s="58" t="s">
        <v>235</v>
      </c>
      <c r="C43" s="36">
        <f>MeanBS</f>
        <v>100</v>
      </c>
      <c r="D43" s="36">
        <f>AggSDB</f>
        <v>141.42135623730951</v>
      </c>
      <c r="E43" s="36">
        <f>Calc75_B</f>
        <v>144.9683999997055</v>
      </c>
      <c r="F43" s="36">
        <f>Calc95_B</f>
        <v>373.72257855858248</v>
      </c>
      <c r="G43" s="36">
        <f>OneIn200_B</f>
        <v>756.51889050989018</v>
      </c>
    </row>
    <row r="44" spans="2:7" ht="8" customHeight="1" x14ac:dyDescent="0.45"/>
    <row r="45" spans="2:7" ht="22.05" customHeight="1" x14ac:dyDescent="0.5">
      <c r="B45" s="7" t="s">
        <v>237</v>
      </c>
      <c r="C45" s="8"/>
      <c r="D45" s="8"/>
      <c r="E45" s="8"/>
      <c r="F45" s="8"/>
      <c r="G45" s="8"/>
    </row>
    <row r="46" spans="2:7" ht="45" customHeight="1" x14ac:dyDescent="0.45">
      <c r="B46" s="65" t="s">
        <v>238</v>
      </c>
      <c r="C46" s="64"/>
      <c r="D46" s="64"/>
      <c r="E46" s="64"/>
      <c r="F46" s="64"/>
      <c r="G46" s="64"/>
    </row>
    <row r="47" spans="2:7" ht="32" customHeight="1" x14ac:dyDescent="0.45">
      <c r="B47" s="65" t="s">
        <v>239</v>
      </c>
      <c r="C47" s="64"/>
      <c r="D47" s="64"/>
      <c r="E47" s="64"/>
      <c r="F47" s="64"/>
      <c r="G47" s="64"/>
    </row>
    <row r="48" spans="2:7" ht="32" customHeight="1" x14ac:dyDescent="0.45">
      <c r="B48" s="65" t="s">
        <v>240</v>
      </c>
      <c r="C48" s="64"/>
      <c r="D48" s="64"/>
      <c r="E48" s="64"/>
      <c r="F48" s="64"/>
      <c r="G48" s="64"/>
    </row>
    <row r="49" spans="2:7" ht="45" customHeight="1" x14ac:dyDescent="0.45">
      <c r="B49" s="65" t="s">
        <v>241</v>
      </c>
      <c r="C49" s="64"/>
      <c r="D49" s="64"/>
      <c r="E49" s="64"/>
      <c r="F49" s="64"/>
      <c r="G49" s="64"/>
    </row>
    <row r="50" spans="2:7" ht="32" customHeight="1" x14ac:dyDescent="0.45">
      <c r="B50" s="65" t="s">
        <v>242</v>
      </c>
      <c r="C50" s="64"/>
      <c r="D50" s="64"/>
      <c r="E50" s="64"/>
      <c r="F50" s="64"/>
      <c r="G50" s="64"/>
    </row>
    <row r="51" spans="2:7" ht="45" customHeight="1" x14ac:dyDescent="0.45">
      <c r="B51" s="65" t="s">
        <v>243</v>
      </c>
      <c r="C51" s="64"/>
      <c r="D51" s="64"/>
      <c r="E51" s="64"/>
      <c r="F51" s="64"/>
      <c r="G51" s="64"/>
    </row>
    <row r="52" spans="2:7" ht="45" customHeight="1" x14ac:dyDescent="0.45">
      <c r="B52" s="65" t="s">
        <v>244</v>
      </c>
      <c r="C52" s="64"/>
      <c r="D52" s="64"/>
      <c r="E52" s="64"/>
      <c r="F52" s="64"/>
      <c r="G52" s="64"/>
    </row>
    <row r="53" spans="2:7" ht="14" customHeight="1" x14ac:dyDescent="0.45"/>
    <row r="54" spans="2:7" ht="14" customHeight="1" x14ac:dyDescent="0.45"/>
    <row r="55" spans="2:7" ht="22.05" customHeight="1" x14ac:dyDescent="0.5">
      <c r="B55" s="7" t="s">
        <v>245</v>
      </c>
      <c r="C55" s="8"/>
      <c r="D55" s="8"/>
      <c r="E55" s="8"/>
      <c r="F55" s="8"/>
      <c r="G55" s="8"/>
    </row>
    <row r="56" spans="2:7" ht="18" customHeight="1" x14ac:dyDescent="0.45">
      <c r="B56" s="13" t="s">
        <v>246</v>
      </c>
    </row>
    <row r="57" spans="2:7" ht="28.05" hidden="1" customHeight="1" outlineLevel="1" x14ac:dyDescent="0.45">
      <c r="B57" s="24" t="s">
        <v>247</v>
      </c>
      <c r="C57" s="24" t="s">
        <v>248</v>
      </c>
      <c r="D57" s="24" t="s">
        <v>249</v>
      </c>
      <c r="E57" s="24" t="s">
        <v>250</v>
      </c>
      <c r="F57" s="5"/>
      <c r="G57" s="5"/>
    </row>
    <row r="58" spans="2:7" hidden="1" outlineLevel="1" x14ac:dyDescent="0.45">
      <c r="B58" s="59">
        <v>0.01</v>
      </c>
      <c r="C58" s="59">
        <f t="shared" ref="C58:C89" si="0">1-B58</f>
        <v>0.99</v>
      </c>
      <c r="D58" s="60" cm="1">
        <f t="array" aca="1" ref="D58" ca="1">IF(ISNUMBER(_xll.VoseSimPercentile(Claims_A,$B58)),_xll.VoseSimPercentile(Claims_A,$B58),NA())</f>
        <v>36.947837978610771</v>
      </c>
      <c r="E58" s="60" cm="1">
        <f t="array" aca="1" ref="E58" ca="1">IF(ISNUMBER(_xll.VoseSimPercentile(Claims_B,$B58)),_xll.VoseSimPercentile(Claims_B,$B58),NA())</f>
        <v>0</v>
      </c>
    </row>
    <row r="59" spans="2:7" hidden="1" outlineLevel="1" x14ac:dyDescent="0.45">
      <c r="B59" s="59">
        <v>0.03</v>
      </c>
      <c r="C59" s="59">
        <f t="shared" si="0"/>
        <v>0.97</v>
      </c>
      <c r="D59" s="60" cm="1">
        <f t="array" aca="1" ref="D59" ca="1">IF(ISNUMBER(_xll.VoseSimPercentile(Claims_A,$B59)),_xll.VoseSimPercentile(Claims_A,$B59),NA())</f>
        <v>45.491189485760742</v>
      </c>
      <c r="E59" s="60" cm="1">
        <f t="array" aca="1" ref="E59" ca="1">IF(ISNUMBER(_xll.VoseSimPercentile(Claims_B,$B59)),_xll.VoseSimPercentile(Claims_B,$B59),NA())</f>
        <v>0</v>
      </c>
    </row>
    <row r="60" spans="2:7" hidden="1" outlineLevel="1" x14ac:dyDescent="0.45">
      <c r="B60" s="59">
        <v>0.05</v>
      </c>
      <c r="C60" s="59">
        <f t="shared" si="0"/>
        <v>0.95</v>
      </c>
      <c r="D60" s="60" cm="1">
        <f t="array" aca="1" ref="D60" ca="1">IF(ISNUMBER(_xll.VoseSimPercentile(Claims_A,$B60)),_xll.VoseSimPercentile(Claims_A,$B60),NA())</f>
        <v>50.423447247841587</v>
      </c>
      <c r="E60" s="60" cm="1">
        <f t="array" aca="1" ref="E60" ca="1">IF(ISNUMBER(_xll.VoseSimPercentile(Claims_B,$B60)),_xll.VoseSimPercentile(Claims_B,$B60),NA())</f>
        <v>0</v>
      </c>
    </row>
    <row r="61" spans="2:7" hidden="1" outlineLevel="1" x14ac:dyDescent="0.45">
      <c r="B61" s="59">
        <v>7.0000000000000007E-2</v>
      </c>
      <c r="C61" s="59">
        <f t="shared" si="0"/>
        <v>0.92999999999999994</v>
      </c>
      <c r="D61" s="60" cm="1">
        <f t="array" aca="1" ref="D61" ca="1">IF(ISNUMBER(_xll.VoseSimPercentile(Claims_A,$B61)),_xll.VoseSimPercentile(Claims_A,$B61),NA())</f>
        <v>53.799334303805104</v>
      </c>
      <c r="E61" s="60" cm="1">
        <f t="array" aca="1" ref="E61" ca="1">IF(ISNUMBER(_xll.VoseSimPercentile(Claims_B,$B61)),_xll.VoseSimPercentile(Claims_B,$B61),NA())</f>
        <v>0</v>
      </c>
    </row>
    <row r="62" spans="2:7" hidden="1" outlineLevel="1" x14ac:dyDescent="0.45">
      <c r="B62" s="59">
        <v>0.09</v>
      </c>
      <c r="C62" s="59">
        <f t="shared" si="0"/>
        <v>0.91</v>
      </c>
      <c r="D62" s="60" cm="1">
        <f t="array" aca="1" ref="D62" ca="1">IF(ISNUMBER(_xll.VoseSimPercentile(Claims_A,$B62)),_xll.VoseSimPercentile(Claims_A,$B62),NA())</f>
        <v>57.065050053088839</v>
      </c>
      <c r="E62" s="60" cm="1">
        <f t="array" aca="1" ref="E62" ca="1">IF(ISNUMBER(_xll.VoseSimPercentile(Claims_B,$B62)),_xll.VoseSimPercentile(Claims_B,$B62),NA())</f>
        <v>0</v>
      </c>
    </row>
    <row r="63" spans="2:7" hidden="1" outlineLevel="1" x14ac:dyDescent="0.45">
      <c r="B63" s="59">
        <v>0.11</v>
      </c>
      <c r="C63" s="59">
        <f t="shared" si="0"/>
        <v>0.89</v>
      </c>
      <c r="D63" s="60" cm="1">
        <f t="array" aca="1" ref="D63" ca="1">IF(ISNUMBER(_xll.VoseSimPercentile(Claims_A,$B63)),_xll.VoseSimPercentile(Claims_A,$B63),NA())</f>
        <v>60.150905428537229</v>
      </c>
      <c r="E63" s="60" cm="1">
        <f t="array" aca="1" ref="E63" ca="1">IF(ISNUMBER(_xll.VoseSimPercentile(Claims_B,$B63)),_xll.VoseSimPercentile(Claims_B,$B63),NA())</f>
        <v>0</v>
      </c>
    </row>
    <row r="64" spans="2:7" hidden="1" outlineLevel="1" x14ac:dyDescent="0.45">
      <c r="B64" s="59">
        <v>0.13</v>
      </c>
      <c r="C64" s="59">
        <f t="shared" si="0"/>
        <v>0.87</v>
      </c>
      <c r="D64" s="60" cm="1">
        <f t="array" aca="1" ref="D64" ca="1">IF(ISNUMBER(_xll.VoseSimPercentile(Claims_A,$B64)),_xll.VoseSimPercentile(Claims_A,$B64),NA())</f>
        <v>62.732366973320154</v>
      </c>
      <c r="E64" s="60" cm="1">
        <f t="array" aca="1" ref="E64" ca="1">IF(ISNUMBER(_xll.VoseSimPercentile(Claims_B,$B64)),_xll.VoseSimPercentile(Claims_B,$B64),NA())</f>
        <v>0</v>
      </c>
    </row>
    <row r="65" spans="2:5" hidden="1" outlineLevel="1" x14ac:dyDescent="0.45">
      <c r="B65" s="59">
        <v>0.15</v>
      </c>
      <c r="C65" s="59">
        <f t="shared" si="0"/>
        <v>0.85</v>
      </c>
      <c r="D65" s="60" cm="1">
        <f t="array" aca="1" ref="D65" ca="1">IF(ISNUMBER(_xll.VoseSimPercentile(Claims_A,$B65)),_xll.VoseSimPercentile(Claims_A,$B65),NA())</f>
        <v>64.725705290735206</v>
      </c>
      <c r="E65" s="60" cm="1">
        <f t="array" aca="1" ref="E65" ca="1">IF(ISNUMBER(_xll.VoseSimPercentile(Claims_B,$B65)),_xll.VoseSimPercentile(Claims_B,$B65),NA())</f>
        <v>0</v>
      </c>
    </row>
    <row r="66" spans="2:5" hidden="1" outlineLevel="1" x14ac:dyDescent="0.45">
      <c r="B66" s="59">
        <v>0.17</v>
      </c>
      <c r="C66" s="59">
        <f t="shared" si="0"/>
        <v>0.83</v>
      </c>
      <c r="D66" s="60" cm="1">
        <f t="array" aca="1" ref="D66" ca="1">IF(ISNUMBER(_xll.VoseSimPercentile(Claims_A,$B66)),_xll.VoseSimPercentile(Claims_A,$B66),NA())</f>
        <v>66.77944128518061</v>
      </c>
      <c r="E66" s="60" cm="1">
        <f t="array" aca="1" ref="E66" ca="1">IF(ISNUMBER(_xll.VoseSimPercentile(Claims_B,$B66)),_xll.VoseSimPercentile(Claims_B,$B66),NA())</f>
        <v>0</v>
      </c>
    </row>
    <row r="67" spans="2:5" hidden="1" outlineLevel="1" x14ac:dyDescent="0.45">
      <c r="B67" s="59">
        <v>0.19</v>
      </c>
      <c r="C67" s="59">
        <f t="shared" si="0"/>
        <v>0.81</v>
      </c>
      <c r="D67" s="60" cm="1">
        <f t="array" aca="1" ref="D67" ca="1">IF(ISNUMBER(_xll.VoseSimPercentile(Claims_A,$B67)),_xll.VoseSimPercentile(Claims_A,$B67),NA())</f>
        <v>69.000357919468129</v>
      </c>
      <c r="E67" s="60" cm="1">
        <f t="array" aca="1" ref="E67" ca="1">IF(ISNUMBER(_xll.VoseSimPercentile(Claims_B,$B67)),_xll.VoseSimPercentile(Claims_B,$B67),NA())</f>
        <v>0</v>
      </c>
    </row>
    <row r="68" spans="2:5" hidden="1" outlineLevel="1" x14ac:dyDescent="0.45">
      <c r="B68" s="59">
        <v>0.21</v>
      </c>
      <c r="C68" s="59">
        <f t="shared" si="0"/>
        <v>0.79</v>
      </c>
      <c r="D68" s="60" cm="1">
        <f t="array" aca="1" ref="D68" ca="1">IF(ISNUMBER(_xll.VoseSimPercentile(Claims_A,$B68)),_xll.VoseSimPercentile(Claims_A,$B68),NA())</f>
        <v>70.986514802547404</v>
      </c>
      <c r="E68" s="60" cm="1">
        <f t="array" aca="1" ref="E68" ca="1">IF(ISNUMBER(_xll.VoseSimPercentile(Claims_B,$B68)),_xll.VoseSimPercentile(Claims_B,$B68),NA())</f>
        <v>0</v>
      </c>
    </row>
    <row r="69" spans="2:5" hidden="1" outlineLevel="1" x14ac:dyDescent="0.45">
      <c r="B69" s="59">
        <v>0.23</v>
      </c>
      <c r="C69" s="59">
        <f t="shared" si="0"/>
        <v>0.77</v>
      </c>
      <c r="D69" s="60" cm="1">
        <f t="array" aca="1" ref="D69" ca="1">IF(ISNUMBER(_xll.VoseSimPercentile(Claims_A,$B69)),_xll.VoseSimPercentile(Claims_A,$B69),NA())</f>
        <v>72.868789463731417</v>
      </c>
      <c r="E69" s="60" cm="1">
        <f t="array" aca="1" ref="E69" ca="1">IF(ISNUMBER(_xll.VoseSimPercentile(Claims_B,$B69)),_xll.VoseSimPercentile(Claims_B,$B69),NA())</f>
        <v>0</v>
      </c>
    </row>
    <row r="70" spans="2:5" hidden="1" outlineLevel="1" x14ac:dyDescent="0.45">
      <c r="B70" s="59">
        <v>0.25</v>
      </c>
      <c r="C70" s="59">
        <f t="shared" si="0"/>
        <v>0.75</v>
      </c>
      <c r="D70" s="60" cm="1">
        <f t="array" aca="1" ref="D70" ca="1">IF(ISNUMBER(_xll.VoseSimPercentile(Claims_A,$B70)),_xll.VoseSimPercentile(Claims_A,$B70),NA())</f>
        <v>74.560966231681491</v>
      </c>
      <c r="E70" s="60" cm="1">
        <f t="array" aca="1" ref="E70" ca="1">IF(ISNUMBER(_xll.VoseSimPercentile(Claims_B,$B70)),_xll.VoseSimPercentile(Claims_B,$B70),NA())</f>
        <v>0</v>
      </c>
    </row>
    <row r="71" spans="2:5" hidden="1" outlineLevel="1" x14ac:dyDescent="0.45">
      <c r="B71" s="59">
        <v>0.27</v>
      </c>
      <c r="C71" s="59">
        <f t="shared" si="0"/>
        <v>0.73</v>
      </c>
      <c r="D71" s="60" cm="1">
        <f t="array" aca="1" ref="D71" ca="1">IF(ISNUMBER(_xll.VoseSimPercentile(Claims_A,$B71)),_xll.VoseSimPercentile(Claims_A,$B71),NA())</f>
        <v>76.377866823203846</v>
      </c>
      <c r="E71" s="60" cm="1">
        <f t="array" aca="1" ref="E71" ca="1">IF(ISNUMBER(_xll.VoseSimPercentile(Claims_B,$B71)),_xll.VoseSimPercentile(Claims_B,$B71),NA())</f>
        <v>0</v>
      </c>
    </row>
    <row r="72" spans="2:5" hidden="1" outlineLevel="1" x14ac:dyDescent="0.45">
      <c r="B72" s="59">
        <v>0.28999999999999998</v>
      </c>
      <c r="C72" s="59">
        <f t="shared" si="0"/>
        <v>0.71</v>
      </c>
      <c r="D72" s="60" cm="1">
        <f t="array" aca="1" ref="D72" ca="1">IF(ISNUMBER(_xll.VoseSimPercentile(Claims_A,$B72)),_xll.VoseSimPercentile(Claims_A,$B72),NA())</f>
        <v>78.193456709668141</v>
      </c>
      <c r="E72" s="60" cm="1">
        <f t="array" aca="1" ref="E72" ca="1">IF(ISNUMBER(_xll.VoseSimPercentile(Claims_B,$B72)),_xll.VoseSimPercentile(Claims_B,$B72),NA())</f>
        <v>0</v>
      </c>
    </row>
    <row r="73" spans="2:5" hidden="1" outlineLevel="1" x14ac:dyDescent="0.45">
      <c r="B73" s="59">
        <v>0.31</v>
      </c>
      <c r="C73" s="59">
        <f t="shared" si="0"/>
        <v>0.69</v>
      </c>
      <c r="D73" s="60" cm="1">
        <f t="array" aca="1" ref="D73" ca="1">IF(ISNUMBER(_xll.VoseSimPercentile(Claims_A,$B73)),_xll.VoseSimPercentile(Claims_A,$B73),NA())</f>
        <v>80.088290896814073</v>
      </c>
      <c r="E73" s="60" cm="1">
        <f t="array" aca="1" ref="E73" ca="1">IF(ISNUMBER(_xll.VoseSimPercentile(Claims_B,$B73)),_xll.VoseSimPercentile(Claims_B,$B73),NA())</f>
        <v>0</v>
      </c>
    </row>
    <row r="74" spans="2:5" hidden="1" outlineLevel="1" x14ac:dyDescent="0.45">
      <c r="B74" s="59">
        <v>0.33</v>
      </c>
      <c r="C74" s="59">
        <f t="shared" si="0"/>
        <v>0.66999999999999993</v>
      </c>
      <c r="D74" s="60" cm="1">
        <f t="array" aca="1" ref="D74" ca="1">IF(ISNUMBER(_xll.VoseSimPercentile(Claims_A,$B74)),_xll.VoseSimPercentile(Claims_A,$B74),NA())</f>
        <v>82.011654673362457</v>
      </c>
      <c r="E74" s="60" cm="1">
        <f t="array" aca="1" ref="E74" ca="1">IF(ISNUMBER(_xll.VoseSimPercentile(Claims_B,$B74)),_xll.VoseSimPercentile(Claims_B,$B74),NA())</f>
        <v>0</v>
      </c>
    </row>
    <row r="75" spans="2:5" hidden="1" outlineLevel="1" x14ac:dyDescent="0.45">
      <c r="B75" s="59">
        <v>0.35</v>
      </c>
      <c r="C75" s="59">
        <f t="shared" si="0"/>
        <v>0.65</v>
      </c>
      <c r="D75" s="60" cm="1">
        <f t="array" aca="1" ref="D75" ca="1">IF(ISNUMBER(_xll.VoseSimPercentile(Claims_A,$B75)),_xll.VoseSimPercentile(Claims_A,$B75),NA())</f>
        <v>83.699953239106406</v>
      </c>
      <c r="E75" s="60" cm="1">
        <f t="array" aca="1" ref="E75" ca="1">IF(ISNUMBER(_xll.VoseSimPercentile(Claims_B,$B75)),_xll.VoseSimPercentile(Claims_B,$B75),NA())</f>
        <v>0</v>
      </c>
    </row>
    <row r="76" spans="2:5" hidden="1" outlineLevel="1" x14ac:dyDescent="0.45">
      <c r="B76" s="59">
        <v>0.37</v>
      </c>
      <c r="C76" s="59">
        <f t="shared" si="0"/>
        <v>0.63</v>
      </c>
      <c r="D76" s="60" cm="1">
        <f t="array" aca="1" ref="D76" ca="1">IF(ISNUMBER(_xll.VoseSimPercentile(Claims_A,$B76)),_xll.VoseSimPercentile(Claims_A,$B76),NA())</f>
        <v>85.531174280894732</v>
      </c>
      <c r="E76" s="60" cm="1">
        <f t="array" aca="1" ref="E76" ca="1">IF(ISNUMBER(_xll.VoseSimPercentile(Claims_B,$B76)),_xll.VoseSimPercentile(Claims_B,$B76),NA())</f>
        <v>7.1329644882261372</v>
      </c>
    </row>
    <row r="77" spans="2:5" hidden="1" outlineLevel="1" x14ac:dyDescent="0.45">
      <c r="B77" s="59">
        <v>0.39</v>
      </c>
      <c r="C77" s="59">
        <f t="shared" si="0"/>
        <v>0.61</v>
      </c>
      <c r="D77" s="60" cm="1">
        <f t="array" aca="1" ref="D77" ca="1">IF(ISNUMBER(_xll.VoseSimPercentile(Claims_A,$B77)),_xll.VoseSimPercentile(Claims_A,$B77),NA())</f>
        <v>87.202873689353808</v>
      </c>
      <c r="E77" s="60" cm="1">
        <f t="array" aca="1" ref="E77" ca="1">IF(ISNUMBER(_xll.VoseSimPercentile(Claims_B,$B77)),_xll.VoseSimPercentile(Claims_B,$B77),NA())</f>
        <v>19.370155201259937</v>
      </c>
    </row>
    <row r="78" spans="2:5" hidden="1" outlineLevel="1" x14ac:dyDescent="0.45">
      <c r="B78" s="59">
        <v>0.41</v>
      </c>
      <c r="C78" s="59">
        <f t="shared" si="0"/>
        <v>0.59000000000000008</v>
      </c>
      <c r="D78" s="60" cm="1">
        <f t="array" aca="1" ref="D78" ca="1">IF(ISNUMBER(_xll.VoseSimPercentile(Claims_A,$B78)),_xll.VoseSimPercentile(Claims_A,$B78),NA())</f>
        <v>88.914262706644422</v>
      </c>
      <c r="E78" s="60" cm="1">
        <f t="array" aca="1" ref="E78" ca="1">IF(ISNUMBER(_xll.VoseSimPercentile(Claims_B,$B78)),_xll.VoseSimPercentile(Claims_B,$B78),NA())</f>
        <v>25.419021371687137</v>
      </c>
    </row>
    <row r="79" spans="2:5" hidden="1" outlineLevel="1" x14ac:dyDescent="0.45">
      <c r="B79" s="59">
        <v>0.43</v>
      </c>
      <c r="C79" s="59">
        <f t="shared" si="0"/>
        <v>0.57000000000000006</v>
      </c>
      <c r="D79" s="60" cm="1">
        <f t="array" aca="1" ref="D79" ca="1">IF(ISNUMBER(_xll.VoseSimPercentile(Claims_A,$B79)),_xll.VoseSimPercentile(Claims_A,$B79),NA())</f>
        <v>90.361361874693273</v>
      </c>
      <c r="E79" s="60" cm="1">
        <f t="array" aca="1" ref="E79" ca="1">IF(ISNUMBER(_xll.VoseSimPercentile(Claims_B,$B79)),_xll.VoseSimPercentile(Claims_B,$B79),NA())</f>
        <v>31.21589912383951</v>
      </c>
    </row>
    <row r="80" spans="2:5" hidden="1" outlineLevel="1" x14ac:dyDescent="0.45">
      <c r="B80" s="59">
        <v>0.45</v>
      </c>
      <c r="C80" s="59">
        <f t="shared" si="0"/>
        <v>0.55000000000000004</v>
      </c>
      <c r="D80" s="60" cm="1">
        <f t="array" aca="1" ref="D80" ca="1">IF(ISNUMBER(_xll.VoseSimPercentile(Claims_A,$B80)),_xll.VoseSimPercentile(Claims_A,$B80),NA())</f>
        <v>91.891569876207612</v>
      </c>
      <c r="E80" s="60" cm="1">
        <f t="array" aca="1" ref="E80" ca="1">IF(ISNUMBER(_xll.VoseSimPercentile(Claims_B,$B80)),_xll.VoseSimPercentile(Claims_B,$B80),NA())</f>
        <v>36.889372144768132</v>
      </c>
    </row>
    <row r="81" spans="2:5" hidden="1" outlineLevel="1" x14ac:dyDescent="0.45">
      <c r="B81" s="59">
        <v>0.47</v>
      </c>
      <c r="C81" s="59">
        <f t="shared" si="0"/>
        <v>0.53</v>
      </c>
      <c r="D81" s="60" cm="1">
        <f t="array" aca="1" ref="D81" ca="1">IF(ISNUMBER(_xll.VoseSimPercentile(Claims_A,$B81)),_xll.VoseSimPercentile(Claims_A,$B81),NA())</f>
        <v>93.569590042311376</v>
      </c>
      <c r="E81" s="60" cm="1">
        <f t="array" aca="1" ref="E81" ca="1">IF(ISNUMBER(_xll.VoseSimPercentile(Claims_B,$B81)),_xll.VoseSimPercentile(Claims_B,$B81),NA())</f>
        <v>42.298075126072831</v>
      </c>
    </row>
    <row r="82" spans="2:5" hidden="1" outlineLevel="1" x14ac:dyDescent="0.45">
      <c r="B82" s="59">
        <v>0.49</v>
      </c>
      <c r="C82" s="59">
        <f t="shared" si="0"/>
        <v>0.51</v>
      </c>
      <c r="D82" s="60" cm="1">
        <f t="array" aca="1" ref="D82" ca="1">IF(ISNUMBER(_xll.VoseSimPercentile(Claims_A,$B82)),_xll.VoseSimPercentile(Claims_A,$B82),NA())</f>
        <v>95.169662338835565</v>
      </c>
      <c r="E82" s="60" cm="1">
        <f t="array" aca="1" ref="E82" ca="1">IF(ISNUMBER(_xll.VoseSimPercentile(Claims_B,$B82)),_xll.VoseSimPercentile(Claims_B,$B82),NA())</f>
        <v>47.787714230931634</v>
      </c>
    </row>
    <row r="83" spans="2:5" hidden="1" outlineLevel="1" x14ac:dyDescent="0.45">
      <c r="B83" s="59">
        <v>0.51</v>
      </c>
      <c r="C83" s="59">
        <f t="shared" si="0"/>
        <v>0.49</v>
      </c>
      <c r="D83" s="60" cm="1">
        <f t="array" aca="1" ref="D83" ca="1">IF(ISNUMBER(_xll.VoseSimPercentile(Claims_A,$B83)),_xll.VoseSimPercentile(Claims_A,$B83),NA())</f>
        <v>96.731991880933435</v>
      </c>
      <c r="E83" s="60" cm="1">
        <f t="array" aca="1" ref="E83" ca="1">IF(ISNUMBER(_xll.VoseSimPercentile(Claims_B,$B83)),_xll.VoseSimPercentile(Claims_B,$B83),NA())</f>
        <v>53.364484689691437</v>
      </c>
    </row>
    <row r="84" spans="2:5" hidden="1" outlineLevel="1" x14ac:dyDescent="0.45">
      <c r="B84" s="59">
        <v>0.53</v>
      </c>
      <c r="C84" s="59">
        <f t="shared" si="0"/>
        <v>0.47</v>
      </c>
      <c r="D84" s="60" cm="1">
        <f t="array" aca="1" ref="D84" ca="1">IF(ISNUMBER(_xll.VoseSimPercentile(Claims_A,$B84)),_xll.VoseSimPercentile(Claims_A,$B84),NA())</f>
        <v>98.346672180383436</v>
      </c>
      <c r="E84" s="60" cm="1">
        <f t="array" aca="1" ref="E84" ca="1">IF(ISNUMBER(_xll.VoseSimPercentile(Claims_B,$B84)),_xll.VoseSimPercentile(Claims_B,$B84),NA())</f>
        <v>58.738438049900402</v>
      </c>
    </row>
    <row r="85" spans="2:5" hidden="1" outlineLevel="1" x14ac:dyDescent="0.45">
      <c r="B85" s="59">
        <v>0.55000000000000004</v>
      </c>
      <c r="C85" s="59">
        <f t="shared" si="0"/>
        <v>0.44999999999999996</v>
      </c>
      <c r="D85" s="60" cm="1">
        <f t="array" aca="1" ref="D85" ca="1">IF(ISNUMBER(_xll.VoseSimPercentile(Claims_A,$B85)),_xll.VoseSimPercentile(Claims_A,$B85),NA())</f>
        <v>100.08237584081154</v>
      </c>
      <c r="E85" s="60" cm="1">
        <f t="array" aca="1" ref="E85" ca="1">IF(ISNUMBER(_xll.VoseSimPercentile(Claims_B,$B85)),_xll.VoseSimPercentile(Claims_B,$B85),NA())</f>
        <v>63.943254686211169</v>
      </c>
    </row>
    <row r="86" spans="2:5" hidden="1" outlineLevel="1" x14ac:dyDescent="0.45">
      <c r="B86" s="59">
        <v>0.56999999999999995</v>
      </c>
      <c r="C86" s="59">
        <f t="shared" si="0"/>
        <v>0.43000000000000005</v>
      </c>
      <c r="D86" s="60" cm="1">
        <f t="array" aca="1" ref="D86" ca="1">IF(ISNUMBER(_xll.VoseSimPercentile(Claims_A,$B86)),_xll.VoseSimPercentile(Claims_A,$B86),NA())</f>
        <v>101.68270917019812</v>
      </c>
      <c r="E86" s="60" cm="1">
        <f t="array" aca="1" ref="E86" ca="1">IF(ISNUMBER(_xll.VoseSimPercentile(Claims_B,$B86)),_xll.VoseSimPercentile(Claims_B,$B86),NA())</f>
        <v>70.581434353192208</v>
      </c>
    </row>
    <row r="87" spans="2:5" hidden="1" outlineLevel="1" x14ac:dyDescent="0.45">
      <c r="B87" s="59">
        <v>0.59</v>
      </c>
      <c r="C87" s="59">
        <f t="shared" si="0"/>
        <v>0.41000000000000003</v>
      </c>
      <c r="D87" s="60" cm="1">
        <f t="array" aca="1" ref="D87" ca="1">IF(ISNUMBER(_xll.VoseSimPercentile(Claims_A,$B87)),_xll.VoseSimPercentile(Claims_A,$B87),NA())</f>
        <v>103.43827751715042</v>
      </c>
      <c r="E87" s="60" cm="1">
        <f t="array" aca="1" ref="E87" ca="1">IF(ISNUMBER(_xll.VoseSimPercentile(Claims_B,$B87)),_xll.VoseSimPercentile(Claims_B,$B87),NA())</f>
        <v>76.73294665752185</v>
      </c>
    </row>
    <row r="88" spans="2:5" hidden="1" outlineLevel="1" x14ac:dyDescent="0.45">
      <c r="B88" s="59">
        <v>0.61</v>
      </c>
      <c r="C88" s="59">
        <f t="shared" si="0"/>
        <v>0.39</v>
      </c>
      <c r="D88" s="60" cm="1">
        <f t="array" aca="1" ref="D88" ca="1">IF(ISNUMBER(_xll.VoseSimPercentile(Claims_A,$B88)),_xll.VoseSimPercentile(Claims_A,$B88),NA())</f>
        <v>105.10761928086163</v>
      </c>
      <c r="E88" s="60" cm="1">
        <f t="array" aca="1" ref="E88" ca="1">IF(ISNUMBER(_xll.VoseSimPercentile(Claims_B,$B88)),_xll.VoseSimPercentile(Claims_B,$B88),NA())</f>
        <v>84.169273924595728</v>
      </c>
    </row>
    <row r="89" spans="2:5" hidden="1" outlineLevel="1" x14ac:dyDescent="0.45">
      <c r="B89" s="59">
        <v>0.63</v>
      </c>
      <c r="C89" s="59">
        <f t="shared" si="0"/>
        <v>0.37</v>
      </c>
      <c r="D89" s="60" cm="1">
        <f t="array" aca="1" ref="D89" ca="1">IF(ISNUMBER(_xll.VoseSimPercentile(Claims_A,$B89)),_xll.VoseSimPercentile(Claims_A,$B89),NA())</f>
        <v>107.00039328635332</v>
      </c>
      <c r="E89" s="60" cm="1">
        <f t="array" aca="1" ref="E89" ca="1">IF(ISNUMBER(_xll.VoseSimPercentile(Claims_B,$B89)),_xll.VoseSimPercentile(Claims_B,$B89),NA())</f>
        <v>90.771428376461387</v>
      </c>
    </row>
    <row r="90" spans="2:5" hidden="1" outlineLevel="1" x14ac:dyDescent="0.45">
      <c r="B90" s="59">
        <v>0.65</v>
      </c>
      <c r="C90" s="59">
        <f t="shared" ref="C90:C121" si="1">1-B90</f>
        <v>0.35</v>
      </c>
      <c r="D90" s="60" cm="1">
        <f t="array" aca="1" ref="D90" ca="1">IF(ISNUMBER(_xll.VoseSimPercentile(Claims_A,$B90)),_xll.VoseSimPercentile(Claims_A,$B90),NA())</f>
        <v>109.05602554674205</v>
      </c>
      <c r="E90" s="60" cm="1">
        <f t="array" aca="1" ref="E90" ca="1">IF(ISNUMBER(_xll.VoseSimPercentile(Claims_B,$B90)),_xll.VoseSimPercentile(Claims_B,$B90),NA())</f>
        <v>98.60997582732729</v>
      </c>
    </row>
    <row r="91" spans="2:5" hidden="1" outlineLevel="1" x14ac:dyDescent="0.45">
      <c r="B91" s="59">
        <v>0.67</v>
      </c>
      <c r="C91" s="59">
        <f t="shared" si="1"/>
        <v>0.32999999999999996</v>
      </c>
      <c r="D91" s="60" cm="1">
        <f t="array" aca="1" ref="D91" ca="1">IF(ISNUMBER(_xll.VoseSimPercentile(Claims_A,$B91)),_xll.VoseSimPercentile(Claims_A,$B91),NA())</f>
        <v>111.02344287601234</v>
      </c>
      <c r="E91" s="60" cm="1">
        <f t="array" aca="1" ref="E91" ca="1">IF(ISNUMBER(_xll.VoseSimPercentile(Claims_B,$B91)),_xll.VoseSimPercentile(Claims_B,$B91),NA())</f>
        <v>107.29193116535916</v>
      </c>
    </row>
    <row r="92" spans="2:5" hidden="1" outlineLevel="1" x14ac:dyDescent="0.45">
      <c r="B92" s="59">
        <v>0.69</v>
      </c>
      <c r="C92" s="59">
        <f t="shared" si="1"/>
        <v>0.31000000000000005</v>
      </c>
      <c r="D92" s="60" cm="1">
        <f t="array" aca="1" ref="D92" ca="1">IF(ISNUMBER(_xll.VoseSimPercentile(Claims_A,$B92)),_xll.VoseSimPercentile(Claims_A,$B92),NA())</f>
        <v>113.28820885106083</v>
      </c>
      <c r="E92" s="60" cm="1">
        <f t="array" aca="1" ref="E92" ca="1">IF(ISNUMBER(_xll.VoseSimPercentile(Claims_B,$B92)),_xll.VoseSimPercentile(Claims_B,$B92),NA())</f>
        <v>115.7690903556946</v>
      </c>
    </row>
    <row r="93" spans="2:5" hidden="1" outlineLevel="1" x14ac:dyDescent="0.45">
      <c r="B93" s="59">
        <v>0.71</v>
      </c>
      <c r="C93" s="59">
        <f t="shared" si="1"/>
        <v>0.29000000000000004</v>
      </c>
      <c r="D93" s="60" cm="1">
        <f t="array" aca="1" ref="D93" ca="1">IF(ISNUMBER(_xll.VoseSimPercentile(Claims_A,$B93)),_xll.VoseSimPercentile(Claims_A,$B93),NA())</f>
        <v>115.32088830795088</v>
      </c>
      <c r="E93" s="60" cm="1">
        <f t="array" aca="1" ref="E93" ca="1">IF(ISNUMBER(_xll.VoseSimPercentile(Claims_B,$B93)),_xll.VoseSimPercentile(Claims_B,$B93),NA())</f>
        <v>125.32545679887934</v>
      </c>
    </row>
    <row r="94" spans="2:5" hidden="1" outlineLevel="1" x14ac:dyDescent="0.45">
      <c r="B94" s="59">
        <v>0.73</v>
      </c>
      <c r="C94" s="59">
        <f t="shared" si="1"/>
        <v>0.27</v>
      </c>
      <c r="D94" s="60" cm="1">
        <f t="array" aca="1" ref="D94" ca="1">IF(ISNUMBER(_xll.VoseSimPercentile(Claims_A,$B94)),_xll.VoseSimPercentile(Claims_A,$B94),NA())</f>
        <v>117.68361885801643</v>
      </c>
      <c r="E94" s="60" cm="1">
        <f t="array" aca="1" ref="E94" ca="1">IF(ISNUMBER(_xll.VoseSimPercentile(Claims_B,$B94)),_xll.VoseSimPercentile(Claims_B,$B94),NA())</f>
        <v>134.50289560184333</v>
      </c>
    </row>
    <row r="95" spans="2:5" hidden="1" outlineLevel="1" x14ac:dyDescent="0.45">
      <c r="B95" s="59">
        <v>0.75</v>
      </c>
      <c r="C95" s="59">
        <f t="shared" si="1"/>
        <v>0.25</v>
      </c>
      <c r="D95" s="60" cm="1">
        <f t="array" aca="1" ref="D95" ca="1">IF(ISNUMBER(_xll.VoseSimPercentile(Claims_A,$B95)),_xll.VoseSimPercentile(Claims_A,$B95),NA())</f>
        <v>120.16794493399269</v>
      </c>
      <c r="E95" s="60" cm="1">
        <f t="array" aca="1" ref="E95" ca="1">IF(ISNUMBER(_xll.VoseSimPercentile(Claims_B,$B95)),_xll.VoseSimPercentile(Claims_B,$B95),NA())</f>
        <v>145.63491239352311</v>
      </c>
    </row>
    <row r="96" spans="2:5" hidden="1" outlineLevel="1" x14ac:dyDescent="0.45">
      <c r="B96" s="59">
        <v>0.77</v>
      </c>
      <c r="C96" s="59">
        <f t="shared" si="1"/>
        <v>0.22999999999999998</v>
      </c>
      <c r="D96" s="60" cm="1">
        <f t="array" aca="1" ref="D96" ca="1">IF(ISNUMBER(_xll.VoseSimPercentile(Claims_A,$B96)),_xll.VoseSimPercentile(Claims_A,$B96),NA())</f>
        <v>122.4343670518839</v>
      </c>
      <c r="E96" s="60" cm="1">
        <f t="array" aca="1" ref="E96" ca="1">IF(ISNUMBER(_xll.VoseSimPercentile(Claims_B,$B96)),_xll.VoseSimPercentile(Claims_B,$B96),NA())</f>
        <v>158.29754602250992</v>
      </c>
    </row>
    <row r="97" spans="2:7" hidden="1" outlineLevel="1" x14ac:dyDescent="0.45">
      <c r="B97" s="59">
        <v>0.79</v>
      </c>
      <c r="C97" s="59">
        <f t="shared" si="1"/>
        <v>0.20999999999999996</v>
      </c>
      <c r="D97" s="60" cm="1">
        <f t="array" aca="1" ref="D97" ca="1">IF(ISNUMBER(_xll.VoseSimPercentile(Claims_A,$B97)),_xll.VoseSimPercentile(Claims_A,$B97),NA())</f>
        <v>125.44120101671331</v>
      </c>
      <c r="E97" s="60" cm="1">
        <f t="array" aca="1" ref="E97" ca="1">IF(ISNUMBER(_xll.VoseSimPercentile(Claims_B,$B97)),_xll.VoseSimPercentile(Claims_B,$B97),NA())</f>
        <v>171.33062877173711</v>
      </c>
    </row>
    <row r="98" spans="2:7" hidden="1" outlineLevel="1" x14ac:dyDescent="0.45">
      <c r="B98" s="59">
        <v>0.81</v>
      </c>
      <c r="C98" s="59">
        <f t="shared" si="1"/>
        <v>0.18999999999999995</v>
      </c>
      <c r="D98" s="60" cm="1">
        <f t="array" aca="1" ref="D98" ca="1">IF(ISNUMBER(_xll.VoseSimPercentile(Claims_A,$B98)),_xll.VoseSimPercentile(Claims_A,$B98),NA())</f>
        <v>128.54439063236785</v>
      </c>
      <c r="E98" s="60" cm="1">
        <f t="array" aca="1" ref="E98" ca="1">IF(ISNUMBER(_xll.VoseSimPercentile(Claims_B,$B98)),_xll.VoseSimPercentile(Claims_B,$B98),NA())</f>
        <v>184.70135051134304</v>
      </c>
    </row>
    <row r="99" spans="2:7" hidden="1" outlineLevel="1" x14ac:dyDescent="0.45">
      <c r="B99" s="59">
        <v>0.83</v>
      </c>
      <c r="C99" s="59">
        <f t="shared" si="1"/>
        <v>0.17000000000000004</v>
      </c>
      <c r="D99" s="60" cm="1">
        <f t="array" aca="1" ref="D99" ca="1">IF(ISNUMBER(_xll.VoseSimPercentile(Claims_A,$B99)),_xll.VoseSimPercentile(Claims_A,$B99),NA())</f>
        <v>131.3181655042018</v>
      </c>
      <c r="E99" s="60" cm="1">
        <f t="array" aca="1" ref="E99" ca="1">IF(ISNUMBER(_xll.VoseSimPercentile(Claims_B,$B99)),_xll.VoseSimPercentile(Claims_B,$B99),NA())</f>
        <v>200.94836241853653</v>
      </c>
    </row>
    <row r="100" spans="2:7" hidden="1" outlineLevel="1" x14ac:dyDescent="0.45">
      <c r="B100" s="59">
        <v>0.85</v>
      </c>
      <c r="C100" s="59">
        <f t="shared" si="1"/>
        <v>0.15000000000000002</v>
      </c>
      <c r="D100" s="60" cm="1">
        <f t="array" aca="1" ref="D100" ca="1">IF(ISNUMBER(_xll.VoseSimPercentile(Claims_A,$B100)),_xll.VoseSimPercentile(Claims_A,$B100),NA())</f>
        <v>134.97121622125127</v>
      </c>
      <c r="E100" s="60" cm="1">
        <f t="array" aca="1" ref="E100" ca="1">IF(ISNUMBER(_xll.VoseSimPercentile(Claims_B,$B100)),_xll.VoseSimPercentile(Claims_B,$B100),NA())</f>
        <v>218.50318423746779</v>
      </c>
    </row>
    <row r="101" spans="2:7" hidden="1" outlineLevel="1" x14ac:dyDescent="0.45">
      <c r="B101" s="59">
        <v>0.87</v>
      </c>
      <c r="C101" s="59">
        <f t="shared" si="1"/>
        <v>0.13</v>
      </c>
      <c r="D101" s="60" cm="1">
        <f t="array" aca="1" ref="D101" ca="1">IF(ISNUMBER(_xll.VoseSimPercentile(Claims_A,$B101)),_xll.VoseSimPercentile(Claims_A,$B101),NA())</f>
        <v>139.30333741830171</v>
      </c>
      <c r="E101" s="60" cm="1">
        <f t="array" aca="1" ref="E101" ca="1">IF(ISNUMBER(_xll.VoseSimPercentile(Claims_B,$B101)),_xll.VoseSimPercentile(Claims_B,$B101),NA())</f>
        <v>240.61319682664777</v>
      </c>
    </row>
    <row r="102" spans="2:7" hidden="1" outlineLevel="1" x14ac:dyDescent="0.45">
      <c r="B102" s="59">
        <v>0.89</v>
      </c>
      <c r="C102" s="59">
        <f t="shared" si="1"/>
        <v>0.10999999999999999</v>
      </c>
      <c r="D102" s="60" cm="1">
        <f t="array" aca="1" ref="D102" ca="1">IF(ISNUMBER(_xll.VoseSimPercentile(Claims_A,$B102)),_xll.VoseSimPercentile(Claims_A,$B102),NA())</f>
        <v>143.49810398332298</v>
      </c>
      <c r="E102" s="60" cm="1">
        <f t="array" aca="1" ref="E102" ca="1">IF(ISNUMBER(_xll.VoseSimPercentile(Claims_B,$B102)),_xll.VoseSimPercentile(Claims_B,$B102),NA())</f>
        <v>264.94429169196599</v>
      </c>
    </row>
    <row r="103" spans="2:7" hidden="1" outlineLevel="1" x14ac:dyDescent="0.45">
      <c r="B103" s="59">
        <v>0.91</v>
      </c>
      <c r="C103" s="59">
        <f t="shared" si="1"/>
        <v>8.9999999999999969E-2</v>
      </c>
      <c r="D103" s="60" cm="1">
        <f t="array" aca="1" ref="D103" ca="1">IF(ISNUMBER(_xll.VoseSimPercentile(Claims_A,$B103)),_xll.VoseSimPercentile(Claims_A,$B103),NA())</f>
        <v>148.79820042699922</v>
      </c>
      <c r="E103" s="60" cm="1">
        <f t="array" aca="1" ref="E103" ca="1">IF(ISNUMBER(_xll.VoseSimPercentile(Claims_B,$B103)),_xll.VoseSimPercentile(Claims_B,$B103),NA())</f>
        <v>296.35131720106449</v>
      </c>
    </row>
    <row r="104" spans="2:7" hidden="1" outlineLevel="1" x14ac:dyDescent="0.45">
      <c r="B104" s="59">
        <v>0.93</v>
      </c>
      <c r="C104" s="59">
        <f t="shared" si="1"/>
        <v>6.9999999999999951E-2</v>
      </c>
      <c r="D104" s="60" cm="1">
        <f t="array" aca="1" ref="D104" ca="1">IF(ISNUMBER(_xll.VoseSimPercentile(Claims_A,$B104)),_xll.VoseSimPercentile(Claims_A,$B104),NA())</f>
        <v>155.10972792127234</v>
      </c>
      <c r="E104" s="60" cm="1">
        <f t="array" aca="1" ref="E104" ca="1">IF(ISNUMBER(_xll.VoseSimPercentile(Claims_B,$B104)),_xll.VoseSimPercentile(Claims_B,$B104),NA())</f>
        <v>333.43903868083999</v>
      </c>
    </row>
    <row r="105" spans="2:7" hidden="1" outlineLevel="1" x14ac:dyDescent="0.45">
      <c r="B105" s="59">
        <v>0.95</v>
      </c>
      <c r="C105" s="59">
        <f t="shared" si="1"/>
        <v>5.0000000000000044E-2</v>
      </c>
      <c r="D105" s="60" cm="1">
        <f t="array" aca="1" ref="D105" ca="1">IF(ISNUMBER(_xll.VoseSimPercentile(Claims_A,$B105)),_xll.VoseSimPercentile(Claims_A,$B105),NA())</f>
        <v>163.10203171944181</v>
      </c>
      <c r="E105" s="60" cm="1">
        <f t="array" aca="1" ref="E105" ca="1">IF(ISNUMBER(_xll.VoseSimPercentile(Claims_B,$B105)),_xll.VoseSimPercentile(Claims_B,$B105),NA())</f>
        <v>381.00329239710896</v>
      </c>
    </row>
    <row r="106" spans="2:7" hidden="1" outlineLevel="1" x14ac:dyDescent="0.45">
      <c r="B106" s="59">
        <v>0.97</v>
      </c>
      <c r="C106" s="59">
        <f t="shared" si="1"/>
        <v>3.0000000000000027E-2</v>
      </c>
      <c r="D106" s="60" cm="1">
        <f t="array" aca="1" ref="D106" ca="1">IF(ISNUMBER(_xll.VoseSimPercentile(Claims_A,$B106)),_xll.VoseSimPercentile(Claims_A,$B106),NA())</f>
        <v>175.17041980017811</v>
      </c>
      <c r="E106" s="60" cm="1">
        <f t="array" aca="1" ref="E106" ca="1">IF(ISNUMBER(_xll.VoseSimPercentile(Claims_B,$B106)),_xll.VoseSimPercentile(Claims_B,$B106),NA())</f>
        <v>466.46020832453479</v>
      </c>
    </row>
    <row r="107" spans="2:7" hidden="1" outlineLevel="1" x14ac:dyDescent="0.45">
      <c r="B107" s="59">
        <v>0.99</v>
      </c>
      <c r="C107" s="59">
        <f t="shared" si="1"/>
        <v>1.0000000000000009E-2</v>
      </c>
      <c r="D107" s="60" cm="1">
        <f t="array" aca="1" ref="D107" ca="1">IF(ISNUMBER(_xll.VoseSimPercentile(Claims_A,$B107)),_xll.VoseSimPercentile(Claims_A,$B107),NA())</f>
        <v>200.76925791831013</v>
      </c>
      <c r="E107" s="60" cm="1">
        <f t="array" aca="1" ref="E107" ca="1">IF(ISNUMBER(_xll.VoseSimPercentile(Claims_B,$B107)),_xll.VoseSimPercentile(Claims_B,$B107),NA())</f>
        <v>651.30104822705391</v>
      </c>
    </row>
    <row r="108" spans="2:7" hidden="1" outlineLevel="1" x14ac:dyDescent="0.45"/>
    <row r="109" spans="2:7" ht="28.05" hidden="1" customHeight="1" outlineLevel="1" x14ac:dyDescent="0.45">
      <c r="B109" s="24" t="s">
        <v>251</v>
      </c>
      <c r="C109" s="24" t="s">
        <v>252</v>
      </c>
      <c r="D109" s="24" t="s">
        <v>249</v>
      </c>
      <c r="E109" s="24" t="s">
        <v>250</v>
      </c>
      <c r="F109" s="5"/>
      <c r="G109" s="5"/>
    </row>
    <row r="110" spans="2:7" hidden="1" outlineLevel="1" x14ac:dyDescent="0.45">
      <c r="B110" s="61">
        <v>2</v>
      </c>
      <c r="C110" s="62">
        <f t="shared" ref="C110:C117" si="2">1-1/B110</f>
        <v>0.5</v>
      </c>
      <c r="D110" s="60" cm="1">
        <f t="array" aca="1" ref="D110" ca="1">IF(ISNUMBER(_xll.VoseSimPercentile(Claims_A,$C110)),_xll.VoseSimPercentile(Claims_A,$C110),NA())</f>
        <v>96.041874419902882</v>
      </c>
      <c r="E110" s="60" cm="1">
        <f t="array" aca="1" ref="E110" ca="1">IF(ISNUMBER(_xll.VoseSimPercentile(Claims_B,$C110)),_xll.VoseSimPercentile(Claims_B,$C110),NA())</f>
        <v>50.830011221589849</v>
      </c>
    </row>
    <row r="111" spans="2:7" hidden="1" outlineLevel="1" x14ac:dyDescent="0.45">
      <c r="B111" s="61">
        <v>5</v>
      </c>
      <c r="C111" s="62">
        <f t="shared" si="2"/>
        <v>0.8</v>
      </c>
      <c r="D111" s="60" cm="1">
        <f t="array" aca="1" ref="D111" ca="1">IF(ISNUMBER(_xll.VoseSimPercentile(Claims_A,$C111)),_xll.VoseSimPercentile(Claims_A,$C111),NA())</f>
        <v>126.78570916366586</v>
      </c>
      <c r="E111" s="60" cm="1">
        <f t="array" aca="1" ref="E111" ca="1">IF(ISNUMBER(_xll.VoseSimPercentile(Claims_B,$C111)),_xll.VoseSimPercentile(Claims_B,$C111),NA())</f>
        <v>177.35921334080794</v>
      </c>
    </row>
    <row r="112" spans="2:7" hidden="1" outlineLevel="1" x14ac:dyDescent="0.45">
      <c r="B112" s="61">
        <v>10</v>
      </c>
      <c r="C112" s="62">
        <f t="shared" si="2"/>
        <v>0.9</v>
      </c>
      <c r="D112" s="60" cm="1">
        <f t="array" aca="1" ref="D112" ca="1">IF(ISNUMBER(_xll.VoseSimPercentile(Claims_A,$C112)),_xll.VoseSimPercentile(Claims_A,$C112),NA())</f>
        <v>146.03667244282877</v>
      </c>
      <c r="E112" s="60" cm="1">
        <f t="array" aca="1" ref="E112" ca="1">IF(ISNUMBER(_xll.VoseSimPercentile(Claims_B,$C112)),_xll.VoseSimPercentile(Claims_B,$C112),NA())</f>
        <v>279.91680901278096</v>
      </c>
    </row>
    <row r="113" spans="2:5" hidden="1" outlineLevel="1" x14ac:dyDescent="0.45">
      <c r="B113" s="61">
        <v>20</v>
      </c>
      <c r="C113" s="62">
        <f t="shared" si="2"/>
        <v>0.95</v>
      </c>
      <c r="D113" s="60" cm="1">
        <f t="array" aca="1" ref="D113" ca="1">IF(ISNUMBER(_xll.VoseSimPercentile(Claims_A,$C113)),_xll.VoseSimPercentile(Claims_A,$C113),NA())</f>
        <v>163.10203171944181</v>
      </c>
      <c r="E113" s="60" cm="1">
        <f t="array" aca="1" ref="E113" ca="1">IF(ISNUMBER(_xll.VoseSimPercentile(Claims_B,$C113)),_xll.VoseSimPercentile(Claims_B,$C113),NA())</f>
        <v>381.00329239710896</v>
      </c>
    </row>
    <row r="114" spans="2:5" hidden="1" outlineLevel="1" x14ac:dyDescent="0.45">
      <c r="B114" s="61">
        <v>50</v>
      </c>
      <c r="C114" s="62">
        <f t="shared" si="2"/>
        <v>0.98</v>
      </c>
      <c r="D114" s="60" cm="1">
        <f t="array" aca="1" ref="D114" ca="1">IF(ISNUMBER(_xll.VoseSimPercentile(Claims_A,$C114)),_xll.VoseSimPercentile(Claims_A,$C114),NA())</f>
        <v>185.0887137107832</v>
      </c>
      <c r="E114" s="60" cm="1">
        <f t="array" aca="1" ref="E114" ca="1">IF(ISNUMBER(_xll.VoseSimPercentile(Claims_B,$C114)),_xll.VoseSimPercentile(Claims_B,$C114),NA())</f>
        <v>535.33532092186442</v>
      </c>
    </row>
    <row r="115" spans="2:5" hidden="1" outlineLevel="1" x14ac:dyDescent="0.45">
      <c r="B115" s="61">
        <v>100</v>
      </c>
      <c r="C115" s="62">
        <f t="shared" si="2"/>
        <v>0.99</v>
      </c>
      <c r="D115" s="60" cm="1">
        <f t="array" aca="1" ref="D115" ca="1">IF(ISNUMBER(_xll.VoseSimPercentile(Claims_A,$C115)),_xll.VoseSimPercentile(Claims_A,$C115),NA())</f>
        <v>200.76925791831013</v>
      </c>
      <c r="E115" s="60" cm="1">
        <f t="array" aca="1" ref="E115" ca="1">IF(ISNUMBER(_xll.VoseSimPercentile(Claims_B,$C115)),_xll.VoseSimPercentile(Claims_B,$C115),NA())</f>
        <v>651.30104822705391</v>
      </c>
    </row>
    <row r="116" spans="2:5" hidden="1" outlineLevel="1" x14ac:dyDescent="0.45">
      <c r="B116" s="61">
        <v>200</v>
      </c>
      <c r="C116" s="62">
        <f t="shared" si="2"/>
        <v>0.995</v>
      </c>
      <c r="D116" s="60" cm="1">
        <f t="array" aca="1" ref="D116" ca="1">IF(ISNUMBER(_xll.VoseSimPercentile(Claims_A,$C116)),_xll.VoseSimPercentile(Claims_A,$C116),NA())</f>
        <v>214.05330198778421</v>
      </c>
      <c r="E116" s="60" cm="1">
        <f t="array" aca="1" ref="E116" ca="1">IF(ISNUMBER(_xll.VoseSimPercentile(Claims_B,$C116)),_xll.VoseSimPercentile(Claims_B,$C116),NA())</f>
        <v>783.56955671531864</v>
      </c>
    </row>
    <row r="117" spans="2:5" hidden="1" outlineLevel="1" x14ac:dyDescent="0.45">
      <c r="B117" s="61">
        <v>500</v>
      </c>
      <c r="C117" s="62">
        <f t="shared" si="2"/>
        <v>0.998</v>
      </c>
      <c r="D117" s="60" cm="1">
        <f t="array" aca="1" ref="D117" ca="1">IF(ISNUMBER(_xll.VoseSimPercentile(Claims_A,$C117)),_xll.VoseSimPercentile(Claims_A,$C117),NA())</f>
        <v>228.99677706283879</v>
      </c>
      <c r="E117" s="60" cm="1">
        <f t="array" aca="1" ref="E117" ca="1">IF(ISNUMBER(_xll.VoseSimPercentile(Claims_B,$C117)),_xll.VoseSimPercentile(Claims_B,$C117),NA())</f>
        <v>890.62178074745304</v>
      </c>
    </row>
  </sheetData>
  <mergeCells count="7">
    <mergeCell ref="B52:G52"/>
    <mergeCell ref="B48:G48"/>
    <mergeCell ref="B47:G47"/>
    <mergeCell ref="B51:G51"/>
    <mergeCell ref="B46:G46"/>
    <mergeCell ref="B49:G49"/>
    <mergeCell ref="B50:G50"/>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58:E107">
    <cfRule type="expression" dxfId="1" priority="3">
      <formula>ISNA(D58)</formula>
    </cfRule>
  </conditionalFormatting>
  <conditionalFormatting sqref="D110:E117">
    <cfRule type="expression" dxfId="0" priority="4">
      <formula>ISNA(D110)</formula>
    </cfRule>
  </conditionalFormatting>
  <hyperlinks>
    <hyperlink ref="B4" location="'Pricing'!A1" display="◂  Pricing"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3DE6A-E3AA-465C-9D12-8D216F6B0949}">
  <dimension ref="A1:B1"/>
  <sheetViews>
    <sheetView workbookViewId="0"/>
  </sheetViews>
  <sheetFormatPr defaultRowHeight="14.25" x14ac:dyDescent="0.45"/>
  <sheetData>
    <row r="1" spans="1:2" x14ac:dyDescent="0.45">
      <c r="A1" s="67" t="s">
        <v>253</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2CB72-BA9D-4406-A618-727A301B76A9}">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A6458-8C9B-489F-AF8E-E9E49FC7530F}">
  <dimension ref="B3:B22"/>
  <sheetViews>
    <sheetView workbookViewId="0"/>
  </sheetViews>
  <sheetFormatPr defaultRowHeight="14.25" x14ac:dyDescent="0.45"/>
  <sheetData>
    <row r="3" spans="2:2" x14ac:dyDescent="0.45">
      <c r="B3">
        <v>83</v>
      </c>
    </row>
    <row r="4" spans="2:2" x14ac:dyDescent="0.45">
      <c r="B4">
        <v>326</v>
      </c>
    </row>
    <row r="5" spans="2:2" x14ac:dyDescent="0.45">
      <c r="B5">
        <v>533</v>
      </c>
    </row>
    <row r="6" spans="2:2" x14ac:dyDescent="0.45">
      <c r="B6">
        <v>469</v>
      </c>
    </row>
    <row r="7" spans="2:2" x14ac:dyDescent="0.45">
      <c r="B7">
        <v>298</v>
      </c>
    </row>
    <row r="8" spans="2:2" x14ac:dyDescent="0.45">
      <c r="B8">
        <v>166</v>
      </c>
    </row>
    <row r="9" spans="2:2" x14ac:dyDescent="0.45">
      <c r="B9">
        <v>76</v>
      </c>
    </row>
    <row r="10" spans="2:2" x14ac:dyDescent="0.45">
      <c r="B10">
        <v>25</v>
      </c>
    </row>
    <row r="11" spans="2:2" x14ac:dyDescent="0.45">
      <c r="B11">
        <v>20</v>
      </c>
    </row>
    <row r="12" spans="2:2" x14ac:dyDescent="0.45">
      <c r="B12">
        <v>4</v>
      </c>
    </row>
    <row r="13" spans="2:2" x14ac:dyDescent="0.45">
      <c r="B13">
        <v>1433</v>
      </c>
    </row>
    <row r="14" spans="2:2" x14ac:dyDescent="0.45">
      <c r="B14">
        <v>311</v>
      </c>
    </row>
    <row r="15" spans="2:2" x14ac:dyDescent="0.45">
      <c r="B15">
        <v>142</v>
      </c>
    </row>
    <row r="16" spans="2:2" x14ac:dyDescent="0.45">
      <c r="B16">
        <v>53</v>
      </c>
    </row>
    <row r="17" spans="2:2" x14ac:dyDescent="0.45">
      <c r="B17">
        <v>30</v>
      </c>
    </row>
    <row r="18" spans="2:2" x14ac:dyDescent="0.45">
      <c r="B18">
        <v>16</v>
      </c>
    </row>
    <row r="19" spans="2:2" x14ac:dyDescent="0.45">
      <c r="B19">
        <v>7</v>
      </c>
    </row>
    <row r="20" spans="2:2" x14ac:dyDescent="0.45">
      <c r="B20">
        <v>3</v>
      </c>
    </row>
    <row r="21" spans="2:2" x14ac:dyDescent="0.45">
      <c r="B21">
        <v>2</v>
      </c>
    </row>
    <row r="22" spans="2:2" x14ac:dyDescent="0.45">
      <c r="B2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FA6D0798-74EA-4442-8598-0C7924081093}">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53</vt:i4>
      </vt:variant>
    </vt:vector>
  </HeadingPairs>
  <TitlesOfParts>
    <vt:vector size="60" baseType="lpstr">
      <vt:lpstr>About</vt:lpstr>
      <vt:lpstr>Inputs</vt:lpstr>
      <vt:lpstr>Pricing</vt:lpstr>
      <vt:lpstr>Results</vt:lpstr>
      <vt:lpstr>ModelRiskDSN</vt:lpstr>
      <vt:lpstr>ModelRiskSYS1</vt:lpstr>
      <vt:lpstr>ModelRiskCharts</vt:lpstr>
      <vt:lpstr>AggSDA</vt:lpstr>
      <vt:lpstr>AggSDB</vt:lpstr>
      <vt:lpstr>AlphaSD</vt:lpstr>
      <vt:lpstr>Calc75_A</vt:lpstr>
      <vt:lpstr>Calc75_B</vt:lpstr>
      <vt:lpstr>Calc95_A</vt:lpstr>
      <vt:lpstr>Calc95_B</vt:lpstr>
      <vt:lpstr>Checks</vt:lpstr>
      <vt:lpstr>Claims_A</vt:lpstr>
      <vt:lpstr>Claims_B</vt:lpstr>
      <vt:lpstr>ClaimSDA</vt:lpstr>
      <vt:lpstr>ClaimSDB</vt:lpstr>
      <vt:lpstr>CoC</vt:lpstr>
      <vt:lpstr>ExpRatio</vt:lpstr>
      <vt:lpstr>FreqA</vt:lpstr>
      <vt:lpstr>FreqB</vt:lpstr>
      <vt:lpstr>Gross_CoC_A</vt:lpstr>
      <vt:lpstr>Gross_CoC_B</vt:lpstr>
      <vt:lpstr>Gross_EV_A</vt:lpstr>
      <vt:lpstr>Gross_EV_B</vt:lpstr>
      <vt:lpstr>Gross_RA_A</vt:lpstr>
      <vt:lpstr>Gross_RA_B</vt:lpstr>
      <vt:lpstr>Gross_SD_A</vt:lpstr>
      <vt:lpstr>Gross_SD_B</vt:lpstr>
      <vt:lpstr>LamA</vt:lpstr>
      <vt:lpstr>LamB</vt:lpstr>
      <vt:lpstr>MeanA</vt:lpstr>
      <vt:lpstr>MeanAS</vt:lpstr>
      <vt:lpstr>MeanB</vt:lpstr>
      <vt:lpstr>MeanBS</vt:lpstr>
      <vt:lpstr>OneIn200_A</vt:lpstr>
      <vt:lpstr>OneIn200_B</vt:lpstr>
      <vt:lpstr>Prem_CoC_A</vt:lpstr>
      <vt:lpstr>Prem_CoC_B</vt:lpstr>
      <vt:lpstr>Prem_EV_A</vt:lpstr>
      <vt:lpstr>Prem_EV_B</vt:lpstr>
      <vt:lpstr>Prem_RA_A</vt:lpstr>
      <vt:lpstr>Prem_RA_B</vt:lpstr>
      <vt:lpstr>Prem_SD_A</vt:lpstr>
      <vt:lpstr>Prem_SD_B</vt:lpstr>
      <vt:lpstr>Results!Print_Area</vt:lpstr>
      <vt:lpstr>Inputs!Print_Titles</vt:lpstr>
      <vt:lpstr>Results!Print_Titles</vt:lpstr>
      <vt:lpstr>RatioEV_A</vt:lpstr>
      <vt:lpstr>RatioEV_B</vt:lpstr>
      <vt:lpstr>RatioRA1_A</vt:lpstr>
      <vt:lpstr>RatioRA1_B</vt:lpstr>
      <vt:lpstr>RatioSD_A</vt:lpstr>
      <vt:lpstr>RatioSD_B</vt:lpstr>
      <vt:lpstr>RhoPH</vt:lpstr>
      <vt:lpstr>SevA</vt:lpstr>
      <vt:lpstr>SevB</vt:lpstr>
      <vt:lpstr>ThetaEV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IN-06 Pricing a Policy: Premium Principles</dc:title>
  <dc:subject>ModelRisk industry example library — Insurance</dc:subject>
  <dc:creator>Vose Software</dc:creator>
  <cp:keywords>ModelRisk; Monte Carlo; Insurance</cp:keywords>
  <dc:description>Two policies with the same expected claims, priced by four premium principles: the loading reflects the risk, not the average.</dc:description>
  <cp:lastModifiedBy>Timour Koupeev</cp:lastModifiedBy>
  <cp:lastPrinted>2026-10-05T11:46:10Z</cp:lastPrinted>
  <dcterms:created xsi:type="dcterms:W3CDTF">2026-10-05T11:39:17Z</dcterms:created>
  <dcterms:modified xsi:type="dcterms:W3CDTF">2026-10-05T11:46:11Z</dcterms:modified>
</cp:coreProperties>
</file>