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Insurance\"/>
    </mc:Choice>
  </mc:AlternateContent>
  <xr:revisionPtr revIDLastSave="0" documentId="8_{988E833B-284D-4198-BEAB-15A5AFDE2CD6}"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Data" sheetId="3" r:id="rId3"/>
    <sheet name="Tail" sheetId="4" r:id="rId4"/>
    <sheet name="Year" sheetId="5" r:id="rId5"/>
    <sheet name="Results" sheetId="6" r:id="rId6"/>
    <sheet name="ModelRiskDSN" sheetId="7" state="hidden" r:id="rId7"/>
    <sheet name="ModelRiskSYS1" sheetId="8" state="hidden" r:id="rId8"/>
    <sheet name="ModelRiskCharts" sheetId="9" state="hidden" r:id="rId9"/>
  </sheets>
  <definedNames>
    <definedName name="AEP_LN">Year!$D$30</definedName>
    <definedName name="AEP_POT">Year!$D$31</definedName>
    <definedName name="AEP_U">Year!$D$32</definedName>
    <definedName name="AEPMean">Tail!$D$44</definedName>
    <definedName name="Body">Tail!$D$38</definedName>
    <definedName name="BodyData">_xlfn._xlws.FILTER(Losses,Losses&lt;=Threshold)</definedName>
    <definedName name="Checks">Year!$D$36:$D$42</definedName>
    <definedName name="CountsAbove">Data!$H$11:INDEX(Data!$H$11:$H$50,COUNT(Data!$F$11:$F$50))</definedName>
    <definedName name="CountsAll">Data!$G$11:INDEX(Data!$G$11:$G$50,COUNT(Data!$F$11:$F$50))</definedName>
    <definedName name="EventYear">Data!$C$10:INDEX(Data!$C$10:$C$2009,COUNT(Data!$C$10:$C$2009))</definedName>
    <definedName name="Exact_LN_10">Tail!$D$60</definedName>
    <definedName name="Exact_LN_100">Tail!$D$63</definedName>
    <definedName name="Exact_LN_200">Tail!$D$64</definedName>
    <definedName name="Exact_LN_25">Tail!$D$61</definedName>
    <definedName name="Exact_LN_250">Tail!$D$65</definedName>
    <definedName name="Exact_LN_50">Tail!$D$62</definedName>
    <definedName name="Exact_POT_10">Tail!$E$60</definedName>
    <definedName name="Exact_POT_100">Tail!$E$63</definedName>
    <definedName name="Exact_POT_200">Tail!$E$64</definedName>
    <definedName name="Exact_POT_25">Tail!$E$61</definedName>
    <definedName name="Exact_POT_250">Tail!$E$65</definedName>
    <definedName name="Exact_POT_50">Tail!$E$62</definedName>
    <definedName name="Lam">Tail!$D$10</definedName>
    <definedName name="LamB">Tail!$D$14</definedName>
    <definedName name="LamU">Tail!$D$13</definedName>
    <definedName name="Largest">Tail!$D$11</definedName>
    <definedName name="LN_m">Tail!$D$40</definedName>
    <definedName name="LN_s">Tail!$D$41</definedName>
    <definedName name="LogN">Tail!$D$39</definedName>
    <definedName name="Losses">Data!$D$10:INDEX(Data!$D$10:$D$2009,COUNT(Data!$D$10:$D$2009))</definedName>
    <definedName name="Max_B">Year!$D$19</definedName>
    <definedName name="Max_LN">Year!$D$18</definedName>
    <definedName name="Max_T">Year!$D$20</definedName>
    <definedName name="Max_TU">Year!$D$21</definedName>
    <definedName name="MeanU_Data">Tail!$D$42</definedName>
    <definedName name="MeanU_Tail">Tail!$D$43</definedName>
    <definedName name="N_B">Year!$C$19</definedName>
    <definedName name="N_LN">Year!$C$18</definedName>
    <definedName name="N_T">Year!$C$20</definedName>
    <definedName name="N_TU">Year!$C$21</definedName>
    <definedName name="NAbove">Tail!$D$12</definedName>
    <definedName name="NEvents">Tail!$D$9</definedName>
    <definedName name="NYears">Tail!$D$8</definedName>
    <definedName name="OEP_LN">Year!$D$27</definedName>
    <definedName name="OEP_POT">Year!$D$28</definedName>
    <definedName name="OEP_U">Year!$D$29</definedName>
    <definedName name="Often_Data_10">Tail!$C$50</definedName>
    <definedName name="Often_Data_100">Tail!$C$53</definedName>
    <definedName name="Often_Data_200">Tail!$C$54</definedName>
    <definedName name="Often_Data_25">Tail!$C$51</definedName>
    <definedName name="Often_Data_50">Tail!$C$52</definedName>
    <definedName name="Often_LN_10">Tail!$D$50</definedName>
    <definedName name="Often_LN_100">Tail!$D$53</definedName>
    <definedName name="Often_LN_200">Tail!$D$54</definedName>
    <definedName name="Often_LN_25">Tail!$D$51</definedName>
    <definedName name="Often_LN_50">Tail!$D$52</definedName>
    <definedName name="Often_POT_10">Tail!$E$50</definedName>
    <definedName name="Often_POT_100">Tail!$E$53</definedName>
    <definedName name="Often_POT_200">Tail!$E$54</definedName>
    <definedName name="Often_POT_25">Tail!$E$51</definedName>
    <definedName name="Often_POT_50">Tail!$E$52</definedName>
    <definedName name="_xlnm.Print_Area" localSheetId="5">Results!$A$1:$R$49</definedName>
    <definedName name="_xlnm.Print_Titles" localSheetId="1">Inputs!$1:$4</definedName>
    <definedName name="_xlnm.Print_Titles" localSheetId="5">Results!$1:$4</definedName>
    <definedName name="Reporting">Inputs!$D$12</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ail">Tail!$D$34</definedName>
    <definedName name="TailData">_xlfn._xlws.FILTER(Losses,Losses&gt;Threshold)</definedName>
    <definedName name="TailLoc">Tail!$D$35</definedName>
    <definedName name="TailScale">Tail!$D$36</definedName>
    <definedName name="TailShape">Tail!$D$37</definedName>
    <definedName name="TailU">Year!$D$12</definedName>
    <definedName name="Threshold">Inputs!$D$11</definedName>
    <definedName name="Tot_B">Year!$G$19</definedName>
    <definedName name="Tot_LN">Year!$G$18</definedName>
    <definedName name="Tot_T">Year!$G$20</definedName>
    <definedName name="Tot_TU">Year!$G$21</definedName>
    <definedName name="TU_loc">Year!$D$9</definedName>
    <definedName name="TU_scale">Year!$D$10</definedName>
    <definedName name="TU_shape">Year!$D$11</definedName>
    <definedName name="YearMax">Data!$I$11:INDEX(Data!$I$11:$I$50,COUNT(Data!$F$11:$F$50))</definedName>
    <definedName name="Years">Data!$F$11:INDEX(Data!$F$11:$F$50,COUNT(Data!$F$11:$F$50))</definedName>
    <definedName name="YearTotal">Data!$J$11:INDEX(Data!$J$11:$J$50,COUNT(Data!$F$11:$F$50))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0" i="4" l="1" a="1"/>
  <c r="D70" i="4" s="1"/>
  <c r="D38" i="4" a="1"/>
  <c r="D38" i="4" s="1"/>
  <c r="D28" i="4" a="1"/>
  <c r="D28" i="4" s="1"/>
  <c r="D27" i="4" a="1"/>
  <c r="D27" i="4" s="1"/>
  <c r="D26" i="4" a="1"/>
  <c r="D26" i="4" s="1"/>
  <c r="D25" i="4" a="1"/>
  <c r="D25" i="4" s="1"/>
  <c r="D24" i="4" a="1"/>
  <c r="D24" i="4" s="1"/>
  <c r="D23" i="4" a="1"/>
  <c r="D23" i="4"/>
  <c r="D22" i="4" a="1"/>
  <c r="D22" i="4" s="1"/>
  <c r="D21" i="4" a="1"/>
  <c r="D21" i="4" s="1"/>
  <c r="D20" i="4" a="1"/>
  <c r="D20" i="4" s="1"/>
  <c r="C72" i="6"/>
  <c r="C71" i="6"/>
  <c r="C70" i="6"/>
  <c r="C69" i="6"/>
  <c r="C68" i="6"/>
  <c r="C67" i="6"/>
  <c r="C66" i="6"/>
  <c r="C65" i="6"/>
  <c r="C62" i="6"/>
  <c r="C61" i="6"/>
  <c r="C60" i="6"/>
  <c r="C59" i="6"/>
  <c r="C58" i="6"/>
  <c r="C57" i="6"/>
  <c r="C56" i="6"/>
  <c r="C55" i="6"/>
  <c r="D39" i="5"/>
  <c r="C54" i="4"/>
  <c r="C41" i="6"/>
  <c r="C53" i="4"/>
  <c r="C40" i="6"/>
  <c r="C52" i="4"/>
  <c r="C39" i="6"/>
  <c r="C51" i="4"/>
  <c r="C38" i="6"/>
  <c r="C50" i="4"/>
  <c r="C37" i="6"/>
  <c r="D42" i="4"/>
  <c r="C28" i="4"/>
  <c r="C27" i="4"/>
  <c r="C26" i="4"/>
  <c r="C25" i="4"/>
  <c r="C24" i="4"/>
  <c r="E23" i="4"/>
  <c r="C23" i="4"/>
  <c r="E22" i="4"/>
  <c r="C22" i="4"/>
  <c r="E21" i="4"/>
  <c r="C21" i="4"/>
  <c r="E20" i="4"/>
  <c r="C20" i="4"/>
  <c r="D12" i="4"/>
  <c r="D36" i="5" s="1"/>
  <c r="D11" i="4"/>
  <c r="D38" i="5" s="1"/>
  <c r="D9" i="4"/>
  <c r="F11" i="3"/>
  <c r="H11" i="3" s="1" a="1"/>
  <c r="H11" i="3" s="1"/>
  <c r="J11" i="3" a="1"/>
  <c r="J11" i="3" s="1"/>
  <c r="D9" i="5" a="1"/>
  <c r="D39" i="4" a="1"/>
  <c r="D34" i="4" a="1"/>
  <c r="D40" i="4" a="1"/>
  <c r="D35" i="4" a="1"/>
  <c r="D11" i="5" l="1"/>
  <c r="D10" i="5"/>
  <c r="D9" i="5"/>
  <c r="D12" i="5" s="1" a="1"/>
  <c r="D12" i="5" s="1"/>
  <c r="D37" i="4"/>
  <c r="D37" i="5" s="1"/>
  <c r="D36" i="4"/>
  <c r="D35" i="4"/>
  <c r="D41" i="4"/>
  <c r="D40" i="4"/>
  <c r="D34" i="4"/>
  <c r="D39" i="4"/>
  <c r="G11" i="3" a="1"/>
  <c r="G11" i="3" s="1"/>
  <c r="F12" i="3"/>
  <c r="I11" i="3" a="1"/>
  <c r="I11" i="3" s="1"/>
  <c r="D43" i="4" a="1"/>
  <c r="D43" i="4" l="1"/>
  <c r="D40" i="5" s="1"/>
  <c r="E27" i="4"/>
  <c r="E24" i="4"/>
  <c r="E26" i="4"/>
  <c r="E28" i="4"/>
  <c r="E25" i="4"/>
  <c r="F13" i="3"/>
  <c r="H12" i="3" a="1"/>
  <c r="H12" i="3" s="1"/>
  <c r="G12" i="3" a="1"/>
  <c r="G12" i="3" s="1"/>
  <c r="J12" i="3" a="1"/>
  <c r="J12" i="3" s="1"/>
  <c r="I12" i="3" a="1"/>
  <c r="I12" i="3" s="1"/>
  <c r="J13" i="3" l="1" a="1"/>
  <c r="J13" i="3" s="1"/>
  <c r="F14" i="3"/>
  <c r="H13" i="3" a="1"/>
  <c r="H13" i="3" s="1"/>
  <c r="G13" i="3" a="1"/>
  <c r="G13" i="3" s="1"/>
  <c r="I13" i="3" a="1"/>
  <c r="I13" i="3" s="1"/>
  <c r="G14" i="3" l="1" a="1"/>
  <c r="G14" i="3" s="1"/>
  <c r="I14" i="3" a="1"/>
  <c r="I14" i="3" s="1"/>
  <c r="H14" i="3" a="1"/>
  <c r="H14" i="3" s="1"/>
  <c r="J14" i="3" a="1"/>
  <c r="J14" i="3" s="1"/>
  <c r="F15" i="3"/>
  <c r="J15" i="3" l="1" a="1"/>
  <c r="J15" i="3" s="1"/>
  <c r="F16" i="3"/>
  <c r="G15" i="3" a="1"/>
  <c r="G15" i="3" s="1"/>
  <c r="I15" i="3" a="1"/>
  <c r="I15" i="3" s="1"/>
  <c r="H15" i="3" a="1"/>
  <c r="H15" i="3" s="1"/>
  <c r="G16" i="3" l="1" a="1"/>
  <c r="G16" i="3" s="1"/>
  <c r="I16" i="3" a="1"/>
  <c r="I16" i="3" s="1"/>
  <c r="F17" i="3"/>
  <c r="H16" i="3" a="1"/>
  <c r="H16" i="3" s="1"/>
  <c r="J16" i="3" a="1"/>
  <c r="J16" i="3" s="1"/>
  <c r="J17" i="3" l="1" a="1"/>
  <c r="J17" i="3" s="1"/>
  <c r="F18" i="3"/>
  <c r="I17" i="3" a="1"/>
  <c r="I17" i="3" s="1"/>
  <c r="H17" i="3" a="1"/>
  <c r="H17" i="3" s="1"/>
  <c r="G17" i="3" a="1"/>
  <c r="G17" i="3" s="1"/>
  <c r="G18" i="3" l="1" a="1"/>
  <c r="G18" i="3" s="1"/>
  <c r="I18" i="3" a="1"/>
  <c r="I18" i="3" s="1"/>
  <c r="F19" i="3"/>
  <c r="H18" i="3" a="1"/>
  <c r="H18" i="3" s="1"/>
  <c r="J18" i="3" a="1"/>
  <c r="J18" i="3" s="1"/>
  <c r="G19" i="3" l="1" a="1"/>
  <c r="G19" i="3" s="1"/>
  <c r="J19" i="3" a="1"/>
  <c r="J19" i="3" s="1"/>
  <c r="H19" i="3" a="1"/>
  <c r="H19" i="3" s="1"/>
  <c r="F20" i="3"/>
  <c r="I19" i="3" a="1"/>
  <c r="I19" i="3" s="1"/>
  <c r="J20" i="3" l="1" a="1"/>
  <c r="J20" i="3" s="1"/>
  <c r="F21" i="3"/>
  <c r="H20" i="3" a="1"/>
  <c r="H20" i="3" s="1"/>
  <c r="I20" i="3" a="1"/>
  <c r="I20" i="3" s="1"/>
  <c r="G20" i="3" a="1"/>
  <c r="G20" i="3" s="1"/>
  <c r="J21" i="3" l="1" a="1"/>
  <c r="J21" i="3" s="1"/>
  <c r="I21" i="3" a="1"/>
  <c r="I21" i="3" s="1"/>
  <c r="F22" i="3"/>
  <c r="H21" i="3" a="1"/>
  <c r="H21" i="3" s="1"/>
  <c r="G21" i="3" a="1"/>
  <c r="G21" i="3" s="1"/>
  <c r="I22" i="3" l="1" a="1"/>
  <c r="I22" i="3" s="1"/>
  <c r="G22" i="3" a="1"/>
  <c r="G22" i="3" s="1"/>
  <c r="F23" i="3"/>
  <c r="J22" i="3" a="1"/>
  <c r="J22" i="3" s="1"/>
  <c r="H22" i="3" a="1"/>
  <c r="H22" i="3" s="1"/>
  <c r="G23" i="3" l="1" a="1"/>
  <c r="G23" i="3" s="1"/>
  <c r="F24" i="3"/>
  <c r="I23" i="3" a="1"/>
  <c r="I23" i="3" s="1"/>
  <c r="H23" i="3" a="1"/>
  <c r="H23" i="3" s="1"/>
  <c r="J23" i="3" a="1"/>
  <c r="J23" i="3" s="1"/>
  <c r="J24" i="3" l="1" a="1"/>
  <c r="J24" i="3" s="1"/>
  <c r="F25" i="3"/>
  <c r="I24" i="3" a="1"/>
  <c r="I24" i="3" s="1"/>
  <c r="H24" i="3" a="1"/>
  <c r="H24" i="3" s="1"/>
  <c r="G24" i="3" a="1"/>
  <c r="G24" i="3" s="1"/>
  <c r="J25" i="3" l="1" a="1"/>
  <c r="J25" i="3" s="1"/>
  <c r="F26" i="3"/>
  <c r="I25" i="3" a="1"/>
  <c r="I25" i="3" s="1"/>
  <c r="G25" i="3" a="1"/>
  <c r="G25" i="3" s="1"/>
  <c r="H25" i="3" a="1"/>
  <c r="H25" i="3" s="1"/>
  <c r="J26" i="3" l="1" a="1"/>
  <c r="J26" i="3" s="1"/>
  <c r="H26" i="3" a="1"/>
  <c r="H26" i="3" s="1"/>
  <c r="G26" i="3" a="1"/>
  <c r="G26" i="3" s="1"/>
  <c r="I26" i="3" a="1"/>
  <c r="I26" i="3" s="1"/>
  <c r="F27" i="3"/>
  <c r="G27" i="3" l="1" a="1"/>
  <c r="G27" i="3" s="1"/>
  <c r="H27" i="3" a="1"/>
  <c r="H27" i="3" s="1"/>
  <c r="I27" i="3" a="1"/>
  <c r="I27" i="3" s="1"/>
  <c r="F28" i="3"/>
  <c r="J27" i="3" a="1"/>
  <c r="J27" i="3" s="1"/>
  <c r="J28" i="3" l="1" a="1"/>
  <c r="J28" i="3" s="1"/>
  <c r="I28" i="3" a="1"/>
  <c r="I28" i="3" s="1"/>
  <c r="F29" i="3"/>
  <c r="H28" i="3" a="1"/>
  <c r="H28" i="3" s="1"/>
  <c r="G28" i="3" a="1"/>
  <c r="G28" i="3" s="1"/>
  <c r="G29" i="3" l="1" a="1"/>
  <c r="G29" i="3" s="1"/>
  <c r="F30" i="3"/>
  <c r="H29" i="3" a="1"/>
  <c r="H29" i="3" s="1"/>
  <c r="J29" i="3" a="1"/>
  <c r="J29" i="3" s="1"/>
  <c r="I29" i="3" a="1"/>
  <c r="I29" i="3" s="1"/>
  <c r="I30" i="3" l="1" a="1"/>
  <c r="I30" i="3" s="1"/>
  <c r="F31" i="3"/>
  <c r="J30" i="3" a="1"/>
  <c r="J30" i="3" s="1"/>
  <c r="H30" i="3" a="1"/>
  <c r="H30" i="3" s="1"/>
  <c r="G30" i="3" a="1"/>
  <c r="G30" i="3" s="1"/>
  <c r="H31" i="3" l="1" a="1"/>
  <c r="H31" i="3" s="1"/>
  <c r="I31" i="3" a="1"/>
  <c r="I31" i="3" s="1"/>
  <c r="G31" i="3" a="1"/>
  <c r="G31" i="3" s="1"/>
  <c r="J31" i="3" a="1"/>
  <c r="J31" i="3" s="1"/>
  <c r="F32" i="3"/>
  <c r="J32" i="3" l="1" a="1"/>
  <c r="J32" i="3" s="1"/>
  <c r="F33" i="3"/>
  <c r="I32" i="3" a="1"/>
  <c r="I32" i="3" s="1"/>
  <c r="H32" i="3" a="1"/>
  <c r="H32" i="3" s="1"/>
  <c r="G32" i="3" a="1"/>
  <c r="G32" i="3" s="1"/>
  <c r="J33" i="3" l="1" a="1"/>
  <c r="J33" i="3" s="1"/>
  <c r="F34" i="3"/>
  <c r="H33" i="3" a="1"/>
  <c r="H33" i="3" s="1"/>
  <c r="I33" i="3" a="1"/>
  <c r="I33" i="3" s="1"/>
  <c r="G33" i="3" a="1"/>
  <c r="G33" i="3" s="1"/>
  <c r="J34" i="3" l="1" a="1"/>
  <c r="J34" i="3" s="1"/>
  <c r="G34" i="3" a="1"/>
  <c r="G34" i="3" s="1"/>
  <c r="F35" i="3"/>
  <c r="I34" i="3" a="1"/>
  <c r="I34" i="3" s="1"/>
  <c r="H34" i="3" a="1"/>
  <c r="H34" i="3" s="1"/>
  <c r="G35" i="3" l="1" a="1"/>
  <c r="G35" i="3" s="1"/>
  <c r="F36" i="3"/>
  <c r="I35" i="3" a="1"/>
  <c r="I35" i="3" s="1"/>
  <c r="H35" i="3" a="1"/>
  <c r="H35" i="3" s="1"/>
  <c r="J35" i="3" a="1"/>
  <c r="J35" i="3" s="1"/>
  <c r="J36" i="3" l="1" a="1"/>
  <c r="J36" i="3" s="1"/>
  <c r="F37" i="3"/>
  <c r="I36" i="3" a="1"/>
  <c r="I36" i="3" s="1"/>
  <c r="H36" i="3" a="1"/>
  <c r="H36" i="3" s="1"/>
  <c r="G36" i="3" a="1"/>
  <c r="G36" i="3" s="1"/>
  <c r="G37" i="3" l="1" a="1"/>
  <c r="G37" i="3" s="1"/>
  <c r="I37" i="3" a="1"/>
  <c r="I37" i="3" s="1"/>
  <c r="H37" i="3" a="1"/>
  <c r="H37" i="3" s="1"/>
  <c r="J37" i="3" a="1"/>
  <c r="J37" i="3" s="1"/>
  <c r="F38" i="3"/>
  <c r="I38" i="3" l="1" a="1"/>
  <c r="I38" i="3" s="1"/>
  <c r="J38" i="3" a="1"/>
  <c r="J38" i="3" s="1"/>
  <c r="H38" i="3" a="1"/>
  <c r="H38" i="3" s="1"/>
  <c r="G38" i="3" a="1"/>
  <c r="G38" i="3" s="1"/>
  <c r="F39" i="3"/>
  <c r="H39" i="3" l="1" a="1"/>
  <c r="H39" i="3" s="1"/>
  <c r="G39" i="3" a="1"/>
  <c r="G39" i="3" s="1"/>
  <c r="F40" i="3"/>
  <c r="I39" i="3" a="1"/>
  <c r="I39" i="3" s="1"/>
  <c r="J39" i="3" a="1"/>
  <c r="J39" i="3" s="1"/>
  <c r="J40" i="3" l="1" a="1"/>
  <c r="J40" i="3" s="1"/>
  <c r="F41" i="3"/>
  <c r="H40" i="3" a="1"/>
  <c r="H40" i="3" s="1"/>
  <c r="I40" i="3" a="1"/>
  <c r="I40" i="3" s="1"/>
  <c r="G40" i="3" a="1"/>
  <c r="G40" i="3" s="1"/>
  <c r="J41" i="3" l="1" a="1"/>
  <c r="J41" i="3" s="1"/>
  <c r="F42" i="3"/>
  <c r="G41" i="3" a="1"/>
  <c r="G41" i="3" s="1"/>
  <c r="H41" i="3" a="1"/>
  <c r="H41" i="3" s="1"/>
  <c r="I41" i="3" a="1"/>
  <c r="I41" i="3" s="1"/>
  <c r="J42" i="3" l="1" a="1"/>
  <c r="J42" i="3" s="1"/>
  <c r="F43" i="3"/>
  <c r="I42" i="3" a="1"/>
  <c r="I42" i="3" s="1"/>
  <c r="H42" i="3" a="1"/>
  <c r="H42" i="3" s="1"/>
  <c r="G42" i="3" a="1"/>
  <c r="G42" i="3" s="1"/>
  <c r="G43" i="3" l="1" a="1"/>
  <c r="G43" i="3" s="1"/>
  <c r="J43" i="3" a="1"/>
  <c r="J43" i="3" s="1"/>
  <c r="I43" i="3" a="1"/>
  <c r="I43" i="3" s="1"/>
  <c r="H43" i="3" a="1"/>
  <c r="H43" i="3" s="1"/>
  <c r="F44" i="3"/>
  <c r="G44" i="3" l="1" a="1"/>
  <c r="G44" i="3" s="1"/>
  <c r="I44" i="3" a="1"/>
  <c r="I44" i="3" s="1"/>
  <c r="J44" i="3" a="1"/>
  <c r="J44" i="3" s="1"/>
  <c r="F45" i="3"/>
  <c r="H44" i="3" a="1"/>
  <c r="H44" i="3" s="1"/>
  <c r="J45" i="3" l="1" a="1"/>
  <c r="J45" i="3" s="1"/>
  <c r="F46" i="3"/>
  <c r="I45" i="3" a="1"/>
  <c r="I45" i="3" s="1"/>
  <c r="H45" i="3" a="1"/>
  <c r="H45" i="3" s="1"/>
  <c r="G45" i="3" a="1"/>
  <c r="G45" i="3" s="1"/>
  <c r="G46" i="3" l="1" a="1"/>
  <c r="G46" i="3" s="1"/>
  <c r="H46" i="3" a="1"/>
  <c r="H46" i="3" s="1"/>
  <c r="J46" i="3" a="1"/>
  <c r="J46" i="3" s="1"/>
  <c r="I46" i="3" a="1"/>
  <c r="I46" i="3" s="1"/>
  <c r="F47" i="3"/>
  <c r="J47" i="3" l="1" a="1"/>
  <c r="J47" i="3" s="1"/>
  <c r="I47" i="3" a="1"/>
  <c r="I47" i="3" s="1"/>
  <c r="H47" i="3" a="1"/>
  <c r="H47" i="3" s="1"/>
  <c r="G47" i="3" a="1"/>
  <c r="G47" i="3" s="1"/>
  <c r="F48" i="3"/>
  <c r="J48" i="3" l="1" a="1"/>
  <c r="J48" i="3" s="1"/>
  <c r="F49" i="3"/>
  <c r="I48" i="3" a="1"/>
  <c r="I48" i="3" s="1"/>
  <c r="G48" i="3" a="1"/>
  <c r="G48" i="3" s="1"/>
  <c r="H48" i="3" a="1"/>
  <c r="H48" i="3" s="1"/>
  <c r="H49" i="3" l="1" a="1"/>
  <c r="H49" i="3" s="1"/>
  <c r="F50" i="3"/>
  <c r="I49" i="3" a="1"/>
  <c r="I49" i="3" s="1"/>
  <c r="G49" i="3" a="1"/>
  <c r="G49" i="3" s="1"/>
  <c r="J49" i="3" a="1"/>
  <c r="J49" i="3" s="1"/>
  <c r="C21" i="5" a="1"/>
  <c r="C21" i="5" l="1"/>
  <c r="G25" i="6"/>
  <c r="G13" i="6"/>
  <c r="G24" i="6"/>
  <c r="G23" i="6"/>
  <c r="G14" i="6"/>
  <c r="D41" i="5"/>
  <c r="G12" i="6"/>
  <c r="D8" i="4"/>
  <c r="G26" i="6"/>
  <c r="J50" i="3" a="1"/>
  <c r="J50" i="3" s="1"/>
  <c r="J10" i="3" s="1"/>
  <c r="I50" i="3" a="1"/>
  <c r="I50" i="3" s="1"/>
  <c r="I10" i="3" s="1"/>
  <c r="H50" i="3" a="1"/>
  <c r="H50" i="3" s="1"/>
  <c r="H10" i="3" s="1"/>
  <c r="G50" i="3" a="1"/>
  <c r="G50" i="3" s="1"/>
  <c r="G10" i="3" s="1"/>
  <c r="D21" i="5" a="1"/>
  <c r="D21" i="5" l="1"/>
  <c r="D13" i="4"/>
  <c r="D14" i="4"/>
  <c r="D10" i="4"/>
  <c r="E21" i="5" a="1"/>
  <c r="E50" i="4" a="1"/>
  <c r="E54" i="4" a="1"/>
  <c r="E52" i="4" a="1"/>
  <c r="E62" i="4" a="1"/>
  <c r="E51" i="4" a="1"/>
  <c r="E53" i="4" a="1"/>
  <c r="E61" i="4" a="1"/>
  <c r="E65" i="4" a="1"/>
  <c r="E64" i="4" a="1"/>
  <c r="E60" i="4" a="1"/>
  <c r="E63" i="4" a="1"/>
  <c r="C20" i="5" a="1"/>
  <c r="D51" i="4" a="1"/>
  <c r="D61" i="4" a="1"/>
  <c r="D53" i="4" a="1"/>
  <c r="D50" i="4" a="1"/>
  <c r="D65" i="4" a="1"/>
  <c r="D52" i="4" a="1"/>
  <c r="D63" i="4" a="1"/>
  <c r="D54" i="4" a="1"/>
  <c r="D64" i="4" a="1"/>
  <c r="D62" i="4" a="1"/>
  <c r="D60" i="4" a="1"/>
  <c r="C18" i="5" a="1"/>
  <c r="D44" i="4" a="1"/>
  <c r="C19" i="5" a="1"/>
  <c r="C19" i="5" l="1"/>
  <c r="D44" i="4"/>
  <c r="C24" i="6" s="1"/>
  <c r="C18" i="5"/>
  <c r="D60" i="4"/>
  <c r="D62" i="4"/>
  <c r="D64" i="4"/>
  <c r="D54" i="4"/>
  <c r="D41" i="6" s="1"/>
  <c r="D63" i="4"/>
  <c r="D52" i="4"/>
  <c r="D39" i="6" s="1"/>
  <c r="D65" i="4"/>
  <c r="D50" i="4"/>
  <c r="D37" i="6" s="1"/>
  <c r="D53" i="4"/>
  <c r="D40" i="6" s="1"/>
  <c r="D61" i="4"/>
  <c r="D51" i="4"/>
  <c r="D38" i="6" s="1"/>
  <c r="C20" i="5"/>
  <c r="E63" i="4"/>
  <c r="C16" i="6" s="1"/>
  <c r="E60" i="4"/>
  <c r="C13" i="6" s="1"/>
  <c r="E64" i="4"/>
  <c r="C17" i="6" s="1"/>
  <c r="E65" i="4"/>
  <c r="C18" i="6" s="1"/>
  <c r="E61" i="4"/>
  <c r="C14" i="6" s="1"/>
  <c r="E53" i="4"/>
  <c r="E40" i="6" s="1"/>
  <c r="E51" i="4"/>
  <c r="E38" i="6" s="1"/>
  <c r="E62" i="4"/>
  <c r="C15" i="6" s="1"/>
  <c r="E52" i="4"/>
  <c r="E39" i="6" s="1"/>
  <c r="E54" i="4"/>
  <c r="E41" i="6" s="1"/>
  <c r="E50" i="4"/>
  <c r="E37" i="6" s="1"/>
  <c r="E21" i="5"/>
  <c r="D19" i="5" a="1"/>
  <c r="D20" i="5" a="1"/>
  <c r="F21" i="5" a="1"/>
  <c r="D18" i="5" a="1"/>
  <c r="D18" i="5" l="1"/>
  <c r="F21" i="5"/>
  <c r="G21" i="5" s="1"/>
  <c r="D20" i="5"/>
  <c r="D19" i="5"/>
  <c r="E20" i="5" a="1"/>
  <c r="E19" i="5" a="1"/>
  <c r="E18" i="5" a="1"/>
  <c r="E20" i="5" l="1"/>
  <c r="D28" i="5" a="1"/>
  <c r="D28" i="5" s="1"/>
  <c r="E18" i="5"/>
  <c r="E19" i="5"/>
  <c r="D27" i="5" a="1"/>
  <c r="D27" i="5" s="1"/>
  <c r="D29" i="5" a="1"/>
  <c r="D29" i="5" s="1"/>
  <c r="F20" i="5" a="1"/>
  <c r="E62" i="6" a="1"/>
  <c r="E57" i="6" a="1"/>
  <c r="E59" i="6" a="1"/>
  <c r="B6" i="6" a="1"/>
  <c r="E13" i="6" a="1"/>
  <c r="E55" i="6" a="1"/>
  <c r="E17" i="6" a="1"/>
  <c r="E14" i="6" a="1"/>
  <c r="E58" i="6" a="1"/>
  <c r="E15" i="6" a="1"/>
  <c r="E16" i="6" a="1"/>
  <c r="E18" i="6" a="1"/>
  <c r="E56" i="6" a="1"/>
  <c r="E60" i="6" a="1"/>
  <c r="E61" i="6" a="1"/>
  <c r="F18" i="5" a="1"/>
  <c r="F19" i="5" a="1"/>
  <c r="D15" i="6" a="1"/>
  <c r="D18" i="6" a="1"/>
  <c r="D14" i="6" a="1"/>
  <c r="D57" i="6" a="1"/>
  <c r="D17" i="6" a="1"/>
  <c r="D62" i="6" a="1"/>
  <c r="D58" i="6" a="1"/>
  <c r="D60" i="6" a="1"/>
  <c r="D56" i="6" a="1"/>
  <c r="D55" i="6" a="1"/>
  <c r="D61" i="6" a="1"/>
  <c r="D59" i="6" a="1"/>
  <c r="D16" i="6" a="1"/>
  <c r="D13" i="6" a="1"/>
  <c r="F62" i="6" a="1"/>
  <c r="F60" i="6" a="1"/>
  <c r="F17" i="6" a="1"/>
  <c r="F57" i="6" a="1"/>
  <c r="F13" i="6" a="1"/>
  <c r="F59" i="6" a="1"/>
  <c r="F16" i="6" a="1"/>
  <c r="F55" i="6" a="1"/>
  <c r="F15" i="6" a="1"/>
  <c r="F18" i="6" a="1"/>
  <c r="F14" i="6" a="1"/>
  <c r="F58" i="6" a="1"/>
  <c r="F61" i="6" a="1"/>
  <c r="F56" i="6" a="1"/>
  <c r="E61" i="6" l="1"/>
  <c r="E60" i="6"/>
  <c r="E56" i="6"/>
  <c r="E18" i="6"/>
  <c r="E16" i="6"/>
  <c r="E15" i="6"/>
  <c r="E58" i="6"/>
  <c r="E14" i="6"/>
  <c r="E17" i="6"/>
  <c r="E55" i="6"/>
  <c r="E13" i="6"/>
  <c r="B6" i="6"/>
  <c r="E59" i="6"/>
  <c r="E57" i="6"/>
  <c r="E62" i="6"/>
  <c r="F20" i="5"/>
  <c r="G20" i="5" s="1"/>
  <c r="F56" i="6"/>
  <c r="F61" i="6"/>
  <c r="F58" i="6"/>
  <c r="F14" i="6"/>
  <c r="F18" i="6"/>
  <c r="F15" i="6"/>
  <c r="F55" i="6"/>
  <c r="F16" i="6"/>
  <c r="F59" i="6"/>
  <c r="F13" i="6"/>
  <c r="F57" i="6"/>
  <c r="F17" i="6"/>
  <c r="F60" i="6"/>
  <c r="F62" i="6"/>
  <c r="D13" i="6"/>
  <c r="D16" i="6"/>
  <c r="D59" i="6"/>
  <c r="D61" i="6"/>
  <c r="D55" i="6"/>
  <c r="D56" i="6"/>
  <c r="D60" i="6"/>
  <c r="D58" i="6"/>
  <c r="D62" i="6"/>
  <c r="D17" i="6"/>
  <c r="D57" i="6"/>
  <c r="D14" i="6"/>
  <c r="D18" i="6"/>
  <c r="D15" i="6"/>
  <c r="F19" i="5"/>
  <c r="G19" i="5" s="1"/>
  <c r="F18" i="5"/>
  <c r="G18" i="5" s="1"/>
  <c r="D42" i="5" l="1"/>
  <c r="B7" i="6" s="1"/>
  <c r="D30" i="5" a="1"/>
  <c r="D30" i="5" s="1"/>
  <c r="D32" i="5" a="1"/>
  <c r="D32" i="5" s="1"/>
  <c r="D31" i="5" a="1"/>
  <c r="D31" i="5" s="1"/>
  <c r="D28" i="6" a="1"/>
  <c r="D69" i="6" a="1"/>
  <c r="D71" i="6" a="1"/>
  <c r="D27" i="6" a="1"/>
  <c r="D26" i="6" a="1"/>
  <c r="D29" i="6" a="1"/>
  <c r="D30" i="6" a="1"/>
  <c r="D25" i="6" a="1"/>
  <c r="D70" i="6" a="1"/>
  <c r="D72" i="6" a="1"/>
  <c r="D66" i="6" a="1"/>
  <c r="D68" i="6" a="1"/>
  <c r="D24" i="6" a="1"/>
  <c r="D65" i="6" a="1"/>
  <c r="D67" i="6" a="1"/>
  <c r="F26" i="6" a="1"/>
  <c r="F29" i="6" a="1"/>
  <c r="F25" i="6" a="1"/>
  <c r="F65" i="6" a="1"/>
  <c r="F27" i="6" a="1"/>
  <c r="F24" i="6" a="1"/>
  <c r="F70" i="6" a="1"/>
  <c r="F72" i="6" a="1"/>
  <c r="F66" i="6" a="1"/>
  <c r="F68" i="6" a="1"/>
  <c r="F71" i="6" a="1"/>
  <c r="F30" i="6" a="1"/>
  <c r="F67" i="6" a="1"/>
  <c r="F28" i="6" a="1"/>
  <c r="F69" i="6" a="1"/>
  <c r="E72" i="6" a="1"/>
  <c r="E70" i="6" a="1"/>
  <c r="E27" i="6" a="1"/>
  <c r="E24" i="6" a="1"/>
  <c r="E71" i="6" a="1"/>
  <c r="E69" i="6" a="1"/>
  <c r="E67" i="6" a="1"/>
  <c r="E65" i="6" a="1"/>
  <c r="E29" i="6" a="1"/>
  <c r="E66" i="6" a="1"/>
  <c r="E25" i="6" a="1"/>
  <c r="E28" i="6" a="1"/>
  <c r="E68" i="6" a="1"/>
  <c r="E26" i="6" a="1"/>
  <c r="E30" i="6" a="1"/>
  <c r="E30" i="6" l="1"/>
  <c r="E26" i="6"/>
  <c r="E68" i="6"/>
  <c r="E28" i="6"/>
  <c r="E25" i="6"/>
  <c r="E66" i="6"/>
  <c r="E29" i="6"/>
  <c r="E65" i="6"/>
  <c r="E67" i="6"/>
  <c r="E69" i="6"/>
  <c r="E71" i="6"/>
  <c r="E24" i="6"/>
  <c r="E27" i="6"/>
  <c r="E70" i="6"/>
  <c r="E72" i="6"/>
  <c r="F69" i="6"/>
  <c r="F28" i="6"/>
  <c r="F67" i="6"/>
  <c r="F30" i="6"/>
  <c r="F71" i="6"/>
  <c r="F68" i="6"/>
  <c r="F66" i="6"/>
  <c r="F72" i="6"/>
  <c r="F70" i="6"/>
  <c r="F24" i="6"/>
  <c r="F27" i="6"/>
  <c r="F65" i="6"/>
  <c r="F25" i="6"/>
  <c r="F29" i="6"/>
  <c r="F26" i="6"/>
  <c r="D67" i="6"/>
  <c r="D65" i="6"/>
  <c r="D24" i="6"/>
  <c r="D68" i="6"/>
  <c r="D66" i="6"/>
  <c r="D72" i="6"/>
  <c r="D70" i="6"/>
  <c r="D25" i="6"/>
  <c r="D30" i="6"/>
  <c r="D29" i="6"/>
  <c r="D26" i="6"/>
  <c r="D27" i="6"/>
  <c r="D71" i="6"/>
  <c r="D69" i="6"/>
  <c r="D28"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<sst xmlns="http://schemas.openxmlformats.org/spreadsheetml/2006/main" count="420" uniqueCount="293">
  <si>
    <t>Catastrophe and Large-Loss Tail</t>
  </si>
  <si>
    <t>ModelRisk example  ·  Insurance  ·  IN-04</t>
  </si>
  <si>
    <t>How large is the 1-in-200 year loss when the history covers only 25 years?  Extreme value theory against a single fitted distribution.</t>
  </si>
  <si>
    <t>Next:  Inputs  ▸</t>
  </si>
  <si>
    <t>Model card</t>
  </si>
  <si>
    <t>Industry</t>
  </si>
  <si>
    <t>Insurance</t>
  </si>
  <si>
    <t>Difficulty</t>
  </si>
  <si>
    <t>★★★★☆   Extreme value theory on 25 years of loss events: a threshold, a Generalised Pareto tail, and return periods far beyond the data.</t>
  </si>
  <si>
    <t>Business question</t>
  </si>
  <si>
    <t>A property insurer has recorded every loss event above US$1 million for 25 years: 189 storms, floods and large fires. How large is the event it should expect once in 100 or once in 200 years, and the year's total at the same return periods? How much do the answers depend on the model of the tail, and on the shortness of the history?</t>
  </si>
  <si>
    <t>Who it is for</t>
  </si>
  <si>
    <t>Catastrophe and capital modellers, reinsurance buyers, pricing actuaries, risk managers working with extreme losses.</t>
  </si>
  <si>
    <t>Main outputs</t>
  </si>
  <si>
    <t>The largest event of a year (occurrence, OEP) and the year's total (aggregate, AEP) at return periods from 10 to 250 years, for three tail models · how often an event above US$25m, US$50m or US$100m occurs · the threshold diagnostic and the fitted tail.</t>
  </si>
  <si>
    <t>ModelRisk techniques</t>
  </si>
  <si>
    <t>Peaks over threshold: a Generalised Pareto distribution fitted to the events above a threshold chosen with the mean excess (VoseGPDFitObject, VoseGPDFitP) · the data themselves below the threshold (VoseOgiveObject) · the largest of a random number of events (VoseLargest) · the year's total (VoseAggregateMC) · parameter uncertainty in the tail (Uncertainty = TRUE) · exact return periods (VosePercentile) checked against the simulation.</t>
  </si>
  <si>
    <t>File</t>
  </si>
  <si>
    <t>IN-04 Catastrophe and large-loss tail  ·  Version 1.0  ·  October 2026  ·  built with ModelRisk 10</t>
  </si>
  <si>
    <t>The business question</t>
  </si>
  <si>
    <t>A property insurer has kept a record of every loss event above US$1 million for 25 years — storms, floods and large fires, 189 events in all, the largest US$51 million. For its capital and its catastrophe reinsurance the board asks two questions: how large is the event to expect once in 100 or once in 200 years, and how large is the year's total at the same return periods? With 25 years of history, a 1-in-200 year loss lies far beyond the data, so the answer depends on the model of the tail. The model compares a Lognormal fitted to every event with extreme value theory, which says that the events above a high enough threshold follow a Generalised Pareto distribution ('peaks over threshold'). It then shows how much the answer widens when the uncertainty in the fitted tail — from only about 40 large events — is included.</t>
  </si>
  <si>
    <t>How the model works</t>
  </si>
  <si>
    <t>Five sheets after this one, read from left to right. Each one feeds the next.</t>
  </si>
  <si>
    <t>1  Inputs</t>
  </si>
  <si>
    <t>The threshold above which the tail is modelled, and the reporting threshold below which no event was recorded.</t>
  </si>
  <si>
    <t>2  Data</t>
  </si>
  <si>
    <t>Every loss event above US$1m for 25 years, in today's money; the number of events, the largest and the total in each year.</t>
  </si>
  <si>
    <t>3  Tail</t>
  </si>
  <si>
    <t>The mean excess over a range of thresholds shows where the tail starts. A Generalised Pareto distribution is fitted to the events above the threshold (its location fixed at the threshold); below it the data are used as they are (an Ogive). A Lognormal fitted to every event is the comparison. Exact return periods and the frequency of very large events follow from the fitted distributions.</t>
  </si>
  <si>
    <t>4  Year</t>
  </si>
  <si>
    <t>Next year's events are drawn under each model: Poisson numbers of events, the largest by VoseLargest and the total by VoseAggregateMC. The third model re-fits the tail to the data with parameter uncertainty in every iteration.</t>
  </si>
  <si>
    <t>5  Results</t>
  </si>
  <si>
    <t>The largest event and the year's total exceeded once in 10 to 250 years, by model, against the exact values and the 25 years of data; how often a very large event occurs.</t>
  </si>
  <si>
    <t>How to use it</t>
  </si>
  <si>
    <t>Step 1</t>
  </si>
  <si>
    <t>Paste your loss events on the Data sheet (year and loss, one event per row), in today's money.</t>
  </si>
  <si>
    <t>Step 2</t>
  </si>
  <si>
    <t>Look at the mean excess on the Tail sheet and set the threshold on the Inputs sheet.</t>
  </si>
  <si>
    <t>Step 3</t>
  </si>
  <si>
    <t>Run a simulation from the ModelRisk ribbon (10,000 samples with a fixed seed are set).</t>
  </si>
  <si>
    <t>Step 4</t>
  </si>
  <si>
    <t>Read the 1-in-100 and 1-in-200 year event and total — and how far apart the tail models are.</t>
  </si>
  <si>
    <t>Workbook map</t>
  </si>
  <si>
    <t>Inputs</t>
  </si>
  <si>
    <t>The threshold of the tail and the reporting threshold.</t>
  </si>
  <si>
    <t>Data</t>
  </si>
  <si>
    <t>189 loss events with their year; a summary by year.</t>
  </si>
  <si>
    <t>Tail</t>
  </si>
  <si>
    <t>Threshold diagnostic, fitted distributions, frequency of very large events, exact return periods.</t>
  </si>
  <si>
    <t>Year</t>
  </si>
  <si>
    <t>Next year's events under three models; outputs and checks.</t>
  </si>
  <si>
    <t>Results</t>
  </si>
  <si>
    <t>Return periods of the largest event and of the year's total; very large events.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</si>
  <si>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</si>
  <si>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</si>
  <si>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</si>
  <si>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</si>
  <si>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</si>
  <si>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</si>
  <si>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</si>
  <si>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</si>
  <si>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</si>
  <si>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</si>
  <si>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</si>
  <si>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</si>
  <si>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</si>
  <si>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in today's money.</t>
  </si>
  <si>
    <t>Event</t>
  </si>
  <si>
    <t>All the losses from one occurrence: one storm, one flood, one fire.</t>
  </si>
  <si>
    <t>Return period</t>
  </si>
  <si>
    <t>'Once in T years': exceeded with probability 1/T in any one year. The 1-in-200 year loss is the 99.5th percentile of a year.</t>
  </si>
  <si>
    <t>OEP and AEP</t>
  </si>
  <si>
    <t>Occurrence exceedance: the largest single event of a year. Aggregate exceedance: the year's total of all events.</t>
  </si>
  <si>
    <t>Mean excess</t>
  </si>
  <si>
    <t>The average amount by which the events above a threshold exceed it.</t>
  </si>
  <si>
    <t>Key assumptions and limitations</t>
  </si>
  <si>
    <t>Events</t>
  </si>
  <si>
    <t>Event numbers are Poisson; event losses are independent and identically distributed.</t>
  </si>
  <si>
    <t>Losses are in today's money and today's portfolio; trends in exposure and inflation are removed.</t>
  </si>
  <si>
    <t>Above the threshold the losses follow a Generalised Pareto distribution — the basis of extreme value theory, not a certainty.</t>
  </si>
  <si>
    <t>History</t>
  </si>
  <si>
    <t>The 189 events are invented for this example.</t>
  </si>
  <si>
    <t>ModelRisk functions used</t>
  </si>
  <si>
    <t>VoseGPDFitObject, VoseGPDFitP</t>
  </si>
  <si>
    <t>The Generalised Pareto tail fitted to the events above the threshold, and its parameters (location, scale, shape).</t>
  </si>
  <si>
    <t>VoseOgiveObject</t>
  </si>
  <si>
    <t>The data themselves as a distribution, between the reporting threshold and the threshold.</t>
  </si>
  <si>
    <t>VoseLognormalFitObject</t>
  </si>
  <si>
    <t>A Lognormal fitted to every event, for comparison.</t>
  </si>
  <si>
    <t>VoseLargest</t>
  </si>
  <si>
    <t>The largest of n events drawn from a distribution.</t>
  </si>
  <si>
    <t>VoseAggregateMC</t>
  </si>
  <si>
    <t>The year's total of a random number of events.</t>
  </si>
  <si>
    <t>VosePoissonFit, VoseProb, VosePercentile</t>
  </si>
  <si>
    <t>Event numbers with uncertainty; exceedance probabilities and exact return periods.</t>
  </si>
  <si>
    <t>VoseSimPercentile, VoseSimMean</t>
  </si>
  <si>
    <t>Statistics of the simulation on the Results sheet.</t>
  </si>
  <si>
    <t>Further reading</t>
  </si>
  <si>
    <t>Extreme value theory</t>
  </si>
  <si>
    <t>Embrechts, P., Klüppelberg, C. &amp; Mikosch, T. (1997). Modelling Extremal Events for Insurance and Finance. Springer.</t>
  </si>
  <si>
    <t>Peaks over threshold</t>
  </si>
  <si>
    <t>McNeil, A. J. (1997). Estimating the tails of loss severity distributions using extreme value theory. ASTIN Bulletin 27(1), 117–137.</t>
  </si>
  <si>
    <t>Extremes, an introduction</t>
  </si>
  <si>
    <t>Coles, S. (2001). An Introduction to Statistical Modeling of Extreme Values. Springer.</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</si>
  <si>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</si>
  <si>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</si>
  <si>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</si>
  <si>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Data  ▸</t>
  </si>
  <si>
    <t>How to read this sheet:  yellow cells are inputs.</t>
  </si>
  <si>
    <t>1   Tail</t>
  </si>
  <si>
    <t>Where the tail model starts.</t>
  </si>
  <si>
    <t>Assumption</t>
  </si>
  <si>
    <t>Unit</t>
  </si>
  <si>
    <t>Value in model</t>
  </si>
  <si>
    <t>Uncertainty</t>
  </si>
  <si>
    <t>Basis / source (illustrative)</t>
  </si>
  <si>
    <t>Threshold of the tail</t>
  </si>
  <si>
    <t>US$m</t>
  </si>
  <si>
    <t>Fixed</t>
  </si>
  <si>
    <t>Chosen with the mean excess on the Tail sheet; about 40 events lie above it.</t>
  </si>
  <si>
    <t>Reporting threshold of the data</t>
  </si>
  <si>
    <t>Events below this were not recorded.</t>
  </si>
  <si>
    <t>DATA   ·   Every loss event above US$1m, in today's money (US$m), one per row; paste your own and the model reads every row. Yellow cells are data.</t>
  </si>
  <si>
    <t>◂  Inputs</t>
  </si>
  <si>
    <t>Next:  Tail  ▸</t>
  </si>
  <si>
    <t>1   Loss events</t>
  </si>
  <si>
    <t>2   By year</t>
  </si>
  <si>
    <t>Up to 2,000, one per row.</t>
  </si>
  <si>
    <t>Events, the largest and the total in each year, from the first year in the data to the last (up to 40).</t>
  </si>
  <si>
    <t>Loss</t>
  </si>
  <si>
    <t>Above threshold</t>
  </si>
  <si>
    <t>Largest</t>
  </si>
  <si>
    <t>Total</t>
  </si>
  <si>
    <t>All</t>
  </si>
  <si>
    <t>TAIL   ·   Where the tail starts, the fitted distributions, how often very large events occur, and exact return periods.</t>
  </si>
  <si>
    <t>◂  Data</t>
  </si>
  <si>
    <t>Next:  Year  ▸</t>
  </si>
  <si>
    <t>1   The history in brief</t>
  </si>
  <si>
    <t>Quantity</t>
  </si>
  <si>
    <t>Value</t>
  </si>
  <si>
    <t>How it is calculated</t>
  </si>
  <si>
    <t>Years of history</t>
  </si>
  <si>
    <t>years</t>
  </si>
  <si>
    <t>Data sheet</t>
  </si>
  <si>
    <t>Events recorded</t>
  </si>
  <si>
    <t>events</t>
  </si>
  <si>
    <t>Every event above the reporting threshold</t>
  </si>
  <si>
    <t>Events a year</t>
  </si>
  <si>
    <t>Events ÷ years</t>
  </si>
  <si>
    <t>Largest event</t>
  </si>
  <si>
    <t>Events above the threshold</t>
  </si>
  <si>
    <t>The data the tail is fitted to</t>
  </si>
  <si>
    <t>Events above the threshold, a year</t>
  </si>
  <si>
    <t>Events up to the threshold, a year</t>
  </si>
  <si>
    <t>2   Choosing the threshold</t>
  </si>
  <si>
    <t>Mean excess over the threshold</t>
  </si>
  <si>
    <t>Above a high enough threshold the mean excess rises along a straight line: the mark of a Generalised Pareto tail.</t>
  </si>
  <si>
    <t>Threshold</t>
  </si>
  <si>
    <t>Events above</t>
  </si>
  <si>
    <t>Fitted tail</t>
  </si>
  <si>
    <t>US$m, data</t>
  </si>
  <si>
    <t>A straight, rising line means a heavy tail; the last thresholds rest on very few events. The fitted tail's line (σ + ξ·(threshold − u)) ÷ (1 − ξ) should follow the data above the threshold u.</t>
  </si>
  <si>
    <t>3   The fitted distributions</t>
  </si>
  <si>
    <t>The tail above the threshold, the data below it, and one Lognormal for comparison.</t>
  </si>
  <si>
    <t>Tail: events above the threshold</t>
  </si>
  <si>
    <t>object</t>
  </si>
  <si>
    <t>Generalised Pareto fitted to TailData (listed at the end of this sheet), location fixed at the threshold</t>
  </si>
  <si>
    <t>Tail location</t>
  </si>
  <si>
    <t>Equal to the threshold</t>
  </si>
  <si>
    <t>Tail scale σ</t>
  </si>
  <si>
    <t>VoseGPDFitP(data, FALSE, threshold)</t>
  </si>
  <si>
    <t>Tail shape ξ</t>
  </si>
  <si>
    <t>Above 0: a heavy tail — the larger, the heavier</t>
  </si>
  <si>
    <t>Body: events up to the threshold</t>
  </si>
  <si>
    <t>The data themselves (BodyData), between the reporting threshold and the threshold (VoseOgiveObject)</t>
  </si>
  <si>
    <t>Lognormal: every event</t>
  </si>
  <si>
    <t>For comparison: one distribution fitted to all 189 events</t>
  </si>
  <si>
    <t>Lognormal mean</t>
  </si>
  <si>
    <t>VoseLognormalFitP(data, FALSE)</t>
  </si>
  <si>
    <t>Lognormal standard deviation</t>
  </si>
  <si>
    <t>Average event above the threshold: the data</t>
  </si>
  <si>
    <t>Average event above the threshold: the fitted tail</t>
  </si>
  <si>
    <t>Should be close to the data</t>
  </si>
  <si>
    <t>Average year's total, peaks over threshold</t>
  </si>
  <si>
    <t>Events a year × average event, body and tail — exact</t>
  </si>
  <si>
    <t>4   How often is a very large event?</t>
  </si>
  <si>
    <t>Expected years between events larger than each size: the data, and each model.</t>
  </si>
  <si>
    <t>Event larger than  (US$m)</t>
  </si>
  <si>
    <t>In the data</t>
  </si>
  <si>
    <t>Lognormal</t>
  </si>
  <si>
    <t>once in … years</t>
  </si>
  <si>
    <t>Years between events = 1 ÷ (events a year × chance that an event is larger)</t>
  </si>
  <si>
    <t>5   Return periods, calculated exactly</t>
  </si>
  <si>
    <t>The largest event of a year exceeded once in T years, from the fitted distributions — no simulation.</t>
  </si>
  <si>
    <t>T</t>
  </si>
  <si>
    <t>1 in 10 years</t>
  </si>
  <si>
    <t>The largest event exceeds x with probability 1 − exp(−events a year × P(event &gt; x)).</t>
  </si>
  <si>
    <t>1 in 25 years</t>
  </si>
  <si>
    <t>Setting that to 1 ÷ T gives the percentile that VosePercentile reads.</t>
  </si>
  <si>
    <t>1 in 50 years</t>
  </si>
  <si>
    <t>1 in 100 years</t>
  </si>
  <si>
    <t>1 in 200 years</t>
  </si>
  <si>
    <t>1 in 250 years</t>
  </si>
  <si>
    <t>6   The events above the threshold</t>
  </si>
  <si>
    <t>TailData, largest first: the events the tail is fitted to. The models read them through the name TailData, and the events up to the threshold through BodyData.</t>
  </si>
  <si>
    <t>Largest first</t>
  </si>
  <si>
    <t>SORT(TailData, , −1): one row per event above the threshold</t>
  </si>
  <si>
    <t>TailData = FILTER(Losses, Losses &gt; Threshold), a defined name</t>
  </si>
  <si>
    <t>YEAR   ·   Next year's loss events under three models: the largest event and the year's total.</t>
  </si>
  <si>
    <t>◂  Tail</t>
  </si>
  <si>
    <t>Next:  Results  ▸</t>
  </si>
  <si>
    <t>1   The tail with parameter uncertainty</t>
  </si>
  <si>
    <t>Only about 40 events decide the tail: how sure can we be of it?</t>
  </si>
  <si>
    <t>With uncertainty the location is re-estimated too: just above the threshold</t>
  </si>
  <si>
    <t>VoseGPDFitP(TailData, TRUE, threshold): drawn again in every iteration</t>
  </si>
  <si>
    <t>The shape varies most: roughly from 0 to 0.7</t>
  </si>
  <si>
    <t>Tail, with parameter uncertainty</t>
  </si>
  <si>
    <t>The Generalised Pareto with this iteration's parameters</t>
  </si>
  <si>
    <t>2   Next year's events</t>
  </si>
  <si>
    <t>The largest event and the year's total of the same simulated year. Press F9 to draw another year.</t>
  </si>
  <si>
    <t>Number</t>
  </si>
  <si>
    <t>The others' sizes</t>
  </si>
  <si>
    <t>The others</t>
  </si>
  <si>
    <t>How it is drawn</t>
  </si>
  <si>
    <t>capped at the largest</t>
  </si>
  <si>
    <t>Poisson number; Lognormal sizes</t>
  </si>
  <si>
    <t>Peaks over threshold: events up to the threshold</t>
  </si>
  <si>
    <t>Poisson number; sizes from the data</t>
  </si>
  <si>
    <t>Peaks over threshold: events above the threshold</t>
  </si>
  <si>
    <t>Poisson number; Generalised Pareto sizes</t>
  </si>
  <si>
    <t>… the same, with parameter uncertainty</t>
  </si>
  <si>
    <t>The yearly counts and the tail both fitted with uncertainty</t>
  </si>
  <si>
    <t>VoseLargest(distribution, n) draws the largest of n events directly. Given the largest, the other n − 1 events are independent draws from the same distribution capped at it (VoseXBounds: the next column), added up by VoseAggregateMC — so the largest event and the total belong to the same year. With peaks over threshold, the largest event of the year is the larger of the two streams' largest: an event above the threshold beats every event below it.</t>
  </si>
  <si>
    <t>3   Value in this iteration</t>
  </si>
  <si>
    <t>Key outputs, recorded by ModelRisk at every sample (VoseOutput). Their statistics appear on the Results sheet.</t>
  </si>
  <si>
    <t>Output</t>
  </si>
  <si>
    <t>Meaning</t>
  </si>
  <si>
    <t>Largest event: Lognormal</t>
  </si>
  <si>
    <t>Every event from one Lognormal</t>
  </si>
  <si>
    <t>Largest event: peaks over threshold</t>
  </si>
  <si>
    <t>The larger of the two streams' largest</t>
  </si>
  <si>
    <t>Largest event: with parameter uncertainty</t>
  </si>
  <si>
    <t>The same, with the uncertain tail</t>
  </si>
  <si>
    <t>Year's total: Lognormal</t>
  </si>
  <si>
    <t>Year's total: peaks over threshold</t>
  </si>
  <si>
    <t>Events up to and above the threshold</t>
  </si>
  <si>
    <t>Year's total: with parameter uncertainty</t>
  </si>
  <si>
    <t>4   Model checks</t>
  </si>
  <si>
    <t>Should all read OK. A CHECK means an input has been set outside the range the model is built for.</t>
  </si>
  <si>
    <t>At least 20 events above the threshold</t>
  </si>
  <si>
    <t>The tail shape is below 1  (an event has a finite average)</t>
  </si>
  <si>
    <t>The threshold lies inside the range of the data</t>
  </si>
  <si>
    <t>No recorded event is below the reporting threshold</t>
  </si>
  <si>
    <t>The fitted tail's average event is within 10% of the data's</t>
  </si>
  <si>
    <t>Every event falls in a year of the by-year table  (Data sheet)</t>
  </si>
  <si>
    <t>In this year, each total is at least its largest event</t>
  </si>
  <si>
    <t>RESULTS   ·   Filled in automatically from the last simulation. Run a simulation after changing any input.</t>
  </si>
  <si>
    <t>◂  Year</t>
  </si>
  <si>
    <t>1   The largest event of a year</t>
  </si>
  <si>
    <t>Largest event of a year — return periods</t>
  </si>
  <si>
    <t>The event loss exceeded once in T years on average — the occurrence exceedance (OEP).</t>
  </si>
  <si>
    <t>POT, exact</t>
  </si>
  <si>
    <t>POT</t>
  </si>
  <si>
    <t>+ uncertainty</t>
  </si>
  <si>
    <t>no simulation</t>
  </si>
  <si>
    <t>simulated</t>
  </si>
  <si>
    <t>–</t>
  </si>
  <si>
    <t>2   The year's total</t>
  </si>
  <si>
    <t>All the year's event losses exceeded once in T years — the aggregate exceedance (AEP).</t>
  </si>
  <si>
    <t>Average year</t>
  </si>
  <si>
    <t>Year's total — return periods</t>
  </si>
  <si>
    <t>POT: peaks over threshold.  POT, exact: from the fitted distributions without simulation (the Tail sheet) — the figure to use.  The simulated columns rest, at 1 in 200, on the worst 50 of 10,000 years.  In the data: from the years of history, which cannot reach further than about 1 in that many years.</t>
  </si>
  <si>
    <t>3   How often is a very large event?</t>
  </si>
  <si>
    <t>Expected years between events larger than each size.</t>
  </si>
  <si>
    <t>once in … yrs</t>
  </si>
  <si>
    <t>4   How to read these results</t>
  </si>
  <si>
    <t>•  The 25 years of data reach to about the 1-in-25 year event. Beyond that the answer comes from the model of the tail, and the models part company fast: the 1-in-200 year event is about US$40m with the Lognormal and about US$110m with peaks over threshold (the exact values, from the Tail sheet).</t>
  </si>
  <si>
    <t>•  The Lognormal is shaped by the 146 moderate events and has a thin tail: it says an event above US$50m happens once in about 500 years, yet the history already holds one in 25 years. The Generalised Pareto is fitted only to the events above the threshold, where the tail is decided.</t>
  </si>
  <si>
    <t>•  Choose the threshold where the mean excess starts to rise along a straight line, with enough events above it — here US$5m, with 43 events. Try US$3m or US$7.5m on the Inputs sheet: if the tail model is sound, the return periods change little.</t>
  </si>
  <si>
    <t>•  With 43 large events the shape of the tail is uncertain. Including that uncertainty raises the 1-in-200 year figures again — by how much is itself hard to pin down at 10,000 samples: two runs put the 1-in-200 year event at about US$113m and US$158m. For capital and reinsurance it is part of the risk.</t>
  </si>
  <si>
    <t>•  The 1-in-200 year total is far more than the 1-in-200 year event: in a bad year several large events come together (2006 had two above US$40m). Reinsurance per event is priced on the largest event; capital and aggregate covers on the total.</t>
  </si>
  <si>
    <t>•  Simulation error: with 10,000 simulated years a 1-in-200 value rests on the 50 worst years, and for a tail this heavy that is a rough estimate — here the simulated 1-in-200 event is about 4% below the exact value, and another seed put it 17% above. Use the exact values where they exist, and run 100,000 samples or more before relying on a simulated 1-in-200.</t>
  </si>
  <si>
    <t>Chart data</t>
  </si>
  <si>
    <t>Statistics of the last simulation behind the charts and the ranking above. Grouped: click + in the left margin to show them.</t>
  </si>
  <si>
    <t>Return period (years)</t>
  </si>
  <si>
    <t>Percentile</t>
  </si>
  <si>
    <t>OEP_LN</t>
  </si>
  <si>
    <t>OEP_POT</t>
  </si>
  <si>
    <t>OEP_U</t>
  </si>
  <si>
    <t>AEP_LN</t>
  </si>
  <si>
    <t>AEP_POT</t>
  </si>
  <si>
    <t>AEP_U</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</si>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</sst>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0.0\);&quot;–&quot;_)"/>
    <numFmt numFmtId="165" formatCode="#,##0.00_);\(#,##0.00\);&quot;–&quot;_)"/>
    <numFmt numFmtId="166" formatCode="#,##0_);\(#,##0\);&quot;–&quot;_)"/>
    <numFmt numFmtId="167" formatCode="#,##0.0"/>
    <numFmt numFmtId="168" formatCode="0.000"/>
    <numFmt numFmtId="169" formatCode="#,##0.0_);\(#,##0.0\);&quot;–&quot;_);&quot;–&quot;"/>
    <numFmt numFmtId="170" formatCode="0.0%"/>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sz val="9"/>
      <color rgb="FF8AA0BA"/>
      <name val="Calibri"/>
    </font>
    <font>
      <b/>
      <sz val="11"/>
      <color rgb="FF0E4F92"/>
      <name val="Calibri"/>
    </font>
    <font>
      <b/>
      <sz val="10"/>
      <color rgb="FF15803D"/>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3F5876"/>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8">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0" fontId="17" fillId="7" borderId="2" xfId="0" applyFont="1" applyFill="1" applyBorder="1" applyAlignment="1">
      <alignment horizontal="right" vertical="center"/>
    </xf>
    <xf numFmtId="0" fontId="19" fillId="7" borderId="4" xfId="0" applyFont="1" applyFill="1" applyBorder="1" applyAlignment="1">
      <alignment horizontal="right" vertical="center"/>
    </xf>
    <xf numFmtId="0" fontId="20" fillId="0" borderId="6" xfId="0" applyFont="1" applyBorder="1" applyAlignment="1">
      <alignment horizontal="right" vertical="center"/>
    </xf>
    <xf numFmtId="1" fontId="1" fillId="2" borderId="7" xfId="1" applyNumberFormat="1" applyBorder="1">
      <alignment horizontal="right" vertical="center"/>
    </xf>
    <xf numFmtId="165" fontId="1" fillId="2" borderId="7" xfId="1" applyNumberFormat="1" applyBorder="1">
      <alignment horizontal="right" vertical="center"/>
    </xf>
    <xf numFmtId="0" fontId="12" fillId="0" borderId="8" xfId="0" applyFont="1" applyBorder="1"/>
    <xf numFmtId="166" fontId="12" fillId="0" borderId="8" xfId="3" applyNumberFormat="1" applyFont="1" applyBorder="1">
      <alignment horizontal="right" vertical="center"/>
    </xf>
    <xf numFmtId="165" fontId="12" fillId="0" borderId="8" xfId="3" applyNumberFormat="1" applyFont="1" applyBorder="1">
      <alignment horizontal="right" vertical="center"/>
    </xf>
    <xf numFmtId="1" fontId="3" fillId="0" borderId="9" xfId="3" applyNumberFormat="1" applyBorder="1">
      <alignment horizontal="right" vertical="center"/>
    </xf>
    <xf numFmtId="166" fontId="3" fillId="0" borderId="9" xfId="3" applyNumberFormat="1" applyBorder="1">
      <alignment horizontal="right" vertical="center"/>
    </xf>
    <xf numFmtId="165" fontId="3" fillId="0" borderId="9" xfId="3" applyNumberFormat="1" applyBorder="1">
      <alignment horizontal="right" vertical="center"/>
    </xf>
    <xf numFmtId="1" fontId="3" fillId="0" borderId="2" xfId="3" applyNumberFormat="1">
      <alignment horizontal="right" vertical="center"/>
    </xf>
    <xf numFmtId="166" fontId="3" fillId="0" borderId="2" xfId="3" applyNumberFormat="1">
      <alignment horizontal="right" vertical="center"/>
    </xf>
    <xf numFmtId="165" fontId="3" fillId="0" borderId="2" xfId="3" applyNumberFormat="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21" fillId="0" borderId="5" xfId="0" applyFont="1" applyBorder="1"/>
    <xf numFmtId="0" fontId="17" fillId="7" borderId="2" xfId="0" applyFont="1" applyFill="1" applyBorder="1" applyAlignment="1">
      <alignment horizontal="left" vertical="center" indent="1"/>
    </xf>
    <xf numFmtId="0" fontId="0" fillId="7" borderId="2" xfId="0" applyFill="1" applyBorder="1"/>
    <xf numFmtId="167" fontId="3" fillId="0" borderId="9" xfId="3" applyNumberFormat="1" applyBorder="1" applyAlignment="1">
      <alignment horizontal="left" vertical="center" indent="1"/>
    </xf>
    <xf numFmtId="0" fontId="3" fillId="0" borderId="9" xfId="3" applyBorder="1" applyAlignment="1">
      <alignment horizontal="left" vertical="center" indent="1"/>
    </xf>
    <xf numFmtId="0" fontId="3" fillId="0" borderId="6" xfId="0" applyFont="1" applyBorder="1" applyAlignment="1">
      <alignment horizontal="left" vertical="center" indent="2"/>
    </xf>
    <xf numFmtId="168" fontId="3" fillId="0" borderId="9" xfId="3"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66" fontId="3" fillId="0" borderId="9" xfId="3" applyNumberFormat="1" applyBorder="1" applyAlignment="1">
      <alignment horizontal="left" vertical="center" indent="1"/>
    </xf>
    <xf numFmtId="0" fontId="18" fillId="0" borderId="0" xfId="0" applyFont="1" applyAlignment="1">
      <alignment horizontal="left" vertical="center" indent="1"/>
    </xf>
    <xf numFmtId="166" fontId="20" fillId="0" borderId="9" xfId="3" applyNumberFormat="1" applyFont="1" applyBorder="1">
      <alignment horizontal="right" vertical="center"/>
    </xf>
    <xf numFmtId="0" fontId="3" fillId="0" borderId="0" xfId="0" applyFont="1" applyAlignment="1">
      <alignment horizontal="left" vertical="center" indent="1"/>
    </xf>
    <xf numFmtId="165" fontId="2" fillId="3" borderId="7" xfId="2" applyNumberFormat="1" applyBorder="1">
      <alignment horizontal="right" vertical="center"/>
    </xf>
    <xf numFmtId="168" fontId="2" fillId="3" borderId="7" xfId="2" applyNumberFormat="1" applyBorder="1">
      <alignment horizontal="right" vertical="center"/>
    </xf>
    <xf numFmtId="166" fontId="2" fillId="3" borderId="7" xfId="2" applyNumberFormat="1" applyBorder="1">
      <alignment horizontal="right" vertical="center"/>
    </xf>
    <xf numFmtId="165" fontId="4" fillId="4" borderId="10" xfId="4" applyNumberFormat="1" applyBorder="1">
      <alignment horizontal="right" vertical="center"/>
    </xf>
    <xf numFmtId="0" fontId="22"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164" fontId="12" fillId="0" borderId="9" xfId="3" applyNumberFormat="1" applyFont="1" applyBorder="1">
      <alignment horizontal="right" vertical="center"/>
    </xf>
    <xf numFmtId="169" fontId="1" fillId="5" borderId="7" xfId="5" applyNumberFormat="1" applyBorder="1">
      <alignment horizontal="right" vertical="center"/>
    </xf>
    <xf numFmtId="164" fontId="3" fillId="0" borderId="9" xfId="3" applyNumberFormat="1" applyBorder="1">
      <alignment horizontal="right" vertical="center"/>
    </xf>
    <xf numFmtId="0" fontId="12" fillId="0" borderId="6" xfId="0" applyFont="1" applyBorder="1" applyAlignment="1">
      <alignment horizontal="left" vertical="center" indent="1"/>
    </xf>
    <xf numFmtId="3" fontId="3" fillId="0" borderId="2" xfId="3" applyNumberFormat="1">
      <alignment horizontal="right" vertical="center"/>
    </xf>
    <xf numFmtId="170"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6">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color rgb="FFFFFFFF"/>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Data</c:v>
          </c:tx>
          <c:spPr>
            <a:ln>
              <a:noFill/>
              <a:prstDash val="solid"/>
            </a:ln>
          </c:spPr>
          <c:marker>
            <c:symbol val="circle"/>
            <c:size val="5"/>
            <c:spPr>
              <a:solidFill>
                <a:srgbClr val="0E4F92"/>
              </a:solidFill>
              <a:ln>
                <a:solidFill>
                  <a:srgbClr val="0E4F92"/>
                </a:solidFill>
                <a:prstDash val="solid"/>
              </a:ln>
            </c:spPr>
          </c:marker>
          <c:xVal>
            <c:numRef>
              <c:f>Tail!$B$20:$B$28</c:f>
              <c:numCache>
                <c:formatCode>#,##0.0</c:formatCode>
                <c:ptCount val="9"/>
                <c:pt idx="0">
                  <c:v>1</c:v>
                </c:pt>
                <c:pt idx="1">
                  <c:v>2</c:v>
                </c:pt>
                <c:pt idx="2">
                  <c:v>3</c:v>
                </c:pt>
                <c:pt idx="3">
                  <c:v>4</c:v>
                </c:pt>
                <c:pt idx="4">
                  <c:v>5</c:v>
                </c:pt>
                <c:pt idx="5">
                  <c:v>7.5</c:v>
                </c:pt>
                <c:pt idx="6">
                  <c:v>10</c:v>
                </c:pt>
                <c:pt idx="7">
                  <c:v>15</c:v>
                </c:pt>
                <c:pt idx="8">
                  <c:v>20</c:v>
                </c:pt>
              </c:numCache>
            </c:numRef>
          </c:xVal>
          <c:yVal>
            <c:numRef>
              <c:f>Tail!$D$20:$D$28</c:f>
              <c:numCache>
                <c:formatCode>#,##0.00_);\(#,##0.00\);"–"_)</c:formatCode>
                <c:ptCount val="9"/>
                <c:pt idx="0">
                  <c:v>3.5770899470899469</c:v>
                </c:pt>
                <c:pt idx="1">
                  <c:v>4.5399137931034463</c:v>
                </c:pt>
                <c:pt idx="2">
                  <c:v>5.688552631578947</c:v>
                </c:pt>
                <c:pt idx="3">
                  <c:v>6.7087272727272733</c:v>
                </c:pt>
                <c:pt idx="4">
                  <c:v>7.4923255813953507</c:v>
                </c:pt>
                <c:pt idx="5">
                  <c:v>9.1538461538461533</c:v>
                </c:pt>
                <c:pt idx="6">
                  <c:v>9.6842105263157876</c:v>
                </c:pt>
                <c:pt idx="7">
                  <c:v>12.915555555555557</c:v>
                </c:pt>
                <c:pt idx="8">
                  <c:v>21.127499999999998</c:v>
                </c:pt>
              </c:numCache>
            </c:numRef>
          </c:yVal>
          <c:smooth val="1"/>
          <c:extLst>
            <c:ext xmlns:c16="http://schemas.microsoft.com/office/drawing/2014/chart" uri="{C3380CC4-5D6E-409C-BE32-E72D297353CC}">
              <c16:uniqueId val="{00000000-A006-4230-AFAC-97B256D10A0A}"/>
            </c:ext>
          </c:extLst>
        </c:ser>
        <c:ser>
          <c:idx val="1"/>
          <c:order val="1"/>
          <c:tx>
            <c:v>Fitted tail</c:v>
          </c:tx>
          <c:spPr>
            <a:ln w="22000">
              <a:solidFill>
                <a:srgbClr val="B45309"/>
              </a:solidFill>
              <a:prstDash val="solid"/>
            </a:ln>
          </c:spPr>
          <c:marker>
            <c:symbol val="none"/>
          </c:marker>
          <c:xVal>
            <c:numRef>
              <c:f>Tail!$B$20:$B$28</c:f>
              <c:numCache>
                <c:formatCode>#,##0.0</c:formatCode>
                <c:ptCount val="9"/>
                <c:pt idx="0">
                  <c:v>1</c:v>
                </c:pt>
                <c:pt idx="1">
                  <c:v>2</c:v>
                </c:pt>
                <c:pt idx="2">
                  <c:v>3</c:v>
                </c:pt>
                <c:pt idx="3">
                  <c:v>4</c:v>
                </c:pt>
                <c:pt idx="4">
                  <c:v>5</c:v>
                </c:pt>
                <c:pt idx="5">
                  <c:v>7.5</c:v>
                </c:pt>
                <c:pt idx="6">
                  <c:v>10</c:v>
                </c:pt>
                <c:pt idx="7">
                  <c:v>15</c:v>
                </c:pt>
                <c:pt idx="8">
                  <c:v>20</c:v>
                </c:pt>
              </c:numCache>
            </c:numRef>
          </c:xVal>
          <c:yVal>
            <c:numRef>
              <c:f>Tail!$E$20:$E$28</c:f>
              <c:numCache>
                <c:formatCode>#,##0.00_);\(#,##0.00\);"–"_)</c:formatCode>
                <c:ptCount val="9"/>
                <c:pt idx="0">
                  <c:v>#N/A</c:v>
                </c:pt>
                <c:pt idx="1">
                  <c:v>#N/A</c:v>
                </c:pt>
                <c:pt idx="2">
                  <c:v>#N/A</c:v>
                </c:pt>
                <c:pt idx="3">
                  <c:v>#N/A</c:v>
                </c:pt>
                <c:pt idx="4">
                  <c:v>7.7909296769466723</c:v>
                </c:pt>
                <c:pt idx="5">
                  <c:v>9.358990686319272</c:v>
                </c:pt>
                <c:pt idx="6">
                  <c:v>10.927051695691871</c:v>
                </c:pt>
                <c:pt idx="7">
                  <c:v>14.063173714437069</c:v>
                </c:pt>
                <c:pt idx="8">
                  <c:v>17.199295733182268</c:v>
                </c:pt>
              </c:numCache>
            </c:numRef>
          </c:yVal>
          <c:smooth val="1"/>
          <c:extLst>
            <c:ext xmlns:c16="http://schemas.microsoft.com/office/drawing/2014/chart" uri="{C3380CC4-5D6E-409C-BE32-E72D297353CC}">
              <c16:uniqueId val="{00000001-A006-4230-AFAC-97B256D10A0A}"/>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Threshold (US$m)</a:t>
                </a:r>
              </a:p>
            </c:rich>
          </c:tx>
          <c:overlay val="0"/>
        </c:title>
        <c:numFmt formatCode="0" sourceLinked="0"/>
        <c:majorTickMark val="none"/>
        <c:minorTickMark val="none"/>
        <c:tickLblPos val="nextTo"/>
        <c:crossAx val="20"/>
        <c:crosses val="autoZero"/>
        <c:crossBetween val="midCat"/>
      </c:valAx>
      <c:valAx>
        <c:axId val="20"/>
        <c:scaling>
          <c:orientation val="minMax"/>
          <c:min val="0"/>
        </c:scaling>
        <c:delete val="0"/>
        <c:axPos val="l"/>
        <c:majorGridlines>
          <c:spPr>
            <a:ln>
              <a:solidFill>
                <a:srgbClr val="E4E9F0"/>
              </a:solidFill>
              <a:prstDash val="solid"/>
            </a:ln>
          </c:spPr>
        </c:majorGridlines>
        <c:title>
          <c:tx>
            <c:rich>
              <a:bodyPr/>
              <a:lstStyle/>
              <a:p>
                <a:pPr>
                  <a:defRPr/>
                </a:pPr>
                <a:r>
                  <a:rPr lang="en-US"/>
                  <a:t>Mean excess (US$m)</a:t>
                </a:r>
              </a:p>
            </c:rich>
          </c:tx>
          <c:overlay val="0"/>
        </c:title>
        <c:numFmt formatCode="0" sourceLinked="0"/>
        <c:majorTickMark val="none"/>
        <c:minorTickMark val="none"/>
        <c:tickLblPos val="nextTo"/>
        <c:crossAx val="10"/>
        <c:crosses val="min"/>
        <c:crossBetween val="midCat"/>
      </c:valAx>
    </c:plotArea>
    <c:legend>
      <c:legendPos val="b"/>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Lognormal</c:v>
          </c:tx>
          <c:spPr>
            <a:ln w="22000">
              <a:solidFill>
                <a:srgbClr val="0E4F92"/>
              </a:solidFill>
              <a:prstDash val="solid"/>
            </a:ln>
          </c:spPr>
          <c:marker>
            <c:symbol val="circle"/>
            <c:size val="4"/>
            <c:spPr>
              <a:solidFill>
                <a:srgbClr val="0E4F92"/>
              </a:solidFill>
              <a:ln>
                <a:solidFill>
                  <a:srgbClr val="0E4F92"/>
                </a:solidFill>
                <a:prstDash val="solid"/>
              </a:ln>
            </c:spPr>
          </c:marker>
          <c:xVal>
            <c:numRef>
              <c:f>Results!$B$55:$B$62</c:f>
              <c:numCache>
                <c:formatCode>#,##0</c:formatCode>
                <c:ptCount val="8"/>
                <c:pt idx="0">
                  <c:v>2</c:v>
                </c:pt>
                <c:pt idx="1">
                  <c:v>5</c:v>
                </c:pt>
                <c:pt idx="2">
                  <c:v>10</c:v>
                </c:pt>
                <c:pt idx="3">
                  <c:v>20</c:v>
                </c:pt>
                <c:pt idx="4">
                  <c:v>50</c:v>
                </c:pt>
                <c:pt idx="5">
                  <c:v>100</c:v>
                </c:pt>
                <c:pt idx="6">
                  <c:v>200</c:v>
                </c:pt>
                <c:pt idx="7">
                  <c:v>500</c:v>
                </c:pt>
              </c:numCache>
            </c:numRef>
          </c:xVal>
          <c:yVal>
            <c:numRef>
              <c:f>Results!$D$55:$D$62</c:f>
              <c:numCache>
                <c:formatCode>#,##0.00</c:formatCode>
                <c:ptCount val="8"/>
                <c:pt idx="0">
                  <c:v>8.7550647046129004</c:v>
                </c:pt>
                <c:pt idx="1">
                  <c:v>13.787833254327753</c:v>
                </c:pt>
                <c:pt idx="2">
                  <c:v>17.724246686780813</c:v>
                </c:pt>
                <c:pt idx="3">
                  <c:v>21.791752094834724</c:v>
                </c:pt>
                <c:pt idx="4">
                  <c:v>28.328703921403619</c:v>
                </c:pt>
                <c:pt idx="5">
                  <c:v>34.079861677937721</c:v>
                </c:pt>
                <c:pt idx="6">
                  <c:v>41.958101482713268</c:v>
                </c:pt>
                <c:pt idx="7">
                  <c:v>50.53988104093348</c:v>
                </c:pt>
              </c:numCache>
            </c:numRef>
          </c:yVal>
          <c:smooth val="0"/>
          <c:extLst>
            <c:ext xmlns:c16="http://schemas.microsoft.com/office/drawing/2014/chart" uri="{C3380CC4-5D6E-409C-BE32-E72D297353CC}">
              <c16:uniqueId val="{00000000-AB29-4227-89B4-E5453D5E8B2C}"/>
            </c:ext>
          </c:extLst>
        </c:ser>
        <c:ser>
          <c:idx val="1"/>
          <c:order val="1"/>
          <c:tx>
            <c:v>Peaks over threshold</c:v>
          </c:tx>
          <c:spPr>
            <a:ln w="22000">
              <a:solidFill>
                <a:srgbClr val="B45309"/>
              </a:solidFill>
              <a:prstDash val="solid"/>
            </a:ln>
          </c:spPr>
          <c:marker>
            <c:symbol val="circle"/>
            <c:size val="4"/>
            <c:spPr>
              <a:solidFill>
                <a:srgbClr val="B45309"/>
              </a:solidFill>
              <a:ln>
                <a:solidFill>
                  <a:srgbClr val="B45309"/>
                </a:solidFill>
                <a:prstDash val="solid"/>
              </a:ln>
            </c:spPr>
          </c:marker>
          <c:xVal>
            <c:numRef>
              <c:f>Results!$B$55:$B$62</c:f>
              <c:numCache>
                <c:formatCode>#,##0</c:formatCode>
                <c:ptCount val="8"/>
                <c:pt idx="0">
                  <c:v>2</c:v>
                </c:pt>
                <c:pt idx="1">
                  <c:v>5</c:v>
                </c:pt>
                <c:pt idx="2">
                  <c:v>10</c:v>
                </c:pt>
                <c:pt idx="3">
                  <c:v>20</c:v>
                </c:pt>
                <c:pt idx="4">
                  <c:v>50</c:v>
                </c:pt>
                <c:pt idx="5">
                  <c:v>100</c:v>
                </c:pt>
                <c:pt idx="6">
                  <c:v>200</c:v>
                </c:pt>
                <c:pt idx="7">
                  <c:v>500</c:v>
                </c:pt>
              </c:numCache>
            </c:numRef>
          </c:xVal>
          <c:yVal>
            <c:numRef>
              <c:f>Results!$E$55:$E$62</c:f>
              <c:numCache>
                <c:formatCode>#,##0.00</c:formatCode>
                <c:ptCount val="8"/>
                <c:pt idx="0">
                  <c:v>10.225954941041589</c:v>
                </c:pt>
                <c:pt idx="1">
                  <c:v>19.407927288114923</c:v>
                </c:pt>
                <c:pt idx="2">
                  <c:v>27.84335858429872</c:v>
                </c:pt>
                <c:pt idx="3">
                  <c:v>39.603111197263118</c:v>
                </c:pt>
                <c:pt idx="4">
                  <c:v>58.938668697432767</c:v>
                </c:pt>
                <c:pt idx="5">
                  <c:v>83.033532615704146</c:v>
                </c:pt>
                <c:pt idx="6">
                  <c:v>106.3123203766658</c:v>
                </c:pt>
                <c:pt idx="7">
                  <c:v>155.40171845495496</c:v>
                </c:pt>
              </c:numCache>
            </c:numRef>
          </c:yVal>
          <c:smooth val="0"/>
          <c:extLst>
            <c:ext xmlns:c16="http://schemas.microsoft.com/office/drawing/2014/chart" uri="{C3380CC4-5D6E-409C-BE32-E72D297353CC}">
              <c16:uniqueId val="{00000001-AB29-4227-89B4-E5453D5E8B2C}"/>
            </c:ext>
          </c:extLst>
        </c:ser>
        <c:ser>
          <c:idx val="2"/>
          <c:order val="2"/>
          <c:tx>
            <c:v>+ parameter uncertainty</c:v>
          </c:tx>
          <c:spPr>
            <a:ln w="22000">
              <a:solidFill>
                <a:srgbClr val="15803D"/>
              </a:solidFill>
              <a:prstDash val="dash"/>
            </a:ln>
          </c:spPr>
          <c:marker>
            <c:symbol val="circle"/>
            <c:size val="4"/>
            <c:spPr>
              <a:solidFill>
                <a:srgbClr val="15803D"/>
              </a:solidFill>
              <a:ln>
                <a:solidFill>
                  <a:srgbClr val="15803D"/>
                </a:solidFill>
                <a:prstDash val="solid"/>
              </a:ln>
            </c:spPr>
          </c:marker>
          <c:xVal>
            <c:numRef>
              <c:f>Results!$B$55:$B$62</c:f>
              <c:numCache>
                <c:formatCode>#,##0</c:formatCode>
                <c:ptCount val="8"/>
                <c:pt idx="0">
                  <c:v>2</c:v>
                </c:pt>
                <c:pt idx="1">
                  <c:v>5</c:v>
                </c:pt>
                <c:pt idx="2">
                  <c:v>10</c:v>
                </c:pt>
                <c:pt idx="3">
                  <c:v>20</c:v>
                </c:pt>
                <c:pt idx="4">
                  <c:v>50</c:v>
                </c:pt>
                <c:pt idx="5">
                  <c:v>100</c:v>
                </c:pt>
                <c:pt idx="6">
                  <c:v>200</c:v>
                </c:pt>
                <c:pt idx="7">
                  <c:v>500</c:v>
                </c:pt>
              </c:numCache>
            </c:numRef>
          </c:xVal>
          <c:yVal>
            <c:numRef>
              <c:f>Results!$F$55:$F$62</c:f>
              <c:numCache>
                <c:formatCode>#,##0.00</c:formatCode>
                <c:ptCount val="8"/>
                <c:pt idx="0">
                  <c:v>9.9761684586086616</c:v>
                </c:pt>
                <c:pt idx="1">
                  <c:v>19.357813908787712</c:v>
                </c:pt>
                <c:pt idx="2">
                  <c:v>27.877516334717281</c:v>
                </c:pt>
                <c:pt idx="3">
                  <c:v>39.696769817826372</c:v>
                </c:pt>
                <c:pt idx="4">
                  <c:v>59.823548567073928</c:v>
                </c:pt>
                <c:pt idx="5">
                  <c:v>82.774092814635509</c:v>
                </c:pt>
                <c:pt idx="6">
                  <c:v>112.98368687145317</c:v>
                </c:pt>
                <c:pt idx="7">
                  <c:v>194.54993089463321</c:v>
                </c:pt>
              </c:numCache>
            </c:numRef>
          </c:yVal>
          <c:smooth val="0"/>
          <c:extLst>
            <c:ext xmlns:c16="http://schemas.microsoft.com/office/drawing/2014/chart" uri="{C3380CC4-5D6E-409C-BE32-E72D297353CC}">
              <c16:uniqueId val="{00000002-AB29-4227-89B4-E5453D5E8B2C}"/>
            </c:ext>
          </c:extLst>
        </c:ser>
        <c:dLbls>
          <c:showLegendKey val="0"/>
          <c:showVal val="0"/>
          <c:showCatName val="0"/>
          <c:showSerName val="0"/>
          <c:showPercent val="0"/>
          <c:showBubbleSize val="0"/>
        </c:dLbls>
        <c:axId val="10"/>
        <c:axId val="20"/>
      </c:scatterChart>
      <c:valAx>
        <c:axId val="10"/>
        <c:scaling>
          <c:logBase val="10"/>
          <c:orientation val="minMax"/>
          <c:max val="1000"/>
          <c:min val="1"/>
        </c:scaling>
        <c:delete val="0"/>
        <c:axPos val="b"/>
        <c:title>
          <c:tx>
            <c:rich>
              <a:bodyPr/>
              <a:lstStyle/>
              <a:p>
                <a:pPr>
                  <a:defRPr/>
                </a:pPr>
                <a:r>
                  <a:rPr lang="en-US"/>
                  <a:t>Return period (years, logarithmic scale)</a:t>
                </a:r>
              </a:p>
            </c:rich>
          </c:tx>
          <c:overlay val="0"/>
        </c:title>
        <c:numFmt formatCode="#,##0" sourceLinked="0"/>
        <c:majorTickMark val="none"/>
        <c:minorTickMark val="none"/>
        <c:tickLblPos val="nextTo"/>
        <c:crossAx val="20"/>
        <c:crosses val="autoZero"/>
        <c:crossBetween val="midCat"/>
      </c:valAx>
      <c:valAx>
        <c:axId val="20"/>
        <c:scaling>
          <c:orientation val="minMax"/>
          <c:min val="0"/>
        </c:scaling>
        <c:delete val="0"/>
        <c:axPos val="l"/>
        <c:majorGridlines>
          <c:spPr>
            <a:ln>
              <a:solidFill>
                <a:srgbClr val="E4E9F0"/>
              </a:solidFill>
              <a:prstDash val="solid"/>
            </a:ln>
          </c:spPr>
        </c:majorGridlines>
        <c:title>
          <c:tx>
            <c:rich>
              <a:bodyPr/>
              <a:lstStyle/>
              <a:p>
                <a:pPr>
                  <a:defRPr/>
                </a:pPr>
                <a:r>
                  <a:rPr lang="en-US"/>
                  <a:t>US$m</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Lognormal</c:v>
          </c:tx>
          <c:spPr>
            <a:ln w="22000">
              <a:solidFill>
                <a:srgbClr val="0E4F92"/>
              </a:solidFill>
              <a:prstDash val="solid"/>
            </a:ln>
          </c:spPr>
          <c:marker>
            <c:symbol val="circle"/>
            <c:size val="4"/>
            <c:spPr>
              <a:solidFill>
                <a:srgbClr val="0E4F92"/>
              </a:solidFill>
              <a:ln>
                <a:solidFill>
                  <a:srgbClr val="0E4F92"/>
                </a:solidFill>
                <a:prstDash val="solid"/>
              </a:ln>
            </c:spPr>
          </c:marker>
          <c:xVal>
            <c:numRef>
              <c:f>Results!$B$65:$B$72</c:f>
              <c:numCache>
                <c:formatCode>#,##0</c:formatCode>
                <c:ptCount val="8"/>
                <c:pt idx="0">
                  <c:v>2</c:v>
                </c:pt>
                <c:pt idx="1">
                  <c:v>5</c:v>
                </c:pt>
                <c:pt idx="2">
                  <c:v>10</c:v>
                </c:pt>
                <c:pt idx="3">
                  <c:v>20</c:v>
                </c:pt>
                <c:pt idx="4">
                  <c:v>50</c:v>
                </c:pt>
                <c:pt idx="5">
                  <c:v>100</c:v>
                </c:pt>
                <c:pt idx="6">
                  <c:v>200</c:v>
                </c:pt>
                <c:pt idx="7">
                  <c:v>500</c:v>
                </c:pt>
              </c:numCache>
            </c:numRef>
          </c:xVal>
          <c:yVal>
            <c:numRef>
              <c:f>Results!$D$65:$D$72</c:f>
              <c:numCache>
                <c:formatCode>#,##0.00</c:formatCode>
                <c:ptCount val="8"/>
                <c:pt idx="0">
                  <c:v>28.56698616281459</c:v>
                </c:pt>
                <c:pt idx="1">
                  <c:v>43.0524627314349</c:v>
                </c:pt>
                <c:pt idx="2">
                  <c:v>51.719467240013458</c:v>
                </c:pt>
                <c:pt idx="3">
                  <c:v>60.897871069291782</c:v>
                </c:pt>
                <c:pt idx="4">
                  <c:v>71.662240055180945</c:v>
                </c:pt>
                <c:pt idx="5">
                  <c:v>78.390770543508751</c:v>
                </c:pt>
                <c:pt idx="6">
                  <c:v>85.621714433584245</c:v>
                </c:pt>
                <c:pt idx="7">
                  <c:v>98.203331301290689</c:v>
                </c:pt>
              </c:numCache>
            </c:numRef>
          </c:yVal>
          <c:smooth val="0"/>
          <c:extLst>
            <c:ext xmlns:c16="http://schemas.microsoft.com/office/drawing/2014/chart" uri="{C3380CC4-5D6E-409C-BE32-E72D297353CC}">
              <c16:uniqueId val="{00000000-E5D8-4190-8E53-70EDBCF7F742}"/>
            </c:ext>
          </c:extLst>
        </c:ser>
        <c:ser>
          <c:idx val="1"/>
          <c:order val="1"/>
          <c:tx>
            <c:v>Peaks over threshold</c:v>
          </c:tx>
          <c:spPr>
            <a:ln w="22000">
              <a:solidFill>
                <a:srgbClr val="B45309"/>
              </a:solidFill>
              <a:prstDash val="solid"/>
            </a:ln>
          </c:spPr>
          <c:marker>
            <c:symbol val="circle"/>
            <c:size val="4"/>
            <c:spPr>
              <a:solidFill>
                <a:srgbClr val="B45309"/>
              </a:solidFill>
              <a:ln>
                <a:solidFill>
                  <a:srgbClr val="B45309"/>
                </a:solidFill>
                <a:prstDash val="solid"/>
              </a:ln>
            </c:spPr>
          </c:marker>
          <c:xVal>
            <c:numRef>
              <c:f>Results!$B$65:$B$72</c:f>
              <c:numCache>
                <c:formatCode>#,##0</c:formatCode>
                <c:ptCount val="8"/>
                <c:pt idx="0">
                  <c:v>2</c:v>
                </c:pt>
                <c:pt idx="1">
                  <c:v>5</c:v>
                </c:pt>
                <c:pt idx="2">
                  <c:v>10</c:v>
                </c:pt>
                <c:pt idx="3">
                  <c:v>20</c:v>
                </c:pt>
                <c:pt idx="4">
                  <c:v>50</c:v>
                </c:pt>
                <c:pt idx="5">
                  <c:v>100</c:v>
                </c:pt>
                <c:pt idx="6">
                  <c:v>200</c:v>
                </c:pt>
                <c:pt idx="7">
                  <c:v>500</c:v>
                </c:pt>
              </c:numCache>
            </c:numRef>
          </c:xVal>
          <c:yVal>
            <c:numRef>
              <c:f>Results!$E$65:$E$72</c:f>
              <c:numCache>
                <c:formatCode>#,##0.00</c:formatCode>
                <c:ptCount val="8"/>
                <c:pt idx="0">
                  <c:v>28.995491771704959</c:v>
                </c:pt>
                <c:pt idx="1">
                  <c:v>47.719678710848335</c:v>
                </c:pt>
                <c:pt idx="2">
                  <c:v>62.134303433319161</c:v>
                </c:pt>
                <c:pt idx="3">
                  <c:v>77.125263414513952</c:v>
                </c:pt>
                <c:pt idx="4">
                  <c:v>101.73618057000699</c:v>
                </c:pt>
                <c:pt idx="5">
                  <c:v>121.3090627237566</c:v>
                </c:pt>
                <c:pt idx="6">
                  <c:v>149.31362796734987</c:v>
                </c:pt>
                <c:pt idx="7">
                  <c:v>194.33919536568604</c:v>
                </c:pt>
              </c:numCache>
            </c:numRef>
          </c:yVal>
          <c:smooth val="0"/>
          <c:extLst>
            <c:ext xmlns:c16="http://schemas.microsoft.com/office/drawing/2014/chart" uri="{C3380CC4-5D6E-409C-BE32-E72D297353CC}">
              <c16:uniqueId val="{00000001-E5D8-4190-8E53-70EDBCF7F742}"/>
            </c:ext>
          </c:extLst>
        </c:ser>
        <c:ser>
          <c:idx val="2"/>
          <c:order val="2"/>
          <c:tx>
            <c:v>+ parameter uncertainty</c:v>
          </c:tx>
          <c:spPr>
            <a:ln w="22000">
              <a:solidFill>
                <a:srgbClr val="15803D"/>
              </a:solidFill>
              <a:prstDash val="dash"/>
            </a:ln>
          </c:spPr>
          <c:marker>
            <c:symbol val="circle"/>
            <c:size val="4"/>
            <c:spPr>
              <a:solidFill>
                <a:srgbClr val="15803D"/>
              </a:solidFill>
              <a:ln>
                <a:solidFill>
                  <a:srgbClr val="15803D"/>
                </a:solidFill>
                <a:prstDash val="solid"/>
              </a:ln>
            </c:spPr>
          </c:marker>
          <c:xVal>
            <c:numRef>
              <c:f>Results!$B$65:$B$72</c:f>
              <c:numCache>
                <c:formatCode>#,##0</c:formatCode>
                <c:ptCount val="8"/>
                <c:pt idx="0">
                  <c:v>2</c:v>
                </c:pt>
                <c:pt idx="1">
                  <c:v>5</c:v>
                </c:pt>
                <c:pt idx="2">
                  <c:v>10</c:v>
                </c:pt>
                <c:pt idx="3">
                  <c:v>20</c:v>
                </c:pt>
                <c:pt idx="4">
                  <c:v>50</c:v>
                </c:pt>
                <c:pt idx="5">
                  <c:v>100</c:v>
                </c:pt>
                <c:pt idx="6">
                  <c:v>200</c:v>
                </c:pt>
                <c:pt idx="7">
                  <c:v>500</c:v>
                </c:pt>
              </c:numCache>
            </c:numRef>
          </c:xVal>
          <c:yVal>
            <c:numRef>
              <c:f>Results!$F$65:$F$72</c:f>
              <c:numCache>
                <c:formatCode>#,##0.00</c:formatCode>
                <c:ptCount val="8"/>
                <c:pt idx="0">
                  <c:v>29.002828187088031</c:v>
                </c:pt>
                <c:pt idx="1">
                  <c:v>48.127879412793334</c:v>
                </c:pt>
                <c:pt idx="2">
                  <c:v>63.378336924162497</c:v>
                </c:pt>
                <c:pt idx="3">
                  <c:v>78.440766888252099</c:v>
                </c:pt>
                <c:pt idx="4">
                  <c:v>104.21808701752573</c:v>
                </c:pt>
                <c:pt idx="5">
                  <c:v>125.10497267383136</c:v>
                </c:pt>
                <c:pt idx="6">
                  <c:v>161.13093077082559</c:v>
                </c:pt>
                <c:pt idx="7">
                  <c:v>256.60865975333479</c:v>
                </c:pt>
              </c:numCache>
            </c:numRef>
          </c:yVal>
          <c:smooth val="0"/>
          <c:extLst>
            <c:ext xmlns:c16="http://schemas.microsoft.com/office/drawing/2014/chart" uri="{C3380CC4-5D6E-409C-BE32-E72D297353CC}">
              <c16:uniqueId val="{00000002-E5D8-4190-8E53-70EDBCF7F742}"/>
            </c:ext>
          </c:extLst>
        </c:ser>
        <c:dLbls>
          <c:showLegendKey val="0"/>
          <c:showVal val="0"/>
          <c:showCatName val="0"/>
          <c:showSerName val="0"/>
          <c:showPercent val="0"/>
          <c:showBubbleSize val="0"/>
        </c:dLbls>
        <c:axId val="10"/>
        <c:axId val="20"/>
      </c:scatterChart>
      <c:valAx>
        <c:axId val="10"/>
        <c:scaling>
          <c:logBase val="10"/>
          <c:orientation val="minMax"/>
          <c:max val="1000"/>
          <c:min val="1"/>
        </c:scaling>
        <c:delete val="0"/>
        <c:axPos val="b"/>
        <c:title>
          <c:tx>
            <c:rich>
              <a:bodyPr/>
              <a:lstStyle/>
              <a:p>
                <a:pPr>
                  <a:defRPr/>
                </a:pPr>
                <a:r>
                  <a:rPr lang="en-US"/>
                  <a:t>Return period (years, logarithmic scale)</a:t>
                </a:r>
              </a:p>
            </c:rich>
          </c:tx>
          <c:overlay val="0"/>
        </c:title>
        <c:numFmt formatCode="#,##0" sourceLinked="0"/>
        <c:majorTickMark val="none"/>
        <c:minorTickMark val="none"/>
        <c:tickLblPos val="nextTo"/>
        <c:crossAx val="20"/>
        <c:crosses val="autoZero"/>
        <c:crossBetween val="midCat"/>
      </c:valAx>
      <c:valAx>
        <c:axId val="20"/>
        <c:scaling>
          <c:orientation val="minMax"/>
          <c:min val="0"/>
        </c:scaling>
        <c:delete val="0"/>
        <c:axPos val="l"/>
        <c:majorGridlines>
          <c:spPr>
            <a:ln>
              <a:solidFill>
                <a:srgbClr val="E4E9F0"/>
              </a:solidFill>
              <a:prstDash val="solid"/>
            </a:ln>
          </c:spPr>
        </c:majorGridlines>
        <c:title>
          <c:tx>
            <c:rich>
              <a:bodyPr/>
              <a:lstStyle/>
              <a:p>
                <a:pPr>
                  <a:defRPr/>
                </a:pPr>
                <a:r>
                  <a:rPr lang="en-US"/>
                  <a:t>US$m</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16</xdr:row>
      <xdr:rowOff>0</xdr:rowOff>
    </xdr:from>
    <xdr:ext cx="3816000" cy="2015999"/>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664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81"/>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5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73" t="s">
        <v>20</v>
      </c>
      <c r="C16" s="74"/>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x14ac:dyDescent="0.45">
      <c r="B29" s="9" t="s">
        <v>25</v>
      </c>
      <c r="C29" s="10" t="s">
        <v>26</v>
      </c>
    </row>
    <row r="30" spans="2:3" ht="39.4" x14ac:dyDescent="0.45">
      <c r="B30" s="9" t="s">
        <v>27</v>
      </c>
      <c r="C30" s="10" t="s">
        <v>28</v>
      </c>
    </row>
    <row r="31" spans="2:3" ht="26.25" x14ac:dyDescent="0.45">
      <c r="B31" s="9" t="s">
        <v>29</v>
      </c>
      <c r="C31" s="10" t="s">
        <v>30</v>
      </c>
    </row>
    <row r="32" spans="2:3" ht="26.25" x14ac:dyDescent="0.45">
      <c r="B32" s="9" t="s">
        <v>31</v>
      </c>
      <c r="C32" s="10" t="s">
        <v>32</v>
      </c>
    </row>
    <row r="33" spans="2:3" ht="12" customHeight="1" x14ac:dyDescent="0.45"/>
    <row r="34" spans="2:3" ht="22.05" customHeight="1" x14ac:dyDescent="0.5">
      <c r="B34" s="7" t="s">
        <v>33</v>
      </c>
      <c r="C34" s="8"/>
    </row>
    <row r="35" spans="2:3" x14ac:dyDescent="0.45">
      <c r="B35" s="9" t="s">
        <v>34</v>
      </c>
      <c r="C35" s="10" t="s">
        <v>35</v>
      </c>
    </row>
    <row r="36" spans="2:3" x14ac:dyDescent="0.45">
      <c r="B36" s="9" t="s">
        <v>36</v>
      </c>
      <c r="C36" s="10" t="s">
        <v>37</v>
      </c>
    </row>
    <row r="37" spans="2:3" x14ac:dyDescent="0.45">
      <c r="B37" s="9" t="s">
        <v>38</v>
      </c>
      <c r="C37" s="10" t="s">
        <v>39</v>
      </c>
    </row>
    <row r="38" spans="2:3" x14ac:dyDescent="0.45">
      <c r="B38" s="9" t="s">
        <v>40</v>
      </c>
      <c r="C38" s="10" t="s">
        <v>41</v>
      </c>
    </row>
    <row r="39" spans="2:3" ht="12" customHeight="1" x14ac:dyDescent="0.45"/>
    <row r="40" spans="2:3" ht="22.05" customHeight="1" x14ac:dyDescent="0.5">
      <c r="B40" s="7" t="s">
        <v>42</v>
      </c>
      <c r="C40" s="8"/>
    </row>
    <row r="41" spans="2:3" x14ac:dyDescent="0.45">
      <c r="B41" s="14" t="s">
        <v>43</v>
      </c>
      <c r="C41" s="10" t="s">
        <v>44</v>
      </c>
    </row>
    <row r="42" spans="2:3" x14ac:dyDescent="0.45">
      <c r="B42" s="14" t="s">
        <v>45</v>
      </c>
      <c r="C42" s="10" t="s">
        <v>46</v>
      </c>
    </row>
    <row r="43" spans="2:3" x14ac:dyDescent="0.45">
      <c r="B43" s="14" t="s">
        <v>47</v>
      </c>
      <c r="C43" s="10" t="s">
        <v>48</v>
      </c>
    </row>
    <row r="44" spans="2:3" x14ac:dyDescent="0.45">
      <c r="B44" s="14" t="s">
        <v>49</v>
      </c>
      <c r="C44" s="10" t="s">
        <v>50</v>
      </c>
    </row>
    <row r="45" spans="2:3" x14ac:dyDescent="0.45">
      <c r="B45" s="14" t="s">
        <v>51</v>
      </c>
      <c r="C45" s="10" t="s">
        <v>52</v>
      </c>
    </row>
    <row r="46" spans="2:3" ht="12" customHeight="1" x14ac:dyDescent="0.45"/>
    <row r="47" spans="2:3" ht="22.05" customHeight="1" x14ac:dyDescent="0.5">
      <c r="B47" s="7" t="s">
        <v>53</v>
      </c>
      <c r="C47" s="8"/>
    </row>
    <row r="48" spans="2:3" x14ac:dyDescent="0.45">
      <c r="B48" s="15" t="s">
        <v>54</v>
      </c>
      <c r="C48" s="12" t="s">
        <v>55</v>
      </c>
    </row>
    <row r="49" spans="2:3" x14ac:dyDescent="0.45">
      <c r="B49" s="16" t="s">
        <v>56</v>
      </c>
      <c r="C49" s="12" t="s">
        <v>57</v>
      </c>
    </row>
    <row r="50" spans="2:3" x14ac:dyDescent="0.45">
      <c r="B50" s="17" t="s">
        <v>58</v>
      </c>
      <c r="C50" s="12" t="s">
        <v>59</v>
      </c>
    </row>
    <row r="51" spans="2:3" x14ac:dyDescent="0.45">
      <c r="B51" s="18" t="s">
        <v>60</v>
      </c>
      <c r="C51" s="12" t="s">
        <v>61</v>
      </c>
    </row>
    <row r="52" spans="2:3" x14ac:dyDescent="0.45">
      <c r="B52" s="19" t="s">
        <v>62</v>
      </c>
      <c r="C52" s="12" t="s">
        <v>63</v>
      </c>
    </row>
    <row r="53" spans="2:3" ht="12" customHeight="1" x14ac:dyDescent="0.45"/>
    <row r="54" spans="2:3" ht="22.05" customHeight="1" x14ac:dyDescent="0.5">
      <c r="B54" s="7" t="s">
        <v>64</v>
      </c>
      <c r="C54" s="8"/>
    </row>
    <row r="55" spans="2:3" x14ac:dyDescent="0.45">
      <c r="B55" s="9" t="s">
        <v>65</v>
      </c>
      <c r="C55" s="10" t="s">
        <v>66</v>
      </c>
    </row>
    <row r="56" spans="2:3" x14ac:dyDescent="0.45">
      <c r="B56" s="9" t="s">
        <v>67</v>
      </c>
      <c r="C56" s="10" t="s">
        <v>68</v>
      </c>
    </row>
    <row r="57" spans="2:3" x14ac:dyDescent="0.45">
      <c r="B57" s="9" t="s">
        <v>69</v>
      </c>
      <c r="C57" s="10" t="s">
        <v>70</v>
      </c>
    </row>
    <row r="58" spans="2:3" x14ac:dyDescent="0.45">
      <c r="B58" s="9" t="s">
        <v>71</v>
      </c>
      <c r="C58" s="10" t="s">
        <v>72</v>
      </c>
    </row>
    <row r="59" spans="2:3" x14ac:dyDescent="0.45">
      <c r="B59" s="9" t="s">
        <v>73</v>
      </c>
      <c r="C59" s="10" t="s">
        <v>74</v>
      </c>
    </row>
    <row r="60" spans="2:3" ht="12" customHeight="1" x14ac:dyDescent="0.45"/>
    <row r="61" spans="2:3" ht="22.05" customHeight="1" x14ac:dyDescent="0.5">
      <c r="B61" s="7" t="s">
        <v>75</v>
      </c>
      <c r="C61" s="8"/>
    </row>
    <row r="62" spans="2:3" x14ac:dyDescent="0.45">
      <c r="B62" s="9" t="s">
        <v>76</v>
      </c>
      <c r="C62" s="10" t="s">
        <v>77</v>
      </c>
    </row>
    <row r="63" spans="2:3" x14ac:dyDescent="0.45">
      <c r="B63" s="9" t="s">
        <v>45</v>
      </c>
      <c r="C63" s="10" t="s">
        <v>78</v>
      </c>
    </row>
    <row r="64" spans="2:3" x14ac:dyDescent="0.45">
      <c r="B64" s="9" t="s">
        <v>47</v>
      </c>
      <c r="C64" s="10" t="s">
        <v>79</v>
      </c>
    </row>
    <row r="65" spans="2:3" x14ac:dyDescent="0.45">
      <c r="B65" s="9" t="s">
        <v>80</v>
      </c>
      <c r="C65" s="10" t="s">
        <v>81</v>
      </c>
    </row>
    <row r="66" spans="2:3" ht="12" customHeight="1" x14ac:dyDescent="0.45"/>
    <row r="67" spans="2:3" ht="22.05" customHeight="1" x14ac:dyDescent="0.5">
      <c r="B67" s="7" t="s">
        <v>82</v>
      </c>
      <c r="C67" s="8"/>
    </row>
    <row r="68" spans="2:3" ht="26.25" x14ac:dyDescent="0.45">
      <c r="B68" s="20" t="s">
        <v>83</v>
      </c>
      <c r="C68" s="10" t="s">
        <v>84</v>
      </c>
    </row>
    <row r="69" spans="2:3" x14ac:dyDescent="0.45">
      <c r="B69" s="20" t="s">
        <v>85</v>
      </c>
      <c r="C69" s="10" t="s">
        <v>86</v>
      </c>
    </row>
    <row r="70" spans="2:3" x14ac:dyDescent="0.45">
      <c r="B70" s="20" t="s">
        <v>87</v>
      </c>
      <c r="C70" s="10" t="s">
        <v>88</v>
      </c>
    </row>
    <row r="71" spans="2:3" x14ac:dyDescent="0.45">
      <c r="B71" s="20" t="s">
        <v>89</v>
      </c>
      <c r="C71" s="10" t="s">
        <v>90</v>
      </c>
    </row>
    <row r="72" spans="2:3" x14ac:dyDescent="0.45">
      <c r="B72" s="20" t="s">
        <v>91</v>
      </c>
      <c r="C72" s="10" t="s">
        <v>92</v>
      </c>
    </row>
    <row r="73" spans="2:3" ht="26.25" x14ac:dyDescent="0.45">
      <c r="B73" s="20" t="s">
        <v>93</v>
      </c>
      <c r="C73" s="10" t="s">
        <v>94</v>
      </c>
    </row>
    <row r="74" spans="2:3" ht="26.25" x14ac:dyDescent="0.45">
      <c r="B74" s="20" t="s">
        <v>95</v>
      </c>
      <c r="C74" s="10" t="s">
        <v>96</v>
      </c>
    </row>
    <row r="75" spans="2:3" ht="12" customHeight="1" x14ac:dyDescent="0.45"/>
    <row r="76" spans="2:3" ht="22.05" customHeight="1" x14ac:dyDescent="0.5">
      <c r="B76" s="7" t="s">
        <v>97</v>
      </c>
      <c r="C76" s="8"/>
    </row>
    <row r="77" spans="2:3" x14ac:dyDescent="0.45">
      <c r="B77" s="9" t="s">
        <v>98</v>
      </c>
      <c r="C77" s="10" t="s">
        <v>99</v>
      </c>
    </row>
    <row r="78" spans="2:3" x14ac:dyDescent="0.45">
      <c r="B78" s="9" t="s">
        <v>100</v>
      </c>
      <c r="C78" s="10" t="s">
        <v>101</v>
      </c>
    </row>
    <row r="79" spans="2:3" x14ac:dyDescent="0.45">
      <c r="B79" s="9" t="s">
        <v>102</v>
      </c>
      <c r="C79" s="10" t="s">
        <v>103</v>
      </c>
    </row>
    <row r="80" spans="2:3" ht="16.05" customHeight="1" x14ac:dyDescent="0.45"/>
    <row r="81" spans="2:3" x14ac:dyDescent="0.45">
      <c r="B81" s="75" t="s">
        <v>104</v>
      </c>
      <c r="C81" s="74"/>
    </row>
  </sheetData>
  <mergeCells count="2">
    <mergeCell ref="B16:C16"/>
    <mergeCell ref="B81:C81"/>
  </mergeCells>
  <hyperlinks>
    <hyperlink ref="D4" location="'Inputs'!A1" display="Next:  Inputs  ▸" xr:uid="{00000000-0004-0000-0000-000000000000}"/>
    <hyperlink ref="B41" location="'Inputs'!A1" display="Inputs" xr:uid="{00000000-0004-0000-0000-000001000000}"/>
    <hyperlink ref="B42" location="'Data'!A1" display="Data" xr:uid="{00000000-0004-0000-0000-000002000000}"/>
    <hyperlink ref="B43" location="'Tail'!A1" display="Tail" xr:uid="{00000000-0004-0000-0000-000003000000}"/>
    <hyperlink ref="B44" location="'Year'!A1" display="Year" xr:uid="{00000000-0004-0000-0000-000004000000}"/>
    <hyperlink ref="B45" location="'Results'!A1" display="Results" xr:uid="{00000000-0004-0000-0000-000005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3"/>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105</v>
      </c>
      <c r="C3" s="1"/>
      <c r="D3" s="1"/>
      <c r="E3" s="1"/>
      <c r="F3" s="1"/>
      <c r="G3" s="1"/>
      <c r="H3" s="1"/>
      <c r="I3" s="1"/>
      <c r="J3" s="1"/>
    </row>
    <row r="4" spans="1:10" ht="20" customHeight="1" x14ac:dyDescent="0.45">
      <c r="A4" s="5"/>
      <c r="B4" s="22" t="s">
        <v>106</v>
      </c>
      <c r="C4" s="5"/>
      <c r="D4" s="5"/>
      <c r="E4" s="5"/>
      <c r="F4" s="5"/>
      <c r="G4" s="5"/>
      <c r="H4" s="5"/>
      <c r="I4" s="5"/>
      <c r="J4" s="6" t="s">
        <v>107</v>
      </c>
    </row>
    <row r="5" spans="1:10" ht="8" customHeight="1" x14ac:dyDescent="0.45"/>
    <row r="6" spans="1:10" ht="20" customHeight="1" x14ac:dyDescent="0.45">
      <c r="B6" s="76" t="s">
        <v>108</v>
      </c>
      <c r="C6" s="74"/>
      <c r="D6" s="74"/>
      <c r="E6" s="74"/>
      <c r="F6" s="74"/>
      <c r="G6" s="74"/>
      <c r="H6" s="74"/>
      <c r="I6" s="74"/>
      <c r="J6" s="74"/>
    </row>
    <row r="7" spans="1:10" ht="6" customHeight="1" x14ac:dyDescent="0.45"/>
    <row r="8" spans="1:10" ht="22.05" customHeight="1" x14ac:dyDescent="0.5">
      <c r="B8" s="7" t="s">
        <v>109</v>
      </c>
      <c r="C8" s="8"/>
      <c r="D8" s="8"/>
      <c r="E8" s="8"/>
      <c r="F8" s="8"/>
      <c r="G8" s="8"/>
      <c r="H8" s="8"/>
      <c r="I8" s="8"/>
      <c r="J8" s="8"/>
    </row>
    <row r="9" spans="1:10" ht="18" customHeight="1" x14ac:dyDescent="0.45">
      <c r="B9" s="13" t="s">
        <v>110</v>
      </c>
    </row>
    <row r="10" spans="1:10" ht="18" customHeight="1" x14ac:dyDescent="0.45">
      <c r="B10" s="23" t="s">
        <v>111</v>
      </c>
      <c r="C10" s="23" t="s">
        <v>112</v>
      </c>
      <c r="D10" s="24" t="s">
        <v>113</v>
      </c>
      <c r="E10" s="23" t="s">
        <v>114</v>
      </c>
      <c r="F10" s="5"/>
      <c r="G10" s="5"/>
      <c r="H10" s="5"/>
      <c r="I10" s="5"/>
      <c r="J10" s="23" t="s">
        <v>115</v>
      </c>
    </row>
    <row r="11" spans="1:10" x14ac:dyDescent="0.45">
      <c r="B11" s="25" t="s">
        <v>116</v>
      </c>
      <c r="C11" s="26" t="s">
        <v>117</v>
      </c>
      <c r="D11" s="27">
        <v>5</v>
      </c>
      <c r="E11" s="26" t="s">
        <v>118</v>
      </c>
      <c r="F11" s="28"/>
      <c r="G11" s="28"/>
      <c r="H11" s="28"/>
      <c r="I11" s="28"/>
      <c r="J11" s="29" t="s">
        <v>119</v>
      </c>
    </row>
    <row r="12" spans="1:10" x14ac:dyDescent="0.45">
      <c r="B12" s="25" t="s">
        <v>120</v>
      </c>
      <c r="C12" s="26" t="s">
        <v>117</v>
      </c>
      <c r="D12" s="27">
        <v>1</v>
      </c>
      <c r="E12" s="26" t="s">
        <v>118</v>
      </c>
      <c r="F12" s="28"/>
      <c r="G12" s="28"/>
      <c r="H12" s="28"/>
      <c r="I12" s="28"/>
      <c r="J12" s="29" t="s">
        <v>121</v>
      </c>
    </row>
    <row r="13" spans="1:10" ht="8" customHeight="1" x14ac:dyDescent="0.45"/>
  </sheetData>
  <mergeCells count="1">
    <mergeCell ref="B6:J6"/>
  </mergeCells>
  <dataValidations count="1">
    <dataValidation type="decimal" operator="greaterThan" showErrorMessage="1" errorTitle="Positive value" error="Enter a value greater than zero." sqref="D11:D12" xr:uid="{00000000-0002-0000-0100-000000000000}">
      <formula1>0</formula1>
    </dataValidation>
  </dataValidations>
  <hyperlinks>
    <hyperlink ref="B4" location="'About'!A1" display="◂  About" xr:uid="{00000000-0004-0000-0100-000000000000}"/>
    <hyperlink ref="J4" location="'Data'!A1" display="Next:  Data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0A800"/>
    <pageSetUpPr fitToPage="1"/>
  </sheetPr>
  <dimension ref="A1:J198"/>
  <sheetViews>
    <sheetView showGridLines="0" workbookViewId="0"/>
  </sheetViews>
  <sheetFormatPr defaultRowHeight="14.25" x14ac:dyDescent="0.45"/>
  <cols>
    <col min="1" max="1" width="2" customWidth="1"/>
    <col min="2" max="3" width="9" customWidth="1"/>
    <col min="4" max="4" width="13" customWidth="1"/>
    <col min="5" max="5" width="4" customWidth="1"/>
    <col min="6" max="6" width="9" customWidth="1"/>
    <col min="7" max="7" width="10" customWidth="1"/>
    <col min="8" max="8" width="16" customWidth="1"/>
    <col min="9" max="10" width="12"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122</v>
      </c>
      <c r="C3" s="1"/>
      <c r="D3" s="1"/>
      <c r="E3" s="1"/>
      <c r="F3" s="1"/>
      <c r="G3" s="1"/>
      <c r="H3" s="1"/>
      <c r="I3" s="1"/>
      <c r="J3" s="1"/>
    </row>
    <row r="4" spans="1:10" ht="20" customHeight="1" x14ac:dyDescent="0.45">
      <c r="A4" s="5"/>
      <c r="B4" s="22" t="s">
        <v>123</v>
      </c>
      <c r="C4" s="5"/>
      <c r="D4" s="5"/>
      <c r="E4" s="5"/>
      <c r="F4" s="5"/>
      <c r="G4" s="5"/>
      <c r="H4" s="5"/>
      <c r="I4" s="5"/>
      <c r="J4" s="6" t="s">
        <v>124</v>
      </c>
    </row>
    <row r="5" spans="1:10" ht="8" customHeight="1" x14ac:dyDescent="0.45"/>
    <row r="6" spans="1:10" ht="22.05" customHeight="1" x14ac:dyDescent="0.5">
      <c r="B6" s="7" t="s">
        <v>125</v>
      </c>
      <c r="C6" s="8"/>
      <c r="D6" s="8"/>
      <c r="F6" s="7" t="s">
        <v>126</v>
      </c>
      <c r="G6" s="8"/>
      <c r="H6" s="8"/>
      <c r="I6" s="8"/>
      <c r="J6" s="8"/>
    </row>
    <row r="7" spans="1:10" ht="18" customHeight="1" x14ac:dyDescent="0.45">
      <c r="B7" s="13" t="s">
        <v>127</v>
      </c>
      <c r="F7" s="13" t="s">
        <v>128</v>
      </c>
    </row>
    <row r="8" spans="1:10" ht="18" customHeight="1" x14ac:dyDescent="0.45">
      <c r="B8" s="30" t="s">
        <v>67</v>
      </c>
      <c r="C8" s="30" t="s">
        <v>49</v>
      </c>
      <c r="D8" s="30" t="s">
        <v>129</v>
      </c>
      <c r="F8" s="30" t="s">
        <v>49</v>
      </c>
      <c r="G8" s="30" t="s">
        <v>76</v>
      </c>
      <c r="H8" s="30" t="s">
        <v>130</v>
      </c>
      <c r="I8" s="30" t="s">
        <v>131</v>
      </c>
      <c r="J8" s="30" t="s">
        <v>132</v>
      </c>
    </row>
    <row r="9" spans="1:10" x14ac:dyDescent="0.45">
      <c r="B9" s="31"/>
      <c r="C9" s="31"/>
      <c r="D9" s="31" t="s">
        <v>117</v>
      </c>
      <c r="F9" s="31"/>
      <c r="G9" s="31"/>
      <c r="H9" s="31"/>
      <c r="I9" s="31" t="s">
        <v>117</v>
      </c>
      <c r="J9" s="31" t="s">
        <v>117</v>
      </c>
    </row>
    <row r="10" spans="1:10" x14ac:dyDescent="0.45">
      <c r="B10" s="32">
        <v>1</v>
      </c>
      <c r="C10" s="33">
        <v>2001</v>
      </c>
      <c r="D10" s="34">
        <v>1.39</v>
      </c>
      <c r="F10" s="35" t="s">
        <v>133</v>
      </c>
      <c r="G10" s="36">
        <f>SUM(G11:G50)</f>
        <v>189</v>
      </c>
      <c r="H10" s="36">
        <f>SUM(H11:H50)</f>
        <v>43</v>
      </c>
      <c r="I10" s="37">
        <f>MAX(I11:I50)</f>
        <v>50.96</v>
      </c>
      <c r="J10" s="37">
        <f>SUM(J11:J50)</f>
        <v>865.06999999999982</v>
      </c>
    </row>
    <row r="11" spans="1:10" x14ac:dyDescent="0.45">
      <c r="B11" s="32">
        <v>2</v>
      </c>
      <c r="C11" s="33">
        <v>2001</v>
      </c>
      <c r="D11" s="34">
        <v>1.99</v>
      </c>
      <c r="F11" s="38">
        <f>MIN(EventYear)</f>
        <v>2001</v>
      </c>
      <c r="G11" s="39" cm="1">
        <f t="array" ref="G11">IF(F11="","",COUNTIF(EventYear,F11))</f>
        <v>6</v>
      </c>
      <c r="H11" s="39" cm="1">
        <f t="array" ref="H11">IF(F11="","",COUNTIFS(EventYear,F11,Losses,"&gt;"&amp;Threshold))</f>
        <v>0</v>
      </c>
      <c r="I11" s="40" cm="1">
        <f t="array" ref="I11">IF(F11="","",_xlfn.MAXIFS(Losses,EventYear,F11))</f>
        <v>4.47</v>
      </c>
      <c r="J11" s="40" cm="1">
        <f t="array" ref="J11">IF(F11="","",SUMIFS(Losses,EventYear,F11))</f>
        <v>11.79</v>
      </c>
    </row>
    <row r="12" spans="1:10" x14ac:dyDescent="0.45">
      <c r="B12" s="32">
        <v>3</v>
      </c>
      <c r="C12" s="33">
        <v>2001</v>
      </c>
      <c r="D12" s="34">
        <v>1.02</v>
      </c>
      <c r="F12" s="38">
        <f>IF(N(F11)=0,"",IF(F11&lt;MAX(EventYear),F11+1,""))</f>
        <v>2002</v>
      </c>
      <c r="G12" s="39" cm="1">
        <f t="array" ref="G12">IF(F12="","",COUNTIF(EventYear,F12))</f>
        <v>7</v>
      </c>
      <c r="H12" s="39" cm="1">
        <f t="array" ref="H12">IF(F12="","",COUNTIFS(EventYear,F12,Losses,"&gt;"&amp;Threshold))</f>
        <v>0</v>
      </c>
      <c r="I12" s="40" cm="1">
        <f t="array" ref="I12">IF(F12="","",_xlfn.MAXIFS(Losses,EventYear,F12))</f>
        <v>4.01</v>
      </c>
      <c r="J12" s="40" cm="1">
        <f t="array" ref="J12">IF(F12="","",SUMIFS(Losses,EventYear,F12))</f>
        <v>20.03</v>
      </c>
    </row>
    <row r="13" spans="1:10" x14ac:dyDescent="0.45">
      <c r="B13" s="32">
        <v>4</v>
      </c>
      <c r="C13" s="33">
        <v>2001</v>
      </c>
      <c r="D13" s="34">
        <v>1.63</v>
      </c>
      <c r="F13" s="38">
        <f>IF(N(F12)=0,"",IF(F12&lt;MAX(EventYear),F12+1,""))</f>
        <v>2003</v>
      </c>
      <c r="G13" s="39" cm="1">
        <f t="array" ref="G13">IF(F13="","",COUNTIF(EventYear,F13))</f>
        <v>8</v>
      </c>
      <c r="H13" s="39" cm="1">
        <f t="array" ref="H13">IF(F13="","",COUNTIFS(EventYear,F13,Losses,"&gt;"&amp;Threshold))</f>
        <v>0</v>
      </c>
      <c r="I13" s="40" cm="1">
        <f t="array" ref="I13">IF(F13="","",_xlfn.MAXIFS(Losses,EventYear,F13))</f>
        <v>3.41</v>
      </c>
      <c r="J13" s="40" cm="1">
        <f t="array" ref="J13">IF(F13="","",SUMIFS(Losses,EventYear,F13))</f>
        <v>14.959999999999997</v>
      </c>
    </row>
    <row r="14" spans="1:10" x14ac:dyDescent="0.45">
      <c r="B14" s="32">
        <v>5</v>
      </c>
      <c r="C14" s="33">
        <v>2001</v>
      </c>
      <c r="D14" s="34">
        <v>1.29</v>
      </c>
      <c r="F14" s="38">
        <f>IF(N(F13)=0,"",IF(F13&lt;MAX(EventYear),F13+1,""))</f>
        <v>2004</v>
      </c>
      <c r="G14" s="39" cm="1">
        <f t="array" ref="G14">IF(F14="","",COUNTIF(EventYear,F14))</f>
        <v>9</v>
      </c>
      <c r="H14" s="39" cm="1">
        <f t="array" ref="H14">IF(F14="","",COUNTIFS(EventYear,F14,Losses,"&gt;"&amp;Threshold))</f>
        <v>2</v>
      </c>
      <c r="I14" s="40" cm="1">
        <f t="array" ref="I14">IF(F14="","",_xlfn.MAXIFS(Losses,EventYear,F14))</f>
        <v>16.28</v>
      </c>
      <c r="J14" s="40" cm="1">
        <f t="array" ref="J14">IF(F14="","",SUMIFS(Losses,EventYear,F14))</f>
        <v>38.890000000000008</v>
      </c>
    </row>
    <row r="15" spans="1:10" x14ac:dyDescent="0.45">
      <c r="B15" s="32">
        <v>6</v>
      </c>
      <c r="C15" s="33">
        <v>2001</v>
      </c>
      <c r="D15" s="34">
        <v>4.47</v>
      </c>
      <c r="F15" s="38">
        <f>IF(N(F14)=0,"",IF(F14&lt;MAX(EventYear),F14+1,""))</f>
        <v>2005</v>
      </c>
      <c r="G15" s="39" cm="1">
        <f t="array" ref="G15">IF(F15="","",COUNTIF(EventYear,F15))</f>
        <v>1</v>
      </c>
      <c r="H15" s="39" cm="1">
        <f t="array" ref="H15">IF(F15="","",COUNTIFS(EventYear,F15,Losses,"&gt;"&amp;Threshold))</f>
        <v>0</v>
      </c>
      <c r="I15" s="40" cm="1">
        <f t="array" ref="I15">IF(F15="","",_xlfn.MAXIFS(Losses,EventYear,F15))</f>
        <v>1.71</v>
      </c>
      <c r="J15" s="40" cm="1">
        <f t="array" ref="J15">IF(F15="","",SUMIFS(Losses,EventYear,F15))</f>
        <v>1.71</v>
      </c>
    </row>
    <row r="16" spans="1:10" x14ac:dyDescent="0.45">
      <c r="B16" s="32">
        <v>7</v>
      </c>
      <c r="C16" s="33">
        <v>2002</v>
      </c>
      <c r="D16" s="34">
        <v>3.2</v>
      </c>
      <c r="F16" s="38">
        <f>IF(N(F15)=0,"",IF(F15&lt;MAX(EventYear),F15+1,""))</f>
        <v>2006</v>
      </c>
      <c r="G16" s="39" cm="1">
        <f t="array" ref="G16">IF(F16="","",COUNTIF(EventYear,F16))</f>
        <v>8</v>
      </c>
      <c r="H16" s="39" cm="1">
        <f t="array" ref="H16">IF(F16="","",COUNTIFS(EventYear,F16,Losses,"&gt;"&amp;Threshold))</f>
        <v>3</v>
      </c>
      <c r="I16" s="40" cm="1">
        <f t="array" ref="I16">IF(F16="","",_xlfn.MAXIFS(Losses,EventYear,F16))</f>
        <v>43.03</v>
      </c>
      <c r="J16" s="40" cm="1">
        <f t="array" ref="J16">IF(F16="","",SUMIFS(Losses,EventYear,F16))</f>
        <v>98.68</v>
      </c>
    </row>
    <row r="17" spans="2:10" x14ac:dyDescent="0.45">
      <c r="B17" s="32">
        <v>8</v>
      </c>
      <c r="C17" s="33">
        <v>2002</v>
      </c>
      <c r="D17" s="34">
        <v>2.12</v>
      </c>
      <c r="F17" s="38">
        <f>IF(N(F16)=0,"",IF(F16&lt;MAX(EventYear),F16+1,""))</f>
        <v>2007</v>
      </c>
      <c r="G17" s="39" cm="1">
        <f t="array" ref="G17">IF(F17="","",COUNTIF(EventYear,F17))</f>
        <v>5</v>
      </c>
      <c r="H17" s="39" cm="1">
        <f t="array" ref="H17">IF(F17="","",COUNTIFS(EventYear,F17,Losses,"&gt;"&amp;Threshold))</f>
        <v>2</v>
      </c>
      <c r="I17" s="40" cm="1">
        <f t="array" ref="I17">IF(F17="","",_xlfn.MAXIFS(Losses,EventYear,F17))</f>
        <v>8.51</v>
      </c>
      <c r="J17" s="40" cm="1">
        <f t="array" ref="J17">IF(F17="","",SUMIFS(Losses,EventYear,F17))</f>
        <v>20.53</v>
      </c>
    </row>
    <row r="18" spans="2:10" x14ac:dyDescent="0.45">
      <c r="B18" s="32">
        <v>9</v>
      </c>
      <c r="C18" s="33">
        <v>2002</v>
      </c>
      <c r="D18" s="34">
        <v>1.57</v>
      </c>
      <c r="F18" s="38">
        <f>IF(N(F17)=0,"",IF(F17&lt;MAX(EventYear),F17+1,""))</f>
        <v>2008</v>
      </c>
      <c r="G18" s="39" cm="1">
        <f t="array" ref="G18">IF(F18="","",COUNTIF(EventYear,F18))</f>
        <v>5</v>
      </c>
      <c r="H18" s="39" cm="1">
        <f t="array" ref="H18">IF(F18="","",COUNTIFS(EventYear,F18,Losses,"&gt;"&amp;Threshold))</f>
        <v>1</v>
      </c>
      <c r="I18" s="40" cm="1">
        <f t="array" ref="I18">IF(F18="","",_xlfn.MAXIFS(Losses,EventYear,F18))</f>
        <v>8.4600000000000009</v>
      </c>
      <c r="J18" s="40" cm="1">
        <f t="array" ref="J18">IF(F18="","",SUMIFS(Losses,EventYear,F18))</f>
        <v>17.940000000000001</v>
      </c>
    </row>
    <row r="19" spans="2:10" x14ac:dyDescent="0.45">
      <c r="B19" s="32">
        <v>10</v>
      </c>
      <c r="C19" s="33">
        <v>2002</v>
      </c>
      <c r="D19" s="34">
        <v>4.01</v>
      </c>
      <c r="F19" s="38">
        <f>IF(N(F18)=0,"",IF(F18&lt;MAX(EventYear),F18+1,""))</f>
        <v>2009</v>
      </c>
      <c r="G19" s="39" cm="1">
        <f t="array" ref="G19">IF(F19="","",COUNTIF(EventYear,F19))</f>
        <v>11</v>
      </c>
      <c r="H19" s="39" cm="1">
        <f t="array" ref="H19">IF(F19="","",COUNTIFS(EventYear,F19,Losses,"&gt;"&amp;Threshold))</f>
        <v>2</v>
      </c>
      <c r="I19" s="40" cm="1">
        <f t="array" ref="I19">IF(F19="","",_xlfn.MAXIFS(Losses,EventYear,F19))</f>
        <v>6.89</v>
      </c>
      <c r="J19" s="40" cm="1">
        <f t="array" ref="J19">IF(F19="","",SUMIFS(Losses,EventYear,F19))</f>
        <v>32.97</v>
      </c>
    </row>
    <row r="20" spans="2:10" x14ac:dyDescent="0.45">
      <c r="B20" s="32">
        <v>11</v>
      </c>
      <c r="C20" s="33">
        <v>2002</v>
      </c>
      <c r="D20" s="34">
        <v>3.44</v>
      </c>
      <c r="F20" s="38">
        <f>IF(N(F19)=0,"",IF(F19&lt;MAX(EventYear),F19+1,""))</f>
        <v>2010</v>
      </c>
      <c r="G20" s="39" cm="1">
        <f t="array" ref="G20">IF(F20="","",COUNTIF(EventYear,F20))</f>
        <v>13</v>
      </c>
      <c r="H20" s="39" cm="1">
        <f t="array" ref="H20">IF(F20="","",COUNTIFS(EventYear,F20,Losses,"&gt;"&amp;Threshold))</f>
        <v>3</v>
      </c>
      <c r="I20" s="40" cm="1">
        <f t="array" ref="I20">IF(F20="","",_xlfn.MAXIFS(Losses,EventYear,F20))</f>
        <v>14.29</v>
      </c>
      <c r="J20" s="40" cm="1">
        <f t="array" ref="J20">IF(F20="","",SUMIFS(Losses,EventYear,F20))</f>
        <v>54.27</v>
      </c>
    </row>
    <row r="21" spans="2:10" x14ac:dyDescent="0.45">
      <c r="B21" s="32">
        <v>12</v>
      </c>
      <c r="C21" s="33">
        <v>2002</v>
      </c>
      <c r="D21" s="34">
        <v>2.58</v>
      </c>
      <c r="F21" s="38">
        <f>IF(N(F20)=0,"",IF(F20&lt;MAX(EventYear),F20+1,""))</f>
        <v>2011</v>
      </c>
      <c r="G21" s="39" cm="1">
        <f t="array" ref="G21">IF(F21="","",COUNTIF(EventYear,F21))</f>
        <v>3</v>
      </c>
      <c r="H21" s="39" cm="1">
        <f t="array" ref="H21">IF(F21="","",COUNTIFS(EventYear,F21,Losses,"&gt;"&amp;Threshold))</f>
        <v>0</v>
      </c>
      <c r="I21" s="40" cm="1">
        <f t="array" ref="I21">IF(F21="","",_xlfn.MAXIFS(Losses,EventYear,F21))</f>
        <v>2.4300000000000002</v>
      </c>
      <c r="J21" s="40" cm="1">
        <f t="array" ref="J21">IF(F21="","",SUMIFS(Losses,EventYear,F21))</f>
        <v>5.74</v>
      </c>
    </row>
    <row r="22" spans="2:10" x14ac:dyDescent="0.45">
      <c r="B22" s="32">
        <v>13</v>
      </c>
      <c r="C22" s="33">
        <v>2002</v>
      </c>
      <c r="D22" s="34">
        <v>3.11</v>
      </c>
      <c r="F22" s="38">
        <f>IF(N(F21)=0,"",IF(F21&lt;MAX(EventYear),F21+1,""))</f>
        <v>2012</v>
      </c>
      <c r="G22" s="39" cm="1">
        <f t="array" ref="G22">IF(F22="","",COUNTIF(EventYear,F22))</f>
        <v>8</v>
      </c>
      <c r="H22" s="39" cm="1">
        <f t="array" ref="H22">IF(F22="","",COUNTIFS(EventYear,F22,Losses,"&gt;"&amp;Threshold))</f>
        <v>1</v>
      </c>
      <c r="I22" s="40" cm="1">
        <f t="array" ref="I22">IF(F22="","",_xlfn.MAXIFS(Losses,EventYear,F22))</f>
        <v>6.37</v>
      </c>
      <c r="J22" s="40" cm="1">
        <f t="array" ref="J22">IF(F22="","",SUMIFS(Losses,EventYear,F22))</f>
        <v>29.83</v>
      </c>
    </row>
    <row r="23" spans="2:10" x14ac:dyDescent="0.45">
      <c r="B23" s="32">
        <v>14</v>
      </c>
      <c r="C23" s="33">
        <v>2003</v>
      </c>
      <c r="D23" s="34">
        <v>1.62</v>
      </c>
      <c r="F23" s="38">
        <f>IF(N(F22)=0,"",IF(F22&lt;MAX(EventYear),F22+1,""))</f>
        <v>2013</v>
      </c>
      <c r="G23" s="39" cm="1">
        <f t="array" ref="G23">IF(F23="","",COUNTIF(EventYear,F23))</f>
        <v>9</v>
      </c>
      <c r="H23" s="39" cm="1">
        <f t="array" ref="H23">IF(F23="","",COUNTIFS(EventYear,F23,Losses,"&gt;"&amp;Threshold))</f>
        <v>5</v>
      </c>
      <c r="I23" s="40" cm="1">
        <f t="array" ref="I23">IF(F23="","",_xlfn.MAXIFS(Losses,EventYear,F23))</f>
        <v>17.37</v>
      </c>
      <c r="J23" s="40" cm="1">
        <f t="array" ref="J23">IF(F23="","",SUMIFS(Losses,EventYear,F23))</f>
        <v>71.400000000000006</v>
      </c>
    </row>
    <row r="24" spans="2:10" x14ac:dyDescent="0.45">
      <c r="B24" s="32">
        <v>15</v>
      </c>
      <c r="C24" s="33">
        <v>2003</v>
      </c>
      <c r="D24" s="34">
        <v>1.17</v>
      </c>
      <c r="F24" s="38">
        <f>IF(N(F23)=0,"",IF(F23&lt;MAX(EventYear),F23+1,""))</f>
        <v>2014</v>
      </c>
      <c r="G24" s="39" cm="1">
        <f t="array" ref="G24">IF(F24="","",COUNTIF(EventYear,F24))</f>
        <v>8</v>
      </c>
      <c r="H24" s="39" cm="1">
        <f t="array" ref="H24">IF(F24="","",COUNTIFS(EventYear,F24,Losses,"&gt;"&amp;Threshold))</f>
        <v>1</v>
      </c>
      <c r="I24" s="40" cm="1">
        <f t="array" ref="I24">IF(F24="","",_xlfn.MAXIFS(Losses,EventYear,F24))</f>
        <v>6.66</v>
      </c>
      <c r="J24" s="40" cm="1">
        <f t="array" ref="J24">IF(F24="","",SUMIFS(Losses,EventYear,F24))</f>
        <v>21.57</v>
      </c>
    </row>
    <row r="25" spans="2:10" x14ac:dyDescent="0.45">
      <c r="B25" s="32">
        <v>16</v>
      </c>
      <c r="C25" s="33">
        <v>2003</v>
      </c>
      <c r="D25" s="34">
        <v>3.41</v>
      </c>
      <c r="F25" s="38">
        <f>IF(N(F24)=0,"",IF(F24&lt;MAX(EventYear),F24+1,""))</f>
        <v>2015</v>
      </c>
      <c r="G25" s="39" cm="1">
        <f t="array" ref="G25">IF(F25="","",COUNTIF(EventYear,F25))</f>
        <v>11</v>
      </c>
      <c r="H25" s="39" cm="1">
        <f t="array" ref="H25">IF(F25="","",COUNTIFS(EventYear,F25,Losses,"&gt;"&amp;Threshold))</f>
        <v>5</v>
      </c>
      <c r="I25" s="40" cm="1">
        <f t="array" ref="I25">IF(F25="","",_xlfn.MAXIFS(Losses,EventYear,F25))</f>
        <v>10.72</v>
      </c>
      <c r="J25" s="40" cm="1">
        <f t="array" ref="J25">IF(F25="","",SUMIFS(Losses,EventYear,F25))</f>
        <v>47.859999999999992</v>
      </c>
    </row>
    <row r="26" spans="2:10" x14ac:dyDescent="0.45">
      <c r="B26" s="32">
        <v>17</v>
      </c>
      <c r="C26" s="33">
        <v>2003</v>
      </c>
      <c r="D26" s="34">
        <v>1.1599999999999999</v>
      </c>
      <c r="F26" s="38">
        <f>IF(N(F25)=0,"",IF(F25&lt;MAX(EventYear),F25+1,""))</f>
        <v>2016</v>
      </c>
      <c r="G26" s="39" cm="1">
        <f t="array" ref="G26">IF(F26="","",COUNTIF(EventYear,F26))</f>
        <v>5</v>
      </c>
      <c r="H26" s="39" cm="1">
        <f t="array" ref="H26">IF(F26="","",COUNTIFS(EventYear,F26,Losses,"&gt;"&amp;Threshold))</f>
        <v>1</v>
      </c>
      <c r="I26" s="40" cm="1">
        <f t="array" ref="I26">IF(F26="","",_xlfn.MAXIFS(Losses,EventYear,F26))</f>
        <v>6.78</v>
      </c>
      <c r="J26" s="40" cm="1">
        <f t="array" ref="J26">IF(F26="","",SUMIFS(Losses,EventYear,F26))</f>
        <v>17.079999999999998</v>
      </c>
    </row>
    <row r="27" spans="2:10" x14ac:dyDescent="0.45">
      <c r="B27" s="32">
        <v>18</v>
      </c>
      <c r="C27" s="33">
        <v>2003</v>
      </c>
      <c r="D27" s="34">
        <v>2.34</v>
      </c>
      <c r="F27" s="38">
        <f>IF(N(F26)=0,"",IF(F26&lt;MAX(EventYear),F26+1,""))</f>
        <v>2017</v>
      </c>
      <c r="G27" s="39" cm="1">
        <f t="array" ref="G27">IF(F27="","",COUNTIF(EventYear,F27))</f>
        <v>11</v>
      </c>
      <c r="H27" s="39" cm="1">
        <f t="array" ref="H27">IF(F27="","",COUNTIFS(EventYear,F27,Losses,"&gt;"&amp;Threshold))</f>
        <v>2</v>
      </c>
      <c r="I27" s="40" cm="1">
        <f t="array" ref="I27">IF(F27="","",_xlfn.MAXIFS(Losses,EventYear,F27))</f>
        <v>50.96</v>
      </c>
      <c r="J27" s="40" cm="1">
        <f t="array" ref="J27">IF(F27="","",SUMIFS(Losses,EventYear,F27))</f>
        <v>90.839999999999989</v>
      </c>
    </row>
    <row r="28" spans="2:10" x14ac:dyDescent="0.45">
      <c r="B28" s="32">
        <v>19</v>
      </c>
      <c r="C28" s="33">
        <v>2003</v>
      </c>
      <c r="D28" s="34">
        <v>1.36</v>
      </c>
      <c r="F28" s="38">
        <f>IF(N(F27)=0,"",IF(F27&lt;MAX(EventYear),F27+1,""))</f>
        <v>2018</v>
      </c>
      <c r="G28" s="39" cm="1">
        <f t="array" ref="G28">IF(F28="","",COUNTIF(EventYear,F28))</f>
        <v>11</v>
      </c>
      <c r="H28" s="39" cm="1">
        <f t="array" ref="H28">IF(F28="","",COUNTIFS(EventYear,F28,Losses,"&gt;"&amp;Threshold))</f>
        <v>3</v>
      </c>
      <c r="I28" s="40" cm="1">
        <f t="array" ref="I28">IF(F28="","",_xlfn.MAXIFS(Losses,EventYear,F28))</f>
        <v>9.1999999999999993</v>
      </c>
      <c r="J28" s="40" cm="1">
        <f t="array" ref="J28">IF(F28="","",SUMIFS(Losses,EventYear,F28))</f>
        <v>43.43</v>
      </c>
    </row>
    <row r="29" spans="2:10" x14ac:dyDescent="0.45">
      <c r="B29" s="32">
        <v>20</v>
      </c>
      <c r="C29" s="33">
        <v>2003</v>
      </c>
      <c r="D29" s="34">
        <v>1.2</v>
      </c>
      <c r="F29" s="38">
        <f>IF(N(F28)=0,"",IF(F28&lt;MAX(EventYear),F28+1,""))</f>
        <v>2019</v>
      </c>
      <c r="G29" s="39" cm="1">
        <f t="array" ref="G29">IF(F29="","",COUNTIF(EventYear,F29))</f>
        <v>2</v>
      </c>
      <c r="H29" s="39" cm="1">
        <f t="array" ref="H29">IF(F29="","",COUNTIFS(EventYear,F29,Losses,"&gt;"&amp;Threshold))</f>
        <v>1</v>
      </c>
      <c r="I29" s="40" cm="1">
        <f t="array" ref="I29">IF(F29="","",_xlfn.MAXIFS(Losses,EventYear,F29))</f>
        <v>15.3</v>
      </c>
      <c r="J29" s="40" cm="1">
        <f t="array" ref="J29">IF(F29="","",SUMIFS(Losses,EventYear,F29))</f>
        <v>16.380000000000003</v>
      </c>
    </row>
    <row r="30" spans="2:10" x14ac:dyDescent="0.45">
      <c r="B30" s="32">
        <v>21</v>
      </c>
      <c r="C30" s="33">
        <v>2003</v>
      </c>
      <c r="D30" s="34">
        <v>2.7</v>
      </c>
      <c r="F30" s="38">
        <f>IF(N(F29)=0,"",IF(F29&lt;MAX(EventYear),F29+1,""))</f>
        <v>2020</v>
      </c>
      <c r="G30" s="39" cm="1">
        <f t="array" ref="G30">IF(F30="","",COUNTIF(EventYear,F30))</f>
        <v>9</v>
      </c>
      <c r="H30" s="39" cm="1">
        <f t="array" ref="H30">IF(F30="","",COUNTIFS(EventYear,F30,Losses,"&gt;"&amp;Threshold))</f>
        <v>2</v>
      </c>
      <c r="I30" s="40" cm="1">
        <f t="array" ref="I30">IF(F30="","",_xlfn.MAXIFS(Losses,EventYear,F30))</f>
        <v>29.38</v>
      </c>
      <c r="J30" s="40" cm="1">
        <f t="array" ref="J30">IF(F30="","",SUMIFS(Losses,EventYear,F30))</f>
        <v>48.29</v>
      </c>
    </row>
    <row r="31" spans="2:10" x14ac:dyDescent="0.45">
      <c r="B31" s="32">
        <v>22</v>
      </c>
      <c r="C31" s="33">
        <v>2004</v>
      </c>
      <c r="D31" s="34">
        <v>16.28</v>
      </c>
      <c r="F31" s="38">
        <f>IF(N(F30)=0,"",IF(F30&lt;MAX(EventYear),F30+1,""))</f>
        <v>2021</v>
      </c>
      <c r="G31" s="39" cm="1">
        <f t="array" ref="G31">IF(F31="","",COUNTIF(EventYear,F31))</f>
        <v>9</v>
      </c>
      <c r="H31" s="39" cm="1">
        <f t="array" ref="H31">IF(F31="","",COUNTIFS(EventYear,F31,Losses,"&gt;"&amp;Threshold))</f>
        <v>0</v>
      </c>
      <c r="I31" s="40" cm="1">
        <f t="array" ref="I31">IF(F31="","",_xlfn.MAXIFS(Losses,EventYear,F31))</f>
        <v>3.3</v>
      </c>
      <c r="J31" s="40" cm="1">
        <f t="array" ref="J31">IF(F31="","",SUMIFS(Losses,EventYear,F31))</f>
        <v>17.93</v>
      </c>
    </row>
    <row r="32" spans="2:10" x14ac:dyDescent="0.45">
      <c r="B32" s="32">
        <v>23</v>
      </c>
      <c r="C32" s="33">
        <v>2004</v>
      </c>
      <c r="D32" s="34">
        <v>5.89</v>
      </c>
      <c r="F32" s="38">
        <f>IF(N(F31)=0,"",IF(F31&lt;MAX(EventYear),F31+1,""))</f>
        <v>2022</v>
      </c>
      <c r="G32" s="39" cm="1">
        <f t="array" ref="G32">IF(F32="","",COUNTIF(EventYear,F32))</f>
        <v>8</v>
      </c>
      <c r="H32" s="39" cm="1">
        <f t="array" ref="H32">IF(F32="","",COUNTIFS(EventYear,F32,Losses,"&gt;"&amp;Threshold))</f>
        <v>4</v>
      </c>
      <c r="I32" s="40" cm="1">
        <f t="array" ref="I32">IF(F32="","",_xlfn.MAXIFS(Losses,EventYear,F32))</f>
        <v>19.88</v>
      </c>
      <c r="J32" s="40" cm="1">
        <f t="array" ref="J32">IF(F32="","",SUMIFS(Losses,EventYear,F32))</f>
        <v>56.91</v>
      </c>
    </row>
    <row r="33" spans="2:10" x14ac:dyDescent="0.45">
      <c r="B33" s="32">
        <v>24</v>
      </c>
      <c r="C33" s="33">
        <v>2004</v>
      </c>
      <c r="D33" s="34">
        <v>1.23</v>
      </c>
      <c r="F33" s="38">
        <f>IF(N(F32)=0,"",IF(F32&lt;MAX(EventYear),F32+1,""))</f>
        <v>2023</v>
      </c>
      <c r="G33" s="39" cm="1">
        <f t="array" ref="G33">IF(F33="","",COUNTIF(EventYear,F33))</f>
        <v>7</v>
      </c>
      <c r="H33" s="39" cm="1">
        <f t="array" ref="H33">IF(F33="","",COUNTIFS(EventYear,F33,Losses,"&gt;"&amp;Threshold))</f>
        <v>4</v>
      </c>
      <c r="I33" s="40" cm="1">
        <f t="array" ref="I33">IF(F33="","",_xlfn.MAXIFS(Losses,EventYear,F33))</f>
        <v>13.31</v>
      </c>
      <c r="J33" s="40" cm="1">
        <f t="array" ref="J33">IF(F33="","",SUMIFS(Losses,EventYear,F33))</f>
        <v>46.400000000000006</v>
      </c>
    </row>
    <row r="34" spans="2:10" x14ac:dyDescent="0.45">
      <c r="B34" s="32">
        <v>25</v>
      </c>
      <c r="C34" s="33">
        <v>2004</v>
      </c>
      <c r="D34" s="34">
        <v>4.03</v>
      </c>
      <c r="F34" s="38">
        <f>IF(N(F33)=0,"",IF(F33&lt;MAX(EventYear),F33+1,""))</f>
        <v>2024</v>
      </c>
      <c r="G34" s="39" cm="1">
        <f t="array" ref="G34">IF(F34="","",COUNTIF(EventYear,F34))</f>
        <v>9</v>
      </c>
      <c r="H34" s="39" cm="1">
        <f t="array" ref="H34">IF(F34="","",COUNTIFS(EventYear,F34,Losses,"&gt;"&amp;Threshold))</f>
        <v>1</v>
      </c>
      <c r="I34" s="40" cm="1">
        <f t="array" ref="I34">IF(F34="","",_xlfn.MAXIFS(Losses,EventYear,F34))</f>
        <v>7.34</v>
      </c>
      <c r="J34" s="40" cm="1">
        <f t="array" ref="J34">IF(F34="","",SUMIFS(Losses,EventYear,F34))</f>
        <v>26.490000000000002</v>
      </c>
    </row>
    <row r="35" spans="2:10" x14ac:dyDescent="0.45">
      <c r="B35" s="32">
        <v>26</v>
      </c>
      <c r="C35" s="33">
        <v>2004</v>
      </c>
      <c r="D35" s="34">
        <v>1.54</v>
      </c>
      <c r="F35" s="38">
        <f>IF(N(F34)=0,"",IF(F34&lt;MAX(EventYear),F34+1,""))</f>
        <v>2025</v>
      </c>
      <c r="G35" s="39" cm="1">
        <f t="array" ref="G35">IF(F35="","",COUNTIF(EventYear,F35))</f>
        <v>6</v>
      </c>
      <c r="H35" s="39" cm="1">
        <f t="array" ref="H35">IF(F35="","",COUNTIFS(EventYear,F35,Losses,"&gt;"&amp;Threshold))</f>
        <v>0</v>
      </c>
      <c r="I35" s="40" cm="1">
        <f t="array" ref="I35">IF(F35="","",_xlfn.MAXIFS(Losses,EventYear,F35))</f>
        <v>2.9</v>
      </c>
      <c r="J35" s="40" cm="1">
        <f t="array" ref="J35">IF(F35="","",SUMIFS(Losses,EventYear,F35))</f>
        <v>13.15</v>
      </c>
    </row>
    <row r="36" spans="2:10" x14ac:dyDescent="0.45">
      <c r="B36" s="32">
        <v>27</v>
      </c>
      <c r="C36" s="33">
        <v>2004</v>
      </c>
      <c r="D36" s="34">
        <v>1.98</v>
      </c>
      <c r="F36" s="41" t="str">
        <f>IF(N(F35)=0,"",IF(F35&lt;MAX(EventYear),F35+1,""))</f>
        <v/>
      </c>
      <c r="G36" s="42" t="str" cm="1">
        <f t="array" ref="G36">IF(F36="","",COUNTIF(EventYear,F36))</f>
        <v/>
      </c>
      <c r="H36" s="42" t="str" cm="1">
        <f t="array" ref="H36">IF(F36="","",COUNTIFS(EventYear,F36,Losses,"&gt;"&amp;Threshold))</f>
        <v/>
      </c>
      <c r="I36" s="43" t="str" cm="1">
        <f t="array" ref="I36">IF(F36="","",_xlfn.MAXIFS(Losses,EventYear,F36))</f>
        <v/>
      </c>
      <c r="J36" s="43" t="str" cm="1">
        <f t="array" ref="J36">IF(F36="","",SUMIFS(Losses,EventYear,F36))</f>
        <v/>
      </c>
    </row>
    <row r="37" spans="2:10" x14ac:dyDescent="0.45">
      <c r="B37" s="32">
        <v>28</v>
      </c>
      <c r="C37" s="33">
        <v>2004</v>
      </c>
      <c r="D37" s="34">
        <v>4.51</v>
      </c>
      <c r="F37" s="41" t="str">
        <f>IF(N(F36)=0,"",IF(F36&lt;MAX(EventYear),F36+1,""))</f>
        <v/>
      </c>
      <c r="G37" s="42" t="str" cm="1">
        <f t="array" ref="G37">IF(F37="","",COUNTIF(EventYear,F37))</f>
        <v/>
      </c>
      <c r="H37" s="42" t="str" cm="1">
        <f t="array" ref="H37">IF(F37="","",COUNTIFS(EventYear,F37,Losses,"&gt;"&amp;Threshold))</f>
        <v/>
      </c>
      <c r="I37" s="43" t="str" cm="1">
        <f t="array" ref="I37">IF(F37="","",_xlfn.MAXIFS(Losses,EventYear,F37))</f>
        <v/>
      </c>
      <c r="J37" s="43" t="str" cm="1">
        <f t="array" ref="J37">IF(F37="","",SUMIFS(Losses,EventYear,F37))</f>
        <v/>
      </c>
    </row>
    <row r="38" spans="2:10" x14ac:dyDescent="0.45">
      <c r="B38" s="32">
        <v>29</v>
      </c>
      <c r="C38" s="33">
        <v>2004</v>
      </c>
      <c r="D38" s="34">
        <v>1.84</v>
      </c>
      <c r="F38" s="41" t="str">
        <f>IF(N(F37)=0,"",IF(F37&lt;MAX(EventYear),F37+1,""))</f>
        <v/>
      </c>
      <c r="G38" s="42" t="str" cm="1">
        <f t="array" ref="G38">IF(F38="","",COUNTIF(EventYear,F38))</f>
        <v/>
      </c>
      <c r="H38" s="42" t="str" cm="1">
        <f t="array" ref="H38">IF(F38="","",COUNTIFS(EventYear,F38,Losses,"&gt;"&amp;Threshold))</f>
        <v/>
      </c>
      <c r="I38" s="43" t="str" cm="1">
        <f t="array" ref="I38">IF(F38="","",_xlfn.MAXIFS(Losses,EventYear,F38))</f>
        <v/>
      </c>
      <c r="J38" s="43" t="str" cm="1">
        <f t="array" ref="J38">IF(F38="","",SUMIFS(Losses,EventYear,F38))</f>
        <v/>
      </c>
    </row>
    <row r="39" spans="2:10" x14ac:dyDescent="0.45">
      <c r="B39" s="32">
        <v>30</v>
      </c>
      <c r="C39" s="33">
        <v>2004</v>
      </c>
      <c r="D39" s="34">
        <v>1.59</v>
      </c>
      <c r="F39" s="41" t="str">
        <f>IF(N(F38)=0,"",IF(F38&lt;MAX(EventYear),F38+1,""))</f>
        <v/>
      </c>
      <c r="G39" s="42" t="str" cm="1">
        <f t="array" ref="G39">IF(F39="","",COUNTIF(EventYear,F39))</f>
        <v/>
      </c>
      <c r="H39" s="42" t="str" cm="1">
        <f t="array" ref="H39">IF(F39="","",COUNTIFS(EventYear,F39,Losses,"&gt;"&amp;Threshold))</f>
        <v/>
      </c>
      <c r="I39" s="43" t="str" cm="1">
        <f t="array" ref="I39">IF(F39="","",_xlfn.MAXIFS(Losses,EventYear,F39))</f>
        <v/>
      </c>
      <c r="J39" s="43" t="str" cm="1">
        <f t="array" ref="J39">IF(F39="","",SUMIFS(Losses,EventYear,F39))</f>
        <v/>
      </c>
    </row>
    <row r="40" spans="2:10" x14ac:dyDescent="0.45">
      <c r="B40" s="32">
        <v>31</v>
      </c>
      <c r="C40" s="33">
        <v>2005</v>
      </c>
      <c r="D40" s="34">
        <v>1.71</v>
      </c>
      <c r="F40" s="41" t="str">
        <f>IF(N(F39)=0,"",IF(F39&lt;MAX(EventYear),F39+1,""))</f>
        <v/>
      </c>
      <c r="G40" s="42" t="str" cm="1">
        <f t="array" ref="G40">IF(F40="","",COUNTIF(EventYear,F40))</f>
        <v/>
      </c>
      <c r="H40" s="42" t="str" cm="1">
        <f t="array" ref="H40">IF(F40="","",COUNTIFS(EventYear,F40,Losses,"&gt;"&amp;Threshold))</f>
        <v/>
      </c>
      <c r="I40" s="43" t="str" cm="1">
        <f t="array" ref="I40">IF(F40="","",_xlfn.MAXIFS(Losses,EventYear,F40))</f>
        <v/>
      </c>
      <c r="J40" s="43" t="str" cm="1">
        <f t="array" ref="J40">IF(F40="","",SUMIFS(Losses,EventYear,F40))</f>
        <v/>
      </c>
    </row>
    <row r="41" spans="2:10" x14ac:dyDescent="0.45">
      <c r="B41" s="32">
        <v>32</v>
      </c>
      <c r="C41" s="33">
        <v>2006</v>
      </c>
      <c r="D41" s="34">
        <v>1.78</v>
      </c>
      <c r="F41" s="41" t="str">
        <f>IF(N(F40)=0,"",IF(F40&lt;MAX(EventYear),F40+1,""))</f>
        <v/>
      </c>
      <c r="G41" s="42" t="str" cm="1">
        <f t="array" ref="G41">IF(F41="","",COUNTIF(EventYear,F41))</f>
        <v/>
      </c>
      <c r="H41" s="42" t="str" cm="1">
        <f t="array" ref="H41">IF(F41="","",COUNTIFS(EventYear,F41,Losses,"&gt;"&amp;Threshold))</f>
        <v/>
      </c>
      <c r="I41" s="43" t="str" cm="1">
        <f t="array" ref="I41">IF(F41="","",_xlfn.MAXIFS(Losses,EventYear,F41))</f>
        <v/>
      </c>
      <c r="J41" s="43" t="str" cm="1">
        <f t="array" ref="J41">IF(F41="","",SUMIFS(Losses,EventYear,F41))</f>
        <v/>
      </c>
    </row>
    <row r="42" spans="2:10" x14ac:dyDescent="0.45">
      <c r="B42" s="32">
        <v>33</v>
      </c>
      <c r="C42" s="33">
        <v>2006</v>
      </c>
      <c r="D42" s="34">
        <v>41.14</v>
      </c>
      <c r="F42" s="41" t="str">
        <f>IF(N(F41)=0,"",IF(F41&lt;MAX(EventYear),F41+1,""))</f>
        <v/>
      </c>
      <c r="G42" s="42" t="str" cm="1">
        <f t="array" ref="G42">IF(F42="","",COUNTIF(EventYear,F42))</f>
        <v/>
      </c>
      <c r="H42" s="42" t="str" cm="1">
        <f t="array" ref="H42">IF(F42="","",COUNTIFS(EventYear,F42,Losses,"&gt;"&amp;Threshold))</f>
        <v/>
      </c>
      <c r="I42" s="43" t="str" cm="1">
        <f t="array" ref="I42">IF(F42="","",_xlfn.MAXIFS(Losses,EventYear,F42))</f>
        <v/>
      </c>
      <c r="J42" s="43" t="str" cm="1">
        <f t="array" ref="J42">IF(F42="","",SUMIFS(Losses,EventYear,F42))</f>
        <v/>
      </c>
    </row>
    <row r="43" spans="2:10" x14ac:dyDescent="0.45">
      <c r="B43" s="32">
        <v>34</v>
      </c>
      <c r="C43" s="33">
        <v>2006</v>
      </c>
      <c r="D43" s="34">
        <v>1.69</v>
      </c>
      <c r="F43" s="41" t="str">
        <f>IF(N(F42)=0,"",IF(F42&lt;MAX(EventYear),F42+1,""))</f>
        <v/>
      </c>
      <c r="G43" s="42" t="str" cm="1">
        <f t="array" ref="G43">IF(F43="","",COUNTIF(EventYear,F43))</f>
        <v/>
      </c>
      <c r="H43" s="42" t="str" cm="1">
        <f t="array" ref="H43">IF(F43="","",COUNTIFS(EventYear,F43,Losses,"&gt;"&amp;Threshold))</f>
        <v/>
      </c>
      <c r="I43" s="43" t="str" cm="1">
        <f t="array" ref="I43">IF(F43="","",_xlfn.MAXIFS(Losses,EventYear,F43))</f>
        <v/>
      </c>
      <c r="J43" s="43" t="str" cm="1">
        <f t="array" ref="J43">IF(F43="","",SUMIFS(Losses,EventYear,F43))</f>
        <v/>
      </c>
    </row>
    <row r="44" spans="2:10" x14ac:dyDescent="0.45">
      <c r="B44" s="32">
        <v>35</v>
      </c>
      <c r="C44" s="33">
        <v>2006</v>
      </c>
      <c r="D44" s="34">
        <v>43.03</v>
      </c>
      <c r="F44" s="41" t="str">
        <f>IF(N(F43)=0,"",IF(F43&lt;MAX(EventYear),F43+1,""))</f>
        <v/>
      </c>
      <c r="G44" s="42" t="str" cm="1">
        <f t="array" ref="G44">IF(F44="","",COUNTIF(EventYear,F44))</f>
        <v/>
      </c>
      <c r="H44" s="42" t="str" cm="1">
        <f t="array" ref="H44">IF(F44="","",COUNTIFS(EventYear,F44,Losses,"&gt;"&amp;Threshold))</f>
        <v/>
      </c>
      <c r="I44" s="43" t="str" cm="1">
        <f t="array" ref="I44">IF(F44="","",_xlfn.MAXIFS(Losses,EventYear,F44))</f>
        <v/>
      </c>
      <c r="J44" s="43" t="str" cm="1">
        <f t="array" ref="J44">IF(F44="","",SUMIFS(Losses,EventYear,F44))</f>
        <v/>
      </c>
    </row>
    <row r="45" spans="2:10" x14ac:dyDescent="0.45">
      <c r="B45" s="32">
        <v>36</v>
      </c>
      <c r="C45" s="33">
        <v>2006</v>
      </c>
      <c r="D45" s="34">
        <v>1.7</v>
      </c>
      <c r="F45" s="41" t="str">
        <f>IF(N(F44)=0,"",IF(F44&lt;MAX(EventYear),F44+1,""))</f>
        <v/>
      </c>
      <c r="G45" s="42" t="str" cm="1">
        <f t="array" ref="G45">IF(F45="","",COUNTIF(EventYear,F45))</f>
        <v/>
      </c>
      <c r="H45" s="42" t="str" cm="1">
        <f t="array" ref="H45">IF(F45="","",COUNTIFS(EventYear,F45,Losses,"&gt;"&amp;Threshold))</f>
        <v/>
      </c>
      <c r="I45" s="43" t="str" cm="1">
        <f t="array" ref="I45">IF(F45="","",_xlfn.MAXIFS(Losses,EventYear,F45))</f>
        <v/>
      </c>
      <c r="J45" s="43" t="str" cm="1">
        <f t="array" ref="J45">IF(F45="","",SUMIFS(Losses,EventYear,F45))</f>
        <v/>
      </c>
    </row>
    <row r="46" spans="2:10" x14ac:dyDescent="0.45">
      <c r="B46" s="32">
        <v>37</v>
      </c>
      <c r="C46" s="33">
        <v>2006</v>
      </c>
      <c r="D46" s="34">
        <v>5.82</v>
      </c>
      <c r="F46" s="41" t="str">
        <f>IF(N(F45)=0,"",IF(F45&lt;MAX(EventYear),F45+1,""))</f>
        <v/>
      </c>
      <c r="G46" s="42" t="str" cm="1">
        <f t="array" ref="G46">IF(F46="","",COUNTIF(EventYear,F46))</f>
        <v/>
      </c>
      <c r="H46" s="42" t="str" cm="1">
        <f t="array" ref="H46">IF(F46="","",COUNTIFS(EventYear,F46,Losses,"&gt;"&amp;Threshold))</f>
        <v/>
      </c>
      <c r="I46" s="43" t="str" cm="1">
        <f t="array" ref="I46">IF(F46="","",_xlfn.MAXIFS(Losses,EventYear,F46))</f>
        <v/>
      </c>
      <c r="J46" s="43" t="str" cm="1">
        <f t="array" ref="J46">IF(F46="","",SUMIFS(Losses,EventYear,F46))</f>
        <v/>
      </c>
    </row>
    <row r="47" spans="2:10" x14ac:dyDescent="0.45">
      <c r="B47" s="32">
        <v>38</v>
      </c>
      <c r="C47" s="33">
        <v>2006</v>
      </c>
      <c r="D47" s="34">
        <v>1.76</v>
      </c>
      <c r="F47" s="41" t="str">
        <f>IF(N(F46)=0,"",IF(F46&lt;MAX(EventYear),F46+1,""))</f>
        <v/>
      </c>
      <c r="G47" s="42" t="str" cm="1">
        <f t="array" ref="G47">IF(F47="","",COUNTIF(EventYear,F47))</f>
        <v/>
      </c>
      <c r="H47" s="42" t="str" cm="1">
        <f t="array" ref="H47">IF(F47="","",COUNTIFS(EventYear,F47,Losses,"&gt;"&amp;Threshold))</f>
        <v/>
      </c>
      <c r="I47" s="43" t="str" cm="1">
        <f t="array" ref="I47">IF(F47="","",_xlfn.MAXIFS(Losses,EventYear,F47))</f>
        <v/>
      </c>
      <c r="J47" s="43" t="str" cm="1">
        <f t="array" ref="J47">IF(F47="","",SUMIFS(Losses,EventYear,F47))</f>
        <v/>
      </c>
    </row>
    <row r="48" spans="2:10" x14ac:dyDescent="0.45">
      <c r="B48" s="32">
        <v>39</v>
      </c>
      <c r="C48" s="33">
        <v>2006</v>
      </c>
      <c r="D48" s="34">
        <v>1.76</v>
      </c>
      <c r="F48" s="41" t="str">
        <f>IF(N(F47)=0,"",IF(F47&lt;MAX(EventYear),F47+1,""))</f>
        <v/>
      </c>
      <c r="G48" s="42" t="str" cm="1">
        <f t="array" ref="G48">IF(F48="","",COUNTIF(EventYear,F48))</f>
        <v/>
      </c>
      <c r="H48" s="42" t="str" cm="1">
        <f t="array" ref="H48">IF(F48="","",COUNTIFS(EventYear,F48,Losses,"&gt;"&amp;Threshold))</f>
        <v/>
      </c>
      <c r="I48" s="43" t="str" cm="1">
        <f t="array" ref="I48">IF(F48="","",_xlfn.MAXIFS(Losses,EventYear,F48))</f>
        <v/>
      </c>
      <c r="J48" s="43" t="str" cm="1">
        <f t="array" ref="J48">IF(F48="","",SUMIFS(Losses,EventYear,F48))</f>
        <v/>
      </c>
    </row>
    <row r="49" spans="2:10" x14ac:dyDescent="0.45">
      <c r="B49" s="32">
        <v>40</v>
      </c>
      <c r="C49" s="33">
        <v>2007</v>
      </c>
      <c r="D49" s="34">
        <v>5.03</v>
      </c>
      <c r="F49" s="41" t="str">
        <f>IF(N(F48)=0,"",IF(F48&lt;MAX(EventYear),F48+1,""))</f>
        <v/>
      </c>
      <c r="G49" s="42" t="str" cm="1">
        <f t="array" ref="G49">IF(F49="","",COUNTIF(EventYear,F49))</f>
        <v/>
      </c>
      <c r="H49" s="42" t="str" cm="1">
        <f t="array" ref="H49">IF(F49="","",COUNTIFS(EventYear,F49,Losses,"&gt;"&amp;Threshold))</f>
        <v/>
      </c>
      <c r="I49" s="43" t="str" cm="1">
        <f t="array" ref="I49">IF(F49="","",_xlfn.MAXIFS(Losses,EventYear,F49))</f>
        <v/>
      </c>
      <c r="J49" s="43" t="str" cm="1">
        <f t="array" ref="J49">IF(F49="","",SUMIFS(Losses,EventYear,F49))</f>
        <v/>
      </c>
    </row>
    <row r="50" spans="2:10" x14ac:dyDescent="0.45">
      <c r="B50" s="32">
        <v>41</v>
      </c>
      <c r="C50" s="33">
        <v>2007</v>
      </c>
      <c r="D50" s="34">
        <v>2.27</v>
      </c>
      <c r="F50" s="41" t="str">
        <f>IF(N(F49)=0,"",IF(F49&lt;MAX(EventYear),F49+1,""))</f>
        <v/>
      </c>
      <c r="G50" s="42" t="str" cm="1">
        <f t="array" ref="G50">IF(F50="","",COUNTIF(EventYear,F50))</f>
        <v/>
      </c>
      <c r="H50" s="42" t="str" cm="1">
        <f t="array" ref="H50">IF(F50="","",COUNTIFS(EventYear,F50,Losses,"&gt;"&amp;Threshold))</f>
        <v/>
      </c>
      <c r="I50" s="43" t="str" cm="1">
        <f t="array" ref="I50">IF(F50="","",_xlfn.MAXIFS(Losses,EventYear,F50))</f>
        <v/>
      </c>
      <c r="J50" s="43" t="str" cm="1">
        <f t="array" ref="J50">IF(F50="","",SUMIFS(Losses,EventYear,F50))</f>
        <v/>
      </c>
    </row>
    <row r="51" spans="2:10" x14ac:dyDescent="0.45">
      <c r="B51" s="32">
        <v>42</v>
      </c>
      <c r="C51" s="33">
        <v>2007</v>
      </c>
      <c r="D51" s="34">
        <v>1.87</v>
      </c>
    </row>
    <row r="52" spans="2:10" x14ac:dyDescent="0.45">
      <c r="B52" s="32">
        <v>43</v>
      </c>
      <c r="C52" s="33">
        <v>2007</v>
      </c>
      <c r="D52" s="34">
        <v>2.85</v>
      </c>
    </row>
    <row r="53" spans="2:10" x14ac:dyDescent="0.45">
      <c r="B53" s="32">
        <v>44</v>
      </c>
      <c r="C53" s="33">
        <v>2007</v>
      </c>
      <c r="D53" s="34">
        <v>8.51</v>
      </c>
    </row>
    <row r="54" spans="2:10" x14ac:dyDescent="0.45">
      <c r="B54" s="32">
        <v>45</v>
      </c>
      <c r="C54" s="33">
        <v>2008</v>
      </c>
      <c r="D54" s="34">
        <v>8.4600000000000009</v>
      </c>
    </row>
    <row r="55" spans="2:10" x14ac:dyDescent="0.45">
      <c r="B55" s="32">
        <v>46</v>
      </c>
      <c r="C55" s="33">
        <v>2008</v>
      </c>
      <c r="D55" s="34">
        <v>1.32</v>
      </c>
    </row>
    <row r="56" spans="2:10" x14ac:dyDescent="0.45">
      <c r="B56" s="32">
        <v>47</v>
      </c>
      <c r="C56" s="33">
        <v>2008</v>
      </c>
      <c r="D56" s="34">
        <v>3.29</v>
      </c>
    </row>
    <row r="57" spans="2:10" x14ac:dyDescent="0.45">
      <c r="B57" s="32">
        <v>48</v>
      </c>
      <c r="C57" s="33">
        <v>2008</v>
      </c>
      <c r="D57" s="34">
        <v>2.2999999999999998</v>
      </c>
    </row>
    <row r="58" spans="2:10" x14ac:dyDescent="0.45">
      <c r="B58" s="32">
        <v>49</v>
      </c>
      <c r="C58" s="33">
        <v>2008</v>
      </c>
      <c r="D58" s="34">
        <v>2.57</v>
      </c>
    </row>
    <row r="59" spans="2:10" x14ac:dyDescent="0.45">
      <c r="B59" s="32">
        <v>50</v>
      </c>
      <c r="C59" s="33">
        <v>2009</v>
      </c>
      <c r="D59" s="34">
        <v>1.45</v>
      </c>
    </row>
    <row r="60" spans="2:10" x14ac:dyDescent="0.45">
      <c r="B60" s="32">
        <v>51</v>
      </c>
      <c r="C60" s="33">
        <v>2009</v>
      </c>
      <c r="D60" s="34">
        <v>2.52</v>
      </c>
    </row>
    <row r="61" spans="2:10" x14ac:dyDescent="0.45">
      <c r="B61" s="32">
        <v>52</v>
      </c>
      <c r="C61" s="33">
        <v>2009</v>
      </c>
      <c r="D61" s="34">
        <v>2.87</v>
      </c>
    </row>
    <row r="62" spans="2:10" x14ac:dyDescent="0.45">
      <c r="B62" s="32">
        <v>53</v>
      </c>
      <c r="C62" s="33">
        <v>2009</v>
      </c>
      <c r="D62" s="34">
        <v>6.01</v>
      </c>
    </row>
    <row r="63" spans="2:10" x14ac:dyDescent="0.45">
      <c r="B63" s="32">
        <v>54</v>
      </c>
      <c r="C63" s="33">
        <v>2009</v>
      </c>
      <c r="D63" s="34">
        <v>1.93</v>
      </c>
    </row>
    <row r="64" spans="2:10" x14ac:dyDescent="0.45">
      <c r="B64" s="32">
        <v>55</v>
      </c>
      <c r="C64" s="33">
        <v>2009</v>
      </c>
      <c r="D64" s="34">
        <v>2.2200000000000002</v>
      </c>
    </row>
    <row r="65" spans="2:4" x14ac:dyDescent="0.45">
      <c r="B65" s="32">
        <v>56</v>
      </c>
      <c r="C65" s="33">
        <v>2009</v>
      </c>
      <c r="D65" s="34">
        <v>1.08</v>
      </c>
    </row>
    <row r="66" spans="2:4" x14ac:dyDescent="0.45">
      <c r="B66" s="32">
        <v>57</v>
      </c>
      <c r="C66" s="33">
        <v>2009</v>
      </c>
      <c r="D66" s="34">
        <v>2.02</v>
      </c>
    </row>
    <row r="67" spans="2:4" x14ac:dyDescent="0.45">
      <c r="B67" s="32">
        <v>58</v>
      </c>
      <c r="C67" s="33">
        <v>2009</v>
      </c>
      <c r="D67" s="34">
        <v>4.03</v>
      </c>
    </row>
    <row r="68" spans="2:4" x14ac:dyDescent="0.45">
      <c r="B68" s="32">
        <v>59</v>
      </c>
      <c r="C68" s="33">
        <v>2009</v>
      </c>
      <c r="D68" s="34">
        <v>1.95</v>
      </c>
    </row>
    <row r="69" spans="2:4" x14ac:dyDescent="0.45">
      <c r="B69" s="32">
        <v>60</v>
      </c>
      <c r="C69" s="33">
        <v>2009</v>
      </c>
      <c r="D69" s="34">
        <v>6.89</v>
      </c>
    </row>
    <row r="70" spans="2:4" x14ac:dyDescent="0.45">
      <c r="B70" s="32">
        <v>61</v>
      </c>
      <c r="C70" s="33">
        <v>2010</v>
      </c>
      <c r="D70" s="34">
        <v>4.4400000000000004</v>
      </c>
    </row>
    <row r="71" spans="2:4" x14ac:dyDescent="0.45">
      <c r="B71" s="32">
        <v>62</v>
      </c>
      <c r="C71" s="33">
        <v>2010</v>
      </c>
      <c r="D71" s="34">
        <v>1.82</v>
      </c>
    </row>
    <row r="72" spans="2:4" x14ac:dyDescent="0.45">
      <c r="B72" s="32">
        <v>63</v>
      </c>
      <c r="C72" s="33">
        <v>2010</v>
      </c>
      <c r="D72" s="34">
        <v>14.29</v>
      </c>
    </row>
    <row r="73" spans="2:4" x14ac:dyDescent="0.45">
      <c r="B73" s="32">
        <v>64</v>
      </c>
      <c r="C73" s="33">
        <v>2010</v>
      </c>
      <c r="D73" s="34">
        <v>6.29</v>
      </c>
    </row>
    <row r="74" spans="2:4" x14ac:dyDescent="0.45">
      <c r="B74" s="32">
        <v>65</v>
      </c>
      <c r="C74" s="33">
        <v>2010</v>
      </c>
      <c r="D74" s="34">
        <v>1.23</v>
      </c>
    </row>
    <row r="75" spans="2:4" x14ac:dyDescent="0.45">
      <c r="B75" s="32">
        <v>66</v>
      </c>
      <c r="C75" s="33">
        <v>2010</v>
      </c>
      <c r="D75" s="34">
        <v>1.05</v>
      </c>
    </row>
    <row r="76" spans="2:4" x14ac:dyDescent="0.45">
      <c r="B76" s="32">
        <v>67</v>
      </c>
      <c r="C76" s="33">
        <v>2010</v>
      </c>
      <c r="D76" s="34">
        <v>1.31</v>
      </c>
    </row>
    <row r="77" spans="2:4" x14ac:dyDescent="0.45">
      <c r="B77" s="32">
        <v>68</v>
      </c>
      <c r="C77" s="33">
        <v>2010</v>
      </c>
      <c r="D77" s="34">
        <v>14.14</v>
      </c>
    </row>
    <row r="78" spans="2:4" x14ac:dyDescent="0.45">
      <c r="B78" s="32">
        <v>69</v>
      </c>
      <c r="C78" s="33">
        <v>2010</v>
      </c>
      <c r="D78" s="34">
        <v>3.04</v>
      </c>
    </row>
    <row r="79" spans="2:4" x14ac:dyDescent="0.45">
      <c r="B79" s="32">
        <v>70</v>
      </c>
      <c r="C79" s="33">
        <v>2010</v>
      </c>
      <c r="D79" s="34">
        <v>1.22</v>
      </c>
    </row>
    <row r="80" spans="2:4" x14ac:dyDescent="0.45">
      <c r="B80" s="32">
        <v>71</v>
      </c>
      <c r="C80" s="33">
        <v>2010</v>
      </c>
      <c r="D80" s="34">
        <v>2.06</v>
      </c>
    </row>
    <row r="81" spans="2:4" x14ac:dyDescent="0.45">
      <c r="B81" s="32">
        <v>72</v>
      </c>
      <c r="C81" s="33">
        <v>2010</v>
      </c>
      <c r="D81" s="34">
        <v>1.18</v>
      </c>
    </row>
    <row r="82" spans="2:4" x14ac:dyDescent="0.45">
      <c r="B82" s="32">
        <v>73</v>
      </c>
      <c r="C82" s="33">
        <v>2010</v>
      </c>
      <c r="D82" s="34">
        <v>2.2000000000000002</v>
      </c>
    </row>
    <row r="83" spans="2:4" x14ac:dyDescent="0.45">
      <c r="B83" s="32">
        <v>74</v>
      </c>
      <c r="C83" s="33">
        <v>2011</v>
      </c>
      <c r="D83" s="34">
        <v>1.43</v>
      </c>
    </row>
    <row r="84" spans="2:4" x14ac:dyDescent="0.45">
      <c r="B84" s="32">
        <v>75</v>
      </c>
      <c r="C84" s="33">
        <v>2011</v>
      </c>
      <c r="D84" s="34">
        <v>1.88</v>
      </c>
    </row>
    <row r="85" spans="2:4" x14ac:dyDescent="0.45">
      <c r="B85" s="32">
        <v>76</v>
      </c>
      <c r="C85" s="33">
        <v>2011</v>
      </c>
      <c r="D85" s="34">
        <v>2.4300000000000002</v>
      </c>
    </row>
    <row r="86" spans="2:4" x14ac:dyDescent="0.45">
      <c r="B86" s="32">
        <v>77</v>
      </c>
      <c r="C86" s="33">
        <v>2012</v>
      </c>
      <c r="D86" s="34">
        <v>2.9</v>
      </c>
    </row>
    <row r="87" spans="2:4" x14ac:dyDescent="0.45">
      <c r="B87" s="32">
        <v>78</v>
      </c>
      <c r="C87" s="33">
        <v>2012</v>
      </c>
      <c r="D87" s="34">
        <v>4.8499999999999996</v>
      </c>
    </row>
    <row r="88" spans="2:4" x14ac:dyDescent="0.45">
      <c r="B88" s="32">
        <v>79</v>
      </c>
      <c r="C88" s="33">
        <v>2012</v>
      </c>
      <c r="D88" s="34">
        <v>2.19</v>
      </c>
    </row>
    <row r="89" spans="2:4" x14ac:dyDescent="0.45">
      <c r="B89" s="32">
        <v>80</v>
      </c>
      <c r="C89" s="33">
        <v>2012</v>
      </c>
      <c r="D89" s="34">
        <v>3.36</v>
      </c>
    </row>
    <row r="90" spans="2:4" x14ac:dyDescent="0.45">
      <c r="B90" s="32">
        <v>81</v>
      </c>
      <c r="C90" s="33">
        <v>2012</v>
      </c>
      <c r="D90" s="34">
        <v>1.62</v>
      </c>
    </row>
    <row r="91" spans="2:4" x14ac:dyDescent="0.45">
      <c r="B91" s="32">
        <v>82</v>
      </c>
      <c r="C91" s="33">
        <v>2012</v>
      </c>
      <c r="D91" s="34">
        <v>4.16</v>
      </c>
    </row>
    <row r="92" spans="2:4" x14ac:dyDescent="0.45">
      <c r="B92" s="32">
        <v>83</v>
      </c>
      <c r="C92" s="33">
        <v>2012</v>
      </c>
      <c r="D92" s="34">
        <v>4.38</v>
      </c>
    </row>
    <row r="93" spans="2:4" x14ac:dyDescent="0.45">
      <c r="B93" s="32">
        <v>84</v>
      </c>
      <c r="C93" s="33">
        <v>2012</v>
      </c>
      <c r="D93" s="34">
        <v>6.37</v>
      </c>
    </row>
    <row r="94" spans="2:4" x14ac:dyDescent="0.45">
      <c r="B94" s="32">
        <v>85</v>
      </c>
      <c r="C94" s="33">
        <v>2013</v>
      </c>
      <c r="D94" s="34">
        <v>1.1200000000000001</v>
      </c>
    </row>
    <row r="95" spans="2:4" x14ac:dyDescent="0.45">
      <c r="B95" s="32">
        <v>86</v>
      </c>
      <c r="C95" s="33">
        <v>2013</v>
      </c>
      <c r="D95" s="34">
        <v>2.58</v>
      </c>
    </row>
    <row r="96" spans="2:4" x14ac:dyDescent="0.45">
      <c r="B96" s="32">
        <v>87</v>
      </c>
      <c r="C96" s="33">
        <v>2013</v>
      </c>
      <c r="D96" s="34">
        <v>13.32</v>
      </c>
    </row>
    <row r="97" spans="2:4" x14ac:dyDescent="0.45">
      <c r="B97" s="32">
        <v>88</v>
      </c>
      <c r="C97" s="33">
        <v>2013</v>
      </c>
      <c r="D97" s="34">
        <v>4.3</v>
      </c>
    </row>
    <row r="98" spans="2:4" x14ac:dyDescent="0.45">
      <c r="B98" s="32">
        <v>89</v>
      </c>
      <c r="C98" s="33">
        <v>2013</v>
      </c>
      <c r="D98" s="34">
        <v>7.64</v>
      </c>
    </row>
    <row r="99" spans="2:4" x14ac:dyDescent="0.45">
      <c r="B99" s="32">
        <v>90</v>
      </c>
      <c r="C99" s="33">
        <v>2013</v>
      </c>
      <c r="D99" s="34">
        <v>13.66</v>
      </c>
    </row>
    <row r="100" spans="2:4" x14ac:dyDescent="0.45">
      <c r="B100" s="32">
        <v>91</v>
      </c>
      <c r="C100" s="33">
        <v>2013</v>
      </c>
      <c r="D100" s="34">
        <v>7.83</v>
      </c>
    </row>
    <row r="101" spans="2:4" x14ac:dyDescent="0.45">
      <c r="B101" s="32">
        <v>92</v>
      </c>
      <c r="C101" s="33">
        <v>2013</v>
      </c>
      <c r="D101" s="34">
        <v>17.37</v>
      </c>
    </row>
    <row r="102" spans="2:4" x14ac:dyDescent="0.45">
      <c r="B102" s="32">
        <v>93</v>
      </c>
      <c r="C102" s="33">
        <v>2013</v>
      </c>
      <c r="D102" s="34">
        <v>3.58</v>
      </c>
    </row>
    <row r="103" spans="2:4" x14ac:dyDescent="0.45">
      <c r="B103" s="32">
        <v>94</v>
      </c>
      <c r="C103" s="33">
        <v>2014</v>
      </c>
      <c r="D103" s="34">
        <v>2.37</v>
      </c>
    </row>
    <row r="104" spans="2:4" x14ac:dyDescent="0.45">
      <c r="B104" s="32">
        <v>95</v>
      </c>
      <c r="C104" s="33">
        <v>2014</v>
      </c>
      <c r="D104" s="34">
        <v>2.63</v>
      </c>
    </row>
    <row r="105" spans="2:4" x14ac:dyDescent="0.45">
      <c r="B105" s="32">
        <v>96</v>
      </c>
      <c r="C105" s="33">
        <v>2014</v>
      </c>
      <c r="D105" s="34">
        <v>1.28</v>
      </c>
    </row>
    <row r="106" spans="2:4" x14ac:dyDescent="0.45">
      <c r="B106" s="32">
        <v>97</v>
      </c>
      <c r="C106" s="33">
        <v>2014</v>
      </c>
      <c r="D106" s="34">
        <v>1.37</v>
      </c>
    </row>
    <row r="107" spans="2:4" x14ac:dyDescent="0.45">
      <c r="B107" s="32">
        <v>98</v>
      </c>
      <c r="C107" s="33">
        <v>2014</v>
      </c>
      <c r="D107" s="34">
        <v>2.48</v>
      </c>
    </row>
    <row r="108" spans="2:4" x14ac:dyDescent="0.45">
      <c r="B108" s="32">
        <v>99</v>
      </c>
      <c r="C108" s="33">
        <v>2014</v>
      </c>
      <c r="D108" s="34">
        <v>3.3</v>
      </c>
    </row>
    <row r="109" spans="2:4" x14ac:dyDescent="0.45">
      <c r="B109" s="32">
        <v>100</v>
      </c>
      <c r="C109" s="33">
        <v>2014</v>
      </c>
      <c r="D109" s="34">
        <v>1.48</v>
      </c>
    </row>
    <row r="110" spans="2:4" x14ac:dyDescent="0.45">
      <c r="B110" s="32">
        <v>101</v>
      </c>
      <c r="C110" s="33">
        <v>2014</v>
      </c>
      <c r="D110" s="34">
        <v>6.66</v>
      </c>
    </row>
    <row r="111" spans="2:4" x14ac:dyDescent="0.45">
      <c r="B111" s="32">
        <v>102</v>
      </c>
      <c r="C111" s="33">
        <v>2015</v>
      </c>
      <c r="D111" s="34">
        <v>1.6</v>
      </c>
    </row>
    <row r="112" spans="2:4" x14ac:dyDescent="0.45">
      <c r="B112" s="32">
        <v>103</v>
      </c>
      <c r="C112" s="33">
        <v>2015</v>
      </c>
      <c r="D112" s="34">
        <v>10.6</v>
      </c>
    </row>
    <row r="113" spans="2:4" x14ac:dyDescent="0.45">
      <c r="B113" s="32">
        <v>104</v>
      </c>
      <c r="C113" s="33">
        <v>2015</v>
      </c>
      <c r="D113" s="34">
        <v>1.0900000000000001</v>
      </c>
    </row>
    <row r="114" spans="2:4" x14ac:dyDescent="0.45">
      <c r="B114" s="32">
        <v>105</v>
      </c>
      <c r="C114" s="33">
        <v>2015</v>
      </c>
      <c r="D114" s="34">
        <v>6.95</v>
      </c>
    </row>
    <row r="115" spans="2:4" x14ac:dyDescent="0.45">
      <c r="B115" s="32">
        <v>106</v>
      </c>
      <c r="C115" s="33">
        <v>2015</v>
      </c>
      <c r="D115" s="34">
        <v>1.2</v>
      </c>
    </row>
    <row r="116" spans="2:4" x14ac:dyDescent="0.45">
      <c r="B116" s="32">
        <v>107</v>
      </c>
      <c r="C116" s="33">
        <v>2015</v>
      </c>
      <c r="D116" s="34">
        <v>5.63</v>
      </c>
    </row>
    <row r="117" spans="2:4" x14ac:dyDescent="0.45">
      <c r="B117" s="32">
        <v>108</v>
      </c>
      <c r="C117" s="33">
        <v>2015</v>
      </c>
      <c r="D117" s="34">
        <v>1.74</v>
      </c>
    </row>
    <row r="118" spans="2:4" x14ac:dyDescent="0.45">
      <c r="B118" s="32">
        <v>109</v>
      </c>
      <c r="C118" s="33">
        <v>2015</v>
      </c>
      <c r="D118" s="34">
        <v>1.3</v>
      </c>
    </row>
    <row r="119" spans="2:4" x14ac:dyDescent="0.45">
      <c r="B119" s="32">
        <v>110</v>
      </c>
      <c r="C119" s="33">
        <v>2015</v>
      </c>
      <c r="D119" s="34">
        <v>1.74</v>
      </c>
    </row>
    <row r="120" spans="2:4" x14ac:dyDescent="0.45">
      <c r="B120" s="32">
        <v>111</v>
      </c>
      <c r="C120" s="33">
        <v>2015</v>
      </c>
      <c r="D120" s="34">
        <v>10.72</v>
      </c>
    </row>
    <row r="121" spans="2:4" x14ac:dyDescent="0.45">
      <c r="B121" s="32">
        <v>112</v>
      </c>
      <c r="C121" s="33">
        <v>2015</v>
      </c>
      <c r="D121" s="34">
        <v>5.29</v>
      </c>
    </row>
    <row r="122" spans="2:4" x14ac:dyDescent="0.45">
      <c r="B122" s="32">
        <v>113</v>
      </c>
      <c r="C122" s="33">
        <v>2016</v>
      </c>
      <c r="D122" s="34">
        <v>6.78</v>
      </c>
    </row>
    <row r="123" spans="2:4" x14ac:dyDescent="0.45">
      <c r="B123" s="32">
        <v>114</v>
      </c>
      <c r="C123" s="33">
        <v>2016</v>
      </c>
      <c r="D123" s="34">
        <v>3.64</v>
      </c>
    </row>
    <row r="124" spans="2:4" x14ac:dyDescent="0.45">
      <c r="B124" s="32">
        <v>115</v>
      </c>
      <c r="C124" s="33">
        <v>2016</v>
      </c>
      <c r="D124" s="34">
        <v>3.23</v>
      </c>
    </row>
    <row r="125" spans="2:4" x14ac:dyDescent="0.45">
      <c r="B125" s="32">
        <v>116</v>
      </c>
      <c r="C125" s="33">
        <v>2016</v>
      </c>
      <c r="D125" s="34">
        <v>2.35</v>
      </c>
    </row>
    <row r="126" spans="2:4" x14ac:dyDescent="0.45">
      <c r="B126" s="32">
        <v>117</v>
      </c>
      <c r="C126" s="33">
        <v>2016</v>
      </c>
      <c r="D126" s="34">
        <v>1.08</v>
      </c>
    </row>
    <row r="127" spans="2:4" x14ac:dyDescent="0.45">
      <c r="B127" s="32">
        <v>118</v>
      </c>
      <c r="C127" s="33">
        <v>2017</v>
      </c>
      <c r="D127" s="34">
        <v>17.899999999999999</v>
      </c>
    </row>
    <row r="128" spans="2:4" x14ac:dyDescent="0.45">
      <c r="B128" s="32">
        <v>119</v>
      </c>
      <c r="C128" s="33">
        <v>2017</v>
      </c>
      <c r="D128" s="34">
        <v>3.15</v>
      </c>
    </row>
    <row r="129" spans="2:4" x14ac:dyDescent="0.45">
      <c r="B129" s="32">
        <v>120</v>
      </c>
      <c r="C129" s="33">
        <v>2017</v>
      </c>
      <c r="D129" s="34">
        <v>2.39</v>
      </c>
    </row>
    <row r="130" spans="2:4" x14ac:dyDescent="0.45">
      <c r="B130" s="32">
        <v>121</v>
      </c>
      <c r="C130" s="33">
        <v>2017</v>
      </c>
      <c r="D130" s="34">
        <v>1.6</v>
      </c>
    </row>
    <row r="131" spans="2:4" x14ac:dyDescent="0.45">
      <c r="B131" s="32">
        <v>122</v>
      </c>
      <c r="C131" s="33">
        <v>2017</v>
      </c>
      <c r="D131" s="34">
        <v>50.96</v>
      </c>
    </row>
    <row r="132" spans="2:4" x14ac:dyDescent="0.45">
      <c r="B132" s="32">
        <v>123</v>
      </c>
      <c r="C132" s="33">
        <v>2017</v>
      </c>
      <c r="D132" s="34">
        <v>3.32</v>
      </c>
    </row>
    <row r="133" spans="2:4" x14ac:dyDescent="0.45">
      <c r="B133" s="32">
        <v>124</v>
      </c>
      <c r="C133" s="33">
        <v>2017</v>
      </c>
      <c r="D133" s="34">
        <v>1.75</v>
      </c>
    </row>
    <row r="134" spans="2:4" x14ac:dyDescent="0.45">
      <c r="B134" s="32">
        <v>125</v>
      </c>
      <c r="C134" s="33">
        <v>2017</v>
      </c>
      <c r="D134" s="34">
        <v>2.77</v>
      </c>
    </row>
    <row r="135" spans="2:4" x14ac:dyDescent="0.45">
      <c r="B135" s="32">
        <v>126</v>
      </c>
      <c r="C135" s="33">
        <v>2017</v>
      </c>
      <c r="D135" s="34">
        <v>2.67</v>
      </c>
    </row>
    <row r="136" spans="2:4" x14ac:dyDescent="0.45">
      <c r="B136" s="32">
        <v>127</v>
      </c>
      <c r="C136" s="33">
        <v>2017</v>
      </c>
      <c r="D136" s="34">
        <v>1.34</v>
      </c>
    </row>
    <row r="137" spans="2:4" x14ac:dyDescent="0.45">
      <c r="B137" s="32">
        <v>128</v>
      </c>
      <c r="C137" s="33">
        <v>2017</v>
      </c>
      <c r="D137" s="34">
        <v>2.99</v>
      </c>
    </row>
    <row r="138" spans="2:4" x14ac:dyDescent="0.45">
      <c r="B138" s="32">
        <v>129</v>
      </c>
      <c r="C138" s="33">
        <v>2018</v>
      </c>
      <c r="D138" s="34">
        <v>3.85</v>
      </c>
    </row>
    <row r="139" spans="2:4" x14ac:dyDescent="0.45">
      <c r="B139" s="32">
        <v>130</v>
      </c>
      <c r="C139" s="33">
        <v>2018</v>
      </c>
      <c r="D139" s="34">
        <v>9.1999999999999993</v>
      </c>
    </row>
    <row r="140" spans="2:4" x14ac:dyDescent="0.45">
      <c r="B140" s="32">
        <v>131</v>
      </c>
      <c r="C140" s="33">
        <v>2018</v>
      </c>
      <c r="D140" s="34">
        <v>2.1</v>
      </c>
    </row>
    <row r="141" spans="2:4" x14ac:dyDescent="0.45">
      <c r="B141" s="32">
        <v>132</v>
      </c>
      <c r="C141" s="33">
        <v>2018</v>
      </c>
      <c r="D141" s="34">
        <v>4.0599999999999996</v>
      </c>
    </row>
    <row r="142" spans="2:4" x14ac:dyDescent="0.45">
      <c r="B142" s="32">
        <v>133</v>
      </c>
      <c r="C142" s="33">
        <v>2018</v>
      </c>
      <c r="D142" s="34">
        <v>1.23</v>
      </c>
    </row>
    <row r="143" spans="2:4" x14ac:dyDescent="0.45">
      <c r="B143" s="32">
        <v>134</v>
      </c>
      <c r="C143" s="33">
        <v>2018</v>
      </c>
      <c r="D143" s="34">
        <v>3.84</v>
      </c>
    </row>
    <row r="144" spans="2:4" x14ac:dyDescent="0.45">
      <c r="B144" s="32">
        <v>135</v>
      </c>
      <c r="C144" s="33">
        <v>2018</v>
      </c>
      <c r="D144" s="34">
        <v>1.79</v>
      </c>
    </row>
    <row r="145" spans="2:4" x14ac:dyDescent="0.45">
      <c r="B145" s="32">
        <v>136</v>
      </c>
      <c r="C145" s="33">
        <v>2018</v>
      </c>
      <c r="D145" s="34">
        <v>1.1100000000000001</v>
      </c>
    </row>
    <row r="146" spans="2:4" x14ac:dyDescent="0.45">
      <c r="B146" s="32">
        <v>137</v>
      </c>
      <c r="C146" s="33">
        <v>2018</v>
      </c>
      <c r="D146" s="34">
        <v>2.1</v>
      </c>
    </row>
    <row r="147" spans="2:4" x14ac:dyDescent="0.45">
      <c r="B147" s="32">
        <v>138</v>
      </c>
      <c r="C147" s="33">
        <v>2018</v>
      </c>
      <c r="D147" s="34">
        <v>5.8</v>
      </c>
    </row>
    <row r="148" spans="2:4" x14ac:dyDescent="0.45">
      <c r="B148" s="32">
        <v>139</v>
      </c>
      <c r="C148" s="33">
        <v>2018</v>
      </c>
      <c r="D148" s="34">
        <v>8.35</v>
      </c>
    </row>
    <row r="149" spans="2:4" x14ac:dyDescent="0.45">
      <c r="B149" s="32">
        <v>140</v>
      </c>
      <c r="C149" s="33">
        <v>2019</v>
      </c>
      <c r="D149" s="34">
        <v>15.3</v>
      </c>
    </row>
    <row r="150" spans="2:4" x14ac:dyDescent="0.45">
      <c r="B150" s="32">
        <v>141</v>
      </c>
      <c r="C150" s="33">
        <v>2019</v>
      </c>
      <c r="D150" s="34">
        <v>1.08</v>
      </c>
    </row>
    <row r="151" spans="2:4" x14ac:dyDescent="0.45">
      <c r="B151" s="32">
        <v>142</v>
      </c>
      <c r="C151" s="33">
        <v>2020</v>
      </c>
      <c r="D151" s="34">
        <v>1.2</v>
      </c>
    </row>
    <row r="152" spans="2:4" x14ac:dyDescent="0.45">
      <c r="B152" s="32">
        <v>143</v>
      </c>
      <c r="C152" s="33">
        <v>2020</v>
      </c>
      <c r="D152" s="34">
        <v>4.57</v>
      </c>
    </row>
    <row r="153" spans="2:4" x14ac:dyDescent="0.45">
      <c r="B153" s="32">
        <v>144</v>
      </c>
      <c r="C153" s="33">
        <v>2020</v>
      </c>
      <c r="D153" s="34">
        <v>2.04</v>
      </c>
    </row>
    <row r="154" spans="2:4" x14ac:dyDescent="0.45">
      <c r="B154" s="32">
        <v>145</v>
      </c>
      <c r="C154" s="33">
        <v>2020</v>
      </c>
      <c r="D154" s="34">
        <v>29.38</v>
      </c>
    </row>
    <row r="155" spans="2:4" x14ac:dyDescent="0.45">
      <c r="B155" s="32">
        <v>146</v>
      </c>
      <c r="C155" s="33">
        <v>2020</v>
      </c>
      <c r="D155" s="34">
        <v>1.99</v>
      </c>
    </row>
    <row r="156" spans="2:4" x14ac:dyDescent="0.45">
      <c r="B156" s="32">
        <v>147</v>
      </c>
      <c r="C156" s="33">
        <v>2020</v>
      </c>
      <c r="D156" s="34">
        <v>1.32</v>
      </c>
    </row>
    <row r="157" spans="2:4" x14ac:dyDescent="0.45">
      <c r="B157" s="32">
        <v>148</v>
      </c>
      <c r="C157" s="33">
        <v>2020</v>
      </c>
      <c r="D157" s="34">
        <v>1.68</v>
      </c>
    </row>
    <row r="158" spans="2:4" x14ac:dyDescent="0.45">
      <c r="B158" s="32">
        <v>149</v>
      </c>
      <c r="C158" s="33">
        <v>2020</v>
      </c>
      <c r="D158" s="34">
        <v>5.04</v>
      </c>
    </row>
    <row r="159" spans="2:4" x14ac:dyDescent="0.45">
      <c r="B159" s="32">
        <v>150</v>
      </c>
      <c r="C159" s="33">
        <v>2020</v>
      </c>
      <c r="D159" s="34">
        <v>1.07</v>
      </c>
    </row>
    <row r="160" spans="2:4" x14ac:dyDescent="0.45">
      <c r="B160" s="32">
        <v>151</v>
      </c>
      <c r="C160" s="33">
        <v>2021</v>
      </c>
      <c r="D160" s="34">
        <v>3.3</v>
      </c>
    </row>
    <row r="161" spans="2:4" x14ac:dyDescent="0.45">
      <c r="B161" s="32">
        <v>152</v>
      </c>
      <c r="C161" s="33">
        <v>2021</v>
      </c>
      <c r="D161" s="34">
        <v>1.62</v>
      </c>
    </row>
    <row r="162" spans="2:4" x14ac:dyDescent="0.45">
      <c r="B162" s="32">
        <v>153</v>
      </c>
      <c r="C162" s="33">
        <v>2021</v>
      </c>
      <c r="D162" s="34">
        <v>1.1100000000000001</v>
      </c>
    </row>
    <row r="163" spans="2:4" x14ac:dyDescent="0.45">
      <c r="B163" s="32">
        <v>154</v>
      </c>
      <c r="C163" s="33">
        <v>2021</v>
      </c>
      <c r="D163" s="34">
        <v>1.5</v>
      </c>
    </row>
    <row r="164" spans="2:4" x14ac:dyDescent="0.45">
      <c r="B164" s="32">
        <v>155</v>
      </c>
      <c r="C164" s="33">
        <v>2021</v>
      </c>
      <c r="D164" s="34">
        <v>2.4</v>
      </c>
    </row>
    <row r="165" spans="2:4" x14ac:dyDescent="0.45">
      <c r="B165" s="32">
        <v>156</v>
      </c>
      <c r="C165" s="33">
        <v>2021</v>
      </c>
      <c r="D165" s="34">
        <v>1.18</v>
      </c>
    </row>
    <row r="166" spans="2:4" x14ac:dyDescent="0.45">
      <c r="B166" s="32">
        <v>157</v>
      </c>
      <c r="C166" s="33">
        <v>2021</v>
      </c>
      <c r="D166" s="34">
        <v>3.13</v>
      </c>
    </row>
    <row r="167" spans="2:4" x14ac:dyDescent="0.45">
      <c r="B167" s="32">
        <v>158</v>
      </c>
      <c r="C167" s="33">
        <v>2021</v>
      </c>
      <c r="D167" s="34">
        <v>2.27</v>
      </c>
    </row>
    <row r="168" spans="2:4" x14ac:dyDescent="0.45">
      <c r="B168" s="32">
        <v>159</v>
      </c>
      <c r="C168" s="33">
        <v>2021</v>
      </c>
      <c r="D168" s="34">
        <v>1.42</v>
      </c>
    </row>
    <row r="169" spans="2:4" x14ac:dyDescent="0.45">
      <c r="B169" s="32">
        <v>160</v>
      </c>
      <c r="C169" s="33">
        <v>2022</v>
      </c>
      <c r="D169" s="34">
        <v>9.01</v>
      </c>
    </row>
    <row r="170" spans="2:4" x14ac:dyDescent="0.45">
      <c r="B170" s="32">
        <v>161</v>
      </c>
      <c r="C170" s="33">
        <v>2022</v>
      </c>
      <c r="D170" s="34">
        <v>2.66</v>
      </c>
    </row>
    <row r="171" spans="2:4" x14ac:dyDescent="0.45">
      <c r="B171" s="32">
        <v>162</v>
      </c>
      <c r="C171" s="33">
        <v>2022</v>
      </c>
      <c r="D171" s="34">
        <v>10.08</v>
      </c>
    </row>
    <row r="172" spans="2:4" x14ac:dyDescent="0.45">
      <c r="B172" s="32">
        <v>163</v>
      </c>
      <c r="C172" s="33">
        <v>2022</v>
      </c>
      <c r="D172" s="34">
        <v>1.4</v>
      </c>
    </row>
    <row r="173" spans="2:4" x14ac:dyDescent="0.45">
      <c r="B173" s="32">
        <v>164</v>
      </c>
      <c r="C173" s="33">
        <v>2022</v>
      </c>
      <c r="D173" s="34">
        <v>1.4</v>
      </c>
    </row>
    <row r="174" spans="2:4" x14ac:dyDescent="0.45">
      <c r="B174" s="32">
        <v>165</v>
      </c>
      <c r="C174" s="33">
        <v>2022</v>
      </c>
      <c r="D174" s="34">
        <v>19.88</v>
      </c>
    </row>
    <row r="175" spans="2:4" x14ac:dyDescent="0.45">
      <c r="B175" s="32">
        <v>166</v>
      </c>
      <c r="C175" s="33">
        <v>2022</v>
      </c>
      <c r="D175" s="34">
        <v>1.43</v>
      </c>
    </row>
    <row r="176" spans="2:4" x14ac:dyDescent="0.45">
      <c r="B176" s="32">
        <v>167</v>
      </c>
      <c r="C176" s="33">
        <v>2022</v>
      </c>
      <c r="D176" s="34">
        <v>11.05</v>
      </c>
    </row>
    <row r="177" spans="2:4" x14ac:dyDescent="0.45">
      <c r="B177" s="32">
        <v>168</v>
      </c>
      <c r="C177" s="33">
        <v>2023</v>
      </c>
      <c r="D177" s="34">
        <v>5.22</v>
      </c>
    </row>
    <row r="178" spans="2:4" x14ac:dyDescent="0.45">
      <c r="B178" s="32">
        <v>169</v>
      </c>
      <c r="C178" s="33">
        <v>2023</v>
      </c>
      <c r="D178" s="34">
        <v>3.78</v>
      </c>
    </row>
    <row r="179" spans="2:4" x14ac:dyDescent="0.45">
      <c r="B179" s="32">
        <v>170</v>
      </c>
      <c r="C179" s="33">
        <v>2023</v>
      </c>
      <c r="D179" s="34">
        <v>7.16</v>
      </c>
    </row>
    <row r="180" spans="2:4" x14ac:dyDescent="0.45">
      <c r="B180" s="32">
        <v>171</v>
      </c>
      <c r="C180" s="33">
        <v>2023</v>
      </c>
      <c r="D180" s="34">
        <v>2.5299999999999998</v>
      </c>
    </row>
    <row r="181" spans="2:4" x14ac:dyDescent="0.45">
      <c r="B181" s="32">
        <v>172</v>
      </c>
      <c r="C181" s="33">
        <v>2023</v>
      </c>
      <c r="D181" s="34">
        <v>13.31</v>
      </c>
    </row>
    <row r="182" spans="2:4" x14ac:dyDescent="0.45">
      <c r="B182" s="32">
        <v>173</v>
      </c>
      <c r="C182" s="33">
        <v>2023</v>
      </c>
      <c r="D182" s="34">
        <v>2.81</v>
      </c>
    </row>
    <row r="183" spans="2:4" x14ac:dyDescent="0.45">
      <c r="B183" s="32">
        <v>174</v>
      </c>
      <c r="C183" s="33">
        <v>2023</v>
      </c>
      <c r="D183" s="34">
        <v>11.59</v>
      </c>
    </row>
    <row r="184" spans="2:4" x14ac:dyDescent="0.45">
      <c r="B184" s="32">
        <v>175</v>
      </c>
      <c r="C184" s="33">
        <v>2024</v>
      </c>
      <c r="D184" s="34">
        <v>3.29</v>
      </c>
    </row>
    <row r="185" spans="2:4" x14ac:dyDescent="0.45">
      <c r="B185" s="32">
        <v>176</v>
      </c>
      <c r="C185" s="33">
        <v>2024</v>
      </c>
      <c r="D185" s="34">
        <v>3.95</v>
      </c>
    </row>
    <row r="186" spans="2:4" x14ac:dyDescent="0.45">
      <c r="B186" s="32">
        <v>177</v>
      </c>
      <c r="C186" s="33">
        <v>2024</v>
      </c>
      <c r="D186" s="34">
        <v>1.62</v>
      </c>
    </row>
    <row r="187" spans="2:4" x14ac:dyDescent="0.45">
      <c r="B187" s="32">
        <v>178</v>
      </c>
      <c r="C187" s="33">
        <v>2024</v>
      </c>
      <c r="D187" s="34">
        <v>2.3199999999999998</v>
      </c>
    </row>
    <row r="188" spans="2:4" x14ac:dyDescent="0.45">
      <c r="B188" s="32">
        <v>179</v>
      </c>
      <c r="C188" s="33">
        <v>2024</v>
      </c>
      <c r="D188" s="34">
        <v>2.2599999999999998</v>
      </c>
    </row>
    <row r="189" spans="2:4" x14ac:dyDescent="0.45">
      <c r="B189" s="32">
        <v>180</v>
      </c>
      <c r="C189" s="33">
        <v>2024</v>
      </c>
      <c r="D189" s="34">
        <v>1.1399999999999999</v>
      </c>
    </row>
    <row r="190" spans="2:4" x14ac:dyDescent="0.45">
      <c r="B190" s="32">
        <v>181</v>
      </c>
      <c r="C190" s="33">
        <v>2024</v>
      </c>
      <c r="D190" s="34">
        <v>7.34</v>
      </c>
    </row>
    <row r="191" spans="2:4" x14ac:dyDescent="0.45">
      <c r="B191" s="32">
        <v>182</v>
      </c>
      <c r="C191" s="33">
        <v>2024</v>
      </c>
      <c r="D191" s="34">
        <v>1.43</v>
      </c>
    </row>
    <row r="192" spans="2:4" x14ac:dyDescent="0.45">
      <c r="B192" s="32">
        <v>183</v>
      </c>
      <c r="C192" s="33">
        <v>2024</v>
      </c>
      <c r="D192" s="34">
        <v>3.14</v>
      </c>
    </row>
    <row r="193" spans="2:4" x14ac:dyDescent="0.45">
      <c r="B193" s="32">
        <v>184</v>
      </c>
      <c r="C193" s="33">
        <v>2025</v>
      </c>
      <c r="D193" s="34">
        <v>2.63</v>
      </c>
    </row>
    <row r="194" spans="2:4" x14ac:dyDescent="0.45">
      <c r="B194" s="32">
        <v>185</v>
      </c>
      <c r="C194" s="33">
        <v>2025</v>
      </c>
      <c r="D194" s="34">
        <v>1.27</v>
      </c>
    </row>
    <row r="195" spans="2:4" x14ac:dyDescent="0.45">
      <c r="B195" s="32">
        <v>186</v>
      </c>
      <c r="C195" s="33">
        <v>2025</v>
      </c>
      <c r="D195" s="34">
        <v>1.44</v>
      </c>
    </row>
    <row r="196" spans="2:4" x14ac:dyDescent="0.45">
      <c r="B196" s="32">
        <v>187</v>
      </c>
      <c r="C196" s="33">
        <v>2025</v>
      </c>
      <c r="D196" s="34">
        <v>2.48</v>
      </c>
    </row>
    <row r="197" spans="2:4" x14ac:dyDescent="0.45">
      <c r="B197" s="32">
        <v>188</v>
      </c>
      <c r="C197" s="33">
        <v>2025</v>
      </c>
      <c r="D197" s="34">
        <v>2.9</v>
      </c>
    </row>
    <row r="198" spans="2:4" x14ac:dyDescent="0.45">
      <c r="B198" s="32">
        <v>189</v>
      </c>
      <c r="C198" s="33">
        <v>2025</v>
      </c>
      <c r="D198" s="34">
        <v>2.4300000000000002</v>
      </c>
    </row>
  </sheetData>
  <hyperlinks>
    <hyperlink ref="B4" location="'Inputs'!A1" display="◂  Inputs" xr:uid="{00000000-0004-0000-0200-000000000000}"/>
    <hyperlink ref="J4" location="'Tail'!A1" display="Next:  Tail  ▸" xr:uid="{00000000-0004-0000-0200-000001000000}"/>
  </hyperlinks>
  <printOptions horizontalCentered="1"/>
  <pageMargins left="0.4" right="0.4" top="0.5" bottom="0.6" header="0.25" footer="0.25"/>
  <pageSetup paperSize="9"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H114"/>
  <sheetViews>
    <sheetView showGridLines="0" workbookViewId="0"/>
  </sheetViews>
  <sheetFormatPr defaultRowHeight="14.25" x14ac:dyDescent="0.45"/>
  <cols>
    <col min="1" max="1" width="2" customWidth="1"/>
    <col min="2" max="2" width="44" customWidth="1"/>
    <col min="3" max="6" width="12" customWidth="1"/>
    <col min="7" max="7" width="3" customWidth="1"/>
    <col min="8" max="8" width="58" customWidth="1"/>
    <col min="10" max="10" width="9.06640625" customWidth="1"/>
  </cols>
  <sheetData>
    <row r="1" spans="1:8" ht="6" customHeight="1" x14ac:dyDescent="0.45"/>
    <row r="2" spans="1:8" ht="30" customHeight="1" x14ac:dyDescent="0.45">
      <c r="A2" s="1"/>
      <c r="B2" s="21" t="s">
        <v>0</v>
      </c>
      <c r="C2" s="1"/>
      <c r="D2" s="1"/>
      <c r="E2" s="1"/>
      <c r="F2" s="1"/>
      <c r="G2" s="1"/>
      <c r="H2" s="3" t="s">
        <v>1</v>
      </c>
    </row>
    <row r="3" spans="1:8" ht="20" customHeight="1" x14ac:dyDescent="0.45">
      <c r="A3" s="1"/>
      <c r="B3" s="4" t="s">
        <v>134</v>
      </c>
      <c r="C3" s="1"/>
      <c r="D3" s="1"/>
      <c r="E3" s="1"/>
      <c r="F3" s="1"/>
      <c r="G3" s="1"/>
      <c r="H3" s="1"/>
    </row>
    <row r="4" spans="1:8" ht="20" customHeight="1" x14ac:dyDescent="0.45">
      <c r="A4" s="5"/>
      <c r="B4" s="22" t="s">
        <v>135</v>
      </c>
      <c r="C4" s="5"/>
      <c r="D4" s="5"/>
      <c r="E4" s="5"/>
      <c r="F4" s="5"/>
      <c r="G4" s="5"/>
      <c r="H4" s="6" t="s">
        <v>136</v>
      </c>
    </row>
    <row r="5" spans="1:8" ht="8" customHeight="1" x14ac:dyDescent="0.45"/>
    <row r="6" spans="1:8" ht="22.05" customHeight="1" x14ac:dyDescent="0.5">
      <c r="B6" s="7" t="s">
        <v>137</v>
      </c>
      <c r="C6" s="8"/>
      <c r="D6" s="8"/>
      <c r="E6" s="8"/>
      <c r="F6" s="8"/>
      <c r="G6" s="8"/>
      <c r="H6" s="8"/>
    </row>
    <row r="7" spans="1:8" ht="18" customHeight="1" x14ac:dyDescent="0.45">
      <c r="B7" s="44" t="s">
        <v>138</v>
      </c>
      <c r="C7" s="44" t="s">
        <v>112</v>
      </c>
      <c r="D7" s="45" t="s">
        <v>139</v>
      </c>
      <c r="E7" s="5"/>
      <c r="F7" s="5"/>
      <c r="G7" s="5"/>
      <c r="H7" s="44" t="s">
        <v>140</v>
      </c>
    </row>
    <row r="8" spans="1:8" x14ac:dyDescent="0.45">
      <c r="B8" s="25" t="s">
        <v>141</v>
      </c>
      <c r="C8" s="26" t="s">
        <v>142</v>
      </c>
      <c r="D8" s="39">
        <f>COUNT(Years)</f>
        <v>25</v>
      </c>
      <c r="E8" s="28"/>
      <c r="F8" s="28"/>
      <c r="G8" s="28"/>
      <c r="H8" s="26" t="s">
        <v>143</v>
      </c>
    </row>
    <row r="9" spans="1:8" x14ac:dyDescent="0.45">
      <c r="B9" s="25" t="s">
        <v>144</v>
      </c>
      <c r="C9" s="26" t="s">
        <v>145</v>
      </c>
      <c r="D9" s="39">
        <f>COUNT(Losses)</f>
        <v>189</v>
      </c>
      <c r="E9" s="28"/>
      <c r="F9" s="28"/>
      <c r="G9" s="28"/>
      <c r="H9" s="26" t="s">
        <v>146</v>
      </c>
    </row>
    <row r="10" spans="1:8" x14ac:dyDescent="0.45">
      <c r="B10" s="25" t="s">
        <v>147</v>
      </c>
      <c r="C10" s="26" t="s">
        <v>145</v>
      </c>
      <c r="D10" s="40">
        <f>NEvents/NYears</f>
        <v>7.56</v>
      </c>
      <c r="E10" s="28"/>
      <c r="F10" s="28"/>
      <c r="G10" s="28"/>
      <c r="H10" s="26" t="s">
        <v>148</v>
      </c>
    </row>
    <row r="11" spans="1:8" x14ac:dyDescent="0.45">
      <c r="B11" s="25" t="s">
        <v>149</v>
      </c>
      <c r="C11" s="26" t="s">
        <v>117</v>
      </c>
      <c r="D11" s="40">
        <f>MAX(Losses)</f>
        <v>50.96</v>
      </c>
      <c r="E11" s="28"/>
      <c r="F11" s="28"/>
      <c r="G11" s="28"/>
      <c r="H11" s="28"/>
    </row>
    <row r="12" spans="1:8" x14ac:dyDescent="0.45">
      <c r="B12" s="25" t="s">
        <v>150</v>
      </c>
      <c r="C12" s="26" t="s">
        <v>145</v>
      </c>
      <c r="D12" s="39">
        <f>COUNTIF(Losses,"&gt;"&amp;Threshold)</f>
        <v>43</v>
      </c>
      <c r="E12" s="28"/>
      <c r="F12" s="28"/>
      <c r="G12" s="28"/>
      <c r="H12" s="26" t="s">
        <v>151</v>
      </c>
    </row>
    <row r="13" spans="1:8" x14ac:dyDescent="0.45">
      <c r="B13" s="25" t="s">
        <v>152</v>
      </c>
      <c r="C13" s="26" t="s">
        <v>145</v>
      </c>
      <c r="D13" s="40">
        <f>NAbove/NYears</f>
        <v>1.72</v>
      </c>
      <c r="E13" s="28"/>
      <c r="F13" s="28"/>
      <c r="G13" s="28"/>
      <c r="H13" s="28"/>
    </row>
    <row r="14" spans="1:8" x14ac:dyDescent="0.45">
      <c r="B14" s="25" t="s">
        <v>153</v>
      </c>
      <c r="C14" s="26" t="s">
        <v>145</v>
      </c>
      <c r="D14" s="40">
        <f>(NEvents-NAbove)/NYears</f>
        <v>5.84</v>
      </c>
      <c r="E14" s="28"/>
      <c r="F14" s="28"/>
      <c r="G14" s="28"/>
      <c r="H14" s="28"/>
    </row>
    <row r="15" spans="1:8" ht="8" customHeight="1" x14ac:dyDescent="0.45"/>
    <row r="16" spans="1:8" ht="22.05" customHeight="1" x14ac:dyDescent="0.5">
      <c r="B16" s="7" t="s">
        <v>154</v>
      </c>
      <c r="C16" s="8"/>
      <c r="D16" s="8"/>
      <c r="E16" s="8"/>
      <c r="F16" s="8"/>
      <c r="H16" s="46" t="s">
        <v>155</v>
      </c>
    </row>
    <row r="17" spans="2:8" ht="18" customHeight="1" x14ac:dyDescent="0.45">
      <c r="B17" s="13" t="s">
        <v>156</v>
      </c>
    </row>
    <row r="18" spans="2:8" ht="18" customHeight="1" x14ac:dyDescent="0.45">
      <c r="B18" s="47" t="s">
        <v>157</v>
      </c>
      <c r="C18" s="30" t="s">
        <v>158</v>
      </c>
      <c r="D18" s="30" t="s">
        <v>73</v>
      </c>
      <c r="E18" s="30" t="s">
        <v>159</v>
      </c>
      <c r="F18" s="48"/>
    </row>
    <row r="19" spans="2:8" x14ac:dyDescent="0.45">
      <c r="B19" s="31"/>
      <c r="C19" s="31" t="s">
        <v>145</v>
      </c>
      <c r="D19" s="31" t="s">
        <v>160</v>
      </c>
      <c r="E19" s="31" t="s">
        <v>117</v>
      </c>
      <c r="F19" s="31"/>
    </row>
    <row r="20" spans="2:8" x14ac:dyDescent="0.45">
      <c r="B20" s="49">
        <v>1</v>
      </c>
      <c r="C20" s="39">
        <f>COUNTIF(Losses,"&gt;"&amp;B20)</f>
        <v>189</v>
      </c>
      <c r="D20" s="40" cm="1">
        <f t="array" ref="D20">IFERROR(AVERAGEIF(Losses,"&gt;"&amp;B20)-B20,NA())</f>
        <v>3.5770899470899469</v>
      </c>
      <c r="E20" s="40" t="e">
        <f t="shared" ref="E20:E28" si="0">IF(B20&gt;=Threshold,(TailScale+TailShape*(B20-Threshold))/(1-TailShape),NA())</f>
        <v>#N/A</v>
      </c>
      <c r="F20" s="28"/>
    </row>
    <row r="21" spans="2:8" x14ac:dyDescent="0.45">
      <c r="B21" s="49">
        <v>2</v>
      </c>
      <c r="C21" s="39">
        <f>COUNTIF(Losses,"&gt;"&amp;B21)</f>
        <v>116</v>
      </c>
      <c r="D21" s="40" cm="1">
        <f t="array" ref="D21">IFERROR(AVERAGEIF(Losses,"&gt;"&amp;B21)-B21,NA())</f>
        <v>4.5399137931034463</v>
      </c>
      <c r="E21" s="40" t="e">
        <f t="shared" si="0"/>
        <v>#N/A</v>
      </c>
      <c r="F21" s="28"/>
    </row>
    <row r="22" spans="2:8" x14ac:dyDescent="0.45">
      <c r="B22" s="49">
        <v>3</v>
      </c>
      <c r="C22" s="39">
        <f>COUNTIF(Losses,"&gt;"&amp;B22)</f>
        <v>76</v>
      </c>
      <c r="D22" s="40" cm="1">
        <f t="array" ref="D22">IFERROR(AVERAGEIF(Losses,"&gt;"&amp;B22)-B22,NA())</f>
        <v>5.688552631578947</v>
      </c>
      <c r="E22" s="40" t="e">
        <f t="shared" si="0"/>
        <v>#N/A</v>
      </c>
      <c r="F22" s="28"/>
    </row>
    <row r="23" spans="2:8" x14ac:dyDescent="0.45">
      <c r="B23" s="49">
        <v>4</v>
      </c>
      <c r="C23" s="39">
        <f>COUNTIF(Losses,"&gt;"&amp;B23)</f>
        <v>55</v>
      </c>
      <c r="D23" s="40" cm="1">
        <f t="array" ref="D23">IFERROR(AVERAGEIF(Losses,"&gt;"&amp;B23)-B23,NA())</f>
        <v>6.7087272727272733</v>
      </c>
      <c r="E23" s="40" t="e">
        <f t="shared" si="0"/>
        <v>#N/A</v>
      </c>
      <c r="F23" s="28"/>
    </row>
    <row r="24" spans="2:8" x14ac:dyDescent="0.45">
      <c r="B24" s="49">
        <v>5</v>
      </c>
      <c r="C24" s="39">
        <f>COUNTIF(Losses,"&gt;"&amp;B24)</f>
        <v>43</v>
      </c>
      <c r="D24" s="40" cm="1">
        <f t="array" ref="D24">IFERROR(AVERAGEIF(Losses,"&gt;"&amp;B24)-B24,NA())</f>
        <v>7.4923255813953507</v>
      </c>
      <c r="E24" s="40">
        <f t="shared" si="0"/>
        <v>7.7909296769466723</v>
      </c>
      <c r="F24" s="28"/>
    </row>
    <row r="25" spans="2:8" x14ac:dyDescent="0.45">
      <c r="B25" s="49">
        <v>7.5</v>
      </c>
      <c r="C25" s="39">
        <f>COUNTIF(Losses,"&gt;"&amp;B25)</f>
        <v>26</v>
      </c>
      <c r="D25" s="40" cm="1">
        <f t="array" ref="D25">IFERROR(AVERAGEIF(Losses,"&gt;"&amp;B25)-B25,NA())</f>
        <v>9.1538461538461533</v>
      </c>
      <c r="E25" s="40">
        <f t="shared" si="0"/>
        <v>9.358990686319272</v>
      </c>
      <c r="F25" s="28"/>
    </row>
    <row r="26" spans="2:8" x14ac:dyDescent="0.45">
      <c r="B26" s="49">
        <v>10</v>
      </c>
      <c r="C26" s="39">
        <f>COUNTIF(Losses,"&gt;"&amp;B26)</f>
        <v>19</v>
      </c>
      <c r="D26" s="40" cm="1">
        <f t="array" ref="D26">IFERROR(AVERAGEIF(Losses,"&gt;"&amp;B26)-B26,NA())</f>
        <v>9.6842105263157876</v>
      </c>
      <c r="E26" s="40">
        <f t="shared" si="0"/>
        <v>10.927051695691871</v>
      </c>
      <c r="F26" s="28"/>
    </row>
    <row r="27" spans="2:8" x14ac:dyDescent="0.45">
      <c r="B27" s="49">
        <v>15</v>
      </c>
      <c r="C27" s="39">
        <f>COUNTIF(Losses,"&gt;"&amp;B27)</f>
        <v>9</v>
      </c>
      <c r="D27" s="40" cm="1">
        <f t="array" ref="D27">IFERROR(AVERAGEIF(Losses,"&gt;"&amp;B27)-B27,NA())</f>
        <v>12.915555555555557</v>
      </c>
      <c r="E27" s="40">
        <f t="shared" si="0"/>
        <v>14.063173714437069</v>
      </c>
      <c r="F27" s="28"/>
    </row>
    <row r="28" spans="2:8" x14ac:dyDescent="0.45">
      <c r="B28" s="49">
        <v>20</v>
      </c>
      <c r="C28" s="39">
        <f>COUNTIF(Losses,"&gt;"&amp;B28)</f>
        <v>4</v>
      </c>
      <c r="D28" s="40" cm="1">
        <f t="array" ref="D28">IFERROR(AVERAGEIF(Losses,"&gt;"&amp;B28)-B28,NA())</f>
        <v>21.127499999999998</v>
      </c>
      <c r="E28" s="40">
        <f t="shared" si="0"/>
        <v>17.199295733182268</v>
      </c>
      <c r="F28" s="28"/>
    </row>
    <row r="29" spans="2:8" ht="30" customHeight="1" x14ac:dyDescent="0.45">
      <c r="B29" s="76" t="s">
        <v>161</v>
      </c>
      <c r="C29" s="74"/>
      <c r="D29" s="74"/>
      <c r="E29" s="74"/>
      <c r="F29" s="74"/>
    </row>
    <row r="30" spans="2:8" ht="8" customHeight="1" x14ac:dyDescent="0.45"/>
    <row r="31" spans="2:8" ht="22.05" customHeight="1" x14ac:dyDescent="0.5">
      <c r="B31" s="7" t="s">
        <v>162</v>
      </c>
      <c r="C31" s="8"/>
      <c r="D31" s="8"/>
      <c r="E31" s="8"/>
      <c r="F31" s="8"/>
      <c r="G31" s="8"/>
      <c r="H31" s="8"/>
    </row>
    <row r="32" spans="2:8" ht="18" customHeight="1" x14ac:dyDescent="0.45">
      <c r="B32" s="13" t="s">
        <v>163</v>
      </c>
    </row>
    <row r="33" spans="2:8" ht="18" customHeight="1" x14ac:dyDescent="0.45">
      <c r="B33" s="44" t="s">
        <v>138</v>
      </c>
      <c r="C33" s="44" t="s">
        <v>112</v>
      </c>
      <c r="D33" s="45" t="s">
        <v>139</v>
      </c>
      <c r="E33" s="5"/>
      <c r="F33" s="5"/>
      <c r="G33" s="5"/>
      <c r="H33" s="44" t="s">
        <v>140</v>
      </c>
    </row>
    <row r="34" spans="2:8" x14ac:dyDescent="0.45">
      <c r="B34" s="25" t="s">
        <v>164</v>
      </c>
      <c r="C34" s="26" t="s">
        <v>165</v>
      </c>
      <c r="D34" s="50" t="str" cm="1">
        <f t="array" ref="D34">INDEX(_xll.VoseGPDFitObject(TailData,FALSE,Threshold),1)</f>
        <v>VoseGPD(5,4.787864328359861,0.3854566108423322)</v>
      </c>
      <c r="E34" s="28"/>
      <c r="F34" s="28"/>
      <c r="G34" s="28"/>
      <c r="H34" s="26" t="s">
        <v>166</v>
      </c>
    </row>
    <row r="35" spans="2:8" x14ac:dyDescent="0.45">
      <c r="B35" s="51" t="s">
        <v>167</v>
      </c>
      <c r="C35" s="26" t="s">
        <v>117</v>
      </c>
      <c r="D35" s="40">
        <f t="array" ref="D35:D37">_xll.VoseGPDFitP(TailData,FALSE,Threshold)</f>
        <v>5</v>
      </c>
      <c r="E35" s="28"/>
      <c r="F35" s="28"/>
      <c r="G35" s="28"/>
      <c r="H35" s="26" t="s">
        <v>168</v>
      </c>
    </row>
    <row r="36" spans="2:8" x14ac:dyDescent="0.45">
      <c r="B36" s="51" t="s">
        <v>169</v>
      </c>
      <c r="C36" s="26" t="s">
        <v>117</v>
      </c>
      <c r="D36" s="40">
        <v>4.787864328359861</v>
      </c>
      <c r="E36" s="28"/>
      <c r="F36" s="28"/>
      <c r="G36" s="28"/>
      <c r="H36" s="26" t="s">
        <v>170</v>
      </c>
    </row>
    <row r="37" spans="2:8" x14ac:dyDescent="0.45">
      <c r="B37" s="51" t="s">
        <v>171</v>
      </c>
      <c r="C37" s="26"/>
      <c r="D37" s="52">
        <v>0.38545661084233224</v>
      </c>
      <c r="E37" s="28"/>
      <c r="F37" s="28"/>
      <c r="G37" s="28"/>
      <c r="H37" s="26" t="s">
        <v>172</v>
      </c>
    </row>
    <row r="38" spans="2:8" x14ac:dyDescent="0.45">
      <c r="B38" s="25" t="s">
        <v>173</v>
      </c>
      <c r="C38" s="26" t="s">
        <v>165</v>
      </c>
      <c r="D38" s="50" t="str" cm="1">
        <f t="array" ref="D38">_xll.VoseOgiveObject(Reporting,Threshold,BodyData)</f>
        <v>VoseOgive('[IN-04 Catastrophe and large-loss tail.xlsx]Inputs'!D12,'[IN-04 Catastrophe and large-loss tail.xlsx]Inputs'!D11,{1.39;1.99;1.02;1.63;1.29;4.47;3.2;2.12;1.57;4.01;3.44;2.58;3.11;1.62;1.17;3.41;1.16;2.34;1.36;1.2;2.7;1.23;4.03;1.54;1.98;4.51;1.84;1.59;1.71;1.78;1.69;1.7;1.76;1.76;2.27;1.87;2.85;1.32;3.29;2.3;2.57;1.45;2.52;2.87;1.93;2.22;1.08;2.02;4.03;1.95;4.44;1.82;1.23;1.05;1.31;3.04;1.22;2.06;1.18;2.2;1.43;1.88;2.43;2.9;4.85;2.19;3.36;1.62;4.16;4.38;1.12;2.58;4.3;3.58;2.37;2.63;1.28;1.37;2.48;3.3;1.48;1.6;1.09;1.2;1.74;1.3;1.74;3.64;3.23;2.35;1.08;3.15;2.39;1.6;3.32;1.75;2.77;2.67;1.34;2.99;3.85;2.1;4.06;1.23;3.84;1.79;1.11;2.1;1.08;1.2;4.57;2.04;1.99;1.32;1.68;1.07;3.3;1.62;1.11;1.5;2.4;1.18;3.13;2.27;1.42;2.66;1.4;1.4;1.43;3.78;2.53;2.81;3.29;3.95;1.62;2.32;2.26;1.14;1.43;3.14;2.63;1.27;1.44;2.48;2.9;2.43})</v>
      </c>
      <c r="E38" s="28"/>
      <c r="F38" s="28"/>
      <c r="G38" s="28"/>
      <c r="H38" s="26" t="s">
        <v>174</v>
      </c>
    </row>
    <row r="39" spans="2:8" x14ac:dyDescent="0.45">
      <c r="B39" s="25" t="s">
        <v>175</v>
      </c>
      <c r="C39" s="26" t="s">
        <v>165</v>
      </c>
      <c r="D39" s="50" t="str" cm="1">
        <f t="array" ref="D39">INDEX(_xll.VoseLognormalFitObject(Losses,FALSE),1)</f>
        <v>VoseLognormal(4.114711905595725,3.987777844573267)</v>
      </c>
      <c r="E39" s="28"/>
      <c r="F39" s="28"/>
      <c r="G39" s="28"/>
      <c r="H39" s="26" t="s">
        <v>176</v>
      </c>
    </row>
    <row r="40" spans="2:8" x14ac:dyDescent="0.45">
      <c r="B40" s="51" t="s">
        <v>177</v>
      </c>
      <c r="C40" s="26" t="s">
        <v>117</v>
      </c>
      <c r="D40" s="40">
        <f t="array" ref="D40:D41">_xll.VoseLognormalFitP(Losses,FALSE)</f>
        <v>4.1147119055957253</v>
      </c>
      <c r="E40" s="28"/>
      <c r="F40" s="28"/>
      <c r="G40" s="28"/>
      <c r="H40" s="26" t="s">
        <v>178</v>
      </c>
    </row>
    <row r="41" spans="2:8" x14ac:dyDescent="0.45">
      <c r="B41" s="51" t="s">
        <v>179</v>
      </c>
      <c r="C41" s="26" t="s">
        <v>117</v>
      </c>
      <c r="D41" s="40">
        <v>3.9877778445732672</v>
      </c>
      <c r="E41" s="28"/>
      <c r="F41" s="28"/>
      <c r="G41" s="28"/>
      <c r="H41" s="26"/>
    </row>
    <row r="42" spans="2:8" x14ac:dyDescent="0.45">
      <c r="B42" s="25" t="s">
        <v>180</v>
      </c>
      <c r="C42" s="26" t="s">
        <v>117</v>
      </c>
      <c r="D42" s="40">
        <f>AVERAGEIF(Losses,"&gt;"&amp;Threshold)</f>
        <v>12.492325581395351</v>
      </c>
      <c r="E42" s="28"/>
      <c r="F42" s="28"/>
      <c r="G42" s="28"/>
      <c r="H42" s="28"/>
    </row>
    <row r="43" spans="2:8" x14ac:dyDescent="0.45">
      <c r="B43" s="25" t="s">
        <v>181</v>
      </c>
      <c r="C43" s="26" t="s">
        <v>117</v>
      </c>
      <c r="D43" s="40" cm="1">
        <f t="array" ref="D43">_xll.VoseMean(Tail)</f>
        <v>12.790929676946671</v>
      </c>
      <c r="E43" s="28"/>
      <c r="F43" s="28"/>
      <c r="G43" s="28"/>
      <c r="H43" s="26" t="s">
        <v>182</v>
      </c>
    </row>
    <row r="44" spans="2:8" x14ac:dyDescent="0.45">
      <c r="B44" s="25" t="s">
        <v>183</v>
      </c>
      <c r="C44" s="26" t="s">
        <v>117</v>
      </c>
      <c r="D44" s="40" cm="1">
        <f t="array" ref="D44">LamB*_xll.VoseMean(Body)+LamU*_xll.VoseMean(Tail)</f>
        <v>35.146358228021739</v>
      </c>
      <c r="E44" s="28"/>
      <c r="F44" s="28"/>
      <c r="G44" s="28"/>
      <c r="H44" s="26" t="s">
        <v>184</v>
      </c>
    </row>
    <row r="45" spans="2:8" ht="8" customHeight="1" x14ac:dyDescent="0.45"/>
    <row r="46" spans="2:8" ht="22.05" customHeight="1" x14ac:dyDescent="0.5">
      <c r="B46" s="7" t="s">
        <v>185</v>
      </c>
      <c r="C46" s="8"/>
      <c r="D46" s="8"/>
      <c r="E46" s="8"/>
      <c r="F46" s="8"/>
    </row>
    <row r="47" spans="2:8" ht="18" customHeight="1" x14ac:dyDescent="0.45">
      <c r="B47" s="13" t="s">
        <v>186</v>
      </c>
    </row>
    <row r="48" spans="2:8" ht="30" customHeight="1" x14ac:dyDescent="0.45">
      <c r="B48" s="53" t="s">
        <v>187</v>
      </c>
      <c r="C48" s="54" t="s">
        <v>188</v>
      </c>
      <c r="D48" s="54" t="s">
        <v>189</v>
      </c>
      <c r="E48" s="54" t="s">
        <v>100</v>
      </c>
      <c r="F48" s="48"/>
    </row>
    <row r="49" spans="2:8" x14ac:dyDescent="0.45">
      <c r="B49" s="31"/>
      <c r="C49" s="31" t="s">
        <v>145</v>
      </c>
      <c r="D49" s="31" t="s">
        <v>190</v>
      </c>
      <c r="E49" s="31" t="s">
        <v>190</v>
      </c>
      <c r="F49" s="31"/>
    </row>
    <row r="50" spans="2:8" x14ac:dyDescent="0.45">
      <c r="B50" s="55">
        <v>10</v>
      </c>
      <c r="C50" s="39">
        <f>COUNTIF(Losses,"&gt;"&amp;B50)</f>
        <v>19</v>
      </c>
      <c r="D50" s="39" cm="1">
        <f t="array" ref="D50">1/(Lam*(1-_xll.VoseProb(B50,LogN,TRUE)))</f>
        <v>1.9726008011979503</v>
      </c>
      <c r="E50" s="39" cm="1">
        <f t="array" ref="E50">IF(B50&gt;=Threshold,1/(LamU*(1-_xll.VoseProb(B50,Tail,TRUE))),"–")</f>
        <v>1.3983425683054107</v>
      </c>
      <c r="F50" s="28"/>
      <c r="H50" s="56" t="s">
        <v>191</v>
      </c>
    </row>
    <row r="51" spans="2:8" x14ac:dyDescent="0.45">
      <c r="B51" s="55">
        <v>25</v>
      </c>
      <c r="C51" s="39">
        <f>COUNTIF(Losses,"&gt;"&amp;B51)</f>
        <v>4</v>
      </c>
      <c r="D51" s="39" cm="1">
        <f t="array" ref="D51">1/(Lam*(1-_xll.VoseProb(B51,LogN,TRUE)))</f>
        <v>30.441129305519475</v>
      </c>
      <c r="E51" s="39" cm="1">
        <f t="array" ref="E51">IF(B51&gt;=Threshold,1/(LamU*(1-_xll.VoseProb(B51,Tail,TRUE))),"–")</f>
        <v>7.005404284368189</v>
      </c>
      <c r="F51" s="28"/>
    </row>
    <row r="52" spans="2:8" x14ac:dyDescent="0.45">
      <c r="B52" s="55">
        <v>50</v>
      </c>
      <c r="C52" s="39">
        <f>COUNTIF(Losses,"&gt;"&amp;B52)</f>
        <v>1</v>
      </c>
      <c r="D52" s="39" cm="1">
        <f t="array" ref="D52">1/(Lam*(1-_xll.VoseProb(B52,LogN,TRUE)))</f>
        <v>519.23869538893246</v>
      </c>
      <c r="E52" s="39" cm="1">
        <f t="array" ref="E52">IF(B52&gt;=Threshold,1/(LamU*(1-_xll.VoseProb(B52,Tail,TRUE))),"–")</f>
        <v>30.864245440617754</v>
      </c>
      <c r="F52" s="28"/>
    </row>
    <row r="53" spans="2:8" x14ac:dyDescent="0.45">
      <c r="B53" s="55">
        <v>100</v>
      </c>
      <c r="C53" s="39">
        <f>COUNTIF(Losses,"&gt;"&amp;B53)</f>
        <v>0</v>
      </c>
      <c r="D53" s="39" cm="1">
        <f t="array" ref="D53">1/(Lam*(1-_xll.VoseProb(B53,LogN,TRUE)))</f>
        <v>17536.521977572891</v>
      </c>
      <c r="E53" s="39" cm="1">
        <f t="array" ref="E53">IF(B53&gt;=Threshold,1/(LamU*(1-_xll.VoseProb(B53,Tail,TRUE))),"–")</f>
        <v>156.73195275930269</v>
      </c>
      <c r="F53" s="28"/>
    </row>
    <row r="54" spans="2:8" x14ac:dyDescent="0.45">
      <c r="B54" s="55">
        <v>200</v>
      </c>
      <c r="C54" s="39">
        <f>COUNTIF(Losses,"&gt;"&amp;B54)</f>
        <v>0</v>
      </c>
      <c r="D54" s="39" cm="1">
        <f t="array" ref="D54">1/(Lam*(1-_xll.VoseProb(B54,LogN,TRUE)))</f>
        <v>1186885.7353497732</v>
      </c>
      <c r="E54" s="39" cm="1">
        <f t="array" ref="E54">IF(B54&gt;=Threshold,1/(LamU*(1-_xll.VoseProb(B54,Tail,TRUE))),"–")</f>
        <v>864.01207914053998</v>
      </c>
      <c r="F54" s="28"/>
    </row>
    <row r="55" spans="2:8" ht="8" customHeight="1" x14ac:dyDescent="0.45"/>
    <row r="56" spans="2:8" ht="22.05" customHeight="1" x14ac:dyDescent="0.5">
      <c r="B56" s="7" t="s">
        <v>192</v>
      </c>
      <c r="C56" s="8"/>
      <c r="D56" s="8"/>
      <c r="E56" s="8"/>
      <c r="F56" s="8"/>
    </row>
    <row r="57" spans="2:8" ht="18" customHeight="1" x14ac:dyDescent="0.45">
      <c r="B57" s="13" t="s">
        <v>193</v>
      </c>
    </row>
    <row r="58" spans="2:8" ht="30" customHeight="1" x14ac:dyDescent="0.45">
      <c r="B58" s="53" t="s">
        <v>69</v>
      </c>
      <c r="C58" s="54" t="s">
        <v>194</v>
      </c>
      <c r="D58" s="54" t="s">
        <v>189</v>
      </c>
      <c r="E58" s="54" t="s">
        <v>100</v>
      </c>
      <c r="F58" s="48"/>
    </row>
    <row r="59" spans="2:8" x14ac:dyDescent="0.45">
      <c r="B59" s="31"/>
      <c r="C59" s="31" t="s">
        <v>142</v>
      </c>
      <c r="D59" s="31" t="s">
        <v>117</v>
      </c>
      <c r="E59" s="31" t="s">
        <v>117</v>
      </c>
      <c r="F59" s="31"/>
    </row>
    <row r="60" spans="2:8" x14ac:dyDescent="0.45">
      <c r="B60" s="25" t="s">
        <v>195</v>
      </c>
      <c r="C60" s="57">
        <v>10</v>
      </c>
      <c r="D60" s="40" cm="1">
        <f t="array" ref="D60">_xll.VosePercentile(LogN,1+LN(1-1/C60)/Lam)</f>
        <v>17.691112790638929</v>
      </c>
      <c r="E60" s="40" cm="1">
        <f t="array" ref="E60">_xll.VosePercentile(Tail,1+LN(1-1/C60)/LamU)</f>
        <v>29.026208541824623</v>
      </c>
      <c r="F60" s="28"/>
      <c r="H60" s="56" t="s">
        <v>196</v>
      </c>
    </row>
    <row r="61" spans="2:8" x14ac:dyDescent="0.45">
      <c r="B61" s="25" t="s">
        <v>197</v>
      </c>
      <c r="C61" s="57">
        <v>25</v>
      </c>
      <c r="D61" s="40" cm="1">
        <f t="array" ref="D61">_xll.VosePercentile(LogN,1+LN(1-1/C61)/Lam)</f>
        <v>23.522177547932287</v>
      </c>
      <c r="E61" s="40" cm="1">
        <f t="array" ref="E61">_xll.VosePercentile(Tail,1+LN(1-1/C61)/LamU)</f>
        <v>45.106898766728889</v>
      </c>
      <c r="F61" s="28"/>
      <c r="H61" s="56" t="s">
        <v>198</v>
      </c>
    </row>
    <row r="62" spans="2:8" x14ac:dyDescent="0.45">
      <c r="B62" s="25" t="s">
        <v>199</v>
      </c>
      <c r="C62" s="57">
        <v>50</v>
      </c>
      <c r="D62" s="40" cm="1">
        <f t="array" ref="D62">_xll.VosePercentile(LogN,1+LN(1-1/C62)/Lam)</f>
        <v>28.511515651984343</v>
      </c>
      <c r="E62" s="40" cm="1">
        <f t="array" ref="E62">_xll.VosePercentile(Tail,1+LN(1-1/C62)/LamU)</f>
        <v>61.466695161663161</v>
      </c>
      <c r="F62" s="28"/>
    </row>
    <row r="63" spans="2:8" x14ac:dyDescent="0.45">
      <c r="B63" s="25" t="s">
        <v>200</v>
      </c>
      <c r="C63" s="57">
        <v>100</v>
      </c>
      <c r="D63" s="40" cm="1">
        <f t="array" ref="D63">_xll.VosePercentile(LogN,1+LN(1-1/C63)/Lam)</f>
        <v>34.078492495699194</v>
      </c>
      <c r="E63" s="40" cm="1">
        <f t="array" ref="E63">_xll.VosePercentile(Tail,1+LN(1-1/C63)/LamU)</f>
        <v>82.741032198575596</v>
      </c>
      <c r="F63" s="28"/>
    </row>
    <row r="64" spans="2:8" x14ac:dyDescent="0.45">
      <c r="B64" s="25" t="s">
        <v>201</v>
      </c>
      <c r="C64" s="57">
        <v>200</v>
      </c>
      <c r="D64" s="40" cm="1">
        <f t="array" ref="D64">_xll.VosePercentile(LogN,1+LN(1-1/C64)/Lam)</f>
        <v>40.286072830221485</v>
      </c>
      <c r="E64" s="40" cm="1">
        <f t="array" ref="E64">_xll.VosePercentile(Tail,1+LN(1-1/C64)/LamU)</f>
        <v>110.46959207060547</v>
      </c>
      <c r="F64" s="28"/>
    </row>
    <row r="65" spans="2:8" x14ac:dyDescent="0.45">
      <c r="B65" s="25" t="s">
        <v>202</v>
      </c>
      <c r="C65" s="57">
        <v>250</v>
      </c>
      <c r="D65" s="40" cm="1">
        <f t="array" ref="D65">_xll.VosePercentile(LogN,1+LN(1-1/C65)/Lam)</f>
        <v>42.430772971410001</v>
      </c>
      <c r="E65" s="40" cm="1">
        <f t="array" ref="E65">_xll.VosePercentile(Tail,1+LN(1-1/C65)/LamU)</f>
        <v>121.0833576460216</v>
      </c>
      <c r="F65" s="28"/>
    </row>
    <row r="66" spans="2:8" ht="8" customHeight="1" x14ac:dyDescent="0.45"/>
    <row r="67" spans="2:8" ht="22.05" customHeight="1" x14ac:dyDescent="0.5">
      <c r="B67" s="7" t="s">
        <v>203</v>
      </c>
      <c r="C67" s="8"/>
      <c r="D67" s="8"/>
      <c r="E67" s="8"/>
      <c r="F67" s="8"/>
    </row>
    <row r="68" spans="2:8" ht="18" customHeight="1" x14ac:dyDescent="0.45">
      <c r="B68" s="13" t="s">
        <v>204</v>
      </c>
    </row>
    <row r="69" spans="2:8" ht="18" customHeight="1" x14ac:dyDescent="0.45">
      <c r="B69" s="44"/>
      <c r="C69" s="5"/>
      <c r="D69" s="45" t="s">
        <v>129</v>
      </c>
      <c r="E69" s="5"/>
      <c r="F69" s="5"/>
    </row>
    <row r="70" spans="2:8" x14ac:dyDescent="0.45">
      <c r="B70" s="58" t="s">
        <v>205</v>
      </c>
      <c r="D70" s="43" cm="1">
        <f t="array" ref="D70:D112">_xlfn._xlws.SORT(TailData,,-1)</f>
        <v>50.96</v>
      </c>
      <c r="H70" s="56" t="s">
        <v>206</v>
      </c>
    </row>
    <row r="71" spans="2:8" x14ac:dyDescent="0.45">
      <c r="D71" s="43">
        <v>43.03</v>
      </c>
      <c r="H71" s="56" t="s">
        <v>207</v>
      </c>
    </row>
    <row r="72" spans="2:8" x14ac:dyDescent="0.45">
      <c r="D72" s="43">
        <v>41.14</v>
      </c>
    </row>
    <row r="73" spans="2:8" x14ac:dyDescent="0.45">
      <c r="D73" s="43">
        <v>29.38</v>
      </c>
    </row>
    <row r="74" spans="2:8" x14ac:dyDescent="0.45">
      <c r="D74" s="43">
        <v>19.88</v>
      </c>
    </row>
    <row r="75" spans="2:8" x14ac:dyDescent="0.45">
      <c r="D75" s="43">
        <v>17.899999999999999</v>
      </c>
    </row>
    <row r="76" spans="2:8" x14ac:dyDescent="0.45">
      <c r="D76" s="43">
        <v>17.37</v>
      </c>
    </row>
    <row r="77" spans="2:8" x14ac:dyDescent="0.45">
      <c r="D77" s="43">
        <v>16.28</v>
      </c>
    </row>
    <row r="78" spans="2:8" x14ac:dyDescent="0.45">
      <c r="D78" s="43">
        <v>15.3</v>
      </c>
    </row>
    <row r="79" spans="2:8" x14ac:dyDescent="0.45">
      <c r="D79" s="43">
        <v>14.29</v>
      </c>
    </row>
    <row r="80" spans="2:8" x14ac:dyDescent="0.45">
      <c r="D80" s="43">
        <v>14.14</v>
      </c>
    </row>
    <row r="81" spans="4:4" x14ac:dyDescent="0.45">
      <c r="D81" s="43">
        <v>13.66</v>
      </c>
    </row>
    <row r="82" spans="4:4" x14ac:dyDescent="0.45">
      <c r="D82" s="43">
        <v>13.32</v>
      </c>
    </row>
    <row r="83" spans="4:4" x14ac:dyDescent="0.45">
      <c r="D83" s="43">
        <v>13.31</v>
      </c>
    </row>
    <row r="84" spans="4:4" x14ac:dyDescent="0.45">
      <c r="D84" s="43">
        <v>11.59</v>
      </c>
    </row>
    <row r="85" spans="4:4" x14ac:dyDescent="0.45">
      <c r="D85" s="43">
        <v>11.05</v>
      </c>
    </row>
    <row r="86" spans="4:4" x14ac:dyDescent="0.45">
      <c r="D86" s="43">
        <v>10.72</v>
      </c>
    </row>
    <row r="87" spans="4:4" x14ac:dyDescent="0.45">
      <c r="D87" s="43">
        <v>10.6</v>
      </c>
    </row>
    <row r="88" spans="4:4" x14ac:dyDescent="0.45">
      <c r="D88" s="43">
        <v>10.08</v>
      </c>
    </row>
    <row r="89" spans="4:4" x14ac:dyDescent="0.45">
      <c r="D89" s="43">
        <v>9.1999999999999993</v>
      </c>
    </row>
    <row r="90" spans="4:4" x14ac:dyDescent="0.45">
      <c r="D90" s="43">
        <v>9.01</v>
      </c>
    </row>
    <row r="91" spans="4:4" x14ac:dyDescent="0.45">
      <c r="D91" s="43">
        <v>8.51</v>
      </c>
    </row>
    <row r="92" spans="4:4" x14ac:dyDescent="0.45">
      <c r="D92" s="43">
        <v>8.4600000000000009</v>
      </c>
    </row>
    <row r="93" spans="4:4" x14ac:dyDescent="0.45">
      <c r="D93" s="43">
        <v>8.35</v>
      </c>
    </row>
    <row r="94" spans="4:4" x14ac:dyDescent="0.45">
      <c r="D94" s="43">
        <v>7.83</v>
      </c>
    </row>
    <row r="95" spans="4:4" x14ac:dyDescent="0.45">
      <c r="D95" s="43">
        <v>7.64</v>
      </c>
    </row>
    <row r="96" spans="4:4" x14ac:dyDescent="0.45">
      <c r="D96" s="43">
        <v>7.34</v>
      </c>
    </row>
    <row r="97" spans="4:4" x14ac:dyDescent="0.45">
      <c r="D97" s="43">
        <v>7.16</v>
      </c>
    </row>
    <row r="98" spans="4:4" x14ac:dyDescent="0.45">
      <c r="D98" s="43">
        <v>6.95</v>
      </c>
    </row>
    <row r="99" spans="4:4" x14ac:dyDescent="0.45">
      <c r="D99" s="43">
        <v>6.89</v>
      </c>
    </row>
    <row r="100" spans="4:4" x14ac:dyDescent="0.45">
      <c r="D100" s="43">
        <v>6.78</v>
      </c>
    </row>
    <row r="101" spans="4:4" x14ac:dyDescent="0.45">
      <c r="D101" s="43">
        <v>6.66</v>
      </c>
    </row>
    <row r="102" spans="4:4" x14ac:dyDescent="0.45">
      <c r="D102" s="43">
        <v>6.37</v>
      </c>
    </row>
    <row r="103" spans="4:4" x14ac:dyDescent="0.45">
      <c r="D103" s="43">
        <v>6.29</v>
      </c>
    </row>
    <row r="104" spans="4:4" x14ac:dyDescent="0.45">
      <c r="D104" s="43">
        <v>6.01</v>
      </c>
    </row>
    <row r="105" spans="4:4" x14ac:dyDescent="0.45">
      <c r="D105" s="43">
        <v>5.89</v>
      </c>
    </row>
    <row r="106" spans="4:4" x14ac:dyDescent="0.45">
      <c r="D106" s="43">
        <v>5.82</v>
      </c>
    </row>
    <row r="107" spans="4:4" x14ac:dyDescent="0.45">
      <c r="D107" s="43">
        <v>5.8</v>
      </c>
    </row>
    <row r="108" spans="4:4" x14ac:dyDescent="0.45">
      <c r="D108" s="43">
        <v>5.63</v>
      </c>
    </row>
    <row r="109" spans="4:4" x14ac:dyDescent="0.45">
      <c r="D109" s="43">
        <v>5.29</v>
      </c>
    </row>
    <row r="110" spans="4:4" x14ac:dyDescent="0.45">
      <c r="D110" s="43">
        <v>5.22</v>
      </c>
    </row>
    <row r="111" spans="4:4" x14ac:dyDescent="0.45">
      <c r="D111" s="43">
        <v>5.04</v>
      </c>
    </row>
    <row r="112" spans="4:4" x14ac:dyDescent="0.45">
      <c r="D112" s="43">
        <v>5.03</v>
      </c>
    </row>
    <row r="113" spans="4:4" x14ac:dyDescent="0.45">
      <c r="D113" s="43"/>
    </row>
    <row r="114" spans="4:4" x14ac:dyDescent="0.45">
      <c r="D114" s="43"/>
    </row>
  </sheetData>
  <mergeCells count="1">
    <mergeCell ref="B29:F29"/>
  </mergeCells>
  <conditionalFormatting sqref="D20:E28">
    <cfRule type="expression" dxfId="5" priority="1">
      <formula>ISNA(D20)</formula>
    </cfRule>
  </conditionalFormatting>
  <hyperlinks>
    <hyperlink ref="B4" location="'Data'!A1" display="◂  Data" xr:uid="{00000000-0004-0000-0300-000000000000}"/>
    <hyperlink ref="H4" location="'Year'!A1" display="Next:  Year  ▸" xr:uid="{00000000-0004-0000-0300-000001000000}"/>
  </hyperlinks>
  <printOptions horizontalCentered="1"/>
  <pageMargins left="0.4" right="0.4" top="0.5" bottom="0.6" header="0.25" footer="0.25"/>
  <pageSetup paperSize="9" scale="80" fitToHeight="0" orientation="landscape" r:id="rId1"/>
  <headerFooter>
    <oddFooter>&amp;L&amp;K3F5876&amp;8&amp;F · &amp;A&amp;R&amp;K3F5876&amp;8Page &amp;P of &amp;N</oddFooter>
  </headerFooter>
  <rowBreaks count="1" manualBreakCount="1">
    <brk id="6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AA0BA"/>
    <pageSetUpPr fitToPage="1"/>
  </sheetPr>
  <dimension ref="A1:I43"/>
  <sheetViews>
    <sheetView showGridLines="0" workbookViewId="0"/>
  </sheetViews>
  <sheetFormatPr defaultRowHeight="14.25" x14ac:dyDescent="0.45"/>
  <cols>
    <col min="1" max="1" width="2" customWidth="1"/>
    <col min="2" max="2" width="42" customWidth="1"/>
    <col min="3" max="3" width="10" customWidth="1"/>
    <col min="4" max="4" width="11" customWidth="1"/>
    <col min="5" max="5" width="18" customWidth="1"/>
    <col min="6" max="7" width="11" customWidth="1"/>
    <col min="8" max="8" width="3" customWidth="1"/>
    <col min="9" max="9" width="52" customWidth="1"/>
    <col min="11" max="11" width="9.06640625" customWidth="1"/>
  </cols>
  <sheetData>
    <row r="1" spans="1:9" ht="6" customHeight="1" x14ac:dyDescent="0.45"/>
    <row r="2" spans="1:9" ht="30" customHeight="1" x14ac:dyDescent="0.45">
      <c r="A2" s="1"/>
      <c r="B2" s="21" t="s">
        <v>0</v>
      </c>
      <c r="C2" s="1"/>
      <c r="D2" s="1"/>
      <c r="E2" s="1"/>
      <c r="F2" s="1"/>
      <c r="G2" s="1"/>
      <c r="H2" s="1"/>
      <c r="I2" s="3" t="s">
        <v>1</v>
      </c>
    </row>
    <row r="3" spans="1:9" ht="20" customHeight="1" x14ac:dyDescent="0.45">
      <c r="A3" s="1"/>
      <c r="B3" s="4" t="s">
        <v>208</v>
      </c>
      <c r="C3" s="1"/>
      <c r="D3" s="1"/>
      <c r="E3" s="1"/>
      <c r="F3" s="1"/>
      <c r="G3" s="1"/>
      <c r="H3" s="1"/>
      <c r="I3" s="1"/>
    </row>
    <row r="4" spans="1:9" ht="20" customHeight="1" x14ac:dyDescent="0.45">
      <c r="A4" s="5"/>
      <c r="B4" s="22" t="s">
        <v>209</v>
      </c>
      <c r="C4" s="5"/>
      <c r="D4" s="5"/>
      <c r="E4" s="5"/>
      <c r="F4" s="5"/>
      <c r="G4" s="5"/>
      <c r="H4" s="5"/>
      <c r="I4" s="6" t="s">
        <v>210</v>
      </c>
    </row>
    <row r="5" spans="1:9" ht="8" customHeight="1" x14ac:dyDescent="0.45"/>
    <row r="6" spans="1:9" ht="22.05" customHeight="1" x14ac:dyDescent="0.5">
      <c r="B6" s="7" t="s">
        <v>211</v>
      </c>
      <c r="C6" s="8"/>
      <c r="D6" s="8"/>
      <c r="E6" s="8"/>
      <c r="F6" s="8"/>
      <c r="G6" s="8"/>
      <c r="H6" s="8"/>
      <c r="I6" s="8"/>
    </row>
    <row r="7" spans="1:9" ht="18" customHeight="1" x14ac:dyDescent="0.45">
      <c r="B7" s="13" t="s">
        <v>212</v>
      </c>
    </row>
    <row r="8" spans="1:9" ht="18" customHeight="1" x14ac:dyDescent="0.45">
      <c r="B8" s="44" t="s">
        <v>138</v>
      </c>
      <c r="C8" s="44" t="s">
        <v>112</v>
      </c>
      <c r="D8" s="45" t="s">
        <v>139</v>
      </c>
      <c r="E8" s="5"/>
      <c r="F8" s="5"/>
      <c r="G8" s="5"/>
      <c r="H8" s="5"/>
      <c r="I8" s="44" t="s">
        <v>140</v>
      </c>
    </row>
    <row r="9" spans="1:9" x14ac:dyDescent="0.45">
      <c r="B9" s="25" t="s">
        <v>167</v>
      </c>
      <c r="C9" s="26" t="s">
        <v>117</v>
      </c>
      <c r="D9" s="59">
        <f t="array" aca="1" ref="D9:D11" ca="1">_xll.VoseGPDFitP(TailData,TRUE,Threshold)</f>
        <v>5.1083313307986646</v>
      </c>
      <c r="E9" s="28"/>
      <c r="F9" s="28"/>
      <c r="G9" s="28"/>
      <c r="H9" s="28"/>
      <c r="I9" s="26" t="s">
        <v>213</v>
      </c>
    </row>
    <row r="10" spans="1:9" x14ac:dyDescent="0.45">
      <c r="B10" s="25" t="s">
        <v>169</v>
      </c>
      <c r="C10" s="26" t="s">
        <v>117</v>
      </c>
      <c r="D10" s="59">
        <f ca="1"/>
        <v>4.1185611475768642</v>
      </c>
      <c r="E10" s="28"/>
      <c r="F10" s="28"/>
      <c r="G10" s="28"/>
      <c r="H10" s="28"/>
      <c r="I10" s="26" t="s">
        <v>214</v>
      </c>
    </row>
    <row r="11" spans="1:9" x14ac:dyDescent="0.45">
      <c r="B11" s="25" t="s">
        <v>171</v>
      </c>
      <c r="C11" s="26"/>
      <c r="D11" s="60">
        <f ca="1"/>
        <v>0.54903426068342798</v>
      </c>
      <c r="E11" s="28"/>
      <c r="F11" s="28"/>
      <c r="G11" s="28"/>
      <c r="H11" s="28"/>
      <c r="I11" s="26" t="s">
        <v>215</v>
      </c>
    </row>
    <row r="12" spans="1:9" x14ac:dyDescent="0.45">
      <c r="B12" s="25" t="s">
        <v>216</v>
      </c>
      <c r="C12" s="26" t="s">
        <v>165</v>
      </c>
      <c r="D12" s="50" t="str" cm="1">
        <f t="array" aca="1" ref="D12" ca="1">_xll.VoseGPDObject(TU_loc,TU_scale,TU_shape)</f>
        <v>VoseGPD(5.10833133079866,4.11856114757686,0.549034260683428)</v>
      </c>
      <c r="E12" s="28"/>
      <c r="F12" s="28"/>
      <c r="G12" s="28"/>
      <c r="H12" s="28"/>
      <c r="I12" s="26" t="s">
        <v>217</v>
      </c>
    </row>
    <row r="13" spans="1:9" ht="8" customHeight="1" x14ac:dyDescent="0.45"/>
    <row r="14" spans="1:9" ht="22.05" customHeight="1" x14ac:dyDescent="0.5">
      <c r="B14" s="7" t="s">
        <v>218</v>
      </c>
      <c r="C14" s="8"/>
      <c r="D14" s="8"/>
      <c r="E14" s="8"/>
      <c r="F14" s="8"/>
      <c r="G14" s="8"/>
      <c r="H14" s="8"/>
      <c r="I14" s="8"/>
    </row>
    <row r="15" spans="1:9" ht="18" customHeight="1" x14ac:dyDescent="0.45">
      <c r="B15" s="13" t="s">
        <v>219</v>
      </c>
    </row>
    <row r="16" spans="1:9" ht="18" customHeight="1" x14ac:dyDescent="0.45">
      <c r="B16" s="47" t="s">
        <v>76</v>
      </c>
      <c r="C16" s="30" t="s">
        <v>220</v>
      </c>
      <c r="D16" s="30" t="s">
        <v>131</v>
      </c>
      <c r="E16" s="47" t="s">
        <v>221</v>
      </c>
      <c r="F16" s="30" t="s">
        <v>222</v>
      </c>
      <c r="G16" s="30" t="s">
        <v>132</v>
      </c>
      <c r="H16" s="5"/>
      <c r="I16" s="44" t="s">
        <v>223</v>
      </c>
    </row>
    <row r="17" spans="2:9" x14ac:dyDescent="0.45">
      <c r="B17" s="31"/>
      <c r="C17" s="31" t="s">
        <v>145</v>
      </c>
      <c r="D17" s="31" t="s">
        <v>117</v>
      </c>
      <c r="E17" s="31" t="s">
        <v>224</v>
      </c>
      <c r="F17" s="31" t="s">
        <v>117</v>
      </c>
      <c r="G17" s="31" t="s">
        <v>117</v>
      </c>
    </row>
    <row r="18" spans="2:9" x14ac:dyDescent="0.45">
      <c r="B18" s="25" t="s">
        <v>175</v>
      </c>
      <c r="C18" s="61" cm="1">
        <f t="array" aca="1" ref="C18" ca="1">_xll.VosePoisson(Lam)</f>
        <v>13</v>
      </c>
      <c r="D18" s="59" cm="1">
        <f t="array" aca="1" ref="D18" ca="1">IF(C18&gt;0,_xll.VoseLargest(LogN,C18),0)</f>
        <v>9.203745680528101</v>
      </c>
      <c r="E18" s="50" t="str" cm="1">
        <f t="array" aca="1" ref="E18" ca="1">IF(C18&gt;1,_xll.VoseLognormalObject(LN_m,LN_s,_xll.VoseXBounds(,D18)),"–")</f>
        <v>VoseLognormal(4.11471190559573,3.98777784457327,,VoseXBounds(,9.2037456805281))</v>
      </c>
      <c r="F18" s="59" cm="1">
        <f t="array" aca="1" ref="F18" ca="1">IF(C18&gt;1,_xll.VoseAggregateMC(C18-1,E18),0)</f>
        <v>29.319140753632634</v>
      </c>
      <c r="G18" s="40">
        <f ca="1">D18+F18</f>
        <v>38.522886434160739</v>
      </c>
      <c r="H18" s="28"/>
      <c r="I18" s="26" t="s">
        <v>225</v>
      </c>
    </row>
    <row r="19" spans="2:9" x14ac:dyDescent="0.45">
      <c r="B19" s="25" t="s">
        <v>226</v>
      </c>
      <c r="C19" s="61" cm="1">
        <f t="array" aca="1" ref="C19" ca="1">_xll.VosePoisson(LamB)</f>
        <v>8</v>
      </c>
      <c r="D19" s="59" cm="1">
        <f t="array" aca="1" ref="D19" ca="1">IF(C19&gt;0,_xll.VoseLargest(Body,C19),0)</f>
        <v>4.4444445951654625</v>
      </c>
      <c r="E19" s="50" t="str" cm="1">
        <f t="array" aca="1" ref="E19" ca="1">IF(C19&gt;1,_xll.VoseOgiveObject(Reporting,Threshold,BodyData,_xll.VoseXBounds(,D19)),"–")</f>
        <v>VoseOgive('[IN-04 Catastrophe and large-loss tail.xlsx]Inputs'!D12,'[IN-04 Catastrophe and large-loss tail.xlsx]Inputs'!D11,{1.39;1.99;1.02;1.63;1.29;4.47;3.2;2.12;1.57;4.01;3.44;2.58;3.11;1.62;1.17;3.41;1.16;2.34;1.36;1.2;2.7;1.23;4.03;1.54;1.98;4.51;1.84;1.59;1.71;1.78;1.69;1.7;1.76;1.76;2.27;1.87;2.85;1.32;3.29;2.3;2.57;1.45;2.52;2.87;1.93;2.22;1.08;2.02;4.03;1.95;4.44;1.82;1.23;1.05;1.31;3.04;1.22;2.06;1.18;2.2;1.43;1.88;2.43;2.9;4.85;2.19;3.36;1.62;4.16;4.38;1.12;2.58;4.3;3.58;2.37;2.63;1.28;1.37;2.48;3.3;1.48;1.6;1.09;1.2;1.74;1.3;1.74;3.64;3.23;2.35;1.08;3.15;2.39;1.6;3.32;1.75;2.77;2.67;1.34;2.99;3.85;2.1;4.06;1.23;3.84;1.79;1.11;2.1;1.08;1.2;4.57;2.04;1.99;1.32;1.68;1.07;3.3;1.62;1.11;1.5;2.4;1.18;3.13;2.27;1.42;2.66;1.4;1.4;1.43;3.78;2.53;2.81;3.29;3.95;1.62;2.32;2.26;1.14;1.43;3.14;2.63;1.27;1.44;2.48;2.9;2.43},,VoseXBounds(,4.44444459516546))</v>
      </c>
      <c r="F19" s="59" cm="1">
        <f t="array" aca="1" ref="F19" ca="1">IF(C19&gt;1,_xll.VoseAggregateMC(C19-1,E19),0)</f>
        <v>16.62258517885067</v>
      </c>
      <c r="G19" s="40">
        <f ca="1">D19+F19</f>
        <v>21.067029774016135</v>
      </c>
      <c r="H19" s="28"/>
      <c r="I19" s="26" t="s">
        <v>227</v>
      </c>
    </row>
    <row r="20" spans="2:9" x14ac:dyDescent="0.45">
      <c r="B20" s="25" t="s">
        <v>228</v>
      </c>
      <c r="C20" s="61" cm="1">
        <f t="array" aca="1" ref="C20" ca="1">_xll.VosePoisson(LamU)</f>
        <v>3</v>
      </c>
      <c r="D20" s="59" cm="1">
        <f t="array" aca="1" ref="D20" ca="1">IF(C20&gt;0,_xll.VoseLargest(Tail,C20),0)</f>
        <v>12.531530579450527</v>
      </c>
      <c r="E20" s="50" t="str" cm="1">
        <f t="array" aca="1" ref="E20" ca="1">IF(C20&gt;1,_xll.VoseGPDObject(TailLoc,TailScale,TailShape,_xll.VoseXBounds(,D20)),"–")</f>
        <v>VoseGPD(5,4.78786432835986,0.385456610842332,,VoseXBounds(,12.5315305794505))</v>
      </c>
      <c r="F20" s="59" cm="1">
        <f t="array" aca="1" ref="F20" ca="1">IF(C20&gt;1,_xll.VoseAggregateMC(C20-1,E20),0)</f>
        <v>14.516294577449717</v>
      </c>
      <c r="G20" s="40">
        <f ca="1">D20+F20</f>
        <v>27.047825156900245</v>
      </c>
      <c r="H20" s="28"/>
      <c r="I20" s="26" t="s">
        <v>229</v>
      </c>
    </row>
    <row r="21" spans="2:9" x14ac:dyDescent="0.45">
      <c r="B21" s="25" t="s">
        <v>230</v>
      </c>
      <c r="C21" s="61" cm="1">
        <f t="array" aca="1" ref="C21" ca="1">_xll.VosePoissonFit(CountsAbove,TRUE)</f>
        <v>0</v>
      </c>
      <c r="D21" s="59" cm="1">
        <f t="array" aca="1" ref="D21" ca="1">IF(C21&gt;0,_xll.VoseLargest(TailU,C21),0)</f>
        <v>0</v>
      </c>
      <c r="E21" s="50" t="str" cm="1">
        <f t="array" aca="1" ref="E21" ca="1">IF(C21&gt;1,_xll.VoseGPDObject(TU_loc,TU_scale,TU_shape,_xll.VoseXBounds(,D21)),"–")</f>
        <v>–</v>
      </c>
      <c r="F21" s="59" cm="1">
        <f t="array" aca="1" ref="F21" ca="1">IF(C21&gt;1,_xll.VoseAggregateMC(C21-1,E21),0)</f>
        <v>0</v>
      </c>
      <c r="G21" s="40">
        <f ca="1">D21+F21</f>
        <v>0</v>
      </c>
      <c r="H21" s="28"/>
      <c r="I21" s="26" t="s">
        <v>231</v>
      </c>
    </row>
    <row r="22" spans="2:9" ht="30" customHeight="1" x14ac:dyDescent="0.45">
      <c r="B22" s="76" t="s">
        <v>232</v>
      </c>
      <c r="C22" s="74"/>
      <c r="D22" s="74"/>
      <c r="E22" s="74"/>
      <c r="F22" s="74"/>
      <c r="G22" s="74"/>
      <c r="H22" s="74"/>
      <c r="I22" s="74"/>
    </row>
    <row r="23" spans="2:9" ht="8" customHeight="1" x14ac:dyDescent="0.45"/>
    <row r="24" spans="2:9" ht="22.05" customHeight="1" x14ac:dyDescent="0.5">
      <c r="B24" s="7" t="s">
        <v>233</v>
      </c>
      <c r="C24" s="8"/>
      <c r="D24" s="8"/>
      <c r="E24" s="8"/>
      <c r="F24" s="8"/>
      <c r="G24" s="8"/>
      <c r="H24" s="8"/>
      <c r="I24" s="8"/>
    </row>
    <row r="25" spans="2:9" ht="18" customHeight="1" x14ac:dyDescent="0.45">
      <c r="B25" s="13" t="s">
        <v>234</v>
      </c>
    </row>
    <row r="26" spans="2:9" ht="18" customHeight="1" x14ac:dyDescent="0.45">
      <c r="B26" s="44" t="s">
        <v>235</v>
      </c>
      <c r="C26" s="44" t="s">
        <v>112</v>
      </c>
      <c r="D26" s="45" t="s">
        <v>139</v>
      </c>
      <c r="E26" s="5"/>
      <c r="F26" s="5"/>
      <c r="G26" s="5"/>
      <c r="H26" s="5"/>
      <c r="I26" s="44" t="s">
        <v>236</v>
      </c>
    </row>
    <row r="27" spans="2:9" x14ac:dyDescent="0.45">
      <c r="B27" s="25" t="s">
        <v>237</v>
      </c>
      <c r="C27" s="26" t="s">
        <v>117</v>
      </c>
      <c r="D27" s="62" cm="1">
        <f t="array" aca="1" ref="D27" ca="1">_xll.VoseOutput("Largest event, Lognormal","US$m")+Max_LN</f>
        <v>9.203745680528101</v>
      </c>
      <c r="E27" s="28"/>
      <c r="F27" s="28"/>
      <c r="G27" s="28"/>
      <c r="H27" s="28"/>
      <c r="I27" s="26" t="s">
        <v>238</v>
      </c>
    </row>
    <row r="28" spans="2:9" x14ac:dyDescent="0.45">
      <c r="B28" s="25" t="s">
        <v>239</v>
      </c>
      <c r="C28" s="26" t="s">
        <v>117</v>
      </c>
      <c r="D28" s="62" cm="1">
        <f t="array" aca="1" ref="D28" ca="1">_xll.VoseOutput("Largest event, peaks over threshold","US$m")+MAX(Max_T,Max_B)</f>
        <v>12.531530579450527</v>
      </c>
      <c r="E28" s="28"/>
      <c r="F28" s="28"/>
      <c r="G28" s="28"/>
      <c r="H28" s="28"/>
      <c r="I28" s="26" t="s">
        <v>240</v>
      </c>
    </row>
    <row r="29" spans="2:9" x14ac:dyDescent="0.45">
      <c r="B29" s="25" t="s">
        <v>241</v>
      </c>
      <c r="C29" s="26" t="s">
        <v>117</v>
      </c>
      <c r="D29" s="62" cm="1">
        <f t="array" aca="1" ref="D29" ca="1">_xll.VoseOutput("Largest event, uncertain tail","US$m")+MAX(Max_TU,Max_B)</f>
        <v>4.4444445951654625</v>
      </c>
      <c r="E29" s="28"/>
      <c r="F29" s="28"/>
      <c r="G29" s="28"/>
      <c r="H29" s="28"/>
      <c r="I29" s="26" t="s">
        <v>242</v>
      </c>
    </row>
    <row r="30" spans="2:9" x14ac:dyDescent="0.45">
      <c r="B30" s="25" t="s">
        <v>243</v>
      </c>
      <c r="C30" s="26" t="s">
        <v>117</v>
      </c>
      <c r="D30" s="62" cm="1">
        <f t="array" aca="1" ref="D30" ca="1">_xll.VoseOutput("Year's total, Lognormal","US$m")+Tot_LN</f>
        <v>38.522886434160739</v>
      </c>
      <c r="E30" s="28"/>
      <c r="F30" s="28"/>
      <c r="G30" s="28"/>
      <c r="H30" s="28"/>
      <c r="I30" s="26"/>
    </row>
    <row r="31" spans="2:9" x14ac:dyDescent="0.45">
      <c r="B31" s="25" t="s">
        <v>244</v>
      </c>
      <c r="C31" s="26" t="s">
        <v>117</v>
      </c>
      <c r="D31" s="62" cm="1">
        <f t="array" aca="1" ref="D31" ca="1">_xll.VoseOutput("Year's total, peaks over threshold","US$m")+Tot_B+Tot_T</f>
        <v>48.11485493091638</v>
      </c>
      <c r="E31" s="28"/>
      <c r="F31" s="28"/>
      <c r="G31" s="28"/>
      <c r="H31" s="28"/>
      <c r="I31" s="26" t="s">
        <v>245</v>
      </c>
    </row>
    <row r="32" spans="2:9" x14ac:dyDescent="0.45">
      <c r="B32" s="25" t="s">
        <v>246</v>
      </c>
      <c r="C32" s="26" t="s">
        <v>117</v>
      </c>
      <c r="D32" s="62" cm="1">
        <f t="array" aca="1" ref="D32" ca="1">_xll.VoseOutput("Year's total, uncertain tail","US$m")+Tot_B+Tot_TU</f>
        <v>21.067029774016135</v>
      </c>
      <c r="E32" s="28"/>
      <c r="F32" s="28"/>
      <c r="G32" s="28"/>
      <c r="H32" s="28"/>
      <c r="I32" s="26"/>
    </row>
    <row r="33" spans="2:9" ht="8" customHeight="1" x14ac:dyDescent="0.45"/>
    <row r="34" spans="2:9" ht="22.05" customHeight="1" x14ac:dyDescent="0.5">
      <c r="B34" s="7" t="s">
        <v>247</v>
      </c>
      <c r="C34" s="8"/>
      <c r="D34" s="8"/>
      <c r="E34" s="8"/>
      <c r="F34" s="8"/>
      <c r="G34" s="8"/>
      <c r="H34" s="8"/>
      <c r="I34" s="8"/>
    </row>
    <row r="35" spans="2:9" ht="18" customHeight="1" x14ac:dyDescent="0.45">
      <c r="B35" s="13" t="s">
        <v>248</v>
      </c>
    </row>
    <row r="36" spans="2:9" x14ac:dyDescent="0.45">
      <c r="B36" s="25" t="s">
        <v>249</v>
      </c>
      <c r="C36" s="28"/>
      <c r="D36" s="63" t="str">
        <f>IF(NAbove&gt;=20,"OK","CHECK")</f>
        <v>OK</v>
      </c>
      <c r="E36" s="28"/>
      <c r="F36" s="28"/>
      <c r="G36" s="28"/>
      <c r="H36" s="28"/>
      <c r="I36" s="28"/>
    </row>
    <row r="37" spans="2:9" x14ac:dyDescent="0.45">
      <c r="B37" s="25" t="s">
        <v>250</v>
      </c>
      <c r="C37" s="28"/>
      <c r="D37" s="63" t="str">
        <f>IF(TailShape&lt;1,"OK","CHECK")</f>
        <v>OK</v>
      </c>
      <c r="E37" s="28"/>
      <c r="F37" s="28"/>
      <c r="G37" s="28"/>
      <c r="H37" s="28"/>
      <c r="I37" s="28"/>
    </row>
    <row r="38" spans="2:9" x14ac:dyDescent="0.45">
      <c r="B38" s="25" t="s">
        <v>251</v>
      </c>
      <c r="C38" s="28"/>
      <c r="D38" s="63" t="str">
        <f>IF(AND(Threshold&gt;Reporting,Threshold&lt;Largest),"OK","CHECK")</f>
        <v>OK</v>
      </c>
      <c r="E38" s="28"/>
      <c r="F38" s="28"/>
      <c r="G38" s="28"/>
      <c r="H38" s="28"/>
      <c r="I38" s="28"/>
    </row>
    <row r="39" spans="2:9" x14ac:dyDescent="0.45">
      <c r="B39" s="25" t="s">
        <v>252</v>
      </c>
      <c r="C39" s="28"/>
      <c r="D39" s="63" t="str">
        <f>IF(MIN(Losses)&gt;=Reporting,"OK","CHECK")</f>
        <v>OK</v>
      </c>
      <c r="E39" s="28"/>
      <c r="F39" s="28"/>
      <c r="G39" s="28"/>
      <c r="H39" s="28"/>
      <c r="I39" s="28"/>
    </row>
    <row r="40" spans="2:9" x14ac:dyDescent="0.45">
      <c r="B40" s="25" t="s">
        <v>253</v>
      </c>
      <c r="C40" s="28"/>
      <c r="D40" s="63" t="str">
        <f>IF(ABS(MeanU_Tail/MeanU_Data-1)&lt;0.1,"OK","CHECK")</f>
        <v>OK</v>
      </c>
      <c r="E40" s="28"/>
      <c r="F40" s="28"/>
      <c r="G40" s="28"/>
      <c r="H40" s="28"/>
      <c r="I40" s="28"/>
    </row>
    <row r="41" spans="2:9" x14ac:dyDescent="0.45">
      <c r="B41" s="25" t="s">
        <v>254</v>
      </c>
      <c r="C41" s="28"/>
      <c r="D41" s="63" t="str">
        <f>IF(SUM(CountsAll)=COUNT(Losses),"OK","CHECK")</f>
        <v>OK</v>
      </c>
      <c r="E41" s="28"/>
      <c r="F41" s="28"/>
      <c r="G41" s="28"/>
      <c r="H41" s="28"/>
      <c r="I41" s="28"/>
    </row>
    <row r="42" spans="2:9" x14ac:dyDescent="0.45">
      <c r="B42" s="25" t="s">
        <v>255</v>
      </c>
      <c r="C42" s="28"/>
      <c r="D42" s="63" t="str">
        <f ca="1">IF(SUMPRODUCT(--(G18:G21&lt;D18:D21))=0,"OK","CHECK")</f>
        <v>OK</v>
      </c>
      <c r="E42" s="28"/>
      <c r="F42" s="28"/>
      <c r="G42" s="28"/>
      <c r="H42" s="28"/>
      <c r="I42" s="28"/>
    </row>
    <row r="43" spans="2:9" ht="14" customHeight="1" x14ac:dyDescent="0.45"/>
  </sheetData>
  <mergeCells count="1">
    <mergeCell ref="B22:I22"/>
  </mergeCells>
  <conditionalFormatting sqref="D36:D42">
    <cfRule type="expression" dxfId="4" priority="1">
      <formula>D36="CHECK"</formula>
    </cfRule>
  </conditionalFormatting>
  <hyperlinks>
    <hyperlink ref="B4" location="'Tail'!A1" display="◂  Tail" xr:uid="{00000000-0004-0000-0400-000000000000}"/>
    <hyperlink ref="I4" location="'Results'!A1" display="Next:  Results  ▸" xr:uid="{00000000-0004-0000-0400-000001000000}"/>
  </hyperlinks>
  <printOptions horizontalCentered="1"/>
  <pageMargins left="0.4" right="0.4" top="0.5" bottom="0.6" header="0.25" footer="0.25"/>
  <pageSetup paperSize="9" scale="86" fitToHeight="0" orientation="landscape" r:id="rId1"/>
  <headerFooter>
    <oddFooter>&amp;L&amp;K3F5876&amp;8&amp;F · &amp;A&amp;R&amp;K3F5876&amp;8Page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5803D"/>
    <outlinePr summaryBelow="0"/>
    <pageSetUpPr fitToPage="1"/>
  </sheetPr>
  <dimension ref="A1:R7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256</v>
      </c>
      <c r="C3" s="1"/>
      <c r="D3" s="1"/>
      <c r="E3" s="1"/>
      <c r="F3" s="1"/>
      <c r="G3" s="1"/>
      <c r="H3" s="1"/>
      <c r="I3" s="1"/>
      <c r="J3" s="1"/>
      <c r="K3" s="1"/>
      <c r="L3" s="1"/>
      <c r="M3" s="1"/>
      <c r="N3" s="1"/>
      <c r="O3" s="1"/>
      <c r="P3" s="1"/>
      <c r="Q3" s="1"/>
      <c r="R3" s="1"/>
    </row>
    <row r="4" spans="1:18" ht="20" customHeight="1" x14ac:dyDescent="0.45">
      <c r="A4" s="5"/>
      <c r="B4" s="22" t="s">
        <v>257</v>
      </c>
      <c r="C4" s="5"/>
      <c r="D4" s="5"/>
      <c r="E4" s="5"/>
      <c r="F4" s="5"/>
      <c r="G4" s="5"/>
      <c r="H4" s="5"/>
      <c r="I4" s="5"/>
      <c r="J4" s="5"/>
      <c r="K4" s="5"/>
      <c r="L4" s="5"/>
      <c r="M4" s="5"/>
      <c r="N4" s="5"/>
      <c r="O4" s="5"/>
      <c r="P4" s="5"/>
      <c r="Q4" s="5"/>
      <c r="R4" s="5"/>
    </row>
    <row r="5" spans="1:18" ht="8" customHeight="1" x14ac:dyDescent="0.45"/>
    <row r="6" spans="1:18" ht="26" customHeight="1" x14ac:dyDescent="0.45">
      <c r="B6" s="64" t="str" cm="1">
        <f t="array" aca="1" ref="B6" ca="1">IF(ISNUMBER(_xll.VoseSimMean(OEP_POT)),"✔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5"/>
      <c r="D6" s="65"/>
      <c r="E6" s="65"/>
      <c r="F6" s="65"/>
      <c r="G6" s="65"/>
    </row>
    <row r="7" spans="1:18" x14ac:dyDescent="0.45">
      <c r="B7" s="56"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258</v>
      </c>
      <c r="C9" s="8"/>
      <c r="D9" s="8"/>
      <c r="E9" s="8"/>
      <c r="F9" s="8"/>
      <c r="G9" s="8"/>
      <c r="I9" s="46" t="s">
        <v>259</v>
      </c>
      <c r="J9" s="8"/>
      <c r="K9" s="8"/>
      <c r="L9" s="8"/>
      <c r="M9" s="8"/>
      <c r="N9" s="8"/>
      <c r="O9" s="8"/>
      <c r="P9" s="8"/>
      <c r="Q9" s="8"/>
      <c r="R9" s="8"/>
    </row>
    <row r="10" spans="1:18" ht="18" customHeight="1" x14ac:dyDescent="0.45">
      <c r="B10" s="13" t="s">
        <v>260</v>
      </c>
    </row>
    <row r="11" spans="1:18" ht="18" customHeight="1" x14ac:dyDescent="0.45">
      <c r="B11" s="53" t="s">
        <v>69</v>
      </c>
      <c r="C11" s="54" t="s">
        <v>261</v>
      </c>
      <c r="D11" s="54" t="s">
        <v>189</v>
      </c>
      <c r="E11" s="54" t="s">
        <v>262</v>
      </c>
      <c r="F11" s="54" t="s">
        <v>263</v>
      </c>
      <c r="G11" s="54" t="s">
        <v>188</v>
      </c>
    </row>
    <row r="12" spans="1:18" x14ac:dyDescent="0.45">
      <c r="B12" s="31"/>
      <c r="C12" s="31" t="s">
        <v>264</v>
      </c>
      <c r="D12" s="31" t="s">
        <v>265</v>
      </c>
      <c r="E12" s="31" t="s">
        <v>265</v>
      </c>
      <c r="F12" s="31" t="s">
        <v>265</v>
      </c>
      <c r="G12" s="31" t="str">
        <f>COUNT(Years)&amp;" years"</f>
        <v>25 years</v>
      </c>
    </row>
    <row r="13" spans="1:18" x14ac:dyDescent="0.45">
      <c r="B13" s="25" t="s">
        <v>195</v>
      </c>
      <c r="C13" s="66">
        <f>Exact_POT_10</f>
        <v>29.026208541824623</v>
      </c>
      <c r="D13" s="67" cm="1">
        <f t="array" aca="1" ref="D13" ca="1">_xll.VoseSimPercentile(OEP_LN,0.9)</f>
        <v>17.724246686780813</v>
      </c>
      <c r="E13" s="67" cm="1">
        <f t="array" aca="1" ref="E13" ca="1">_xll.VoseSimPercentile(OEP_POT,0.9)</f>
        <v>27.84335858429872</v>
      </c>
      <c r="F13" s="67" cm="1">
        <f t="array" aca="1" ref="F13" ca="1">_xll.VoseSimPercentile(OEP_U,0.9)</f>
        <v>27.877516334717281</v>
      </c>
      <c r="G13" s="68">
        <f>_xlfn.PERCENTILE.INC(YearMax,0.9)</f>
        <v>25.580000000000013</v>
      </c>
    </row>
    <row r="14" spans="1:18" x14ac:dyDescent="0.45">
      <c r="B14" s="25" t="s">
        <v>197</v>
      </c>
      <c r="C14" s="66">
        <f>Exact_POT_25</f>
        <v>45.106898766728889</v>
      </c>
      <c r="D14" s="67" cm="1">
        <f t="array" aca="1" ref="D14" ca="1">_xll.VoseSimPercentile(OEP_LN,0.96)</f>
        <v>23.220166950239133</v>
      </c>
      <c r="E14" s="67" cm="1">
        <f t="array" aca="1" ref="E14" ca="1">_xll.VoseSimPercentile(OEP_POT,0.96)</f>
        <v>43.942377365796737</v>
      </c>
      <c r="F14" s="67" cm="1">
        <f t="array" aca="1" ref="F14" ca="1">_xll.VoseSimPercentile(OEP_U,0.96)</f>
        <v>44.412881529028603</v>
      </c>
      <c r="G14" s="68">
        <f>MAX(YearMax)</f>
        <v>50.96</v>
      </c>
    </row>
    <row r="15" spans="1:18" x14ac:dyDescent="0.45">
      <c r="B15" s="25" t="s">
        <v>199</v>
      </c>
      <c r="C15" s="66">
        <f>Exact_POT_50</f>
        <v>61.466695161663161</v>
      </c>
      <c r="D15" s="67" cm="1">
        <f t="array" aca="1" ref="D15" ca="1">_xll.VoseSimPercentile(OEP_LN,0.98)</f>
        <v>28.328703921403619</v>
      </c>
      <c r="E15" s="67" cm="1">
        <f t="array" aca="1" ref="E15" ca="1">_xll.VoseSimPercentile(OEP_POT,0.98)</f>
        <v>58.938668697432767</v>
      </c>
      <c r="F15" s="67" cm="1">
        <f t="array" aca="1" ref="F15" ca="1">_xll.VoseSimPercentile(OEP_U,0.98)</f>
        <v>59.823548567073928</v>
      </c>
      <c r="G15" s="68" t="s">
        <v>266</v>
      </c>
    </row>
    <row r="16" spans="1:18" x14ac:dyDescent="0.45">
      <c r="B16" s="25" t="s">
        <v>200</v>
      </c>
      <c r="C16" s="66">
        <f>Exact_POT_100</f>
        <v>82.741032198575596</v>
      </c>
      <c r="D16" s="67" cm="1">
        <f t="array" aca="1" ref="D16" ca="1">_xll.VoseSimPercentile(OEP_LN,0.99)</f>
        <v>34.079861677937721</v>
      </c>
      <c r="E16" s="67" cm="1">
        <f t="array" aca="1" ref="E16" ca="1">_xll.VoseSimPercentile(OEP_POT,0.99)</f>
        <v>83.033532615704146</v>
      </c>
      <c r="F16" s="67" cm="1">
        <f t="array" aca="1" ref="F16" ca="1">_xll.VoseSimPercentile(OEP_U,0.99)</f>
        <v>82.774092814635509</v>
      </c>
      <c r="G16" s="68" t="s">
        <v>266</v>
      </c>
    </row>
    <row r="17" spans="2:18" x14ac:dyDescent="0.45">
      <c r="B17" s="69" t="s">
        <v>201</v>
      </c>
      <c r="C17" s="66">
        <f>Exact_POT_200</f>
        <v>110.46959207060547</v>
      </c>
      <c r="D17" s="67" cm="1">
        <f t="array" aca="1" ref="D17" ca="1">_xll.VoseSimPercentile(OEP_LN,0.995)</f>
        <v>41.958101482713268</v>
      </c>
      <c r="E17" s="67" cm="1">
        <f t="array" aca="1" ref="E17" ca="1">_xll.VoseSimPercentile(OEP_POT,0.995)</f>
        <v>106.3123203766658</v>
      </c>
      <c r="F17" s="67" cm="1">
        <f t="array" aca="1" ref="F17" ca="1">_xll.VoseSimPercentile(OEP_U,0.995)</f>
        <v>112.98368687145317</v>
      </c>
      <c r="G17" s="68" t="s">
        <v>266</v>
      </c>
    </row>
    <row r="18" spans="2:18" x14ac:dyDescent="0.45">
      <c r="B18" s="25" t="s">
        <v>202</v>
      </c>
      <c r="C18" s="66">
        <f>Exact_POT_250</f>
        <v>121.0833576460216</v>
      </c>
      <c r="D18" s="67" cm="1">
        <f t="array" aca="1" ref="D18" ca="1">_xll.VoseSimPercentile(OEP_LN,0.996)</f>
        <v>43.795586636365378</v>
      </c>
      <c r="E18" s="67" cm="1">
        <f t="array" aca="1" ref="E18" ca="1">_xll.VoseSimPercentile(OEP_POT,0.996)</f>
        <v>115.35911398697434</v>
      </c>
      <c r="F18" s="67" cm="1">
        <f t="array" aca="1" ref="F18" ca="1">_xll.VoseSimPercentile(OEP_U,0.996)</f>
        <v>125.69814123579417</v>
      </c>
      <c r="G18" s="68" t="s">
        <v>266</v>
      </c>
    </row>
    <row r="19" spans="2:18" ht="8" customHeight="1" x14ac:dyDescent="0.45"/>
    <row r="20" spans="2:18" ht="22.05" customHeight="1" x14ac:dyDescent="0.5">
      <c r="B20" s="7" t="s">
        <v>267</v>
      </c>
      <c r="C20" s="8"/>
      <c r="D20" s="8"/>
      <c r="E20" s="8"/>
      <c r="F20" s="8"/>
      <c r="G20" s="8"/>
    </row>
    <row r="21" spans="2:18" ht="18" customHeight="1" x14ac:dyDescent="0.45">
      <c r="B21" s="13" t="s">
        <v>268</v>
      </c>
    </row>
    <row r="22" spans="2:18" ht="18" customHeight="1" x14ac:dyDescent="0.45">
      <c r="B22" s="53" t="s">
        <v>69</v>
      </c>
      <c r="C22" s="54" t="s">
        <v>261</v>
      </c>
      <c r="D22" s="54" t="s">
        <v>189</v>
      </c>
      <c r="E22" s="54" t="s">
        <v>262</v>
      </c>
      <c r="F22" s="54" t="s">
        <v>263</v>
      </c>
      <c r="G22" s="54" t="s">
        <v>188</v>
      </c>
    </row>
    <row r="23" spans="2:18" x14ac:dyDescent="0.45">
      <c r="B23" s="31"/>
      <c r="C23" s="31" t="s">
        <v>264</v>
      </c>
      <c r="D23" s="31" t="s">
        <v>265</v>
      </c>
      <c r="E23" s="31" t="s">
        <v>265</v>
      </c>
      <c r="F23" s="31" t="s">
        <v>265</v>
      </c>
      <c r="G23" s="31" t="str">
        <f>COUNT(Years)&amp;" years"</f>
        <v>25 years</v>
      </c>
    </row>
    <row r="24" spans="2:18" x14ac:dyDescent="0.45">
      <c r="B24" s="25" t="s">
        <v>269</v>
      </c>
      <c r="C24" s="66">
        <f>AEPMean</f>
        <v>35.146358228021739</v>
      </c>
      <c r="D24" s="67" cm="1">
        <f t="array" aca="1" ref="D24" ca="1">_xll.VoseSimMean(AEP_LN)</f>
        <v>31.112489771630447</v>
      </c>
      <c r="E24" s="67" cm="1">
        <f t="array" aca="1" ref="E24" ca="1">_xll.VoseSimMean(AEP_POT)</f>
        <v>34.597865006808696</v>
      </c>
      <c r="F24" s="67" cm="1">
        <f t="array" aca="1" ref="F24" ca="1">_xll.VoseSimMean(AEP_U)</f>
        <v>35.306159614466843</v>
      </c>
      <c r="G24" s="68">
        <f>AVERAGE(YearTotal)</f>
        <v>34.602799999999995</v>
      </c>
    </row>
    <row r="25" spans="2:18" x14ac:dyDescent="0.45">
      <c r="B25" s="25" t="s">
        <v>195</v>
      </c>
      <c r="C25" s="66" t="s">
        <v>266</v>
      </c>
      <c r="D25" s="67" cm="1">
        <f t="array" aca="1" ref="D25" ca="1">_xll.VoseSimPercentile(AEP_LN,0.9)</f>
        <v>51.719467240013458</v>
      </c>
      <c r="E25" s="67" cm="1">
        <f t="array" aca="1" ref="E25" ca="1">_xll.VoseSimPercentile(AEP_POT,0.9)</f>
        <v>62.134303433319161</v>
      </c>
      <c r="F25" s="67" cm="1">
        <f t="array" aca="1" ref="F25" ca="1">_xll.VoseSimPercentile(AEP_U,0.9)</f>
        <v>63.378336924162497</v>
      </c>
      <c r="G25" s="68">
        <f>_xlfn.PERCENTILE.INC(YearTotal,0.9)</f>
        <v>65.604000000000028</v>
      </c>
      <c r="I25" s="46" t="s">
        <v>270</v>
      </c>
      <c r="J25" s="8"/>
      <c r="K25" s="8"/>
      <c r="L25" s="8"/>
      <c r="M25" s="8"/>
      <c r="N25" s="8"/>
      <c r="O25" s="8"/>
      <c r="P25" s="8"/>
      <c r="Q25" s="8"/>
      <c r="R25" s="8"/>
    </row>
    <row r="26" spans="2:18" x14ac:dyDescent="0.45">
      <c r="B26" s="25" t="s">
        <v>197</v>
      </c>
      <c r="C26" s="66" t="s">
        <v>266</v>
      </c>
      <c r="D26" s="67" cm="1">
        <f t="array" aca="1" ref="D26" ca="1">_xll.VoseSimPercentile(AEP_LN,0.96)</f>
        <v>62.979633265570314</v>
      </c>
      <c r="E26" s="67" cm="1">
        <f t="array" aca="1" ref="E26" ca="1">_xll.VoseSimPercentile(AEP_POT,0.96)</f>
        <v>82.529463690379743</v>
      </c>
      <c r="F26" s="67" cm="1">
        <f t="array" aca="1" ref="F26" ca="1">_xll.VoseSimPercentile(AEP_U,0.96)</f>
        <v>83.343656881410325</v>
      </c>
      <c r="G26" s="68">
        <f>MAX(YearTotal)</f>
        <v>98.68</v>
      </c>
    </row>
    <row r="27" spans="2:18" x14ac:dyDescent="0.45">
      <c r="B27" s="25" t="s">
        <v>199</v>
      </c>
      <c r="C27" s="66" t="s">
        <v>266</v>
      </c>
      <c r="D27" s="67" cm="1">
        <f t="array" aca="1" ref="D27" ca="1">_xll.VoseSimPercentile(AEP_LN,0.98)</f>
        <v>71.662240055180945</v>
      </c>
      <c r="E27" s="67" cm="1">
        <f t="array" aca="1" ref="E27" ca="1">_xll.VoseSimPercentile(AEP_POT,0.98)</f>
        <v>101.73618057000699</v>
      </c>
      <c r="F27" s="67" cm="1">
        <f t="array" aca="1" ref="F27" ca="1">_xll.VoseSimPercentile(AEP_U,0.98)</f>
        <v>104.21808701752573</v>
      </c>
      <c r="G27" s="68" t="s">
        <v>266</v>
      </c>
    </row>
    <row r="28" spans="2:18" x14ac:dyDescent="0.45">
      <c r="B28" s="25" t="s">
        <v>200</v>
      </c>
      <c r="C28" s="66" t="s">
        <v>266</v>
      </c>
      <c r="D28" s="67" cm="1">
        <f t="array" aca="1" ref="D28" ca="1">_xll.VoseSimPercentile(AEP_LN,0.99)</f>
        <v>78.390770543508751</v>
      </c>
      <c r="E28" s="67" cm="1">
        <f t="array" aca="1" ref="E28" ca="1">_xll.VoseSimPercentile(AEP_POT,0.99)</f>
        <v>121.3090627237566</v>
      </c>
      <c r="F28" s="67" cm="1">
        <f t="array" aca="1" ref="F28" ca="1">_xll.VoseSimPercentile(AEP_U,0.99)</f>
        <v>125.10497267383136</v>
      </c>
      <c r="G28" s="68" t="s">
        <v>266</v>
      </c>
    </row>
    <row r="29" spans="2:18" x14ac:dyDescent="0.45">
      <c r="B29" s="69" t="s">
        <v>201</v>
      </c>
      <c r="C29" s="66" t="s">
        <v>266</v>
      </c>
      <c r="D29" s="67" cm="1">
        <f t="array" aca="1" ref="D29" ca="1">_xll.VoseSimPercentile(AEP_LN,0.995)</f>
        <v>85.621714433584245</v>
      </c>
      <c r="E29" s="67" cm="1">
        <f t="array" aca="1" ref="E29" ca="1">_xll.VoseSimPercentile(AEP_POT,0.995)</f>
        <v>149.31362796734987</v>
      </c>
      <c r="F29" s="67" cm="1">
        <f t="array" aca="1" ref="F29" ca="1">_xll.VoseSimPercentile(AEP_U,0.995)</f>
        <v>161.13093077082559</v>
      </c>
      <c r="G29" s="68" t="s">
        <v>266</v>
      </c>
    </row>
    <row r="30" spans="2:18" x14ac:dyDescent="0.45">
      <c r="B30" s="25" t="s">
        <v>202</v>
      </c>
      <c r="C30" s="66" t="s">
        <v>266</v>
      </c>
      <c r="D30" s="67" cm="1">
        <f t="array" aca="1" ref="D30" ca="1">_xll.VoseSimPercentile(AEP_LN,0.996)</f>
        <v>88.221366053977462</v>
      </c>
      <c r="E30" s="67" cm="1">
        <f t="array" aca="1" ref="E30" ca="1">_xll.VoseSimPercentile(AEP_POT,0.996)</f>
        <v>162.57854978998856</v>
      </c>
      <c r="F30" s="67" cm="1">
        <f t="array" aca="1" ref="F30" ca="1">_xll.VoseSimPercentile(AEP_U,0.996)</f>
        <v>177.92770186296633</v>
      </c>
      <c r="G30" s="68" t="s">
        <v>266</v>
      </c>
    </row>
    <row r="31" spans="2:18" ht="40.049999999999997" customHeight="1" x14ac:dyDescent="0.45">
      <c r="B31" s="76" t="s">
        <v>271</v>
      </c>
      <c r="C31" s="74"/>
      <c r="D31" s="74"/>
      <c r="E31" s="74"/>
      <c r="F31" s="74"/>
      <c r="G31" s="74"/>
    </row>
    <row r="32" spans="2:18" ht="8" customHeight="1" x14ac:dyDescent="0.45"/>
    <row r="33" spans="2:7" ht="22.05" customHeight="1" x14ac:dyDescent="0.5">
      <c r="B33" s="7" t="s">
        <v>272</v>
      </c>
      <c r="C33" s="8"/>
      <c r="D33" s="8"/>
      <c r="E33" s="8"/>
      <c r="F33" s="8"/>
      <c r="G33" s="8"/>
    </row>
    <row r="34" spans="2:7" ht="18" customHeight="1" x14ac:dyDescent="0.45">
      <c r="B34" s="13" t="s">
        <v>273</v>
      </c>
    </row>
    <row r="35" spans="2:7" ht="18" customHeight="1" x14ac:dyDescent="0.45">
      <c r="B35" s="53" t="s">
        <v>187</v>
      </c>
      <c r="C35" s="54" t="s">
        <v>188</v>
      </c>
      <c r="D35" s="54" t="s">
        <v>189</v>
      </c>
      <c r="E35" s="54" t="s">
        <v>262</v>
      </c>
      <c r="F35" s="48"/>
      <c r="G35" s="48"/>
    </row>
    <row r="36" spans="2:7" x14ac:dyDescent="0.45">
      <c r="B36" s="31"/>
      <c r="C36" s="31" t="s">
        <v>145</v>
      </c>
      <c r="D36" s="31" t="s">
        <v>274</v>
      </c>
      <c r="E36" s="31" t="s">
        <v>274</v>
      </c>
      <c r="F36" s="31"/>
      <c r="G36" s="31"/>
    </row>
    <row r="37" spans="2:7" x14ac:dyDescent="0.45">
      <c r="B37" s="55">
        <v>10</v>
      </c>
      <c r="C37" s="39">
        <f>Often_Data_10</f>
        <v>19</v>
      </c>
      <c r="D37" s="39">
        <f>Often_LN_10</f>
        <v>1.9726008011979503</v>
      </c>
      <c r="E37" s="39">
        <f>Often_POT_10</f>
        <v>1.3983425683054107</v>
      </c>
      <c r="F37" s="28"/>
      <c r="G37" s="28"/>
    </row>
    <row r="38" spans="2:7" x14ac:dyDescent="0.45">
      <c r="B38" s="55">
        <v>25</v>
      </c>
      <c r="C38" s="39">
        <f>Often_Data_25</f>
        <v>4</v>
      </c>
      <c r="D38" s="39">
        <f>Often_LN_25</f>
        <v>30.441129305519475</v>
      </c>
      <c r="E38" s="39">
        <f>Often_POT_25</f>
        <v>7.005404284368189</v>
      </c>
      <c r="F38" s="28"/>
      <c r="G38" s="28"/>
    </row>
    <row r="39" spans="2:7" x14ac:dyDescent="0.45">
      <c r="B39" s="55">
        <v>50</v>
      </c>
      <c r="C39" s="39">
        <f>Often_Data_50</f>
        <v>1</v>
      </c>
      <c r="D39" s="39">
        <f>Often_LN_50</f>
        <v>519.23869538893246</v>
      </c>
      <c r="E39" s="39">
        <f>Often_POT_50</f>
        <v>30.864245440617754</v>
      </c>
      <c r="F39" s="28"/>
      <c r="G39" s="28"/>
    </row>
    <row r="40" spans="2:7" x14ac:dyDescent="0.45">
      <c r="B40" s="55">
        <v>100</v>
      </c>
      <c r="C40" s="39">
        <f>Often_Data_100</f>
        <v>0</v>
      </c>
      <c r="D40" s="39">
        <f>Often_LN_100</f>
        <v>17536.521977572891</v>
      </c>
      <c r="E40" s="39">
        <f>Often_POT_100</f>
        <v>156.73195275930269</v>
      </c>
      <c r="F40" s="28"/>
      <c r="G40" s="28"/>
    </row>
    <row r="41" spans="2:7" x14ac:dyDescent="0.45">
      <c r="B41" s="55">
        <v>200</v>
      </c>
      <c r="C41" s="39">
        <f>Often_Data_200</f>
        <v>0</v>
      </c>
      <c r="D41" s="39">
        <f>Often_LN_200</f>
        <v>1186885.7353497732</v>
      </c>
      <c r="E41" s="39">
        <f>Often_POT_200</f>
        <v>864.01207914053998</v>
      </c>
      <c r="F41" s="28"/>
      <c r="G41" s="28"/>
    </row>
    <row r="42" spans="2:7" ht="8" customHeight="1" x14ac:dyDescent="0.45"/>
    <row r="43" spans="2:7" ht="22.05" customHeight="1" x14ac:dyDescent="0.5">
      <c r="B43" s="7" t="s">
        <v>275</v>
      </c>
      <c r="C43" s="8"/>
      <c r="D43" s="8"/>
      <c r="E43" s="8"/>
      <c r="F43" s="8"/>
      <c r="G43" s="8"/>
    </row>
    <row r="44" spans="2:7" ht="45" customHeight="1" x14ac:dyDescent="0.45">
      <c r="B44" s="73" t="s">
        <v>276</v>
      </c>
      <c r="C44" s="74"/>
      <c r="D44" s="74"/>
      <c r="E44" s="74"/>
      <c r="F44" s="74"/>
      <c r="G44" s="74"/>
    </row>
    <row r="45" spans="2:7" ht="45" customHeight="1" x14ac:dyDescent="0.45">
      <c r="B45" s="73" t="s">
        <v>277</v>
      </c>
      <c r="C45" s="74"/>
      <c r="D45" s="74"/>
      <c r="E45" s="74"/>
      <c r="F45" s="74"/>
      <c r="G45" s="74"/>
    </row>
    <row r="46" spans="2:7" ht="32" customHeight="1" x14ac:dyDescent="0.45">
      <c r="B46" s="73" t="s">
        <v>278</v>
      </c>
      <c r="C46" s="74"/>
      <c r="D46" s="74"/>
      <c r="E46" s="74"/>
      <c r="F46" s="74"/>
      <c r="G46" s="74"/>
    </row>
    <row r="47" spans="2:7" ht="45" customHeight="1" x14ac:dyDescent="0.45">
      <c r="B47" s="73" t="s">
        <v>279</v>
      </c>
      <c r="C47" s="74"/>
      <c r="D47" s="74"/>
      <c r="E47" s="74"/>
      <c r="F47" s="74"/>
      <c r="G47" s="74"/>
    </row>
    <row r="48" spans="2:7" ht="32" customHeight="1" x14ac:dyDescent="0.45">
      <c r="B48" s="73" t="s">
        <v>280</v>
      </c>
      <c r="C48" s="74"/>
      <c r="D48" s="74"/>
      <c r="E48" s="74"/>
      <c r="F48" s="74"/>
      <c r="G48" s="74"/>
    </row>
    <row r="49" spans="2:7" ht="45" customHeight="1" x14ac:dyDescent="0.45">
      <c r="B49" s="73" t="s">
        <v>281</v>
      </c>
      <c r="C49" s="74"/>
      <c r="D49" s="74"/>
      <c r="E49" s="74"/>
      <c r="F49" s="74"/>
      <c r="G49" s="74"/>
    </row>
    <row r="50" spans="2:7" ht="14" customHeight="1" x14ac:dyDescent="0.45"/>
    <row r="51" spans="2:7" ht="14" customHeight="1" x14ac:dyDescent="0.45"/>
    <row r="52" spans="2:7" ht="22.05" customHeight="1" x14ac:dyDescent="0.5">
      <c r="B52" s="7" t="s">
        <v>282</v>
      </c>
      <c r="C52" s="8"/>
      <c r="D52" s="8"/>
      <c r="E52" s="8"/>
      <c r="F52" s="8"/>
      <c r="G52" s="8"/>
    </row>
    <row r="53" spans="2:7" ht="18" customHeight="1" x14ac:dyDescent="0.45">
      <c r="B53" s="13" t="s">
        <v>283</v>
      </c>
    </row>
    <row r="54" spans="2:7" ht="28.05" hidden="1" customHeight="1" outlineLevel="1" x14ac:dyDescent="0.45">
      <c r="B54" s="24" t="s">
        <v>284</v>
      </c>
      <c r="C54" s="24" t="s">
        <v>285</v>
      </c>
      <c r="D54" s="24" t="s">
        <v>286</v>
      </c>
      <c r="E54" s="24" t="s">
        <v>287</v>
      </c>
      <c r="F54" s="24" t="s">
        <v>288</v>
      </c>
      <c r="G54" s="5"/>
    </row>
    <row r="55" spans="2:7" hidden="1" outlineLevel="1" x14ac:dyDescent="0.45">
      <c r="B55" s="70">
        <v>2</v>
      </c>
      <c r="C55" s="71">
        <f t="shared" ref="C55:C62" si="0">1-1/B55</f>
        <v>0.5</v>
      </c>
      <c r="D55" s="72" cm="1">
        <f t="array" aca="1" ref="D55" ca="1">IF(ISNUMBER(_xll.VoseSimPercentile(OEP_LN,$C55)),_xll.VoseSimPercentile(OEP_LN,$C55),NA())</f>
        <v>8.7550647046129004</v>
      </c>
      <c r="E55" s="72" cm="1">
        <f t="array" aca="1" ref="E55" ca="1">IF(ISNUMBER(_xll.VoseSimPercentile(OEP_POT,$C55)),_xll.VoseSimPercentile(OEP_POT,$C55),NA())</f>
        <v>10.225954941041589</v>
      </c>
      <c r="F55" s="72" cm="1">
        <f t="array" aca="1" ref="F55" ca="1">IF(ISNUMBER(_xll.VoseSimPercentile(OEP_U,$C55)),_xll.VoseSimPercentile(OEP_U,$C55),NA())</f>
        <v>9.9761684586086616</v>
      </c>
    </row>
    <row r="56" spans="2:7" hidden="1" outlineLevel="1" x14ac:dyDescent="0.45">
      <c r="B56" s="70">
        <v>5</v>
      </c>
      <c r="C56" s="71">
        <f t="shared" si="0"/>
        <v>0.8</v>
      </c>
      <c r="D56" s="72" cm="1">
        <f t="array" aca="1" ref="D56" ca="1">IF(ISNUMBER(_xll.VoseSimPercentile(OEP_LN,$C56)),_xll.VoseSimPercentile(OEP_LN,$C56),NA())</f>
        <v>13.787833254327753</v>
      </c>
      <c r="E56" s="72" cm="1">
        <f t="array" aca="1" ref="E56" ca="1">IF(ISNUMBER(_xll.VoseSimPercentile(OEP_POT,$C56)),_xll.VoseSimPercentile(OEP_POT,$C56),NA())</f>
        <v>19.407927288114923</v>
      </c>
      <c r="F56" s="72" cm="1">
        <f t="array" aca="1" ref="F56" ca="1">IF(ISNUMBER(_xll.VoseSimPercentile(OEP_U,$C56)),_xll.VoseSimPercentile(OEP_U,$C56),NA())</f>
        <v>19.357813908787712</v>
      </c>
    </row>
    <row r="57" spans="2:7" hidden="1" outlineLevel="1" x14ac:dyDescent="0.45">
      <c r="B57" s="70">
        <v>10</v>
      </c>
      <c r="C57" s="71">
        <f t="shared" si="0"/>
        <v>0.9</v>
      </c>
      <c r="D57" s="72" cm="1">
        <f t="array" aca="1" ref="D57" ca="1">IF(ISNUMBER(_xll.VoseSimPercentile(OEP_LN,$C57)),_xll.VoseSimPercentile(OEP_LN,$C57),NA())</f>
        <v>17.724246686780813</v>
      </c>
      <c r="E57" s="72" cm="1">
        <f t="array" aca="1" ref="E57" ca="1">IF(ISNUMBER(_xll.VoseSimPercentile(OEP_POT,$C57)),_xll.VoseSimPercentile(OEP_POT,$C57),NA())</f>
        <v>27.84335858429872</v>
      </c>
      <c r="F57" s="72" cm="1">
        <f t="array" aca="1" ref="F57" ca="1">IF(ISNUMBER(_xll.VoseSimPercentile(OEP_U,$C57)),_xll.VoseSimPercentile(OEP_U,$C57),NA())</f>
        <v>27.877516334717281</v>
      </c>
    </row>
    <row r="58" spans="2:7" hidden="1" outlineLevel="1" x14ac:dyDescent="0.45">
      <c r="B58" s="70">
        <v>20</v>
      </c>
      <c r="C58" s="71">
        <f t="shared" si="0"/>
        <v>0.95</v>
      </c>
      <c r="D58" s="72" cm="1">
        <f t="array" aca="1" ref="D58" ca="1">IF(ISNUMBER(_xll.VoseSimPercentile(OEP_LN,$C58)),_xll.VoseSimPercentile(OEP_LN,$C58),NA())</f>
        <v>21.791752094834724</v>
      </c>
      <c r="E58" s="72" cm="1">
        <f t="array" aca="1" ref="E58" ca="1">IF(ISNUMBER(_xll.VoseSimPercentile(OEP_POT,$C58)),_xll.VoseSimPercentile(OEP_POT,$C58),NA())</f>
        <v>39.603111197263118</v>
      </c>
      <c r="F58" s="72" cm="1">
        <f t="array" aca="1" ref="F58" ca="1">IF(ISNUMBER(_xll.VoseSimPercentile(OEP_U,$C58)),_xll.VoseSimPercentile(OEP_U,$C58),NA())</f>
        <v>39.696769817826372</v>
      </c>
    </row>
    <row r="59" spans="2:7" hidden="1" outlineLevel="1" x14ac:dyDescent="0.45">
      <c r="B59" s="70">
        <v>50</v>
      </c>
      <c r="C59" s="71">
        <f t="shared" si="0"/>
        <v>0.98</v>
      </c>
      <c r="D59" s="72" cm="1">
        <f t="array" aca="1" ref="D59" ca="1">IF(ISNUMBER(_xll.VoseSimPercentile(OEP_LN,$C59)),_xll.VoseSimPercentile(OEP_LN,$C59),NA())</f>
        <v>28.328703921403619</v>
      </c>
      <c r="E59" s="72" cm="1">
        <f t="array" aca="1" ref="E59" ca="1">IF(ISNUMBER(_xll.VoseSimPercentile(OEP_POT,$C59)),_xll.VoseSimPercentile(OEP_POT,$C59),NA())</f>
        <v>58.938668697432767</v>
      </c>
      <c r="F59" s="72" cm="1">
        <f t="array" aca="1" ref="F59" ca="1">IF(ISNUMBER(_xll.VoseSimPercentile(OEP_U,$C59)),_xll.VoseSimPercentile(OEP_U,$C59),NA())</f>
        <v>59.823548567073928</v>
      </c>
    </row>
    <row r="60" spans="2:7" hidden="1" outlineLevel="1" x14ac:dyDescent="0.45">
      <c r="B60" s="70">
        <v>100</v>
      </c>
      <c r="C60" s="71">
        <f t="shared" si="0"/>
        <v>0.99</v>
      </c>
      <c r="D60" s="72" cm="1">
        <f t="array" aca="1" ref="D60" ca="1">IF(ISNUMBER(_xll.VoseSimPercentile(OEP_LN,$C60)),_xll.VoseSimPercentile(OEP_LN,$C60),NA())</f>
        <v>34.079861677937721</v>
      </c>
      <c r="E60" s="72" cm="1">
        <f t="array" aca="1" ref="E60" ca="1">IF(ISNUMBER(_xll.VoseSimPercentile(OEP_POT,$C60)),_xll.VoseSimPercentile(OEP_POT,$C60),NA())</f>
        <v>83.033532615704146</v>
      </c>
      <c r="F60" s="72" cm="1">
        <f t="array" aca="1" ref="F60" ca="1">IF(ISNUMBER(_xll.VoseSimPercentile(OEP_U,$C60)),_xll.VoseSimPercentile(OEP_U,$C60),NA())</f>
        <v>82.774092814635509</v>
      </c>
    </row>
    <row r="61" spans="2:7" hidden="1" outlineLevel="1" x14ac:dyDescent="0.45">
      <c r="B61" s="70">
        <v>200</v>
      </c>
      <c r="C61" s="71">
        <f t="shared" si="0"/>
        <v>0.995</v>
      </c>
      <c r="D61" s="72" cm="1">
        <f t="array" aca="1" ref="D61" ca="1">IF(ISNUMBER(_xll.VoseSimPercentile(OEP_LN,$C61)),_xll.VoseSimPercentile(OEP_LN,$C61),NA())</f>
        <v>41.958101482713268</v>
      </c>
      <c r="E61" s="72" cm="1">
        <f t="array" aca="1" ref="E61" ca="1">IF(ISNUMBER(_xll.VoseSimPercentile(OEP_POT,$C61)),_xll.VoseSimPercentile(OEP_POT,$C61),NA())</f>
        <v>106.3123203766658</v>
      </c>
      <c r="F61" s="72" cm="1">
        <f t="array" aca="1" ref="F61" ca="1">IF(ISNUMBER(_xll.VoseSimPercentile(OEP_U,$C61)),_xll.VoseSimPercentile(OEP_U,$C61),NA())</f>
        <v>112.98368687145317</v>
      </c>
    </row>
    <row r="62" spans="2:7" hidden="1" outlineLevel="1" x14ac:dyDescent="0.45">
      <c r="B62" s="70">
        <v>500</v>
      </c>
      <c r="C62" s="71">
        <f t="shared" si="0"/>
        <v>0.998</v>
      </c>
      <c r="D62" s="72" cm="1">
        <f t="array" aca="1" ref="D62" ca="1">IF(ISNUMBER(_xll.VoseSimPercentile(OEP_LN,$C62)),_xll.VoseSimPercentile(OEP_LN,$C62),NA())</f>
        <v>50.53988104093348</v>
      </c>
      <c r="E62" s="72" cm="1">
        <f t="array" aca="1" ref="E62" ca="1">IF(ISNUMBER(_xll.VoseSimPercentile(OEP_POT,$C62)),_xll.VoseSimPercentile(OEP_POT,$C62),NA())</f>
        <v>155.40171845495496</v>
      </c>
      <c r="F62" s="72" cm="1">
        <f t="array" aca="1" ref="F62" ca="1">IF(ISNUMBER(_xll.VoseSimPercentile(OEP_U,$C62)),_xll.VoseSimPercentile(OEP_U,$C62),NA())</f>
        <v>194.54993089463321</v>
      </c>
    </row>
    <row r="63" spans="2:7" hidden="1" outlineLevel="1" x14ac:dyDescent="0.45"/>
    <row r="64" spans="2:7" ht="28.05" hidden="1" customHeight="1" outlineLevel="1" x14ac:dyDescent="0.45">
      <c r="B64" s="24" t="s">
        <v>284</v>
      </c>
      <c r="C64" s="24" t="s">
        <v>285</v>
      </c>
      <c r="D64" s="24" t="s">
        <v>289</v>
      </c>
      <c r="E64" s="24" t="s">
        <v>290</v>
      </c>
      <c r="F64" s="24" t="s">
        <v>291</v>
      </c>
      <c r="G64" s="5"/>
    </row>
    <row r="65" spans="2:6" hidden="1" outlineLevel="1" x14ac:dyDescent="0.45">
      <c r="B65" s="70">
        <v>2</v>
      </c>
      <c r="C65" s="71">
        <f t="shared" ref="C65:C72" si="1">1-1/B65</f>
        <v>0.5</v>
      </c>
      <c r="D65" s="72" cm="1">
        <f t="array" aca="1" ref="D65" ca="1">IF(ISNUMBER(_xll.VoseSimPercentile(AEP_LN,$C65)),_xll.VoseSimPercentile(AEP_LN,$C65),NA())</f>
        <v>28.56698616281459</v>
      </c>
      <c r="E65" s="72" cm="1">
        <f t="array" aca="1" ref="E65" ca="1">IF(ISNUMBER(_xll.VoseSimPercentile(AEP_POT,$C65)),_xll.VoseSimPercentile(AEP_POT,$C65),NA())</f>
        <v>28.995491771704959</v>
      </c>
      <c r="F65" s="72" cm="1">
        <f t="array" aca="1" ref="F65" ca="1">IF(ISNUMBER(_xll.VoseSimPercentile(AEP_U,$C65)),_xll.VoseSimPercentile(AEP_U,$C65),NA())</f>
        <v>29.002828187088031</v>
      </c>
    </row>
    <row r="66" spans="2:6" hidden="1" outlineLevel="1" x14ac:dyDescent="0.45">
      <c r="B66" s="70">
        <v>5</v>
      </c>
      <c r="C66" s="71">
        <f t="shared" si="1"/>
        <v>0.8</v>
      </c>
      <c r="D66" s="72" cm="1">
        <f t="array" aca="1" ref="D66" ca="1">IF(ISNUMBER(_xll.VoseSimPercentile(AEP_LN,$C66)),_xll.VoseSimPercentile(AEP_LN,$C66),NA())</f>
        <v>43.0524627314349</v>
      </c>
      <c r="E66" s="72" cm="1">
        <f t="array" aca="1" ref="E66" ca="1">IF(ISNUMBER(_xll.VoseSimPercentile(AEP_POT,$C66)),_xll.VoseSimPercentile(AEP_POT,$C66),NA())</f>
        <v>47.719678710848335</v>
      </c>
      <c r="F66" s="72" cm="1">
        <f t="array" aca="1" ref="F66" ca="1">IF(ISNUMBER(_xll.VoseSimPercentile(AEP_U,$C66)),_xll.VoseSimPercentile(AEP_U,$C66),NA())</f>
        <v>48.127879412793334</v>
      </c>
    </row>
    <row r="67" spans="2:6" hidden="1" outlineLevel="1" x14ac:dyDescent="0.45">
      <c r="B67" s="70">
        <v>10</v>
      </c>
      <c r="C67" s="71">
        <f t="shared" si="1"/>
        <v>0.9</v>
      </c>
      <c r="D67" s="72" cm="1">
        <f t="array" aca="1" ref="D67" ca="1">IF(ISNUMBER(_xll.VoseSimPercentile(AEP_LN,$C67)),_xll.VoseSimPercentile(AEP_LN,$C67),NA())</f>
        <v>51.719467240013458</v>
      </c>
      <c r="E67" s="72" cm="1">
        <f t="array" aca="1" ref="E67" ca="1">IF(ISNUMBER(_xll.VoseSimPercentile(AEP_POT,$C67)),_xll.VoseSimPercentile(AEP_POT,$C67),NA())</f>
        <v>62.134303433319161</v>
      </c>
      <c r="F67" s="72" cm="1">
        <f t="array" aca="1" ref="F67" ca="1">IF(ISNUMBER(_xll.VoseSimPercentile(AEP_U,$C67)),_xll.VoseSimPercentile(AEP_U,$C67),NA())</f>
        <v>63.378336924162497</v>
      </c>
    </row>
    <row r="68" spans="2:6" hidden="1" outlineLevel="1" x14ac:dyDescent="0.45">
      <c r="B68" s="70">
        <v>20</v>
      </c>
      <c r="C68" s="71">
        <f t="shared" si="1"/>
        <v>0.95</v>
      </c>
      <c r="D68" s="72" cm="1">
        <f t="array" aca="1" ref="D68" ca="1">IF(ISNUMBER(_xll.VoseSimPercentile(AEP_LN,$C68)),_xll.VoseSimPercentile(AEP_LN,$C68),NA())</f>
        <v>60.897871069291782</v>
      </c>
      <c r="E68" s="72" cm="1">
        <f t="array" aca="1" ref="E68" ca="1">IF(ISNUMBER(_xll.VoseSimPercentile(AEP_POT,$C68)),_xll.VoseSimPercentile(AEP_POT,$C68),NA())</f>
        <v>77.125263414513952</v>
      </c>
      <c r="F68" s="72" cm="1">
        <f t="array" aca="1" ref="F68" ca="1">IF(ISNUMBER(_xll.VoseSimPercentile(AEP_U,$C68)),_xll.VoseSimPercentile(AEP_U,$C68),NA())</f>
        <v>78.440766888252099</v>
      </c>
    </row>
    <row r="69" spans="2:6" hidden="1" outlineLevel="1" x14ac:dyDescent="0.45">
      <c r="B69" s="70">
        <v>50</v>
      </c>
      <c r="C69" s="71">
        <f t="shared" si="1"/>
        <v>0.98</v>
      </c>
      <c r="D69" s="72" cm="1">
        <f t="array" aca="1" ref="D69" ca="1">IF(ISNUMBER(_xll.VoseSimPercentile(AEP_LN,$C69)),_xll.VoseSimPercentile(AEP_LN,$C69),NA())</f>
        <v>71.662240055180945</v>
      </c>
      <c r="E69" s="72" cm="1">
        <f t="array" aca="1" ref="E69" ca="1">IF(ISNUMBER(_xll.VoseSimPercentile(AEP_POT,$C69)),_xll.VoseSimPercentile(AEP_POT,$C69),NA())</f>
        <v>101.73618057000699</v>
      </c>
      <c r="F69" s="72" cm="1">
        <f t="array" aca="1" ref="F69" ca="1">IF(ISNUMBER(_xll.VoseSimPercentile(AEP_U,$C69)),_xll.VoseSimPercentile(AEP_U,$C69),NA())</f>
        <v>104.21808701752573</v>
      </c>
    </row>
    <row r="70" spans="2:6" hidden="1" outlineLevel="1" x14ac:dyDescent="0.45">
      <c r="B70" s="70">
        <v>100</v>
      </c>
      <c r="C70" s="71">
        <f t="shared" si="1"/>
        <v>0.99</v>
      </c>
      <c r="D70" s="72" cm="1">
        <f t="array" aca="1" ref="D70" ca="1">IF(ISNUMBER(_xll.VoseSimPercentile(AEP_LN,$C70)),_xll.VoseSimPercentile(AEP_LN,$C70),NA())</f>
        <v>78.390770543508751</v>
      </c>
      <c r="E70" s="72" cm="1">
        <f t="array" aca="1" ref="E70" ca="1">IF(ISNUMBER(_xll.VoseSimPercentile(AEP_POT,$C70)),_xll.VoseSimPercentile(AEP_POT,$C70),NA())</f>
        <v>121.3090627237566</v>
      </c>
      <c r="F70" s="72" cm="1">
        <f t="array" aca="1" ref="F70" ca="1">IF(ISNUMBER(_xll.VoseSimPercentile(AEP_U,$C70)),_xll.VoseSimPercentile(AEP_U,$C70),NA())</f>
        <v>125.10497267383136</v>
      </c>
    </row>
    <row r="71" spans="2:6" hidden="1" outlineLevel="1" x14ac:dyDescent="0.45">
      <c r="B71" s="70">
        <v>200</v>
      </c>
      <c r="C71" s="71">
        <f t="shared" si="1"/>
        <v>0.995</v>
      </c>
      <c r="D71" s="72" cm="1">
        <f t="array" aca="1" ref="D71" ca="1">IF(ISNUMBER(_xll.VoseSimPercentile(AEP_LN,$C71)),_xll.VoseSimPercentile(AEP_LN,$C71),NA())</f>
        <v>85.621714433584245</v>
      </c>
      <c r="E71" s="72" cm="1">
        <f t="array" aca="1" ref="E71" ca="1">IF(ISNUMBER(_xll.VoseSimPercentile(AEP_POT,$C71)),_xll.VoseSimPercentile(AEP_POT,$C71),NA())</f>
        <v>149.31362796734987</v>
      </c>
      <c r="F71" s="72" cm="1">
        <f t="array" aca="1" ref="F71" ca="1">IF(ISNUMBER(_xll.VoseSimPercentile(AEP_U,$C71)),_xll.VoseSimPercentile(AEP_U,$C71),NA())</f>
        <v>161.13093077082559</v>
      </c>
    </row>
    <row r="72" spans="2:6" hidden="1" outlineLevel="1" x14ac:dyDescent="0.45">
      <c r="B72" s="70">
        <v>500</v>
      </c>
      <c r="C72" s="71">
        <f t="shared" si="1"/>
        <v>0.998</v>
      </c>
      <c r="D72" s="72" cm="1">
        <f t="array" aca="1" ref="D72" ca="1">IF(ISNUMBER(_xll.VoseSimPercentile(AEP_LN,$C72)),_xll.VoseSimPercentile(AEP_LN,$C72),NA())</f>
        <v>98.203331301290689</v>
      </c>
      <c r="E72" s="72" cm="1">
        <f t="array" aca="1" ref="E72" ca="1">IF(ISNUMBER(_xll.VoseSimPercentile(AEP_POT,$C72)),_xll.VoseSimPercentile(AEP_POT,$C72),NA())</f>
        <v>194.33919536568604</v>
      </c>
      <c r="F72" s="72" cm="1">
        <f t="array" aca="1" ref="F72" ca="1">IF(ISNUMBER(_xll.VoseSimPercentile(AEP_U,$C72)),_xll.VoseSimPercentile(AEP_U,$C72),NA())</f>
        <v>256.60865975333479</v>
      </c>
    </row>
  </sheetData>
  <mergeCells count="7">
    <mergeCell ref="B47:G47"/>
    <mergeCell ref="B46:G46"/>
    <mergeCell ref="B31:G31"/>
    <mergeCell ref="B45:G45"/>
    <mergeCell ref="B49:G49"/>
    <mergeCell ref="B44:G44"/>
    <mergeCell ref="B48:G48"/>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55:F62">
    <cfRule type="expression" dxfId="1" priority="3">
      <formula>ISNA(D55)</formula>
    </cfRule>
  </conditionalFormatting>
  <conditionalFormatting sqref="D65:F72">
    <cfRule type="expression" dxfId="0" priority="4">
      <formula>ISNA(D65)</formula>
    </cfRule>
  </conditionalFormatting>
  <hyperlinks>
    <hyperlink ref="B4" location="'Year'!A1" display="◂  Year" xr:uid="{00000000-0004-0000-05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2"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6726-0C8E-4824-AA9D-E5B8933F3FB3}">
  <dimension ref="A1:B1"/>
  <sheetViews>
    <sheetView workbookViewId="0"/>
  </sheetViews>
  <sheetFormatPr defaultRowHeight="14.25" x14ac:dyDescent="0.45"/>
  <sheetData>
    <row r="1" spans="1:2" x14ac:dyDescent="0.45">
      <c r="A1" s="77" t="s">
        <v>292</v>
      </c>
      <c r="B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6CA03-85C5-460D-9189-642DAC4FFB29}">
  <dimension ref="A1"/>
  <sheetViews>
    <sheetView workbookViewId="0"/>
  </sheetViews>
  <sheetFormatPr defaultRowHeight="14.25" x14ac:dyDescent="0.4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03D7C-2B99-4A39-BE50-BC7D4D08CF03}">
  <dimension ref="B3:B62"/>
  <sheetViews>
    <sheetView workbookViewId="0"/>
  </sheetViews>
  <sheetFormatPr defaultRowHeight="14.25" x14ac:dyDescent="0.45"/>
  <sheetData>
    <row r="3" spans="2:2" x14ac:dyDescent="0.45">
      <c r="B3">
        <v>1184</v>
      </c>
    </row>
    <row r="4" spans="2:2" x14ac:dyDescent="0.45">
      <c r="B4">
        <v>666</v>
      </c>
    </row>
    <row r="5" spans="2:2" x14ac:dyDescent="0.45">
      <c r="B5">
        <v>113</v>
      </c>
    </row>
    <row r="6" spans="2:2" x14ac:dyDescent="0.45">
      <c r="B6">
        <v>23</v>
      </c>
    </row>
    <row r="7" spans="2:2" x14ac:dyDescent="0.45">
      <c r="B7">
        <v>10</v>
      </c>
    </row>
    <row r="8" spans="2:2" x14ac:dyDescent="0.45">
      <c r="B8">
        <v>3</v>
      </c>
    </row>
    <row r="9" spans="2:2" x14ac:dyDescent="0.45">
      <c r="B9">
        <v>0</v>
      </c>
    </row>
    <row r="10" spans="2:2" x14ac:dyDescent="0.45">
      <c r="B10">
        <v>0</v>
      </c>
    </row>
    <row r="11" spans="2:2" x14ac:dyDescent="0.45">
      <c r="B11">
        <v>0</v>
      </c>
    </row>
    <row r="12" spans="2:2" x14ac:dyDescent="0.45">
      <c r="B12">
        <v>1</v>
      </c>
    </row>
    <row r="13" spans="2:2" x14ac:dyDescent="0.45">
      <c r="B13">
        <v>1701</v>
      </c>
    </row>
    <row r="14" spans="2:2" x14ac:dyDescent="0.45">
      <c r="B14">
        <v>228</v>
      </c>
    </row>
    <row r="15" spans="2:2" x14ac:dyDescent="0.45">
      <c r="B15">
        <v>44</v>
      </c>
    </row>
    <row r="16" spans="2:2" x14ac:dyDescent="0.45">
      <c r="B16">
        <v>17</v>
      </c>
    </row>
    <row r="17" spans="2:2" x14ac:dyDescent="0.45">
      <c r="B17">
        <v>7</v>
      </c>
    </row>
    <row r="18" spans="2:2" x14ac:dyDescent="0.45">
      <c r="B18">
        <v>1</v>
      </c>
    </row>
    <row r="19" spans="2:2" x14ac:dyDescent="0.45">
      <c r="B19">
        <v>0</v>
      </c>
    </row>
    <row r="20" spans="2:2" x14ac:dyDescent="0.45">
      <c r="B20">
        <v>0</v>
      </c>
    </row>
    <row r="21" spans="2:2" x14ac:dyDescent="0.45">
      <c r="B21">
        <v>1</v>
      </c>
    </row>
    <row r="22" spans="2:2" x14ac:dyDescent="0.45">
      <c r="B22">
        <v>1</v>
      </c>
    </row>
    <row r="23" spans="2:2" x14ac:dyDescent="0.45">
      <c r="B23">
        <v>1919</v>
      </c>
    </row>
    <row r="24" spans="2:2" x14ac:dyDescent="0.45">
      <c r="B24">
        <v>68</v>
      </c>
    </row>
    <row r="25" spans="2:2" x14ac:dyDescent="0.45">
      <c r="B25">
        <v>4</v>
      </c>
    </row>
    <row r="26" spans="2:2" x14ac:dyDescent="0.45">
      <c r="B26">
        <v>4</v>
      </c>
    </row>
    <row r="27" spans="2:2" x14ac:dyDescent="0.45">
      <c r="B27">
        <v>1</v>
      </c>
    </row>
    <row r="28" spans="2:2" x14ac:dyDescent="0.45">
      <c r="B28">
        <v>1</v>
      </c>
    </row>
    <row r="29" spans="2:2" x14ac:dyDescent="0.45">
      <c r="B29">
        <v>0</v>
      </c>
    </row>
    <row r="30" spans="2:2" x14ac:dyDescent="0.45">
      <c r="B30">
        <v>1</v>
      </c>
    </row>
    <row r="31" spans="2:2" x14ac:dyDescent="0.45">
      <c r="B31">
        <v>1</v>
      </c>
    </row>
    <row r="32" spans="2:2" x14ac:dyDescent="0.45">
      <c r="B32">
        <v>1</v>
      </c>
    </row>
    <row r="33" spans="2:2" x14ac:dyDescent="0.45">
      <c r="B33">
        <v>286</v>
      </c>
    </row>
    <row r="34" spans="2:2" x14ac:dyDescent="0.45">
      <c r="B34">
        <v>798</v>
      </c>
    </row>
    <row r="35" spans="2:2" x14ac:dyDescent="0.45">
      <c r="B35">
        <v>597</v>
      </c>
    </row>
    <row r="36" spans="2:2" x14ac:dyDescent="0.45">
      <c r="B36">
        <v>223</v>
      </c>
    </row>
    <row r="37" spans="2:2" x14ac:dyDescent="0.45">
      <c r="B37">
        <v>72</v>
      </c>
    </row>
    <row r="38" spans="2:2" x14ac:dyDescent="0.45">
      <c r="B38">
        <v>18</v>
      </c>
    </row>
    <row r="39" spans="2:2" x14ac:dyDescent="0.45">
      <c r="B39">
        <v>2</v>
      </c>
    </row>
    <row r="40" spans="2:2" x14ac:dyDescent="0.45">
      <c r="B40">
        <v>2</v>
      </c>
    </row>
    <row r="41" spans="2:2" x14ac:dyDescent="0.45">
      <c r="B41">
        <v>1</v>
      </c>
    </row>
    <row r="42" spans="2:2" x14ac:dyDescent="0.45">
      <c r="B42">
        <v>1</v>
      </c>
    </row>
    <row r="43" spans="2:2" x14ac:dyDescent="0.45">
      <c r="B43">
        <v>723</v>
      </c>
    </row>
    <row r="44" spans="2:2" x14ac:dyDescent="0.45">
      <c r="B44">
        <v>856</v>
      </c>
    </row>
    <row r="45" spans="2:2" x14ac:dyDescent="0.45">
      <c r="B45">
        <v>274</v>
      </c>
    </row>
    <row r="46" spans="2:2" x14ac:dyDescent="0.45">
      <c r="B46">
        <v>97</v>
      </c>
    </row>
    <row r="47" spans="2:2" x14ac:dyDescent="0.45">
      <c r="B47">
        <v>30</v>
      </c>
    </row>
    <row r="48" spans="2:2" x14ac:dyDescent="0.45">
      <c r="B48">
        <v>11</v>
      </c>
    </row>
    <row r="49" spans="2:2" x14ac:dyDescent="0.45">
      <c r="B49">
        <v>4</v>
      </c>
    </row>
    <row r="50" spans="2:2" x14ac:dyDescent="0.45">
      <c r="B50">
        <v>3</v>
      </c>
    </row>
    <row r="51" spans="2:2" x14ac:dyDescent="0.45">
      <c r="B51">
        <v>0</v>
      </c>
    </row>
    <row r="52" spans="2:2" x14ac:dyDescent="0.45">
      <c r="B52">
        <v>2</v>
      </c>
    </row>
    <row r="53" spans="2:2" x14ac:dyDescent="0.45">
      <c r="B53">
        <v>1463</v>
      </c>
    </row>
    <row r="54" spans="2:2" x14ac:dyDescent="0.45">
      <c r="B54">
        <v>470</v>
      </c>
    </row>
    <row r="55" spans="2:2" x14ac:dyDescent="0.45">
      <c r="B55">
        <v>52</v>
      </c>
    </row>
    <row r="56" spans="2:2" x14ac:dyDescent="0.45">
      <c r="B56">
        <v>8</v>
      </c>
    </row>
    <row r="57" spans="2:2" x14ac:dyDescent="0.45">
      <c r="B57">
        <v>2</v>
      </c>
    </row>
    <row r="58" spans="2:2" x14ac:dyDescent="0.45">
      <c r="B58">
        <v>1</v>
      </c>
    </row>
    <row r="59" spans="2:2" x14ac:dyDescent="0.45">
      <c r="B59">
        <v>1</v>
      </c>
    </row>
    <row r="60" spans="2:2" x14ac:dyDescent="0.45">
      <c r="B60">
        <v>0</v>
      </c>
    </row>
    <row r="61" spans="2:2" x14ac:dyDescent="0.45">
      <c r="B61">
        <v>2</v>
      </c>
    </row>
    <row r="62" spans="2:2" x14ac:dyDescent="0.45">
      <c r="B6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2468">PABGAEkATABUAEUAUgBTAD4ADQAKADwALwBDAE4AVAA6ADAADQAKAEYASQBMAFQARQBSAFMAPgANAAoAPABQAEEARwBFAFMAPgANAAoAQwBOAFQAOgA0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E4AOgA0AA0ACgBUAFkAUABFADoAMgANAAoATgBNADoASABpAHMAdABvAGcAcgBhAG0ANA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F3228435-547F-4836-A6F8-374D064706CE}">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73</vt:i4>
      </vt:variant>
    </vt:vector>
  </HeadingPairs>
  <TitlesOfParts>
    <vt:vector size="82" baseType="lpstr">
      <vt:lpstr>About</vt:lpstr>
      <vt:lpstr>Inputs</vt:lpstr>
      <vt:lpstr>Data</vt:lpstr>
      <vt:lpstr>Tail</vt:lpstr>
      <vt:lpstr>Year</vt:lpstr>
      <vt:lpstr>Results</vt:lpstr>
      <vt:lpstr>ModelRiskDSN</vt:lpstr>
      <vt:lpstr>ModelRiskSYS1</vt:lpstr>
      <vt:lpstr>ModelRiskCharts</vt:lpstr>
      <vt:lpstr>AEP_LN</vt:lpstr>
      <vt:lpstr>AEP_POT</vt:lpstr>
      <vt:lpstr>AEP_U</vt:lpstr>
      <vt:lpstr>AEPMean</vt:lpstr>
      <vt:lpstr>Body</vt:lpstr>
      <vt:lpstr>Checks</vt:lpstr>
      <vt:lpstr>Exact_LN_10</vt:lpstr>
      <vt:lpstr>Exact_LN_100</vt:lpstr>
      <vt:lpstr>Exact_LN_200</vt:lpstr>
      <vt:lpstr>Exact_LN_25</vt:lpstr>
      <vt:lpstr>Exact_LN_250</vt:lpstr>
      <vt:lpstr>Exact_LN_50</vt:lpstr>
      <vt:lpstr>Exact_POT_10</vt:lpstr>
      <vt:lpstr>Exact_POT_100</vt:lpstr>
      <vt:lpstr>Exact_POT_200</vt:lpstr>
      <vt:lpstr>Exact_POT_25</vt:lpstr>
      <vt:lpstr>Exact_POT_250</vt:lpstr>
      <vt:lpstr>Exact_POT_50</vt:lpstr>
      <vt:lpstr>Lam</vt:lpstr>
      <vt:lpstr>LamB</vt:lpstr>
      <vt:lpstr>LamU</vt:lpstr>
      <vt:lpstr>Largest</vt:lpstr>
      <vt:lpstr>LN_m</vt:lpstr>
      <vt:lpstr>LN_s</vt:lpstr>
      <vt:lpstr>LogN</vt:lpstr>
      <vt:lpstr>Max_B</vt:lpstr>
      <vt:lpstr>Max_LN</vt:lpstr>
      <vt:lpstr>Max_T</vt:lpstr>
      <vt:lpstr>Max_TU</vt:lpstr>
      <vt:lpstr>MeanU_Data</vt:lpstr>
      <vt:lpstr>MeanU_Tail</vt:lpstr>
      <vt:lpstr>N_B</vt:lpstr>
      <vt:lpstr>N_LN</vt:lpstr>
      <vt:lpstr>N_T</vt:lpstr>
      <vt:lpstr>N_TU</vt:lpstr>
      <vt:lpstr>NAbove</vt:lpstr>
      <vt:lpstr>NEvents</vt:lpstr>
      <vt:lpstr>NYears</vt:lpstr>
      <vt:lpstr>OEP_LN</vt:lpstr>
      <vt:lpstr>OEP_POT</vt:lpstr>
      <vt:lpstr>OEP_U</vt:lpstr>
      <vt:lpstr>Often_Data_10</vt:lpstr>
      <vt:lpstr>Often_Data_100</vt:lpstr>
      <vt:lpstr>Often_Data_200</vt:lpstr>
      <vt:lpstr>Often_Data_25</vt:lpstr>
      <vt:lpstr>Often_Data_50</vt:lpstr>
      <vt:lpstr>Often_LN_10</vt:lpstr>
      <vt:lpstr>Often_LN_100</vt:lpstr>
      <vt:lpstr>Often_LN_200</vt:lpstr>
      <vt:lpstr>Often_LN_25</vt:lpstr>
      <vt:lpstr>Often_LN_50</vt:lpstr>
      <vt:lpstr>Often_POT_10</vt:lpstr>
      <vt:lpstr>Often_POT_100</vt:lpstr>
      <vt:lpstr>Often_POT_200</vt:lpstr>
      <vt:lpstr>Often_POT_25</vt:lpstr>
      <vt:lpstr>Often_POT_50</vt:lpstr>
      <vt:lpstr>Results!Print_Area</vt:lpstr>
      <vt:lpstr>Inputs!Print_Titles</vt:lpstr>
      <vt:lpstr>Results!Print_Titles</vt:lpstr>
      <vt:lpstr>Reporting</vt:lpstr>
      <vt:lpstr>Tail</vt:lpstr>
      <vt:lpstr>TailLoc</vt:lpstr>
      <vt:lpstr>TailScale</vt:lpstr>
      <vt:lpstr>TailShape</vt:lpstr>
      <vt:lpstr>TailU</vt:lpstr>
      <vt:lpstr>Threshold</vt:lpstr>
      <vt:lpstr>Tot_B</vt:lpstr>
      <vt:lpstr>Tot_LN</vt:lpstr>
      <vt:lpstr>Tot_T</vt:lpstr>
      <vt:lpstr>Tot_TU</vt:lpstr>
      <vt:lpstr>TU_loc</vt:lpstr>
      <vt:lpstr>TU_scale</vt:lpstr>
      <vt:lpstr>TU_shape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IN-04 Catastrophe and Large-Loss Tail</dc:title>
  <dc:subject>ModelRisk industry example library — Insurance</dc:subject>
  <dc:creator>Vose Software</dc:creator>
  <cp:keywords>ModelRisk; Monte Carlo; Insurance</cp:keywords>
  <dc:description>Peaks over threshold on 25 years of loss events: a Generalised Pareto tail, the largest event of a year, and 1-in-200 year losses.</dc:description>
  <cp:lastModifiedBy>Timour Koupeev</cp:lastModifiedBy>
  <cp:lastPrinted>2026-10-05T14:46:19Z</cp:lastPrinted>
  <dcterms:created xsi:type="dcterms:W3CDTF">2026-10-05T14:42:14Z</dcterms:created>
  <dcterms:modified xsi:type="dcterms:W3CDTF">2026-10-05T14:46:20Z</dcterms:modified>
</cp:coreProperties>
</file>