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Insurance\"/>
    </mc:Choice>
  </mc:AlternateContent>
  <xr:revisionPtr revIDLastSave="0" documentId="8_{7E1FD0B2-EDBD-478A-8EAD-2EB92C5CC91D}"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rogramme" sheetId="3" r:id="rId3"/>
    <sheet name="Results" sheetId="4" r:id="rId4"/>
    <sheet name="ModelRiskDSN" sheetId="5" state="hidden" r:id="rId5"/>
    <sheet name="ModelRiskSYS1" sheetId="6" state="hidden" r:id="rId6"/>
    <sheet name="ModelRiskCharts" sheetId="7" state="hidden" r:id="rId7"/>
  </sheets>
  <definedNames>
    <definedName name="Checks">Programme!$D$63:$D$66</definedName>
    <definedName name="ClaimsLeft">Programme!$D$39</definedName>
    <definedName name="CoC">Inputs!$D$35</definedName>
    <definedName name="Com_Both">Programme!$D$46</definedName>
    <definedName name="Com_None">Programme!$D$43</definedName>
    <definedName name="Com_QS">Programme!$D$45</definedName>
    <definedName name="Com_XoL">Programme!$D$44</definedName>
    <definedName name="EL_Above">Programme!$G$21</definedName>
    <definedName name="EL_L1">Programme!$G$19</definedName>
    <definedName name="EL_L2">Programme!$G$20</definedName>
    <definedName name="EL_Ret">Programme!$G$18</definedName>
    <definedName name="EL_Total">Programme!$G$22</definedName>
    <definedName name="ExampleClaim">Inputs!$D$14</definedName>
    <definedName name="Expenses">Programme!$D$33</definedName>
    <definedName name="ExpRatio">Inputs!$D$34</definedName>
    <definedName name="Freq">Programme!$D$10</definedName>
    <definedName name="FreqMean">Inputs!$D$11</definedName>
    <definedName name="Gross">Programme!$H$22</definedName>
    <definedName name="Kept_Both">Programme!$F$46</definedName>
    <definedName name="Kept_None">Programme!$F$43</definedName>
    <definedName name="Kept_QS">Programme!$F$45</definedName>
    <definedName name="Kept_XoL">Programme!$F$44</definedName>
    <definedName name="Limit1">Inputs!$D$20</definedName>
    <definedName name="Limit2">Inputs!$D$21</definedName>
    <definedName name="Load1">Inputs!$D$22</definedName>
    <definedName name="Load2">Inputs!$D$23</definedName>
    <definedName name="Out_Above">Programme!$D$59</definedName>
    <definedName name="Out_Gross">Programme!$D$55</definedName>
    <definedName name="Out_L1">Programme!$D$57</definedName>
    <definedName name="Out_L2">Programme!$D$58</definedName>
    <definedName name="Out_Ret">Programme!$D$56</definedName>
    <definedName name="ParetoB">Programme!$D$9</definedName>
    <definedName name="Prem1">Programme!$D$28</definedName>
    <definedName name="Prem2">Programme!$D$29</definedName>
    <definedName name="Premium">Inputs!$D$33</definedName>
    <definedName name="PremLeft">Programme!$D$38</definedName>
    <definedName name="_xlnm.Print_Area" localSheetId="3">Results!$A$1:$R$47</definedName>
    <definedName name="_xlnm.Print_Titles" localSheetId="1">Inputs!$1:$4</definedName>
    <definedName name="_xlnm.Print_Titles" localSheetId="3">Results!$1:$4</definedName>
    <definedName name="QSComm">Inputs!$D$29</definedName>
    <definedName name="QSShare">Inputs!$D$28</definedName>
    <definedName name="Rec_Both">Programme!$E$46</definedName>
    <definedName name="Rec_None">Programme!$E$43</definedName>
    <definedName name="Rec_QS">Programme!$E$45</definedName>
    <definedName name="Rec_XoL">Programme!$E$44</definedName>
    <definedName name="Result_Both">Programme!$D$54</definedName>
    <definedName name="Result_None">Programme!$D$51</definedName>
    <definedName name="Result_QS">Programme!$D$53</definedName>
    <definedName name="Result_XoL">Programme!$D$52</definedName>
    <definedName name="Retention">Inputs!$D$19</definedName>
    <definedName name="RIP_Both">Programme!$C$46</definedName>
    <definedName name="RIP_None">Programme!$C$43</definedName>
    <definedName name="RIP_QS">Programme!$C$45</definedName>
    <definedName name="RIP_XoL">Programme!$C$44</definedName>
    <definedName name="ROL_1">Programme!$D$31</definedName>
    <definedName name="ROL_2">Programme!$D$32</definedName>
    <definedName name="Sev">Programme!$D$11</definedName>
    <definedName name="SevMean">Inputs!$D$12</definedName>
    <definedName name="SevShape">Inputs!$D$13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op">Programme!$D$12</definedName>
    <definedName name="XoLPrem">Programme!$D$30</definedName>
    <definedName name="Y_Above">Programme!$H$21</definedName>
    <definedName name="Y_L1">Programme!$H$19</definedName>
    <definedName name="Y_L2">Programme!$H$20</definedName>
    <definedName name="Y_Ret">Programme!$H$18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3" l="1" a="1"/>
  <c r="D10" i="3" s="1"/>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D66" i="3"/>
  <c r="D65" i="3"/>
  <c r="D64" i="3"/>
  <c r="D45" i="3"/>
  <c r="C45" i="3"/>
  <c r="D33" i="3"/>
  <c r="C20" i="3"/>
  <c r="D19" i="3"/>
  <c r="C19" i="3"/>
  <c r="J18" i="3"/>
  <c r="D18" i="3"/>
  <c r="F18" i="3"/>
  <c r="D12" i="3"/>
  <c r="C21" i="3" s="1"/>
  <c r="D9" i="3"/>
  <c r="D11" i="3" a="1"/>
  <c r="D11" i="3" s="1"/>
  <c r="E18" i="3" a="1"/>
  <c r="E21" i="3" a="1"/>
  <c r="E20" i="3" a="1"/>
  <c r="E19" i="3" a="1"/>
  <c r="G18" i="3" a="1"/>
  <c r="G19" i="3" a="1"/>
  <c r="F19" i="3" l="1"/>
  <c r="G19" i="3"/>
  <c r="G18" i="3"/>
  <c r="E19" i="3"/>
  <c r="J19" i="3" s="1"/>
  <c r="E20" i="3"/>
  <c r="J20" i="3" s="1"/>
  <c r="E21" i="3"/>
  <c r="J21" i="3" s="1"/>
  <c r="E18" i="3"/>
  <c r="F21" i="3"/>
  <c r="D20" i="3"/>
  <c r="H18" i="3" a="1"/>
  <c r="G21" i="3" a="1"/>
  <c r="D28" i="3" l="1"/>
  <c r="C32" i="4"/>
  <c r="C31" i="4"/>
  <c r="G21" i="3"/>
  <c r="H19" i="3"/>
  <c r="H20" i="3"/>
  <c r="D58" i="3" s="1" a="1"/>
  <c r="D58" i="3" s="1"/>
  <c r="H18" i="3"/>
  <c r="H21" i="3"/>
  <c r="D59" i="3" s="1" a="1"/>
  <c r="D59" i="3" s="1"/>
  <c r="F20" i="3"/>
  <c r="F22" i="3" s="1"/>
  <c r="D31" i="3"/>
  <c r="E34" i="4" a="1"/>
  <c r="F34" i="4" a="1"/>
  <c r="D34" i="4" a="1"/>
  <c r="F33" i="4" a="1"/>
  <c r="D33" i="4" a="1"/>
  <c r="E33" i="4" a="1"/>
  <c r="G20" i="3" a="1"/>
  <c r="C34" i="4" l="1"/>
  <c r="E33" i="4"/>
  <c r="D33" i="4"/>
  <c r="F33" i="4"/>
  <c r="D34" i="4"/>
  <c r="F34" i="4"/>
  <c r="E34" i="4"/>
  <c r="G20" i="3"/>
  <c r="E44" i="3"/>
  <c r="D57" i="3" a="1"/>
  <c r="D57" i="3" s="1"/>
  <c r="D56" i="3" a="1"/>
  <c r="D56" i="3" s="1"/>
  <c r="H22" i="3"/>
  <c r="D32" i="4" a="1"/>
  <c r="E32" i="4" a="1"/>
  <c r="F32" i="4" a="1"/>
  <c r="D31" i="4" a="1"/>
  <c r="E31" i="4" a="1"/>
  <c r="F31" i="4" a="1"/>
  <c r="C33" i="4" l="1"/>
  <c r="F31" i="4"/>
  <c r="E31" i="4"/>
  <c r="D31" i="4"/>
  <c r="F32" i="4"/>
  <c r="E32" i="4"/>
  <c r="D32" i="4"/>
  <c r="F43" i="3"/>
  <c r="D51" i="3" s="1" a="1"/>
  <c r="D51" i="3" s="1"/>
  <c r="D39" i="3"/>
  <c r="E46" i="3" s="1"/>
  <c r="F46" i="3" s="1"/>
  <c r="F44" i="3"/>
  <c r="E45" i="3"/>
  <c r="F45" i="3" s="1"/>
  <c r="D53" i="3" s="1" a="1"/>
  <c r="D53" i="3" s="1"/>
  <c r="D55" i="3" a="1"/>
  <c r="D55" i="3" s="1"/>
  <c r="D29" i="3"/>
  <c r="G22" i="3"/>
  <c r="F65" i="4" a="1"/>
  <c r="F81" i="4" a="1"/>
  <c r="F87" i="4" a="1"/>
  <c r="F92" i="4" a="1"/>
  <c r="F67" i="4" a="1"/>
  <c r="F93" i="4" a="1"/>
  <c r="F77" i="4" a="1"/>
  <c r="E15" i="4" a="1"/>
  <c r="F68" i="4" a="1"/>
  <c r="F53" i="4" a="1"/>
  <c r="F57" i="4" a="1"/>
  <c r="F78" i="4" a="1"/>
  <c r="F80" i="4" a="1"/>
  <c r="F15" i="4" a="1"/>
  <c r="F90" i="4" a="1"/>
  <c r="F76" i="4" a="1"/>
  <c r="F88" i="4" a="1"/>
  <c r="F79" i="4" a="1"/>
  <c r="F91" i="4" a="1"/>
  <c r="F102" i="4" a="1"/>
  <c r="F62" i="4" a="1"/>
  <c r="F64" i="4" a="1"/>
  <c r="F86" i="4" a="1"/>
  <c r="F98" i="4" a="1"/>
  <c r="F89" i="4" a="1"/>
  <c r="F101" i="4" a="1"/>
  <c r="F56" i="4" a="1"/>
  <c r="F63" i="4" a="1"/>
  <c r="F74" i="4" a="1"/>
  <c r="F99" i="4" a="1"/>
  <c r="F100" i="4" a="1"/>
  <c r="D15" i="4" a="1"/>
  <c r="F61" i="4" a="1"/>
  <c r="F73" i="4" a="1"/>
  <c r="F75" i="4" a="1"/>
  <c r="F97" i="4" a="1"/>
  <c r="C15" i="4" a="1"/>
  <c r="F55" i="4" a="1"/>
  <c r="F60" i="4" a="1"/>
  <c r="F72" i="4" a="1"/>
  <c r="F84" i="4" a="1"/>
  <c r="F85" i="4" a="1"/>
  <c r="F54" i="4" a="1"/>
  <c r="G15" i="4" a="1"/>
  <c r="F59" i="4" a="1"/>
  <c r="F70" i="4" a="1"/>
  <c r="F82" i="4" a="1"/>
  <c r="F94" i="4" a="1"/>
  <c r="F96" i="4" a="1"/>
  <c r="F58" i="4" a="1"/>
  <c r="F66" i="4" a="1"/>
  <c r="F69" i="4" a="1"/>
  <c r="F71" i="4" a="1"/>
  <c r="F83" i="4" a="1"/>
  <c r="F95" i="4" a="1"/>
  <c r="C118" i="4" a="1"/>
  <c r="H62" i="4" a="1"/>
  <c r="C128" i="4" a="1"/>
  <c r="F35" i="4" a="1"/>
  <c r="C115" i="4" a="1"/>
  <c r="C201" i="4" a="1"/>
  <c r="C106" i="4" a="1"/>
  <c r="C181" i="4" a="1"/>
  <c r="C107" i="4" a="1"/>
  <c r="C193" i="4" a="1"/>
  <c r="H89" i="4" a="1"/>
  <c r="C163" i="4" a="1"/>
  <c r="H101" i="4" a="1"/>
  <c r="C164" i="4" a="1"/>
  <c r="H81" i="4" a="1"/>
  <c r="C145" i="4" a="1"/>
  <c r="C179" i="4" a="1"/>
  <c r="C162" i="4" a="1"/>
  <c r="C194" i="4" a="1"/>
  <c r="H60" i="4" a="1"/>
  <c r="C123" i="4" a="1"/>
  <c r="H72" i="4" a="1"/>
  <c r="C140" i="4" a="1"/>
  <c r="H56" i="4" a="1"/>
  <c r="C124" i="4" a="1"/>
  <c r="H57" i="4" a="1"/>
  <c r="C111" i="4" a="1"/>
  <c r="C192" i="4" a="1"/>
  <c r="C116" i="4" a="1"/>
  <c r="C205" i="4" a="1"/>
  <c r="H99" i="4" a="1"/>
  <c r="C173" i="4" a="1"/>
  <c r="C108" i="4" a="1"/>
  <c r="C185" i="4" a="1"/>
  <c r="H91" i="4" a="1"/>
  <c r="C151" i="4" a="1"/>
  <c r="C183" i="4" a="1"/>
  <c r="C166" i="4" a="1"/>
  <c r="C198" i="4" a="1"/>
  <c r="H61" i="4" a="1"/>
  <c r="C133" i="4" a="1"/>
  <c r="H73" i="4" a="1"/>
  <c r="C146" i="4" a="1"/>
  <c r="H63" i="4" a="1"/>
  <c r="C134" i="4" a="1"/>
  <c r="H64" i="4" a="1"/>
  <c r="C120" i="4" a="1"/>
  <c r="H53" i="4" a="1"/>
  <c r="C125" i="4" a="1"/>
  <c r="D35" i="4" a="1"/>
  <c r="C112" i="4" a="1"/>
  <c r="C184" i="4" a="1"/>
  <c r="C117" i="4" a="1"/>
  <c r="C196" i="4" a="1"/>
  <c r="H102" i="4" a="1"/>
  <c r="C165" i="4" a="1"/>
  <c r="C187" i="4" a="1"/>
  <c r="C170" i="4" a="1"/>
  <c r="C202" i="4" a="1"/>
  <c r="H71" i="4" a="1"/>
  <c r="C139" i="4" a="1"/>
  <c r="H83" i="4" a="1"/>
  <c r="C153" i="4" a="1"/>
  <c r="H74" i="4" a="1"/>
  <c r="C141" i="4" a="1"/>
  <c r="H65" i="4" a="1"/>
  <c r="C129" i="4" a="1"/>
  <c r="H66" i="4" a="1"/>
  <c r="C136" i="4" a="1"/>
  <c r="H54" i="4" a="1"/>
  <c r="C121" i="4" a="1"/>
  <c r="H68" i="4" a="1"/>
  <c r="C126" i="4" a="1"/>
  <c r="E35" i="4" a="1"/>
  <c r="C113" i="4" a="1"/>
  <c r="C176" i="4" a="1"/>
  <c r="C191" i="4" a="1"/>
  <c r="C174" i="4" a="1"/>
  <c r="H82" i="4" a="1"/>
  <c r="C152" i="4" a="1"/>
  <c r="H94" i="4" a="1"/>
  <c r="C159" i="4" a="1"/>
  <c r="H84" i="4" a="1"/>
  <c r="C147" i="4" a="1"/>
  <c r="H75" i="4" a="1"/>
  <c r="C135" i="4" a="1"/>
  <c r="H76" i="4" a="1"/>
  <c r="C142" i="4" a="1"/>
  <c r="H58" i="4" a="1"/>
  <c r="C130" i="4" a="1"/>
  <c r="H69" i="4" a="1"/>
  <c r="C131" i="4" a="1"/>
  <c r="H55" i="4" a="1"/>
  <c r="C122" i="4" a="1"/>
  <c r="C197" i="4" a="1"/>
  <c r="C195" i="4" a="1"/>
  <c r="C178" i="4" a="1"/>
  <c r="H92" i="4" a="1"/>
  <c r="C158" i="4" a="1"/>
  <c r="C105" i="4" a="1"/>
  <c r="C168" i="4" a="1"/>
  <c r="H85" i="4" a="1"/>
  <c r="C160" i="4" a="1"/>
  <c r="H86" i="4" a="1"/>
  <c r="C148" i="4" a="1"/>
  <c r="H77" i="4" a="1"/>
  <c r="C149" i="4" a="1"/>
  <c r="H67" i="4" a="1"/>
  <c r="C137" i="4" a="1"/>
  <c r="H79" i="4" a="1"/>
  <c r="C144" i="4" a="1"/>
  <c r="H59" i="4" a="1"/>
  <c r="C127" i="4" a="1"/>
  <c r="C167" i="4" a="1"/>
  <c r="C199" i="4" a="1"/>
  <c r="C182" i="4" a="1"/>
  <c r="H93" i="4" a="1"/>
  <c r="C177" i="4" a="1"/>
  <c r="C114" i="4" a="1"/>
  <c r="C189" i="4" a="1"/>
  <c r="H95" i="4" a="1"/>
  <c r="C169" i="4" a="1"/>
  <c r="H96" i="4" a="1"/>
  <c r="C154" i="4" a="1"/>
  <c r="H87" i="4" a="1"/>
  <c r="C155" i="4" a="1"/>
  <c r="H78" i="4" a="1"/>
  <c r="C143" i="4" a="1"/>
  <c r="H90" i="4" a="1"/>
  <c r="C150" i="4" a="1"/>
  <c r="H70" i="4" a="1"/>
  <c r="C132" i="4" a="1"/>
  <c r="C171" i="4" a="1"/>
  <c r="C203" i="4" a="1"/>
  <c r="C186" i="4" a="1"/>
  <c r="C109" i="4" a="1"/>
  <c r="C188" i="4" a="1"/>
  <c r="C119" i="4" a="1"/>
  <c r="C200" i="4" a="1"/>
  <c r="C110" i="4" a="1"/>
  <c r="C180" i="4" a="1"/>
  <c r="H97" i="4" a="1"/>
  <c r="C161" i="4" a="1"/>
  <c r="H98" i="4" a="1"/>
  <c r="C172" i="4" a="1"/>
  <c r="H88" i="4" a="1"/>
  <c r="C156" i="4" a="1"/>
  <c r="H100" i="4" a="1"/>
  <c r="C157" i="4" a="1"/>
  <c r="H80" i="4" a="1"/>
  <c r="C138" i="4" a="1"/>
  <c r="C175" i="4" a="1"/>
  <c r="C204" i="4" a="1"/>
  <c r="C190" i="4" a="1"/>
  <c r="D92" i="4" a="1"/>
  <c r="D83" i="4" a="1"/>
  <c r="D95" i="4" a="1"/>
  <c r="D70" i="4" a="1"/>
  <c r="D80" i="4" a="1"/>
  <c r="C13" i="4" a="1"/>
  <c r="D98" i="4" a="1"/>
  <c r="D68" i="4" a="1"/>
  <c r="D93" i="4" a="1"/>
  <c r="D94" i="4" a="1"/>
  <c r="F13" i="4" a="1"/>
  <c r="G13" i="4" a="1"/>
  <c r="D67" i="4" a="1"/>
  <c r="D69" i="4" a="1"/>
  <c r="D81" i="4" a="1"/>
  <c r="E13" i="4" a="1"/>
  <c r="D53" i="4" a="1"/>
  <c r="D64" i="4" a="1"/>
  <c r="D54" i="4" a="1"/>
  <c r="D78" i="4" a="1"/>
  <c r="D79" i="4" a="1"/>
  <c r="D91" i="4" a="1"/>
  <c r="D56" i="4" a="1"/>
  <c r="D57" i="4" a="1"/>
  <c r="D65" i="4" a="1"/>
  <c r="D58" i="4" a="1"/>
  <c r="D88" i="4" a="1"/>
  <c r="D90" i="4" a="1"/>
  <c r="D102" i="4" a="1"/>
  <c r="D61" i="4" a="1"/>
  <c r="D63" i="4" a="1"/>
  <c r="D75" i="4" a="1"/>
  <c r="D66" i="4" a="1"/>
  <c r="D89" i="4" a="1"/>
  <c r="D100" i="4" a="1"/>
  <c r="D60" i="4" a="1"/>
  <c r="D62" i="4" a="1"/>
  <c r="D74" i="4" a="1"/>
  <c r="D86" i="4" a="1"/>
  <c r="D76" i="4" a="1"/>
  <c r="D99" i="4" a="1"/>
  <c r="D101" i="4" a="1"/>
  <c r="D71" i="4" a="1"/>
  <c r="D72" i="4" a="1"/>
  <c r="D84" i="4" a="1"/>
  <c r="D96" i="4" a="1"/>
  <c r="D77" i="4" a="1"/>
  <c r="D55" i="4" a="1"/>
  <c r="D13" i="4" a="1"/>
  <c r="D82" i="4" a="1"/>
  <c r="D73" i="4" a="1"/>
  <c r="D85" i="4" a="1"/>
  <c r="D97" i="4" a="1"/>
  <c r="D87" i="4" a="1"/>
  <c r="D59" i="4" a="1"/>
  <c r="D63" i="3" l="1"/>
  <c r="B7" i="4" s="1"/>
  <c r="C35" i="4"/>
  <c r="G35" i="4"/>
  <c r="G31" i="4"/>
  <c r="G32" i="4"/>
  <c r="G34" i="4"/>
  <c r="G33" i="4"/>
  <c r="D59" i="4"/>
  <c r="D87" i="4"/>
  <c r="D97" i="4"/>
  <c r="D85" i="4"/>
  <c r="D73" i="4"/>
  <c r="D82" i="4"/>
  <c r="D13" i="4"/>
  <c r="D55" i="4"/>
  <c r="D77" i="4"/>
  <c r="D96" i="4"/>
  <c r="D84" i="4"/>
  <c r="D72" i="4"/>
  <c r="D71" i="4"/>
  <c r="D101" i="4"/>
  <c r="D99" i="4"/>
  <c r="D76" i="4"/>
  <c r="D86" i="4"/>
  <c r="D74" i="4"/>
  <c r="D62" i="4"/>
  <c r="D60" i="4"/>
  <c r="D100" i="4"/>
  <c r="D89" i="4"/>
  <c r="D66" i="4"/>
  <c r="D75" i="4"/>
  <c r="D63" i="4"/>
  <c r="D61" i="4"/>
  <c r="D102" i="4"/>
  <c r="D90" i="4"/>
  <c r="D88" i="4"/>
  <c r="D58" i="4"/>
  <c r="D65" i="4"/>
  <c r="D57" i="4"/>
  <c r="D56" i="4"/>
  <c r="D91" i="4"/>
  <c r="D79" i="4"/>
  <c r="D78" i="4"/>
  <c r="D54" i="4"/>
  <c r="D64" i="4"/>
  <c r="D53" i="4"/>
  <c r="E13" i="4"/>
  <c r="D81" i="4"/>
  <c r="D69" i="4"/>
  <c r="D67" i="4"/>
  <c r="G13" i="4"/>
  <c r="F13" i="4"/>
  <c r="D94" i="4"/>
  <c r="D93" i="4"/>
  <c r="D68" i="4"/>
  <c r="D98" i="4"/>
  <c r="C13" i="4"/>
  <c r="D80" i="4"/>
  <c r="D70" i="4"/>
  <c r="D95" i="4"/>
  <c r="D83" i="4"/>
  <c r="D92" i="4"/>
  <c r="C190" i="4"/>
  <c r="C204" i="4"/>
  <c r="C175" i="4"/>
  <c r="C138" i="4"/>
  <c r="H80" i="4"/>
  <c r="C157" i="4"/>
  <c r="H100" i="4"/>
  <c r="C156" i="4"/>
  <c r="H88" i="4"/>
  <c r="C172" i="4"/>
  <c r="H98" i="4"/>
  <c r="C161" i="4"/>
  <c r="H97" i="4"/>
  <c r="C180" i="4"/>
  <c r="C110" i="4"/>
  <c r="C200" i="4"/>
  <c r="C119" i="4"/>
  <c r="C188" i="4"/>
  <c r="C109" i="4"/>
  <c r="C186" i="4"/>
  <c r="C203" i="4"/>
  <c r="C171" i="4"/>
  <c r="C132" i="4"/>
  <c r="H70" i="4"/>
  <c r="C150" i="4"/>
  <c r="H90" i="4"/>
  <c r="C143" i="4"/>
  <c r="H78" i="4"/>
  <c r="C155" i="4"/>
  <c r="H87" i="4"/>
  <c r="C154" i="4"/>
  <c r="H96" i="4"/>
  <c r="C169" i="4"/>
  <c r="H95" i="4"/>
  <c r="C189" i="4"/>
  <c r="C114" i="4"/>
  <c r="C177" i="4"/>
  <c r="H93" i="4"/>
  <c r="C182" i="4"/>
  <c r="C199" i="4"/>
  <c r="C167" i="4"/>
  <c r="C127" i="4"/>
  <c r="H59" i="4"/>
  <c r="C144" i="4"/>
  <c r="H79" i="4"/>
  <c r="C137" i="4"/>
  <c r="H67" i="4"/>
  <c r="C149" i="4"/>
  <c r="H77" i="4"/>
  <c r="C148" i="4"/>
  <c r="H86" i="4"/>
  <c r="C160" i="4"/>
  <c r="H85" i="4"/>
  <c r="C168" i="4"/>
  <c r="C105" i="4"/>
  <c r="C158" i="4"/>
  <c r="H92" i="4"/>
  <c r="C178" i="4"/>
  <c r="C195" i="4"/>
  <c r="C197" i="4"/>
  <c r="C122" i="4"/>
  <c r="H55" i="4"/>
  <c r="C131" i="4"/>
  <c r="H69" i="4"/>
  <c r="C130" i="4"/>
  <c r="H58" i="4"/>
  <c r="C142" i="4"/>
  <c r="H76" i="4"/>
  <c r="C135" i="4"/>
  <c r="H75" i="4"/>
  <c r="C147" i="4"/>
  <c r="H84" i="4"/>
  <c r="C159" i="4"/>
  <c r="H94" i="4"/>
  <c r="C152" i="4"/>
  <c r="H82" i="4"/>
  <c r="C174" i="4"/>
  <c r="C191" i="4"/>
  <c r="C176" i="4"/>
  <c r="C113" i="4"/>
  <c r="E35" i="4"/>
  <c r="C126" i="4"/>
  <c r="H68" i="4"/>
  <c r="C121" i="4"/>
  <c r="H54" i="4"/>
  <c r="C136" i="4"/>
  <c r="H66" i="4"/>
  <c r="C129" i="4"/>
  <c r="H65" i="4"/>
  <c r="C141" i="4"/>
  <c r="H74" i="4"/>
  <c r="C153" i="4"/>
  <c r="H83" i="4"/>
  <c r="C139" i="4"/>
  <c r="H71" i="4"/>
  <c r="C202" i="4"/>
  <c r="C170" i="4"/>
  <c r="C187" i="4"/>
  <c r="C165" i="4"/>
  <c r="H102" i="4"/>
  <c r="C196" i="4"/>
  <c r="C117" i="4"/>
  <c r="C184" i="4"/>
  <c r="C112" i="4"/>
  <c r="D35" i="4"/>
  <c r="C125" i="4"/>
  <c r="H53" i="4"/>
  <c r="C120" i="4"/>
  <c r="H64" i="4"/>
  <c r="C134" i="4"/>
  <c r="H63" i="4"/>
  <c r="C146" i="4"/>
  <c r="H73" i="4"/>
  <c r="C133" i="4"/>
  <c r="H61" i="4"/>
  <c r="C198" i="4"/>
  <c r="C166" i="4"/>
  <c r="C183" i="4"/>
  <c r="C151" i="4"/>
  <c r="H91" i="4"/>
  <c r="C185" i="4"/>
  <c r="C108" i="4"/>
  <c r="C173" i="4"/>
  <c r="H99" i="4"/>
  <c r="C205" i="4"/>
  <c r="C116" i="4"/>
  <c r="C192" i="4"/>
  <c r="C111" i="4"/>
  <c r="H57" i="4"/>
  <c r="C124" i="4"/>
  <c r="H56" i="4"/>
  <c r="C140" i="4"/>
  <c r="H72" i="4"/>
  <c r="C123" i="4"/>
  <c r="H60" i="4"/>
  <c r="C194" i="4"/>
  <c r="C162" i="4"/>
  <c r="C179" i="4"/>
  <c r="C145" i="4"/>
  <c r="H81" i="4"/>
  <c r="C164" i="4"/>
  <c r="H101" i="4"/>
  <c r="C163" i="4"/>
  <c r="H89" i="4"/>
  <c r="C193" i="4"/>
  <c r="C107" i="4"/>
  <c r="C181" i="4"/>
  <c r="C106" i="4"/>
  <c r="C201" i="4"/>
  <c r="C115" i="4"/>
  <c r="F35" i="4"/>
  <c r="C128" i="4"/>
  <c r="H62" i="4"/>
  <c r="C118" i="4"/>
  <c r="F95" i="4"/>
  <c r="F83" i="4"/>
  <c r="F71" i="4"/>
  <c r="F69" i="4"/>
  <c r="F66" i="4"/>
  <c r="F58" i="4"/>
  <c r="F96" i="4"/>
  <c r="F94" i="4"/>
  <c r="F82" i="4"/>
  <c r="F70" i="4"/>
  <c r="F59" i="4"/>
  <c r="G15" i="4"/>
  <c r="F54" i="4"/>
  <c r="F85" i="4"/>
  <c r="F84" i="4"/>
  <c r="F72" i="4"/>
  <c r="F60" i="4"/>
  <c r="F55" i="4"/>
  <c r="C15" i="4"/>
  <c r="F97" i="4"/>
  <c r="F75" i="4"/>
  <c r="F73" i="4"/>
  <c r="F61" i="4"/>
  <c r="D15" i="4"/>
  <c r="F100" i="4"/>
  <c r="F99" i="4"/>
  <c r="F74" i="4"/>
  <c r="F63" i="4"/>
  <c r="F56" i="4"/>
  <c r="F101" i="4"/>
  <c r="F89" i="4"/>
  <c r="F98" i="4"/>
  <c r="F86" i="4"/>
  <c r="F64" i="4"/>
  <c r="F62" i="4"/>
  <c r="F102" i="4"/>
  <c r="F91" i="4"/>
  <c r="F79" i="4"/>
  <c r="F88" i="4"/>
  <c r="F76" i="4"/>
  <c r="F90" i="4"/>
  <c r="F15" i="4"/>
  <c r="F80" i="4"/>
  <c r="F78" i="4"/>
  <c r="F57" i="4"/>
  <c r="F53" i="4"/>
  <c r="F68" i="4"/>
  <c r="E15" i="4"/>
  <c r="F77" i="4"/>
  <c r="F93" i="4"/>
  <c r="F67" i="4"/>
  <c r="F92" i="4"/>
  <c r="F87" i="4"/>
  <c r="F81" i="4"/>
  <c r="F65" i="4"/>
  <c r="D32" i="3"/>
  <c r="D30" i="3"/>
  <c r="C217" i="4" l="1"/>
  <c r="C222" i="4"/>
  <c r="C221" i="4"/>
  <c r="C219" i="4"/>
  <c r="C232" i="4"/>
  <c r="D232" i="4" s="1"/>
  <c r="G232" i="4" s="1" a="1"/>
  <c r="G232" i="4" s="1"/>
  <c r="C227" i="4"/>
  <c r="C216" i="4"/>
  <c r="C213" i="4"/>
  <c r="C223" i="4"/>
  <c r="C210" i="4"/>
  <c r="C228" i="4"/>
  <c r="C211" i="4"/>
  <c r="C224" i="4"/>
  <c r="C212" i="4"/>
  <c r="C220" i="4"/>
  <c r="C231" i="4"/>
  <c r="C215" i="4"/>
  <c r="C218" i="4"/>
  <c r="C208" i="4"/>
  <c r="C230" i="4"/>
  <c r="C226" i="4"/>
  <c r="C209" i="4"/>
  <c r="C225" i="4"/>
  <c r="C214" i="4"/>
  <c r="C229" i="4"/>
  <c r="D23" i="4"/>
  <c r="C23" i="4"/>
  <c r="E23" i="4" s="1"/>
  <c r="D38" i="3"/>
  <c r="D46" i="3" s="1"/>
  <c r="C44" i="3"/>
  <c r="D52" i="3" s="1" a="1"/>
  <c r="D52" i="3" s="1"/>
  <c r="E101" i="4" a="1"/>
  <c r="E62" i="4" a="1"/>
  <c r="E87" i="4" a="1"/>
  <c r="C14" i="4" a="1"/>
  <c r="E60" i="4" a="1"/>
  <c r="E84" i="4" a="1"/>
  <c r="E88" i="4" a="1"/>
  <c r="G14" i="4" a="1"/>
  <c r="E70" i="4" a="1"/>
  <c r="E63" i="4" a="1"/>
  <c r="E78" i="4" a="1"/>
  <c r="E92" i="4" a="1"/>
  <c r="E64" i="4" a="1"/>
  <c r="E89" i="4" a="1"/>
  <c r="E102" i="4" a="1"/>
  <c r="E95" i="4" a="1"/>
  <c r="E59" i="4" a="1"/>
  <c r="E71" i="4" a="1"/>
  <c r="E75" i="4" a="1"/>
  <c r="E69" i="4" a="1"/>
  <c r="E72" i="4" a="1"/>
  <c r="E76" i="4" a="1"/>
  <c r="E90" i="4" a="1"/>
  <c r="E14" i="4" a="1"/>
  <c r="E54" i="4" a="1"/>
  <c r="E99" i="4" a="1"/>
  <c r="D14" i="4" a="1"/>
  <c r="E56" i="4" a="1"/>
  <c r="E73" i="4" a="1"/>
  <c r="E74" i="4" a="1"/>
  <c r="E86" i="4" a="1"/>
  <c r="E98" i="4" a="1"/>
  <c r="E100" i="4" a="1"/>
  <c r="E55" i="4" a="1"/>
  <c r="E61" i="4" a="1"/>
  <c r="E83" i="4" a="1"/>
  <c r="E85" i="4" a="1"/>
  <c r="E97" i="4" a="1"/>
  <c r="E94" i="4" a="1"/>
  <c r="E96" i="4" a="1"/>
  <c r="E58" i="4" a="1"/>
  <c r="E67" i="4" a="1"/>
  <c r="E79" i="4" a="1"/>
  <c r="E81" i="4" a="1"/>
  <c r="E82" i="4" a="1"/>
  <c r="E53" i="4" a="1"/>
  <c r="F14" i="4" a="1"/>
  <c r="E66" i="4" a="1"/>
  <c r="E68" i="4" a="1"/>
  <c r="E80" i="4" a="1"/>
  <c r="E91" i="4" a="1"/>
  <c r="E93" i="4" a="1"/>
  <c r="E57" i="4" a="1"/>
  <c r="E65" i="4" a="1"/>
  <c r="E77" i="4" a="1"/>
  <c r="E77" i="4" l="1"/>
  <c r="E65" i="4"/>
  <c r="E57" i="4"/>
  <c r="E93" i="4"/>
  <c r="E91" i="4"/>
  <c r="E80" i="4"/>
  <c r="E68" i="4"/>
  <c r="E66" i="4"/>
  <c r="F14" i="4"/>
  <c r="D22" i="4" s="1"/>
  <c r="E53" i="4"/>
  <c r="E82" i="4"/>
  <c r="E81" i="4"/>
  <c r="E79" i="4"/>
  <c r="E67" i="4"/>
  <c r="E58" i="4"/>
  <c r="E96" i="4"/>
  <c r="E94" i="4"/>
  <c r="E97" i="4"/>
  <c r="E85" i="4"/>
  <c r="E83" i="4"/>
  <c r="E61" i="4"/>
  <c r="E55" i="4"/>
  <c r="E100" i="4"/>
  <c r="E98" i="4"/>
  <c r="E86" i="4"/>
  <c r="E74" i="4"/>
  <c r="E73" i="4"/>
  <c r="E56" i="4"/>
  <c r="D14" i="4"/>
  <c r="E99" i="4"/>
  <c r="E54" i="4"/>
  <c r="E14" i="4"/>
  <c r="E90" i="4"/>
  <c r="E76" i="4"/>
  <c r="E72" i="4"/>
  <c r="E69" i="4"/>
  <c r="E75" i="4"/>
  <c r="E71" i="4"/>
  <c r="E59" i="4"/>
  <c r="E95" i="4"/>
  <c r="E102" i="4"/>
  <c r="E89" i="4"/>
  <c r="E64" i="4"/>
  <c r="E92" i="4"/>
  <c r="E78" i="4"/>
  <c r="E63" i="4"/>
  <c r="E70" i="4"/>
  <c r="G14" i="4"/>
  <c r="E88" i="4"/>
  <c r="E84" i="4"/>
  <c r="E60" i="4"/>
  <c r="C14" i="4"/>
  <c r="C22" i="4" s="1"/>
  <c r="E87" i="4"/>
  <c r="E62" i="4"/>
  <c r="E101" i="4"/>
  <c r="E214" i="4"/>
  <c r="D214" i="4"/>
  <c r="G214" i="4" s="1" a="1"/>
  <c r="G214" i="4" s="1"/>
  <c r="E231" i="4"/>
  <c r="D231" i="4"/>
  <c r="G231" i="4" s="1" a="1"/>
  <c r="G231" i="4" s="1"/>
  <c r="F231" i="4" s="1"/>
  <c r="E225" i="4"/>
  <c r="D225" i="4"/>
  <c r="G225" i="4" s="1" a="1"/>
  <c r="G225" i="4" s="1"/>
  <c r="E216" i="4"/>
  <c r="D216" i="4"/>
  <c r="G216" i="4" s="1" a="1"/>
  <c r="G216" i="4" s="1"/>
  <c r="D213" i="4"/>
  <c r="G213" i="4" s="1" a="1"/>
  <c r="G213" i="4" s="1"/>
  <c r="E213" i="4"/>
  <c r="E227" i="4"/>
  <c r="D227" i="4"/>
  <c r="G227" i="4" s="1" a="1"/>
  <c r="G227" i="4" s="1"/>
  <c r="D230" i="4"/>
  <c r="G230" i="4" s="1" a="1"/>
  <c r="G230" i="4" s="1"/>
  <c r="E230" i="4"/>
  <c r="E219" i="4"/>
  <c r="D219" i="4"/>
  <c r="G219" i="4" s="1" a="1"/>
  <c r="G219" i="4" s="1"/>
  <c r="D208" i="4"/>
  <c r="G208" i="4" s="1" a="1"/>
  <c r="G208" i="4" s="1"/>
  <c r="E208" i="4"/>
  <c r="D221" i="4"/>
  <c r="G221" i="4" s="1" a="1"/>
  <c r="G221" i="4" s="1"/>
  <c r="E221" i="4"/>
  <c r="F23" i="4"/>
  <c r="G23" i="4" s="1"/>
  <c r="E218" i="4"/>
  <c r="D218" i="4"/>
  <c r="G218" i="4" s="1" a="1"/>
  <c r="G218" i="4" s="1"/>
  <c r="D210" i="4"/>
  <c r="G210" i="4" s="1" a="1"/>
  <c r="G210" i="4" s="1"/>
  <c r="E210" i="4"/>
  <c r="E222" i="4"/>
  <c r="D222" i="4"/>
  <c r="G222" i="4" s="1" a="1"/>
  <c r="G222" i="4" s="1"/>
  <c r="D220" i="4"/>
  <c r="G220" i="4" s="1" a="1"/>
  <c r="G220" i="4" s="1"/>
  <c r="E220" i="4"/>
  <c r="E209" i="4"/>
  <c r="D209" i="4"/>
  <c r="G209" i="4" s="1" a="1"/>
  <c r="G209" i="4" s="1"/>
  <c r="E212" i="4"/>
  <c r="D212" i="4"/>
  <c r="G212" i="4" s="1" a="1"/>
  <c r="G212" i="4" s="1"/>
  <c r="E226" i="4"/>
  <c r="D226" i="4"/>
  <c r="G226" i="4" s="1" a="1"/>
  <c r="G226" i="4" s="1"/>
  <c r="E224" i="4"/>
  <c r="D224" i="4"/>
  <c r="G224" i="4" s="1" a="1"/>
  <c r="G224" i="4" s="1"/>
  <c r="D211" i="4"/>
  <c r="G211" i="4" s="1" a="1"/>
  <c r="G211" i="4" s="1"/>
  <c r="E211" i="4"/>
  <c r="E228" i="4"/>
  <c r="D228" i="4"/>
  <c r="G228" i="4" s="1" a="1"/>
  <c r="G228" i="4" s="1"/>
  <c r="E229" i="4"/>
  <c r="D229" i="4"/>
  <c r="G229" i="4" s="1" a="1"/>
  <c r="G229" i="4" s="1"/>
  <c r="E215" i="4"/>
  <c r="D215" i="4"/>
  <c r="G215" i="4" s="1" a="1"/>
  <c r="G215" i="4" s="1"/>
  <c r="E223" i="4"/>
  <c r="D223" i="4"/>
  <c r="G223" i="4" s="1" a="1"/>
  <c r="G223" i="4" s="1"/>
  <c r="E217" i="4"/>
  <c r="D217" i="4"/>
  <c r="G217" i="4" s="1" a="1"/>
  <c r="G217" i="4" s="1"/>
  <c r="C46" i="3"/>
  <c r="D54" i="3" s="1" a="1"/>
  <c r="D54" i="3" s="1"/>
  <c r="G78" i="4" a="1"/>
  <c r="G70" i="4" a="1"/>
  <c r="G83" i="4" a="1"/>
  <c r="G84" i="4" a="1"/>
  <c r="G95" i="4" a="1"/>
  <c r="G76" i="4" a="1"/>
  <c r="G88" i="4" a="1"/>
  <c r="G101" i="4" a="1"/>
  <c r="G53" i="4" a="1"/>
  <c r="G87" i="4" a="1"/>
  <c r="C16" i="4" a="1"/>
  <c r="G102" i="4" a="1"/>
  <c r="G75" i="4" a="1"/>
  <c r="G16" i="4" a="1"/>
  <c r="G71" i="4" a="1"/>
  <c r="G65" i="4" a="1"/>
  <c r="G97" i="4" a="1"/>
  <c r="G85" i="4" a="1"/>
  <c r="B6" i="4" a="1"/>
  <c r="G68" i="4" a="1"/>
  <c r="G81" i="4" a="1"/>
  <c r="G86" i="4" a="1"/>
  <c r="G54" i="4" a="1"/>
  <c r="G90" i="4" a="1"/>
  <c r="E16" i="4" a="1"/>
  <c r="G63" i="4" a="1"/>
  <c r="F16" i="4" a="1"/>
  <c r="G58" i="4" a="1"/>
  <c r="G100" i="4" a="1"/>
  <c r="G56" i="4" a="1"/>
  <c r="G73" i="4" a="1"/>
  <c r="G64" i="4" a="1"/>
  <c r="G77" i="4" a="1"/>
  <c r="G69" i="4" a="1"/>
  <c r="G72" i="4" a="1"/>
  <c r="G57" i="4" a="1"/>
  <c r="G66" i="4" a="1"/>
  <c r="G67" i="4" a="1"/>
  <c r="G79" i="4" a="1"/>
  <c r="G80" i="4" a="1"/>
  <c r="G82" i="4" a="1"/>
  <c r="G93" i="4" a="1"/>
  <c r="G89" i="4" a="1"/>
  <c r="G91" i="4" a="1"/>
  <c r="G92" i="4" a="1"/>
  <c r="G94" i="4" a="1"/>
  <c r="G74" i="4" a="1"/>
  <c r="G96" i="4" a="1"/>
  <c r="G98" i="4" a="1"/>
  <c r="G99" i="4" a="1"/>
  <c r="G55" i="4" a="1"/>
  <c r="D16" i="4" a="1"/>
  <c r="G61" i="4" a="1"/>
  <c r="G59" i="4" a="1"/>
  <c r="G60" i="4" a="1"/>
  <c r="G62" i="4" a="1"/>
  <c r="F214" i="4" l="1"/>
  <c r="F229" i="4"/>
  <c r="F209" i="4"/>
  <c r="F218" i="4"/>
  <c r="F216" i="4"/>
  <c r="F210" i="4"/>
  <c r="F223" i="4"/>
  <c r="F219" i="4"/>
  <c r="F225" i="4"/>
  <c r="F228" i="4"/>
  <c r="F220" i="4"/>
  <c r="F213" i="4"/>
  <c r="F22" i="4"/>
  <c r="G22" i="4" s="1"/>
  <c r="G62" i="4"/>
  <c r="G60" i="4"/>
  <c r="G59" i="4"/>
  <c r="G61" i="4"/>
  <c r="D16" i="4"/>
  <c r="G55" i="4"/>
  <c r="G99" i="4"/>
  <c r="G98" i="4"/>
  <c r="G96" i="4"/>
  <c r="G74" i="4"/>
  <c r="G94" i="4"/>
  <c r="G92" i="4"/>
  <c r="G91" i="4"/>
  <c r="G89" i="4"/>
  <c r="G93" i="4"/>
  <c r="G82" i="4"/>
  <c r="G80" i="4"/>
  <c r="G79" i="4"/>
  <c r="G67" i="4"/>
  <c r="G66" i="4"/>
  <c r="G57" i="4"/>
  <c r="G72" i="4"/>
  <c r="G69" i="4"/>
  <c r="G77" i="4"/>
  <c r="G64" i="4"/>
  <c r="G73" i="4"/>
  <c r="G56" i="4"/>
  <c r="G100" i="4"/>
  <c r="G58" i="4"/>
  <c r="F16" i="4"/>
  <c r="D24" i="4" s="1"/>
  <c r="G63" i="4"/>
  <c r="E16" i="4"/>
  <c r="G90" i="4"/>
  <c r="G54" i="4"/>
  <c r="G86" i="4"/>
  <c r="G81" i="4"/>
  <c r="G68" i="4"/>
  <c r="B6" i="4"/>
  <c r="G85" i="4"/>
  <c r="G97" i="4"/>
  <c r="G65" i="4"/>
  <c r="G71" i="4"/>
  <c r="G16" i="4"/>
  <c r="G75" i="4"/>
  <c r="G102" i="4"/>
  <c r="C16" i="4"/>
  <c r="C24" i="4" s="1"/>
  <c r="E24" i="4" s="1"/>
  <c r="G87" i="4"/>
  <c r="G53" i="4"/>
  <c r="G101" i="4"/>
  <c r="G88" i="4"/>
  <c r="G76" i="4"/>
  <c r="G95" i="4"/>
  <c r="G84" i="4"/>
  <c r="G83" i="4"/>
  <c r="G70" i="4"/>
  <c r="G78" i="4"/>
  <c r="F226" i="4"/>
  <c r="F227" i="4"/>
  <c r="F212" i="4"/>
  <c r="F222" i="4"/>
  <c r="F208" i="4"/>
  <c r="F217" i="4"/>
  <c r="F215" i="4"/>
  <c r="F221" i="4"/>
  <c r="F224" i="4"/>
  <c r="E22" i="4"/>
  <c r="F230" i="4"/>
  <c r="F211" i="4"/>
  <c r="F24" i="4" l="1"/>
  <c r="G24"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<sst xmlns="http://schemas.openxmlformats.org/spreadsheetml/2006/main" count="406" uniqueCount="298">
  <si>
    <t>Reinsurance Programme: Excess of Loss and Quota Share</t>
  </si>
  <si>
    <t>ModelRisk example  ·  Insurance  ·  IN-03</t>
  </si>
  <si>
    <t>What does reinsurance cost, and what does it buy?  Four programmes compared on the same claims.</t>
  </si>
  <si>
    <t>Next:  Inputs  ▸</t>
  </si>
  <si>
    <t>Model card</t>
  </si>
  <si>
    <t>Industry</t>
  </si>
  <si>
    <t>Insurance</t>
  </si>
  <si>
    <t>Difficulty</t>
  </si>
  <si>
    <t>★★★☆☆   Every claim split between the insurer and two excess-of-loss layers, a quota share on top; four programmes compared on the same claims.</t>
  </si>
  <si>
    <t>Business question</t>
  </si>
  <si>
    <t>A commercial property insurer writes US$42 million of premium and expects about 60 claims a year, a few of them very large. Its broker offers two per-risk excess-of-loss layers and a 30% quota share. What would each programme cost on average, how much would it cut the 1-in-200 loss — and so the capital the insurer must hold — and is that worth the price?</t>
  </si>
  <si>
    <t>Who it is for</t>
  </si>
  <si>
    <t>Reinsurance buyers, underwriters, capital and pricing actuaries, finance teams of insurers.</t>
  </si>
  <si>
    <t>Main outputs</t>
  </si>
  <si>
    <t>The underwriting result with no reinsurance, the layers only, the quota share only and both: mean, spread, 1-in-20 and 1-in-200 results, chance of a loss · each programme's expected cost, the capital it frees and the price of that capital · the expected loss to each layer, calculated exactly.</t>
  </si>
  <si>
    <t>ModelRisk techniques</t>
  </si>
  <si>
    <t>Claim numbers and sizes as distribution objects (Poisson, Pareto) · every claim split between the retention, the layers and the part above the programme (VoseAggregateTranche) · each layer's expected loss calculated exactly (VoseDeductObject) and used to price it · a quota share on what the insurer keeps · four programmes simulated on the same claims.</t>
  </si>
  <si>
    <t>File</t>
  </si>
  <si>
    <t>IN-03 Reinsurance programme excess of loss and quota share  ·  Version 1.0  ·  October 2026  ·  built with ModelRisk 10</t>
  </si>
  <si>
    <t>The business question</t>
  </si>
  <si>
    <t>A commercial property insurer writes US$42 million of premium a year. It expects about 60 claims, averaging US$500,000, but property claims are very uneven: most are small, while a fire at a large factory can cost tens of millions. Its board wants the 1-in-200 loss — which sets the capital the insurer must hold — brought down. The broker offers two per-risk excess-of-loss layers, which pay the part of each claim between US$2 million and US$10 million and between US$10 million and US$25 million, and a 30% quota share, which takes 30% of the premium and of the claims the insurer keeps, and pays back a commission. Reinsurance costs money on average — the reinsurers' margin — so the question is whether the capital it frees is worth the price. The model splits every simulated claim between the insurer and the layers, and compares the four programmes on the same claims.</t>
  </si>
  <si>
    <t>How the model works</t>
  </si>
  <si>
    <t>Three sheets after this one, read from left to right. Each one feeds the next.</t>
  </si>
  <si>
    <t>1  Inputs</t>
  </si>
  <si>
    <t>The expected number of claims, the average claim and how heavy the tail of claim sizes is; the retention and the limits of the two layers and their prices as multiples of their expected loss; the quota share and its commission; the premium, the expense ratio and the cost of capital.</t>
  </si>
  <si>
    <t>2  Programme</t>
  </si>
  <si>
    <t>Each layer's expected loss is calculated exactly with VoseDeductObject and sets its price. Every iteration draws the year's claims once: VoseAggregateTranche adds up, over every claim, the part below the retention, the part in each layer and the part above the programme. The recoveries, the premiums and the result follow for each programme.</t>
  </si>
  <si>
    <t>3  Results</t>
  </si>
  <si>
    <t>Mean, spread, 1-in-20 and 1-in-200 result and the chance of a loss for each programme; its expected cost, the capital it frees, the price of that capital and the net gain at the cost of capital; each layer's losses, exact and simulated.</t>
  </si>
  <si>
    <t>How to use it</t>
  </si>
  <si>
    <t>Step 1</t>
  </si>
  <si>
    <t>Enter your claims assumptions, the layers your broker quotes and their prices.</t>
  </si>
  <si>
    <t>Step 2</t>
  </si>
  <si>
    <t>Press F9 on the Programme sheet to see how other years' claims are shared.</t>
  </si>
  <si>
    <t>Step 3</t>
  </si>
  <si>
    <t>Run a simulation from the ModelRisk ribbon (10,000 samples with a fixed seed are set).</t>
  </si>
  <si>
    <t>Step 4</t>
  </si>
  <si>
    <t>Compare each programme's cost with the capital it frees, at your own cost of capital.</t>
  </si>
  <si>
    <t>Workbook map</t>
  </si>
  <si>
    <t>Inputs</t>
  </si>
  <si>
    <t>Claims, layers, quota share, premium, expenses, cost of capital.</t>
  </si>
  <si>
    <t>Programme</t>
  </si>
  <si>
    <t>Claims split by layer; layer prices; this year under four programmes; outputs and checks.</t>
  </si>
  <si>
    <t>Results</t>
  </si>
  <si>
    <t>Four programmes compared; where the claims go.</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</si>
  <si>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</si>
  <si>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</si>
  <si>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</si>
  <si>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</si>
  <si>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</si>
  <si>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</si>
  <si>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</si>
  <si>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</si>
  <si>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</si>
  <si>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</si>
  <si>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</si>
  <si>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</si>
  <si>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</si>
  <si>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claim sizes, retention and limits in US$ thousand.</t>
  </si>
  <si>
    <t>Excess of loss</t>
  </si>
  <si>
    <t>A layer '8,000 xs 2,000' pays the part of each claim above US$2m, up to US$8m: the slice of every claim between US$2m and US$10m.</t>
  </si>
  <si>
    <t>Quota share</t>
  </si>
  <si>
    <t>The reinsurer takes a fixed share of the premium and of the claims, and pays back a ceding commission on its share of the premium.</t>
  </si>
  <si>
    <t>Result</t>
  </si>
  <si>
    <t>Underwriting result = premium − expenses − reinsurance premiums + commission − claims kept; before investment income and tax.</t>
  </si>
  <si>
    <t>1-in-200</t>
  </si>
  <si>
    <t>The 0.5th percentile of the result: the loss exceeded in one year in 200, on which solvency capital is based.</t>
  </si>
  <si>
    <t>Key assumptions and limitations</t>
  </si>
  <si>
    <t>Claims</t>
  </si>
  <si>
    <t>Claim numbers are Poisson; claim sizes are independent and Pareto (type 2) — heavy-tailed.</t>
  </si>
  <si>
    <t>Layers</t>
  </si>
  <si>
    <t>Each layer pays every claim that reaches it (unlimited free reinstatements); the part of a claim above the top layer stays with the insurer.</t>
  </si>
  <si>
    <t>It shares what the insurer keeps after the layers' recoveries, and pays for its share of the layers' price.</t>
  </si>
  <si>
    <t>Capital</t>
  </si>
  <si>
    <t>The capital needed is driven by the 1-in-200 underwriting result alone: no other risks, no diversification.</t>
  </si>
  <si>
    <t>Data</t>
  </si>
  <si>
    <t>The book and all figures are invented for this example.</t>
  </si>
  <si>
    <t>ModelRisk functions used</t>
  </si>
  <si>
    <t>VosePoissonObject, VosePareto2Object</t>
  </si>
  <si>
    <t>The claim number and claim size distributions as objects.</t>
  </si>
  <si>
    <t>VoseDeductObject, VoseMean</t>
  </si>
  <si>
    <t>The amount a layer pays on one claim, and its exact mean — used to price the layer.</t>
  </si>
  <si>
    <t>VoseProb</t>
  </si>
  <si>
    <t>The chance that a claim reaches a layer.</t>
  </si>
  <si>
    <t>VoseAggregateTranche</t>
  </si>
  <si>
    <t>Adds up, over every claim of the year, the part that falls in each layer (an array over four cells).</t>
  </si>
  <si>
    <t>VoseSimMean, VoseSimStdev, VoseSimPercentile, VoseSimProbability</t>
  </si>
  <si>
    <t>Statistics of the simulation on the Results sheet.</t>
  </si>
  <si>
    <t>Further reading</t>
  </si>
  <si>
    <t>Reinsurance</t>
  </si>
  <si>
    <t>Albrecher, H., Beirlant, J. &amp; Teugels, J. L. (2017). Reinsurance: Actuarial and Statistical Aspects. Wiley.</t>
  </si>
  <si>
    <t>Layers and limits</t>
  </si>
  <si>
    <t>Klugman, S. A., Panjer, H. H. &amp; Willmot, G. E. (2019). Loss Models: From Data to Decisions, 5th edition. Wiley — coverage modifications.</t>
  </si>
  <si>
    <t>Risk analysis</t>
  </si>
  <si>
    <t>Vose, D. (2008). Risk Analysis: A Quantitative Guide, 3rd edition. Wiley — aggregate distributions.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</si>
  <si>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</si>
  <si>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</si>
  <si>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</si>
  <si>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Programme  ▸</t>
  </si>
  <si>
    <t>How to read this sheet:  yellow cells are inputs.</t>
  </si>
  <si>
    <t>1   Claims</t>
  </si>
  <si>
    <t>How many claims a year, and how large.</t>
  </si>
  <si>
    <t>Assumption</t>
  </si>
  <si>
    <t>Unit</t>
  </si>
  <si>
    <t>Value in model</t>
  </si>
  <si>
    <t>Uncertainty</t>
  </si>
  <si>
    <t>Basis / source (illustrative)</t>
  </si>
  <si>
    <t>Expected number of claims</t>
  </si>
  <si>
    <t>claims a year</t>
  </si>
  <si>
    <t>Fixed</t>
  </si>
  <si>
    <t>Policies in force × claim rate, from the claims history.</t>
  </si>
  <si>
    <t>Average claim</t>
  </si>
  <si>
    <t>US$ thousand</t>
  </si>
  <si>
    <t>Claims history, inflated to next year's prices.</t>
  </si>
  <si>
    <t>Tail of the claim sizes  (Pareto shape)</t>
  </si>
  <si>
    <t>lower = heavier</t>
  </si>
  <si>
    <t>Fitted to the large claims (as in IN-02). Must be above 1.</t>
  </si>
  <si>
    <t>Example claim, to show how a claim is split</t>
  </si>
  <si>
    <t>Used only for the illustration on the Programme sheet.</t>
  </si>
  <si>
    <t>2   Excess-of-loss layers</t>
  </si>
  <si>
    <t>Per-risk layers: each pays the part of every claim that falls inside it.</t>
  </si>
  <si>
    <t>Retention</t>
  </si>
  <si>
    <t>The insurer keeps every claim up to this amount.</t>
  </si>
  <si>
    <t>Layer 1 limit</t>
  </si>
  <si>
    <t>Layer 1 pays the part of each claim from the retention up to the retention + this limit.</t>
  </si>
  <si>
    <t>Layer 2 limit</t>
  </si>
  <si>
    <t>Layer 2 starts where layer 1 ends. Set the top from the largest sums insured.</t>
  </si>
  <si>
    <t>Price of layer 1</t>
  </si>
  <si>
    <t>× expected loss</t>
  </si>
  <si>
    <t>Hit every year: priced close to its expected loss.</t>
  </si>
  <si>
    <t>Price of layer 2</t>
  </si>
  <si>
    <t>Rarely hit: the reinsurer charges more for the uncertainty.</t>
  </si>
  <si>
    <t>3   Quota share</t>
  </si>
  <si>
    <t>A fixed share of the premium and of the claims the insurer keeps after the layers.</t>
  </si>
  <si>
    <t>Share of premium and claims ceded</t>
  </si>
  <si>
    <t>As proposed by the broker.</t>
  </si>
  <si>
    <t>Ceding commission</t>
  </si>
  <si>
    <t>of ceded premium</t>
  </si>
  <si>
    <t>Paid back by the reinsurer for the insurer's cost of writing the business.</t>
  </si>
  <si>
    <t>4   Premium, expenses and capital</t>
  </si>
  <si>
    <t>Gross premium</t>
  </si>
  <si>
    <t>US$m</t>
  </si>
  <si>
    <t>Written next year.</t>
  </si>
  <si>
    <t>Expense ratio</t>
  </si>
  <si>
    <t>of gross premium</t>
  </si>
  <si>
    <t>Brokers' commission and administration.</t>
  </si>
  <si>
    <t>Cost of capital</t>
  </si>
  <si>
    <t>a year</t>
  </si>
  <si>
    <t>The return shareholders require on the capital the insurer holds.</t>
  </si>
  <si>
    <t>PROGRAMME   ·   Each claim split between the insurer and the layers; this year's result under four reinsurance programmes.</t>
  </si>
  <si>
    <t>◂  Inputs</t>
  </si>
  <si>
    <t>Next:  Results  ▸</t>
  </si>
  <si>
    <t>Claim numbers and claim sizes as ModelRisk distribution objects.</t>
  </si>
  <si>
    <t>Quantity</t>
  </si>
  <si>
    <t>Value</t>
  </si>
  <si>
    <t>How it is calculated</t>
  </si>
  <si>
    <t>Pareto scale b</t>
  </si>
  <si>
    <t>Gives the average claim: mean = b ÷ (shape − 1)</t>
  </si>
  <si>
    <t>Frequency  (claims in the year)</t>
  </si>
  <si>
    <t>object</t>
  </si>
  <si>
    <t>Poisson: claims arrive independently</t>
  </si>
  <si>
    <t>Severity  (one claim)</t>
  </si>
  <si>
    <t>Pareto (type 2): many small claims, a few very large ones</t>
  </si>
  <si>
    <t>Top of the programme</t>
  </si>
  <si>
    <t>Above this, a claim comes back to the insurer</t>
  </si>
  <si>
    <t>2   Each claim, split by layer</t>
  </si>
  <si>
    <t>The insurer keeps the first part of every claim; each layer pays the slice above it.</t>
  </si>
  <si>
    <t>Part of each claim</t>
  </si>
  <si>
    <t>From</t>
  </si>
  <si>
    <t>To</t>
  </si>
  <si>
    <t>Reached</t>
  </si>
  <si>
    <t>Example claim</t>
  </si>
  <si>
    <t>Expected loss</t>
  </si>
  <si>
    <t>This year</t>
  </si>
  <si>
    <t>What happens</t>
  </si>
  <si>
    <t>US$m, exact</t>
  </si>
  <si>
    <t>US$m, simulated</t>
  </si>
  <si>
    <t>Insurer's retention</t>
  </si>
  <si>
    <t>Layer 1</t>
  </si>
  <si>
    <t>Layer 2</t>
  </si>
  <si>
    <t>Above the programme</t>
  </si>
  <si>
    <t>Total</t>
  </si>
  <si>
    <t>The whole claim; expected = claims a year × average claim</t>
  </si>
  <si>
    <t>Example claim: how one claim of the size on the Inputs sheet is split.   Expected loss: claims a year × VoseMean(VoseDeductObject(severity, From, To − From, TRUE)), calculated exactly, not simulated.   This year: VoseAggregateTranche(frequency, severity, {From}, {To}) adds up the part of every claim of a simulated year that falls in each row — one array over the four cells; "no limit" is 10¹² (US$1,000 billion), the top the function needs for the last row. Press F9 to draw another year.</t>
  </si>
  <si>
    <t>3   Reinsurance prices</t>
  </si>
  <si>
    <t>Each layer's price is a multiple of its expected loss; it is paid whatever the claims.</t>
  </si>
  <si>
    <t>Layer 1 price</t>
  </si>
  <si>
    <t>Price multiple × expected loss</t>
  </si>
  <si>
    <t>Layer 2 price</t>
  </si>
  <si>
    <t>Both layers</t>
  </si>
  <si>
    <t>The excess-of-loss premium</t>
  </si>
  <si>
    <t>Layer 1 rate on line</t>
  </si>
  <si>
    <t>of its limit</t>
  </si>
  <si>
    <t>Price ÷ limit: how the market quotes a layer</t>
  </si>
  <si>
    <t>Layer 2 rate on line</t>
  </si>
  <si>
    <t>A layer rarely hit has a low rate on line</t>
  </si>
  <si>
    <t>Expenses</t>
  </si>
  <si>
    <t>Expense ratio × gross premium</t>
  </si>
  <si>
    <t>4   Four programmes, this year</t>
  </si>
  <si>
    <t>What each programme pays and recovers in this iteration. Press F9 to draw another year.</t>
  </si>
  <si>
    <t>Premium left after the layers</t>
  </si>
  <si>
    <t>What a quota share behind the layers takes its share of</t>
  </si>
  <si>
    <t>Claims left after the layers  (this year)</t>
  </si>
  <si>
    <t>The claims the layers do not pay: retention plus anything above the top</t>
  </si>
  <si>
    <t>Reinsurance premium</t>
  </si>
  <si>
    <t>Commission</t>
  </si>
  <si>
    <t>Recoveries</t>
  </si>
  <si>
    <t>Claims kept</t>
  </si>
  <si>
    <t>What the programme does</t>
  </si>
  <si>
    <t>No reinsurance</t>
  </si>
  <si>
    <t>The insurer keeps every claim</t>
  </si>
  <si>
    <t>Excess of loss only</t>
  </si>
  <si>
    <t>The layers pay the slices of claims between the retention and the top</t>
  </si>
  <si>
    <t>Quota share only</t>
  </si>
  <si>
    <t>Takes its share of the premium and of every claim; pays a commission</t>
  </si>
  <si>
    <t>Excess of loss and quota share</t>
  </si>
  <si>
    <t>The quota share takes its share of what the insurer keeps after the layers</t>
  </si>
  <si>
    <t>5   Value in this iteration</t>
  </si>
  <si>
    <t>Key outputs, recorded by ModelRisk at every sample (VoseOutput). Their statistics appear on the Results sheet.</t>
  </si>
  <si>
    <t>Output</t>
  </si>
  <si>
    <t>Meaning</t>
  </si>
  <si>
    <t>Result:  no reinsurance</t>
  </si>
  <si>
    <t>Premium − expenses − reinsurance premium + commission − claims kept</t>
  </si>
  <si>
    <t>Result:  excess of loss only</t>
  </si>
  <si>
    <t>Result:  quota share only</t>
  </si>
  <si>
    <t>Result:  excess of loss and quota share</t>
  </si>
  <si>
    <t>Gross claims</t>
  </si>
  <si>
    <t>All the year's claims, before reinsurance</t>
  </si>
  <si>
    <t>Claims within the retention</t>
  </si>
  <si>
    <t>The first part of every claim</t>
  </si>
  <si>
    <t>Claims in layer 1</t>
  </si>
  <si>
    <t>Paid by the layer 1 reinsurers</t>
  </si>
  <si>
    <t>Claims in layer 2</t>
  </si>
  <si>
    <t>Paid by the layer 2 reinsurers</t>
  </si>
  <si>
    <t>Claims above the programme</t>
  </si>
  <si>
    <t>Back with the insurer</t>
  </si>
  <si>
    <t>6   Model checks</t>
  </si>
  <si>
    <t>Should all read OK. A CHECK means an input has been set outside the range the model is built for.</t>
  </si>
  <si>
    <t>The four parts' expected losses add up to the expected claims</t>
  </si>
  <si>
    <t>The Pareto shape is above 1  (the average claim exists)</t>
  </si>
  <si>
    <t>Each layer is priced at or above its expected loss</t>
  </si>
  <si>
    <t>The quota share and its commission are between 0% and 100%</t>
  </si>
  <si>
    <t>RESULTS   ·   Filled in automatically from the last simulation. Run a simulation after changing any input.</t>
  </si>
  <si>
    <t>◂  Programme</t>
  </si>
  <si>
    <t>1   Which programme?</t>
  </si>
  <si>
    <t>Underwriting result — cumulative probability</t>
  </si>
  <si>
    <t>The underwriting result (US$m) under each programme, on the same simulated claims.</t>
  </si>
  <si>
    <t>Mean</t>
  </si>
  <si>
    <t>Std dev</t>
  </si>
  <si>
    <t>1-in-20</t>
  </si>
  <si>
    <t>Loss</t>
  </si>
  <si>
    <t>5th pct</t>
  </si>
  <si>
    <t>0.5th pct</t>
  </si>
  <si>
    <t>chance</t>
  </si>
  <si>
    <t>2   What it costs, and what it buys</t>
  </si>
  <si>
    <t>Against no reinsurance: the expected result given up, and the 1-in-200 loss removed.</t>
  </si>
  <si>
    <t>Cost</t>
  </si>
  <si>
    <t>Capital freed</t>
  </si>
  <si>
    <t>Break-even</t>
  </si>
  <si>
    <t>Net gain</t>
  </si>
  <si>
    <t>Worth it?</t>
  </si>
  <si>
    <t>US$m a year</t>
  </si>
  <si>
    <t>cost of capital</t>
  </si>
  <si>
    <t>at the CoC</t>
  </si>
  <si>
    <t>Cost: the fall in the mean result.  Capital freed: the rise in the 1-in-200 result.  Break-even: cost ÷ capital freed, the cost of capital at which the programme pays for itself; worth it when the cost of capital on the Inputs sheet is above it.  Net gain: cost of capital × capital freed − cost.  Capital freed comes from two 1-in-200 results, 50 of 10,000 samples each: it moves by about US$1.5m from run to run, so a break-even close to the cost of capital can flip.</t>
  </si>
  <si>
    <t>3   Where the claims go</t>
  </si>
  <si>
    <t>Gross claims in the year — distribution</t>
  </si>
  <si>
    <t>Each part of the year's claims (US$m): its expected loss, exact, and the simulation.</t>
  </si>
  <si>
    <t>Expected</t>
  </si>
  <si>
    <t>95th pct</t>
  </si>
  <si>
    <t>99.5th pct</t>
  </si>
  <si>
    <t>Share</t>
  </si>
  <si>
    <t>exact</t>
  </si>
  <si>
    <t>simulated</t>
  </si>
  <si>
    <t>of expected</t>
  </si>
  <si>
    <t>4   How to read these results</t>
  </si>
  <si>
    <t>•  Every programme lowers the expected result: the reinsurers charge more than the claims they expect to pay. Here the two layers cost about US$1.7m a year and the quota share about US$0.5m; together about US$2.1m — more than half the expected profit.</t>
  </si>
  <si>
    <t>•  In exchange, the bad years become far less bad. With no reinsurance, one year in 200 loses about US$43m; with both covers about US$15m. The capital the insurer must hold against its underwriting falls by about US$28m.</t>
  </si>
  <si>
    <t>•  The layers act only on large claims: they take about a sixth of the expected claims, but most of what makes a year catastrophic. The quota share scales everything by the same share — the profit too. With a commission that covers the insurer's costs it is the cheapest capital here, but it frees less of it.</t>
  </si>
  <si>
    <t>•  At a 10% cost of capital each programme is worth more than it costs. Lower the cost of capital or raise the layer prices on the Inputs sheet and the answer changes: reinsurance is a source of capital, to be bought when it is cheaper than shareholders' money.</t>
  </si>
  <si>
    <t>•  Claims above the top of the programme come back to the insurer. They are rare — reached about once in 64 years — but in the 1-in-200 year the excess above US$25m is large. Check the top of the programme against the largest sums insured.</t>
  </si>
  <si>
    <t>Chart data</t>
  </si>
  <si>
    <t>Statistics of the last simulation behind the charts and the ranking above. Grouped: click + in the left margin to show them.</t>
  </si>
  <si>
    <t>Cumulative probability</t>
  </si>
  <si>
    <t>Exceedance</t>
  </si>
  <si>
    <t>Result_None</t>
  </si>
  <si>
    <t>Result_XoL</t>
  </si>
  <si>
    <t>Result_QS</t>
  </si>
  <si>
    <t>Result_Both</t>
  </si>
  <si>
    <t>Out_Gross</t>
  </si>
  <si>
    <t>Percentiles: Out_Gross</t>
  </si>
  <si>
    <t>Histogram: Out_Gross</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</si>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</sst>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_);\(#,##0\);&quot;–&quot;_)"/>
    <numFmt numFmtId="165" formatCode="#,##0.0_);\(#,##0.0\);&quot;–&quot;_)"/>
    <numFmt numFmtId="166" formatCode="#,##0_);\(#,##0\);0_)"/>
    <numFmt numFmtId="167" formatCode="#,##0.00_);\(#,##0.00\);&quot;–&quot;_)"/>
    <numFmt numFmtId="168" formatCode="&quot;no limit&quot;"/>
    <numFmt numFmtId="169" formatCode="0.0%"/>
    <numFmt numFmtId="170" formatCode="#,##0.00_);\(#,##0.00\);&quot;–&quot;_);&quot;–&quot;"/>
    <numFmt numFmtId="171" formatCode="0.0%;\-0.0%;0.0%;&quot;–&quot;"/>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9"/>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0">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2" fontId="1" fillId="2" borderId="7" xfId="1" applyNumberFormat="1" applyBorder="1">
      <alignment horizontal="right" vertical="center"/>
    </xf>
    <xf numFmtId="9"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4" fontId="3" fillId="0" borderId="8" xfId="3" applyNumberFormat="1" applyBorder="1">
      <alignment horizontal="right" vertical="center"/>
    </xf>
    <xf numFmtId="0" fontId="3" fillId="0" borderId="8" xfId="3" applyBorder="1" applyAlignment="1">
      <alignment horizontal="left" vertical="center" indent="1"/>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19" fillId="7" borderId="4" xfId="0" applyFont="1" applyFill="1" applyBorder="1" applyAlignment="1">
      <alignment horizontal="right" vertical="center"/>
    </xf>
    <xf numFmtId="166" fontId="3" fillId="0" borderId="8" xfId="3" applyNumberFormat="1" applyBorder="1">
      <alignment horizontal="right" vertical="center"/>
    </xf>
    <xf numFmtId="167" fontId="3" fillId="0" borderId="8" xfId="3" applyNumberFormat="1" applyBorder="1">
      <alignment horizontal="right" vertical="center"/>
    </xf>
    <xf numFmtId="167" fontId="2" fillId="3" borderId="7" xfId="2" applyNumberFormat="1" applyBorder="1">
      <alignment horizontal="right" vertical="center"/>
    </xf>
    <xf numFmtId="168" fontId="3" fillId="0" borderId="8" xfId="3" applyNumberFormat="1" applyBorder="1">
      <alignment horizontal="right" vertical="center"/>
    </xf>
    <xf numFmtId="0" fontId="12" fillId="0" borderId="9" xfId="0" applyFont="1" applyBorder="1" applyAlignment="1">
      <alignment horizontal="left" vertical="center" indent="1"/>
    </xf>
    <xf numFmtId="0" fontId="0" fillId="0" borderId="9" xfId="0" applyBorder="1"/>
    <xf numFmtId="164" fontId="12" fillId="0" borderId="9" xfId="3" applyNumberFormat="1" applyFont="1" applyBorder="1">
      <alignment horizontal="right" vertical="center"/>
    </xf>
    <xf numFmtId="167" fontId="12" fillId="0" borderId="9" xfId="3" applyNumberFormat="1" applyFont="1" applyBorder="1">
      <alignment horizontal="right" vertical="center"/>
    </xf>
    <xf numFmtId="0" fontId="18" fillId="0" borderId="9" xfId="0" applyFont="1" applyBorder="1" applyAlignment="1">
      <alignment horizontal="left" vertical="center" indent="1"/>
    </xf>
    <xf numFmtId="169" fontId="3" fillId="0" borderId="8" xfId="3" applyNumberFormat="1" applyBorder="1">
      <alignment horizontal="right" vertical="center"/>
    </xf>
    <xf numFmtId="167" fontId="4" fillId="4" borderId="10" xfId="4"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2" fillId="0" borderId="5" xfId="0" applyFont="1" applyBorder="1"/>
    <xf numFmtId="170" fontId="1" fillId="5" borderId="7" xfId="5" applyNumberFormat="1" applyBorder="1">
      <alignment horizontal="right" vertical="center"/>
    </xf>
    <xf numFmtId="171" fontId="1" fillId="5" borderId="7" xfId="5" applyNumberFormat="1" applyBorder="1">
      <alignment horizontal="right" vertical="center"/>
    </xf>
    <xf numFmtId="0" fontId="12" fillId="0" borderId="6" xfId="0" applyFont="1" applyBorder="1" applyAlignment="1">
      <alignment horizontal="left" vertical="center" indent="1"/>
    </xf>
    <xf numFmtId="0" fontId="1" fillId="5" borderId="7" xfId="5"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169" fontId="3" fillId="0" borderId="2" xfId="3" applyNumberFormat="1">
      <alignment horizontal="right" vertical="center"/>
    </xf>
    <xf numFmtId="0" fontId="21" fillId="0" borderId="0" xfId="0" applyFont="1"/>
    <xf numFmtId="1"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11">
    <dxf>
      <font>
        <color rgb="FFB91C1C"/>
      </font>
    </dxf>
    <dxf>
      <font>
        <color rgb="FF15803D"/>
      </font>
    </dxf>
    <dxf>
      <font>
        <color rgb="FFB91C1C"/>
      </font>
    </dxf>
    <dxf>
      <font>
        <color rgb="FF15803D"/>
      </font>
    </dxf>
    <dxf>
      <font>
        <color rgb="FFB91C1C"/>
      </font>
    </dxf>
    <dxf>
      <font>
        <color rgb="FF15803D"/>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No reinsurance</c:v>
          </c:tx>
          <c:spPr>
            <a:ln w="25400">
              <a:solidFill>
                <a:srgbClr val="0E4F92"/>
              </a:solidFill>
              <a:prstDash val="solid"/>
            </a:ln>
          </c:spPr>
          <c:marker>
            <c:symbol val="none"/>
          </c:marker>
          <c:xVal>
            <c:numRef>
              <c:f>Results!$D$53:$D$102</c:f>
              <c:numCache>
                <c:formatCode>#,##0.00</c:formatCode>
                <c:ptCount val="50"/>
                <c:pt idx="0">
                  <c:v>-31.789388763142135</c:v>
                </c:pt>
                <c:pt idx="1">
                  <c:v>-18.261219476836438</c:v>
                </c:pt>
                <c:pt idx="2">
                  <c:v>-13.176913502987766</c:v>
                </c:pt>
                <c:pt idx="3">
                  <c:v>-10.15638113230893</c:v>
                </c:pt>
                <c:pt idx="4">
                  <c:v>-8.3663138109045221</c:v>
                </c:pt>
                <c:pt idx="5">
                  <c:v>-6.8800012390466847</c:v>
                </c:pt>
                <c:pt idx="6">
                  <c:v>-5.4300396916487799</c:v>
                </c:pt>
                <c:pt idx="7">
                  <c:v>-4.4844167046261916</c:v>
                </c:pt>
                <c:pt idx="8">
                  <c:v>-3.5641372953865087</c:v>
                </c:pt>
                <c:pt idx="9">
                  <c:v>-2.7558157031138393</c:v>
                </c:pt>
                <c:pt idx="10">
                  <c:v>-1.9607666009760507</c:v>
                </c:pt>
                <c:pt idx="11">
                  <c:v>-1.2715274135649679</c:v>
                </c:pt>
                <c:pt idx="12">
                  <c:v>-0.59492087742602706</c:v>
                </c:pt>
                <c:pt idx="13">
                  <c:v>4.2913724547865684E-2</c:v>
                </c:pt>
                <c:pt idx="14">
                  <c:v>0.54297259354196115</c:v>
                </c:pt>
                <c:pt idx="15">
                  <c:v>1.0881206567295365</c:v>
                </c:pt>
                <c:pt idx="16">
                  <c:v>1.594214585787995</c:v>
                </c:pt>
                <c:pt idx="17">
                  <c:v>2.0197959513373611</c:v>
                </c:pt>
                <c:pt idx="18">
                  <c:v>2.4781900984611696</c:v>
                </c:pt>
                <c:pt idx="19">
                  <c:v>2.9625015207534915</c:v>
                </c:pt>
                <c:pt idx="20">
                  <c:v>3.4100650829623156</c:v>
                </c:pt>
                <c:pt idx="21">
                  <c:v>3.8044070910207637</c:v>
                </c:pt>
                <c:pt idx="22">
                  <c:v>4.2271398944064487</c:v>
                </c:pt>
                <c:pt idx="23">
                  <c:v>4.6928440697348819</c:v>
                </c:pt>
                <c:pt idx="24">
                  <c:v>5.079485532570942</c:v>
                </c:pt>
                <c:pt idx="25">
                  <c:v>5.4725581115583282</c:v>
                </c:pt>
                <c:pt idx="26">
                  <c:v>5.8945960244746161</c:v>
                </c:pt>
                <c:pt idx="27">
                  <c:v>6.2633055669502191</c:v>
                </c:pt>
                <c:pt idx="28">
                  <c:v>6.6164578424513358</c:v>
                </c:pt>
                <c:pt idx="29">
                  <c:v>6.9941248804649092</c:v>
                </c:pt>
                <c:pt idx="30">
                  <c:v>7.3727831957370036</c:v>
                </c:pt>
                <c:pt idx="31">
                  <c:v>7.774923657636748</c:v>
                </c:pt>
                <c:pt idx="32">
                  <c:v>8.1511472663729201</c:v>
                </c:pt>
                <c:pt idx="33">
                  <c:v>8.51020009930199</c:v>
                </c:pt>
                <c:pt idx="34">
                  <c:v>8.9054987274800403</c:v>
                </c:pt>
                <c:pt idx="35">
                  <c:v>9.2732873014742658</c:v>
                </c:pt>
                <c:pt idx="36">
                  <c:v>9.6622767464115498</c:v>
                </c:pt>
                <c:pt idx="37">
                  <c:v>10.090623248372431</c:v>
                </c:pt>
                <c:pt idx="38">
                  <c:v>10.468679818362261</c:v>
                </c:pt>
                <c:pt idx="39">
                  <c:v>10.904674872735558</c:v>
                </c:pt>
                <c:pt idx="40">
                  <c:v>11.357499506337977</c:v>
                </c:pt>
                <c:pt idx="41">
                  <c:v>11.80582967607916</c:v>
                </c:pt>
                <c:pt idx="42">
                  <c:v>12.301556215355529</c:v>
                </c:pt>
                <c:pt idx="43">
                  <c:v>12.808603763092229</c:v>
                </c:pt>
                <c:pt idx="44">
                  <c:v>13.406493198702456</c:v>
                </c:pt>
                <c:pt idx="45">
                  <c:v>14.010255346612613</c:v>
                </c:pt>
                <c:pt idx="46">
                  <c:v>14.775725635440139</c:v>
                </c:pt>
                <c:pt idx="47">
                  <c:v>15.666365039015403</c:v>
                </c:pt>
                <c:pt idx="48">
                  <c:v>16.869114699260301</c:v>
                </c:pt>
                <c:pt idx="49">
                  <c:v>18.644106304252112</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2CCE-47E2-AA34-EB0992DABBD9}"/>
            </c:ext>
          </c:extLst>
        </c:ser>
        <c:ser>
          <c:idx val="1"/>
          <c:order val="1"/>
          <c:tx>
            <c:v>Excess of loss</c:v>
          </c:tx>
          <c:spPr>
            <a:ln w="25400">
              <a:solidFill>
                <a:srgbClr val="B45309"/>
              </a:solidFill>
              <a:prstDash val="dash"/>
            </a:ln>
          </c:spPr>
          <c:marker>
            <c:symbol val="none"/>
          </c:marker>
          <c:xVal>
            <c:numRef>
              <c:f>Results!$E$53:$E$102</c:f>
              <c:numCache>
                <c:formatCode>#,##0.00</c:formatCode>
                <c:ptCount val="50"/>
                <c:pt idx="0">
                  <c:v>-12.960398379570453</c:v>
                </c:pt>
                <c:pt idx="1">
                  <c:v>-8.7896200438124801</c:v>
                </c:pt>
                <c:pt idx="2">
                  <c:v>-6.9944104605238984</c:v>
                </c:pt>
                <c:pt idx="3">
                  <c:v>-5.8624527797107611</c:v>
                </c:pt>
                <c:pt idx="4">
                  <c:v>-5.0189416917130991</c:v>
                </c:pt>
                <c:pt idx="5">
                  <c:v>-4.3065881224493978</c:v>
                </c:pt>
                <c:pt idx="6">
                  <c:v>-3.7537940218448682</c:v>
                </c:pt>
                <c:pt idx="7">
                  <c:v>-3.1637688297999382</c:v>
                </c:pt>
                <c:pt idx="8">
                  <c:v>-2.696487001038772</c:v>
                </c:pt>
                <c:pt idx="9">
                  <c:v>-2.2930873481137333</c:v>
                </c:pt>
                <c:pt idx="10">
                  <c:v>-1.8967797857799589</c:v>
                </c:pt>
                <c:pt idx="11">
                  <c:v>-1.584365426041245</c:v>
                </c:pt>
                <c:pt idx="12">
                  <c:v>-1.2323330489583704</c:v>
                </c:pt>
                <c:pt idx="13">
                  <c:v>-0.86036776936277093</c:v>
                </c:pt>
                <c:pt idx="14">
                  <c:v>-0.55978930424651807</c:v>
                </c:pt>
                <c:pt idx="15">
                  <c:v>-0.26082364310862616</c:v>
                </c:pt>
                <c:pt idx="16">
                  <c:v>5.3025745422747406E-2</c:v>
                </c:pt>
                <c:pt idx="17">
                  <c:v>0.37520892362890024</c:v>
                </c:pt>
                <c:pt idx="18">
                  <c:v>0.66535905453319444</c:v>
                </c:pt>
                <c:pt idx="19">
                  <c:v>0.93839383332194259</c:v>
                </c:pt>
                <c:pt idx="20">
                  <c:v>1.2088358375813684</c:v>
                </c:pt>
                <c:pt idx="21">
                  <c:v>1.48264616401908</c:v>
                </c:pt>
                <c:pt idx="22">
                  <c:v>1.7185410784030992</c:v>
                </c:pt>
                <c:pt idx="23">
                  <c:v>1.9889719365117529</c:v>
                </c:pt>
                <c:pt idx="24">
                  <c:v>2.2303808208278078</c:v>
                </c:pt>
                <c:pt idx="25">
                  <c:v>2.4795898870366564</c:v>
                </c:pt>
                <c:pt idx="26">
                  <c:v>2.7447818451161474</c:v>
                </c:pt>
                <c:pt idx="27">
                  <c:v>3.0155889683672612</c:v>
                </c:pt>
                <c:pt idx="28">
                  <c:v>3.2819531180653421</c:v>
                </c:pt>
                <c:pt idx="29">
                  <c:v>3.5610714358537052</c:v>
                </c:pt>
                <c:pt idx="30">
                  <c:v>3.8082132501600121</c:v>
                </c:pt>
                <c:pt idx="31">
                  <c:v>4.0819144001080367</c:v>
                </c:pt>
                <c:pt idx="32">
                  <c:v>4.3750748130515298</c:v>
                </c:pt>
                <c:pt idx="33">
                  <c:v>4.6026128617679092</c:v>
                </c:pt>
                <c:pt idx="34">
                  <c:v>4.8996870185331396</c:v>
                </c:pt>
                <c:pt idx="35">
                  <c:v>5.1901770005601442</c:v>
                </c:pt>
                <c:pt idx="36">
                  <c:v>5.4649209827886835</c:v>
                </c:pt>
                <c:pt idx="37">
                  <c:v>5.7559318411190183</c:v>
                </c:pt>
                <c:pt idx="38">
                  <c:v>6.0541814942906171</c:v>
                </c:pt>
                <c:pt idx="39">
                  <c:v>6.3907284671439974</c:v>
                </c:pt>
                <c:pt idx="40">
                  <c:v>6.7171303234061313</c:v>
                </c:pt>
                <c:pt idx="41">
                  <c:v>7.0516557129586879</c:v>
                </c:pt>
                <c:pt idx="42">
                  <c:v>7.4263184114099055</c:v>
                </c:pt>
                <c:pt idx="43">
                  <c:v>7.833667933168023</c:v>
                </c:pt>
                <c:pt idx="44">
                  <c:v>8.3465043692686045</c:v>
                </c:pt>
                <c:pt idx="45">
                  <c:v>8.902500935062502</c:v>
                </c:pt>
                <c:pt idx="46">
                  <c:v>9.4626089813478593</c:v>
                </c:pt>
                <c:pt idx="47">
                  <c:v>10.159684229323936</c:v>
                </c:pt>
                <c:pt idx="48">
                  <c:v>11.122618696938348</c:v>
                </c:pt>
                <c:pt idx="49">
                  <c:v>12.678271925783203</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2CCE-47E2-AA34-EB0992DABBD9}"/>
            </c:ext>
          </c:extLst>
        </c:ser>
        <c:ser>
          <c:idx val="2"/>
          <c:order val="2"/>
          <c:tx>
            <c:v>Quota share</c:v>
          </c:tx>
          <c:spPr>
            <a:ln w="25400">
              <a:solidFill>
                <a:srgbClr val="15803D"/>
              </a:solidFill>
              <a:prstDash val="solid"/>
            </a:ln>
          </c:spPr>
          <c:marker>
            <c:symbol val="none"/>
          </c:marker>
          <c:xVal>
            <c:numRef>
              <c:f>Results!$F$53:$F$102</c:f>
              <c:numCache>
                <c:formatCode>#,##0.00</c:formatCode>
                <c:ptCount val="50"/>
                <c:pt idx="0">
                  <c:v>-21.622572134199494</c:v>
                </c:pt>
                <c:pt idx="1">
                  <c:v>-12.152853633785512</c:v>
                </c:pt>
                <c:pt idx="2">
                  <c:v>-8.5938394520914372</c:v>
                </c:pt>
                <c:pt idx="3">
                  <c:v>-6.4794667926162539</c:v>
                </c:pt>
                <c:pt idx="4">
                  <c:v>-5.2264196676331665</c:v>
                </c:pt>
                <c:pt idx="5">
                  <c:v>-4.1860008673326803</c:v>
                </c:pt>
                <c:pt idx="6">
                  <c:v>-3.1710277841541483</c:v>
                </c:pt>
                <c:pt idx="7">
                  <c:v>-2.5090916932383394</c:v>
                </c:pt>
                <c:pt idx="8">
                  <c:v>-1.8648961067705585</c:v>
                </c:pt>
                <c:pt idx="9">
                  <c:v>-1.2990709921796899</c:v>
                </c:pt>
                <c:pt idx="10">
                  <c:v>-0.74253662068323933</c:v>
                </c:pt>
                <c:pt idx="11">
                  <c:v>-0.26006918949548208</c:v>
                </c:pt>
                <c:pt idx="12">
                  <c:v>0.2135553858017758</c:v>
                </c:pt>
                <c:pt idx="13">
                  <c:v>0.66003960718350285</c:v>
                </c:pt>
                <c:pt idx="14">
                  <c:v>1.0100808154793697</c:v>
                </c:pt>
                <c:pt idx="15">
                  <c:v>1.3916844597106746</c:v>
                </c:pt>
                <c:pt idx="16">
                  <c:v>1.7459502100515962</c:v>
                </c:pt>
                <c:pt idx="17">
                  <c:v>2.0438571659361493</c:v>
                </c:pt>
                <c:pt idx="18">
                  <c:v>2.364733068922817</c:v>
                </c:pt>
                <c:pt idx="19">
                  <c:v>2.7037510645274416</c:v>
                </c:pt>
                <c:pt idx="20">
                  <c:v>3.0170455580736188</c:v>
                </c:pt>
                <c:pt idx="21">
                  <c:v>3.2930849637145343</c:v>
                </c:pt>
                <c:pt idx="22">
                  <c:v>3.5889979260845095</c:v>
                </c:pt>
                <c:pt idx="23">
                  <c:v>3.9149908488144121</c:v>
                </c:pt>
                <c:pt idx="24">
                  <c:v>4.1856398727996549</c:v>
                </c:pt>
                <c:pt idx="25">
                  <c:v>4.4607906780908273</c:v>
                </c:pt>
                <c:pt idx="26">
                  <c:v>4.7562172171322281</c:v>
                </c:pt>
                <c:pt idx="27">
                  <c:v>5.0143138968651506</c:v>
                </c:pt>
                <c:pt idx="28">
                  <c:v>5.2615204897159344</c:v>
                </c:pt>
                <c:pt idx="29">
                  <c:v>5.5258874163254319</c:v>
                </c:pt>
                <c:pt idx="30">
                  <c:v>5.7909482370159004</c:v>
                </c:pt>
                <c:pt idx="31">
                  <c:v>6.0724465603457212</c:v>
                </c:pt>
                <c:pt idx="32">
                  <c:v>6.3358030864610413</c:v>
                </c:pt>
                <c:pt idx="33">
                  <c:v>6.587140069511392</c:v>
                </c:pt>
                <c:pt idx="34">
                  <c:v>6.8638491092360248</c:v>
                </c:pt>
                <c:pt idx="35">
                  <c:v>7.1213011110319826</c:v>
                </c:pt>
                <c:pt idx="36">
                  <c:v>7.393593722488081</c:v>
                </c:pt>
                <c:pt idx="37">
                  <c:v>7.6934362738606978</c:v>
                </c:pt>
                <c:pt idx="38">
                  <c:v>7.9580758728535805</c:v>
                </c:pt>
                <c:pt idx="39">
                  <c:v>8.2632724109148885</c:v>
                </c:pt>
                <c:pt idx="40">
                  <c:v>8.5802496544365816</c:v>
                </c:pt>
                <c:pt idx="41">
                  <c:v>8.8940807732554106</c:v>
                </c:pt>
                <c:pt idx="42">
                  <c:v>9.2410893507488687</c:v>
                </c:pt>
                <c:pt idx="43">
                  <c:v>9.5960226341645587</c:v>
                </c:pt>
                <c:pt idx="44">
                  <c:v>10.014545239091717</c:v>
                </c:pt>
                <c:pt idx="45">
                  <c:v>10.437178742628827</c:v>
                </c:pt>
                <c:pt idx="46">
                  <c:v>10.973007944808096</c:v>
                </c:pt>
                <c:pt idx="47">
                  <c:v>11.596455527310781</c:v>
                </c:pt>
                <c:pt idx="48">
                  <c:v>12.438380289482208</c:v>
                </c:pt>
                <c:pt idx="49">
                  <c:v>13.680874412976475</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2CCE-47E2-AA34-EB0992DABBD9}"/>
            </c:ext>
          </c:extLst>
        </c:ser>
        <c:ser>
          <c:idx val="3"/>
          <c:order val="3"/>
          <c:tx>
            <c:v>Both</c:v>
          </c:tx>
          <c:spPr>
            <a:ln w="25400">
              <a:solidFill>
                <a:srgbClr val="B91C1C"/>
              </a:solidFill>
              <a:prstDash val="solid"/>
            </a:ln>
          </c:spPr>
          <c:marker>
            <c:symbol val="none"/>
          </c:marker>
          <c:xVal>
            <c:numRef>
              <c:f>Results!$G$53:$G$102</c:f>
              <c:numCache>
                <c:formatCode>#,##0.00</c:formatCode>
                <c:ptCount val="50"/>
                <c:pt idx="0">
                  <c:v>-8.930345236893654</c:v>
                </c:pt>
                <c:pt idx="1">
                  <c:v>-6.0108004018630723</c:v>
                </c:pt>
                <c:pt idx="2">
                  <c:v>-4.7541536935610686</c:v>
                </c:pt>
                <c:pt idx="3">
                  <c:v>-3.9617833169918732</c:v>
                </c:pt>
                <c:pt idx="4">
                  <c:v>-3.3713255553935078</c:v>
                </c:pt>
                <c:pt idx="5">
                  <c:v>-2.8726780569089208</c:v>
                </c:pt>
                <c:pt idx="6">
                  <c:v>-2.4857221864857486</c:v>
                </c:pt>
                <c:pt idx="7">
                  <c:v>-2.0727045520542937</c:v>
                </c:pt>
                <c:pt idx="8">
                  <c:v>-1.7456072719214788</c:v>
                </c:pt>
                <c:pt idx="9">
                  <c:v>-1.4632275148739495</c:v>
                </c:pt>
                <c:pt idx="10">
                  <c:v>-1.1858122212403117</c:v>
                </c:pt>
                <c:pt idx="11">
                  <c:v>-0.9671221694232095</c:v>
                </c:pt>
                <c:pt idx="12">
                  <c:v>-0.72069950546519479</c:v>
                </c:pt>
                <c:pt idx="13">
                  <c:v>-0.46032380974827802</c:v>
                </c:pt>
                <c:pt idx="14">
                  <c:v>-0.24991888416690244</c:v>
                </c:pt>
                <c:pt idx="15">
                  <c:v>-4.0642921370380947E-2</c:v>
                </c:pt>
                <c:pt idx="16">
                  <c:v>0.17905165060158623</c:v>
                </c:pt>
                <c:pt idx="17">
                  <c:v>0.40457987534589179</c:v>
                </c:pt>
                <c:pt idx="18">
                  <c:v>0.60768496697889773</c:v>
                </c:pt>
                <c:pt idx="19">
                  <c:v>0.79880931213102357</c:v>
                </c:pt>
                <c:pt idx="20">
                  <c:v>0.98811871511261984</c:v>
                </c:pt>
                <c:pt idx="21">
                  <c:v>1.1797859436190166</c:v>
                </c:pt>
                <c:pt idx="22">
                  <c:v>1.3449123836878307</c:v>
                </c:pt>
                <c:pt idx="23">
                  <c:v>1.5342139843638876</c:v>
                </c:pt>
                <c:pt idx="24">
                  <c:v>1.7032002033851263</c:v>
                </c:pt>
                <c:pt idx="25">
                  <c:v>1.8776465497313204</c:v>
                </c:pt>
                <c:pt idx="26">
                  <c:v>2.0632809203869655</c:v>
                </c:pt>
                <c:pt idx="27">
                  <c:v>2.252845906662742</c:v>
                </c:pt>
                <c:pt idx="28">
                  <c:v>2.4393008114513997</c:v>
                </c:pt>
                <c:pt idx="29">
                  <c:v>2.6346836339032542</c:v>
                </c:pt>
                <c:pt idx="30">
                  <c:v>2.8076829039176694</c:v>
                </c:pt>
                <c:pt idx="31">
                  <c:v>2.9992737088812866</c:v>
                </c:pt>
                <c:pt idx="32">
                  <c:v>3.2044859979417311</c:v>
                </c:pt>
                <c:pt idx="33">
                  <c:v>3.3637626320431959</c:v>
                </c:pt>
                <c:pt idx="34">
                  <c:v>3.5717145417788601</c:v>
                </c:pt>
                <c:pt idx="35">
                  <c:v>3.7750575291977615</c:v>
                </c:pt>
                <c:pt idx="36">
                  <c:v>3.9673783167577401</c:v>
                </c:pt>
                <c:pt idx="37">
                  <c:v>4.1710859175889752</c:v>
                </c:pt>
                <c:pt idx="38">
                  <c:v>4.3798606748090947</c:v>
                </c:pt>
                <c:pt idx="39">
                  <c:v>4.6154435558064595</c:v>
                </c:pt>
                <c:pt idx="40">
                  <c:v>4.8439248551899521</c:v>
                </c:pt>
                <c:pt idx="41">
                  <c:v>5.0780926278767424</c:v>
                </c:pt>
                <c:pt idx="42">
                  <c:v>5.3403565167925962</c:v>
                </c:pt>
                <c:pt idx="43">
                  <c:v>5.6255011820232781</c:v>
                </c:pt>
                <c:pt idx="44">
                  <c:v>5.9844866872936837</c:v>
                </c:pt>
                <c:pt idx="45">
                  <c:v>6.3736842833494158</c:v>
                </c:pt>
                <c:pt idx="46">
                  <c:v>6.7657599157491646</c:v>
                </c:pt>
                <c:pt idx="47">
                  <c:v>7.2537125893324159</c:v>
                </c:pt>
                <c:pt idx="48">
                  <c:v>7.9277667166625054</c:v>
                </c:pt>
                <c:pt idx="49">
                  <c:v>9.0167239768539051</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3-2CCE-47E2-AA34-EB0992DABBD9}"/>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Gross claims</c:v>
          </c:tx>
          <c:spPr>
            <a:solidFill>
              <a:srgbClr val="0E4F92"/>
            </a:solidFill>
            <a:ln>
              <a:noFill/>
              <a:prstDash val="solid"/>
            </a:ln>
          </c:spPr>
          <c:invertIfNegative val="1"/>
          <c:cat>
            <c:numRef>
              <c:f>Results!$E$208:$E$231</c:f>
              <c:numCache>
                <c:formatCode>#,##0.00</c:formatCode>
                <c:ptCount val="24"/>
                <c:pt idx="0">
                  <c:v>15.243425951750522</c:v>
                </c:pt>
                <c:pt idx="1">
                  <c:v>17.840285938868035</c:v>
                </c:pt>
                <c:pt idx="2">
                  <c:v>20.437145925985554</c:v>
                </c:pt>
                <c:pt idx="3">
                  <c:v>23.034005913103066</c:v>
                </c:pt>
                <c:pt idx="4">
                  <c:v>25.630865900220577</c:v>
                </c:pt>
                <c:pt idx="5">
                  <c:v>28.227725887338096</c:v>
                </c:pt>
                <c:pt idx="6">
                  <c:v>30.824585874455607</c:v>
                </c:pt>
                <c:pt idx="7">
                  <c:v>33.421445861573119</c:v>
                </c:pt>
                <c:pt idx="8">
                  <c:v>36.018305848690645</c:v>
                </c:pt>
                <c:pt idx="9">
                  <c:v>38.615165835808156</c:v>
                </c:pt>
                <c:pt idx="10">
                  <c:v>41.212025822925668</c:v>
                </c:pt>
                <c:pt idx="11">
                  <c:v>43.808885810043179</c:v>
                </c:pt>
                <c:pt idx="12">
                  <c:v>46.405745797160691</c:v>
                </c:pt>
                <c:pt idx="13">
                  <c:v>49.002605784278209</c:v>
                </c:pt>
                <c:pt idx="14">
                  <c:v>51.599465771395728</c:v>
                </c:pt>
                <c:pt idx="15">
                  <c:v>54.19632575851324</c:v>
                </c:pt>
                <c:pt idx="16">
                  <c:v>56.793185745630751</c:v>
                </c:pt>
                <c:pt idx="17">
                  <c:v>59.39004573274827</c:v>
                </c:pt>
                <c:pt idx="18">
                  <c:v>61.986905719865788</c:v>
                </c:pt>
                <c:pt idx="19">
                  <c:v>64.5837657069833</c:v>
                </c:pt>
                <c:pt idx="20">
                  <c:v>67.180625694100812</c:v>
                </c:pt>
                <c:pt idx="21">
                  <c:v>69.777485681218323</c:v>
                </c:pt>
                <c:pt idx="22">
                  <c:v>72.374345668335835</c:v>
                </c:pt>
                <c:pt idx="23">
                  <c:v>74.97120565545336</c:v>
                </c:pt>
              </c:numCache>
            </c:numRef>
          </c:cat>
          <c:val>
            <c:numRef>
              <c:f>Results!$F$208:$F$231</c:f>
              <c:numCache>
                <c:formatCode>0.0%</c:formatCode>
                <c:ptCount val="24"/>
                <c:pt idx="0">
                  <c:v>2.2645232366831788E-2</c:v>
                </c:pt>
                <c:pt idx="1">
                  <c:v>5.0293846743637502E-2</c:v>
                </c:pt>
                <c:pt idx="2">
                  <c:v>8.9692166391910438E-2</c:v>
                </c:pt>
                <c:pt idx="3">
                  <c:v>0.12271145779846732</c:v>
                </c:pt>
                <c:pt idx="4">
                  <c:v>0.13729810022952127</c:v>
                </c:pt>
                <c:pt idx="5">
                  <c:v>0.12907230775614525</c:v>
                </c:pt>
                <c:pt idx="6">
                  <c:v>0.11758533833994333</c:v>
                </c:pt>
                <c:pt idx="7">
                  <c:v>9.1740386726659406E-2</c:v>
                </c:pt>
                <c:pt idx="8">
                  <c:v>6.784560555453989E-2</c:v>
                </c:pt>
                <c:pt idx="9">
                  <c:v>4.8737379144068282E-2</c:v>
                </c:pt>
                <c:pt idx="10">
                  <c:v>3.4247333986179074E-2</c:v>
                </c:pt>
                <c:pt idx="11">
                  <c:v>2.2973064425741763E-2</c:v>
                </c:pt>
                <c:pt idx="12">
                  <c:v>1.3991423733369812E-2</c:v>
                </c:pt>
                <c:pt idx="13">
                  <c:v>1.0413118425317225E-2</c:v>
                </c:pt>
                <c:pt idx="14">
                  <c:v>8.3582073717216598E-3</c:v>
                </c:pt>
                <c:pt idx="15">
                  <c:v>6.1285545008494813E-3</c:v>
                </c:pt>
                <c:pt idx="16">
                  <c:v>3.5669341877484495E-3</c:v>
                </c:pt>
                <c:pt idx="17">
                  <c:v>2.899682048981056E-3</c:v>
                </c:pt>
                <c:pt idx="18">
                  <c:v>2.8996820489809449E-3</c:v>
                </c:pt>
                <c:pt idx="19">
                  <c:v>2.2968623841046476E-3</c:v>
                </c:pt>
                <c:pt idx="20">
                  <c:v>1.1508289588203491E-3</c:v>
                </c:pt>
                <c:pt idx="21">
                  <c:v>1.1508289588203491E-3</c:v>
                </c:pt>
                <c:pt idx="22">
                  <c:v>1.1508289588203491E-3</c:v>
                </c:pt>
                <c:pt idx="23">
                  <c:v>1.1508289588203491E-3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259F-4D8A-A245-9B4C08FF5E39}"/>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27</xdr:row>
      <xdr:rowOff>0</xdr:rowOff>
    </xdr:from>
    <xdr:ext cx="6263999" cy="237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6"/>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65" t="s">
        <v>20</v>
      </c>
      <c r="C16" s="66"/>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x14ac:dyDescent="0.45">
      <c r="B55" s="9" t="s">
        <v>65</v>
      </c>
      <c r="C55" s="10" t="s">
        <v>66</v>
      </c>
    </row>
    <row r="56" spans="2:3" ht="12" customHeight="1" x14ac:dyDescent="0.45"/>
    <row r="57" spans="2:3" ht="22.05" customHeight="1" x14ac:dyDescent="0.5">
      <c r="B57" s="7" t="s">
        <v>67</v>
      </c>
      <c r="C57" s="8"/>
    </row>
    <row r="58" spans="2:3" x14ac:dyDescent="0.45">
      <c r="B58" s="9" t="s">
        <v>68</v>
      </c>
      <c r="C58" s="10" t="s">
        <v>69</v>
      </c>
    </row>
    <row r="59" spans="2:3" x14ac:dyDescent="0.45">
      <c r="B59" s="9" t="s">
        <v>70</v>
      </c>
      <c r="C59" s="10" t="s">
        <v>71</v>
      </c>
    </row>
    <row r="60" spans="2:3" x14ac:dyDescent="0.45">
      <c r="B60" s="9" t="s">
        <v>61</v>
      </c>
      <c r="C60" s="10" t="s">
        <v>72</v>
      </c>
    </row>
    <row r="61" spans="2:3" x14ac:dyDescent="0.45">
      <c r="B61" s="9" t="s">
        <v>73</v>
      </c>
      <c r="C61" s="10" t="s">
        <v>74</v>
      </c>
    </row>
    <row r="62" spans="2:3" x14ac:dyDescent="0.45">
      <c r="B62" s="9" t="s">
        <v>75</v>
      </c>
      <c r="C62" s="10" t="s">
        <v>76</v>
      </c>
    </row>
    <row r="63" spans="2:3" ht="12" customHeight="1" x14ac:dyDescent="0.45"/>
    <row r="64" spans="2:3" ht="22.05" customHeight="1" x14ac:dyDescent="0.5">
      <c r="B64" s="7" t="s">
        <v>77</v>
      </c>
      <c r="C64" s="8"/>
    </row>
    <row r="65" spans="2:3" ht="26.25" x14ac:dyDescent="0.45">
      <c r="B65" s="20" t="s">
        <v>78</v>
      </c>
      <c r="C65" s="10" t="s">
        <v>79</v>
      </c>
    </row>
    <row r="66" spans="2:3" x14ac:dyDescent="0.45">
      <c r="B66" s="20" t="s">
        <v>80</v>
      </c>
      <c r="C66" s="10" t="s">
        <v>81</v>
      </c>
    </row>
    <row r="67" spans="2:3" x14ac:dyDescent="0.45">
      <c r="B67" s="20" t="s">
        <v>82</v>
      </c>
      <c r="C67" s="10" t="s">
        <v>83</v>
      </c>
    </row>
    <row r="68" spans="2:3" x14ac:dyDescent="0.45">
      <c r="B68" s="20" t="s">
        <v>84</v>
      </c>
      <c r="C68" s="10" t="s">
        <v>85</v>
      </c>
    </row>
    <row r="69" spans="2:3" ht="39.4" x14ac:dyDescent="0.45">
      <c r="B69" s="20" t="s">
        <v>86</v>
      </c>
      <c r="C69" s="10" t="s">
        <v>87</v>
      </c>
    </row>
    <row r="70" spans="2:3" ht="12" customHeight="1" x14ac:dyDescent="0.45"/>
    <row r="71" spans="2:3" ht="22.05" customHeight="1" x14ac:dyDescent="0.5">
      <c r="B71" s="7" t="s">
        <v>88</v>
      </c>
      <c r="C71" s="8"/>
    </row>
    <row r="72" spans="2:3" x14ac:dyDescent="0.45">
      <c r="B72" s="9" t="s">
        <v>89</v>
      </c>
      <c r="C72" s="10" t="s">
        <v>90</v>
      </c>
    </row>
    <row r="73" spans="2:3" x14ac:dyDescent="0.45">
      <c r="B73" s="9" t="s">
        <v>91</v>
      </c>
      <c r="C73" s="10" t="s">
        <v>92</v>
      </c>
    </row>
    <row r="74" spans="2:3" x14ac:dyDescent="0.45">
      <c r="B74" s="9" t="s">
        <v>93</v>
      </c>
      <c r="C74" s="10" t="s">
        <v>94</v>
      </c>
    </row>
    <row r="75" spans="2:3" ht="16.05" customHeight="1" x14ac:dyDescent="0.45"/>
    <row r="76" spans="2:3" x14ac:dyDescent="0.45">
      <c r="B76" s="67" t="s">
        <v>95</v>
      </c>
      <c r="C76" s="66"/>
    </row>
  </sheetData>
  <mergeCells count="2">
    <mergeCell ref="B16:C16"/>
    <mergeCell ref="B76:C76"/>
  </mergeCells>
  <hyperlinks>
    <hyperlink ref="D4" location="'Inputs'!A1" display="Next:  Inputs  ▸" xr:uid="{00000000-0004-0000-0000-000000000000}"/>
    <hyperlink ref="B39" location="'Inputs'!A1" display="Inputs" xr:uid="{00000000-0004-0000-0000-000001000000}"/>
    <hyperlink ref="B40" location="'Programme'!A1" display="Programme"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6"/>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96</v>
      </c>
      <c r="C3" s="1"/>
      <c r="D3" s="1"/>
      <c r="E3" s="1"/>
      <c r="F3" s="1"/>
      <c r="G3" s="1"/>
      <c r="H3" s="1"/>
      <c r="I3" s="1"/>
      <c r="J3" s="1"/>
    </row>
    <row r="4" spans="1:10" ht="20" customHeight="1" x14ac:dyDescent="0.45">
      <c r="A4" s="5"/>
      <c r="B4" s="22" t="s">
        <v>97</v>
      </c>
      <c r="C4" s="5"/>
      <c r="D4" s="5"/>
      <c r="E4" s="5"/>
      <c r="F4" s="5"/>
      <c r="G4" s="5"/>
      <c r="H4" s="5"/>
      <c r="I4" s="5"/>
      <c r="J4" s="6" t="s">
        <v>98</v>
      </c>
    </row>
    <row r="5" spans="1:10" ht="8" customHeight="1" x14ac:dyDescent="0.45"/>
    <row r="6" spans="1:10" ht="20" customHeight="1" x14ac:dyDescent="0.45">
      <c r="B6" s="68" t="s">
        <v>99</v>
      </c>
      <c r="C6" s="66"/>
      <c r="D6" s="66"/>
      <c r="E6" s="66"/>
      <c r="F6" s="66"/>
      <c r="G6" s="66"/>
      <c r="H6" s="66"/>
      <c r="I6" s="66"/>
      <c r="J6" s="66"/>
    </row>
    <row r="7" spans="1:10" ht="6" customHeight="1" x14ac:dyDescent="0.45"/>
    <row r="8" spans="1:10" ht="22.05" customHeight="1" x14ac:dyDescent="0.5">
      <c r="B8" s="7" t="s">
        <v>100</v>
      </c>
      <c r="C8" s="8"/>
      <c r="D8" s="8"/>
      <c r="E8" s="8"/>
      <c r="F8" s="8"/>
      <c r="G8" s="8"/>
      <c r="H8" s="8"/>
      <c r="I8" s="8"/>
      <c r="J8" s="8"/>
    </row>
    <row r="9" spans="1:10" ht="18" customHeight="1" x14ac:dyDescent="0.45">
      <c r="B9" s="13" t="s">
        <v>101</v>
      </c>
    </row>
    <row r="10" spans="1:10" ht="18" customHeight="1" x14ac:dyDescent="0.45">
      <c r="B10" s="23" t="s">
        <v>102</v>
      </c>
      <c r="C10" s="23" t="s">
        <v>103</v>
      </c>
      <c r="D10" s="24" t="s">
        <v>104</v>
      </c>
      <c r="E10" s="23" t="s">
        <v>105</v>
      </c>
      <c r="F10" s="5"/>
      <c r="G10" s="5"/>
      <c r="H10" s="5"/>
      <c r="I10" s="5"/>
      <c r="J10" s="23" t="s">
        <v>106</v>
      </c>
    </row>
    <row r="11" spans="1:10" x14ac:dyDescent="0.45">
      <c r="B11" s="25" t="s">
        <v>107</v>
      </c>
      <c r="C11" s="26" t="s">
        <v>108</v>
      </c>
      <c r="D11" s="27">
        <v>60</v>
      </c>
      <c r="E11" s="26" t="s">
        <v>109</v>
      </c>
      <c r="F11" s="28"/>
      <c r="G11" s="28"/>
      <c r="H11" s="28"/>
      <c r="I11" s="28"/>
      <c r="J11" s="29" t="s">
        <v>110</v>
      </c>
    </row>
    <row r="12" spans="1:10" x14ac:dyDescent="0.45">
      <c r="B12" s="25" t="s">
        <v>111</v>
      </c>
      <c r="C12" s="26" t="s">
        <v>112</v>
      </c>
      <c r="D12" s="27">
        <v>500</v>
      </c>
      <c r="E12" s="26" t="s">
        <v>109</v>
      </c>
      <c r="F12" s="28"/>
      <c r="G12" s="28"/>
      <c r="H12" s="28"/>
      <c r="I12" s="28"/>
      <c r="J12" s="29" t="s">
        <v>113</v>
      </c>
    </row>
    <row r="13" spans="1:10" x14ac:dyDescent="0.45">
      <c r="B13" s="25" t="s">
        <v>114</v>
      </c>
      <c r="C13" s="26" t="s">
        <v>115</v>
      </c>
      <c r="D13" s="30">
        <v>2.2000000000000002</v>
      </c>
      <c r="E13" s="26" t="s">
        <v>109</v>
      </c>
      <c r="F13" s="28"/>
      <c r="G13" s="28"/>
      <c r="H13" s="28"/>
      <c r="I13" s="28"/>
      <c r="J13" s="29" t="s">
        <v>116</v>
      </c>
    </row>
    <row r="14" spans="1:10" x14ac:dyDescent="0.45">
      <c r="B14" s="25" t="s">
        <v>117</v>
      </c>
      <c r="C14" s="26" t="s">
        <v>112</v>
      </c>
      <c r="D14" s="27">
        <v>12000</v>
      </c>
      <c r="E14" s="26" t="s">
        <v>109</v>
      </c>
      <c r="F14" s="28"/>
      <c r="G14" s="28"/>
      <c r="H14" s="28"/>
      <c r="I14" s="28"/>
      <c r="J14" s="29" t="s">
        <v>118</v>
      </c>
    </row>
    <row r="15" spans="1:10" ht="8" customHeight="1" x14ac:dyDescent="0.45"/>
    <row r="16" spans="1:10" ht="22.05" customHeight="1" x14ac:dyDescent="0.5">
      <c r="B16" s="7" t="s">
        <v>119</v>
      </c>
      <c r="C16" s="8"/>
      <c r="D16" s="8"/>
      <c r="E16" s="8"/>
      <c r="F16" s="8"/>
      <c r="G16" s="8"/>
      <c r="H16" s="8"/>
      <c r="I16" s="8"/>
      <c r="J16" s="8"/>
    </row>
    <row r="17" spans="2:10" ht="18" customHeight="1" x14ac:dyDescent="0.45">
      <c r="B17" s="13" t="s">
        <v>120</v>
      </c>
    </row>
    <row r="18" spans="2:10" ht="18" customHeight="1" x14ac:dyDescent="0.45">
      <c r="B18" s="23" t="s">
        <v>102</v>
      </c>
      <c r="C18" s="23" t="s">
        <v>103</v>
      </c>
      <c r="D18" s="24" t="s">
        <v>104</v>
      </c>
      <c r="E18" s="23" t="s">
        <v>105</v>
      </c>
      <c r="F18" s="5"/>
      <c r="G18" s="5"/>
      <c r="H18" s="5"/>
      <c r="I18" s="5"/>
      <c r="J18" s="23" t="s">
        <v>106</v>
      </c>
    </row>
    <row r="19" spans="2:10" x14ac:dyDescent="0.45">
      <c r="B19" s="25" t="s">
        <v>121</v>
      </c>
      <c r="C19" s="26" t="s">
        <v>112</v>
      </c>
      <c r="D19" s="27">
        <v>2000</v>
      </c>
      <c r="E19" s="26" t="s">
        <v>109</v>
      </c>
      <c r="F19" s="28"/>
      <c r="G19" s="28"/>
      <c r="H19" s="28"/>
      <c r="I19" s="28"/>
      <c r="J19" s="29" t="s">
        <v>122</v>
      </c>
    </row>
    <row r="20" spans="2:10" x14ac:dyDescent="0.45">
      <c r="B20" s="25" t="s">
        <v>123</v>
      </c>
      <c r="C20" s="26" t="s">
        <v>112</v>
      </c>
      <c r="D20" s="27">
        <v>8000</v>
      </c>
      <c r="E20" s="26" t="s">
        <v>109</v>
      </c>
      <c r="F20" s="28"/>
      <c r="G20" s="28"/>
      <c r="H20" s="28"/>
      <c r="I20" s="28"/>
      <c r="J20" s="29" t="s">
        <v>124</v>
      </c>
    </row>
    <row r="21" spans="2:10" x14ac:dyDescent="0.45">
      <c r="B21" s="25" t="s">
        <v>125</v>
      </c>
      <c r="C21" s="26" t="s">
        <v>112</v>
      </c>
      <c r="D21" s="27">
        <v>15000</v>
      </c>
      <c r="E21" s="26" t="s">
        <v>109</v>
      </c>
      <c r="F21" s="28"/>
      <c r="G21" s="28"/>
      <c r="H21" s="28"/>
      <c r="I21" s="28"/>
      <c r="J21" s="29" t="s">
        <v>126</v>
      </c>
    </row>
    <row r="22" spans="2:10" x14ac:dyDescent="0.45">
      <c r="B22" s="25" t="s">
        <v>127</v>
      </c>
      <c r="C22" s="26" t="s">
        <v>128</v>
      </c>
      <c r="D22" s="31">
        <v>1.25</v>
      </c>
      <c r="E22" s="26" t="s">
        <v>109</v>
      </c>
      <c r="F22" s="28"/>
      <c r="G22" s="28"/>
      <c r="H22" s="28"/>
      <c r="I22" s="28"/>
      <c r="J22" s="29" t="s">
        <v>129</v>
      </c>
    </row>
    <row r="23" spans="2:10" x14ac:dyDescent="0.45">
      <c r="B23" s="25" t="s">
        <v>130</v>
      </c>
      <c r="C23" s="26" t="s">
        <v>128</v>
      </c>
      <c r="D23" s="31">
        <v>2</v>
      </c>
      <c r="E23" s="26" t="s">
        <v>109</v>
      </c>
      <c r="F23" s="28"/>
      <c r="G23" s="28"/>
      <c r="H23" s="28"/>
      <c r="I23" s="28"/>
      <c r="J23" s="29" t="s">
        <v>131</v>
      </c>
    </row>
    <row r="24" spans="2:10" ht="8" customHeight="1" x14ac:dyDescent="0.45"/>
    <row r="25" spans="2:10" ht="22.05" customHeight="1" x14ac:dyDescent="0.5">
      <c r="B25" s="7" t="s">
        <v>132</v>
      </c>
      <c r="C25" s="8"/>
      <c r="D25" s="8"/>
      <c r="E25" s="8"/>
      <c r="F25" s="8"/>
      <c r="G25" s="8"/>
      <c r="H25" s="8"/>
      <c r="I25" s="8"/>
      <c r="J25" s="8"/>
    </row>
    <row r="26" spans="2:10" ht="18" customHeight="1" x14ac:dyDescent="0.45">
      <c r="B26" s="13" t="s">
        <v>133</v>
      </c>
    </row>
    <row r="27" spans="2:10" ht="18" customHeight="1" x14ac:dyDescent="0.45">
      <c r="B27" s="23" t="s">
        <v>102</v>
      </c>
      <c r="C27" s="23" t="s">
        <v>103</v>
      </c>
      <c r="D27" s="24" t="s">
        <v>104</v>
      </c>
      <c r="E27" s="23" t="s">
        <v>105</v>
      </c>
      <c r="F27" s="5"/>
      <c r="G27" s="5"/>
      <c r="H27" s="5"/>
      <c r="I27" s="5"/>
      <c r="J27" s="23" t="s">
        <v>106</v>
      </c>
    </row>
    <row r="28" spans="2:10" x14ac:dyDescent="0.45">
      <c r="B28" s="25" t="s">
        <v>134</v>
      </c>
      <c r="C28" s="26"/>
      <c r="D28" s="32">
        <v>0.3</v>
      </c>
      <c r="E28" s="26" t="s">
        <v>109</v>
      </c>
      <c r="F28" s="28"/>
      <c r="G28" s="28"/>
      <c r="H28" s="28"/>
      <c r="I28" s="28"/>
      <c r="J28" s="29" t="s">
        <v>135</v>
      </c>
    </row>
    <row r="29" spans="2:10" x14ac:dyDescent="0.45">
      <c r="B29" s="25" t="s">
        <v>136</v>
      </c>
      <c r="C29" s="26" t="s">
        <v>137</v>
      </c>
      <c r="D29" s="32">
        <v>0.25</v>
      </c>
      <c r="E29" s="26" t="s">
        <v>109</v>
      </c>
      <c r="F29" s="28"/>
      <c r="G29" s="28"/>
      <c r="H29" s="28"/>
      <c r="I29" s="28"/>
      <c r="J29" s="29" t="s">
        <v>138</v>
      </c>
    </row>
    <row r="30" spans="2:10" ht="8" customHeight="1" x14ac:dyDescent="0.45"/>
    <row r="31" spans="2:10" ht="22.05" customHeight="1" x14ac:dyDescent="0.5">
      <c r="B31" s="7" t="s">
        <v>139</v>
      </c>
      <c r="C31" s="8"/>
      <c r="D31" s="8"/>
      <c r="E31" s="8"/>
      <c r="F31" s="8"/>
      <c r="G31" s="8"/>
      <c r="H31" s="8"/>
      <c r="I31" s="8"/>
      <c r="J31" s="8"/>
    </row>
    <row r="32" spans="2:10" ht="18" customHeight="1" x14ac:dyDescent="0.45">
      <c r="B32" s="23" t="s">
        <v>102</v>
      </c>
      <c r="C32" s="23" t="s">
        <v>103</v>
      </c>
      <c r="D32" s="24" t="s">
        <v>104</v>
      </c>
      <c r="E32" s="23" t="s">
        <v>105</v>
      </c>
      <c r="F32" s="5"/>
      <c r="G32" s="5"/>
      <c r="H32" s="5"/>
      <c r="I32" s="5"/>
      <c r="J32" s="23" t="s">
        <v>106</v>
      </c>
    </row>
    <row r="33" spans="2:10" x14ac:dyDescent="0.45">
      <c r="B33" s="25" t="s">
        <v>140</v>
      </c>
      <c r="C33" s="26" t="s">
        <v>141</v>
      </c>
      <c r="D33" s="30">
        <v>42</v>
      </c>
      <c r="E33" s="26" t="s">
        <v>109</v>
      </c>
      <c r="F33" s="28"/>
      <c r="G33" s="28"/>
      <c r="H33" s="28"/>
      <c r="I33" s="28"/>
      <c r="J33" s="29" t="s">
        <v>142</v>
      </c>
    </row>
    <row r="34" spans="2:10" x14ac:dyDescent="0.45">
      <c r="B34" s="25" t="s">
        <v>143</v>
      </c>
      <c r="C34" s="26" t="s">
        <v>144</v>
      </c>
      <c r="D34" s="32">
        <v>0.2</v>
      </c>
      <c r="E34" s="26" t="s">
        <v>109</v>
      </c>
      <c r="F34" s="28"/>
      <c r="G34" s="28"/>
      <c r="H34" s="28"/>
      <c r="I34" s="28"/>
      <c r="J34" s="29" t="s">
        <v>145</v>
      </c>
    </row>
    <row r="35" spans="2:10" x14ac:dyDescent="0.45">
      <c r="B35" s="25" t="s">
        <v>146</v>
      </c>
      <c r="C35" s="26" t="s">
        <v>147</v>
      </c>
      <c r="D35" s="32">
        <v>0.1</v>
      </c>
      <c r="E35" s="26" t="s">
        <v>109</v>
      </c>
      <c r="F35" s="28"/>
      <c r="G35" s="28"/>
      <c r="H35" s="28"/>
      <c r="I35" s="28"/>
      <c r="J35" s="29" t="s">
        <v>148</v>
      </c>
    </row>
    <row r="36" spans="2:10" ht="8" customHeight="1" x14ac:dyDescent="0.45"/>
  </sheetData>
  <mergeCells count="1">
    <mergeCell ref="B6:J6"/>
  </mergeCells>
  <dataValidations count="2">
    <dataValidation type="decimal" operator="greaterThan" showErrorMessage="1" errorTitle="Positive value" error="Enter a value greater than zero." sqref="D33 D19:D23 D11:D14" xr:uid="{00000000-0002-0000-0100-000000000000}">
      <formula1>0</formula1>
    </dataValidation>
    <dataValidation type="decimal" showErrorMessage="1" errorTitle="Probability" error="Enter a value between 0% and 100%." sqref="D34:D35 D28:D29" xr:uid="{00000000-0002-0000-0100-000009000000}">
      <formula1>0</formula1>
      <formula2>1</formula2>
    </dataValidation>
  </dataValidations>
  <hyperlinks>
    <hyperlink ref="B4" location="'About'!A1" display="◂  About" xr:uid="{00000000-0004-0000-0100-000000000000}"/>
    <hyperlink ref="J4" location="'Programme'!A1" display="Next:  Programme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J67"/>
  <sheetViews>
    <sheetView showGridLines="0" workbookViewId="0"/>
  </sheetViews>
  <sheetFormatPr defaultRowHeight="14.25" x14ac:dyDescent="0.45"/>
  <cols>
    <col min="1" max="1" width="2" customWidth="1"/>
    <col min="2" max="2" width="40" customWidth="1"/>
    <col min="3" max="8" width="11.46484375" customWidth="1"/>
    <col min="9" max="9" width="3" customWidth="1"/>
    <col min="10" max="10" width="54"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149</v>
      </c>
      <c r="C3" s="1"/>
      <c r="D3" s="1"/>
      <c r="E3" s="1"/>
      <c r="F3" s="1"/>
      <c r="G3" s="1"/>
      <c r="H3" s="1"/>
      <c r="I3" s="1"/>
      <c r="J3" s="1"/>
    </row>
    <row r="4" spans="1:10" ht="20" customHeight="1" x14ac:dyDescent="0.45">
      <c r="A4" s="5"/>
      <c r="B4" s="22" t="s">
        <v>150</v>
      </c>
      <c r="C4" s="5"/>
      <c r="D4" s="5"/>
      <c r="E4" s="5"/>
      <c r="F4" s="5"/>
      <c r="G4" s="5"/>
      <c r="H4" s="5"/>
      <c r="I4" s="5"/>
      <c r="J4" s="6" t="s">
        <v>151</v>
      </c>
    </row>
    <row r="5" spans="1:10" ht="8" customHeight="1" x14ac:dyDescent="0.45"/>
    <row r="6" spans="1:10" ht="22.05" customHeight="1" x14ac:dyDescent="0.5">
      <c r="B6" s="7" t="s">
        <v>100</v>
      </c>
      <c r="C6" s="8"/>
      <c r="D6" s="8"/>
      <c r="E6" s="8"/>
      <c r="F6" s="8"/>
      <c r="G6" s="8"/>
      <c r="H6" s="8"/>
      <c r="I6" s="8"/>
      <c r="J6" s="8"/>
    </row>
    <row r="7" spans="1:10" ht="18" customHeight="1" x14ac:dyDescent="0.45">
      <c r="B7" s="13" t="s">
        <v>152</v>
      </c>
    </row>
    <row r="8" spans="1:10" ht="18" customHeight="1" x14ac:dyDescent="0.45">
      <c r="B8" s="33" t="s">
        <v>153</v>
      </c>
      <c r="C8" s="33" t="s">
        <v>103</v>
      </c>
      <c r="D8" s="34" t="s">
        <v>154</v>
      </c>
      <c r="E8" s="5"/>
      <c r="F8" s="5"/>
      <c r="G8" s="5"/>
      <c r="H8" s="5"/>
      <c r="I8" s="5"/>
      <c r="J8" s="33" t="s">
        <v>155</v>
      </c>
    </row>
    <row r="9" spans="1:10" x14ac:dyDescent="0.45">
      <c r="B9" s="25" t="s">
        <v>156</v>
      </c>
      <c r="C9" s="26" t="s">
        <v>112</v>
      </c>
      <c r="D9" s="35">
        <f>SevMean*(SevShape-1)</f>
        <v>600.00000000000011</v>
      </c>
      <c r="E9" s="28"/>
      <c r="F9" s="28"/>
      <c r="G9" s="28"/>
      <c r="H9" s="28"/>
      <c r="I9" s="28"/>
      <c r="J9" s="26" t="s">
        <v>157</v>
      </c>
    </row>
    <row r="10" spans="1:10" x14ac:dyDescent="0.45">
      <c r="B10" s="25" t="s">
        <v>158</v>
      </c>
      <c r="C10" s="26" t="s">
        <v>159</v>
      </c>
      <c r="D10" s="36" t="str" cm="1">
        <f t="array" ref="D10">_xll.VosePoissonObject(FreqMean)</f>
        <v>VosePoisson(60)</v>
      </c>
      <c r="E10" s="28"/>
      <c r="F10" s="28"/>
      <c r="G10" s="28"/>
      <c r="H10" s="28"/>
      <c r="I10" s="28"/>
      <c r="J10" s="26" t="s">
        <v>160</v>
      </c>
    </row>
    <row r="11" spans="1:10" x14ac:dyDescent="0.45">
      <c r="B11" s="25" t="s">
        <v>161</v>
      </c>
      <c r="C11" s="26" t="s">
        <v>159</v>
      </c>
      <c r="D11" s="36" t="str" cm="1">
        <f t="array" ref="D11">_xll.VosePareto2Object(ParetoB,SevShape)</f>
        <v>VosePareto2(600,2.2)</v>
      </c>
      <c r="E11" s="28"/>
      <c r="F11" s="28"/>
      <c r="G11" s="28"/>
      <c r="H11" s="28"/>
      <c r="I11" s="28"/>
      <c r="J11" s="26" t="s">
        <v>162</v>
      </c>
    </row>
    <row r="12" spans="1:10" x14ac:dyDescent="0.45">
      <c r="B12" s="25" t="s">
        <v>163</v>
      </c>
      <c r="C12" s="26" t="s">
        <v>112</v>
      </c>
      <c r="D12" s="35">
        <f>Retention+Limit1+Limit2</f>
        <v>25000</v>
      </c>
      <c r="E12" s="28"/>
      <c r="F12" s="28"/>
      <c r="G12" s="28"/>
      <c r="H12" s="28"/>
      <c r="I12" s="28"/>
      <c r="J12" s="26" t="s">
        <v>164</v>
      </c>
    </row>
    <row r="13" spans="1:10" ht="8" customHeight="1" x14ac:dyDescent="0.45"/>
    <row r="14" spans="1:10" ht="22.05" customHeight="1" x14ac:dyDescent="0.5">
      <c r="B14" s="7" t="s">
        <v>165</v>
      </c>
      <c r="C14" s="8"/>
      <c r="D14" s="8"/>
      <c r="E14" s="8"/>
      <c r="F14" s="8"/>
      <c r="G14" s="8"/>
      <c r="H14" s="8"/>
      <c r="I14" s="8"/>
      <c r="J14" s="8"/>
    </row>
    <row r="15" spans="1:10" ht="18" customHeight="1" x14ac:dyDescent="0.45">
      <c r="B15" s="13" t="s">
        <v>166</v>
      </c>
    </row>
    <row r="16" spans="1:10" ht="30" customHeight="1" x14ac:dyDescent="0.45">
      <c r="B16" s="37" t="s">
        <v>167</v>
      </c>
      <c r="C16" s="38" t="s">
        <v>168</v>
      </c>
      <c r="D16" s="38" t="s">
        <v>169</v>
      </c>
      <c r="E16" s="38" t="s">
        <v>170</v>
      </c>
      <c r="F16" s="38" t="s">
        <v>171</v>
      </c>
      <c r="G16" s="38" t="s">
        <v>172</v>
      </c>
      <c r="H16" s="38" t="s">
        <v>173</v>
      </c>
      <c r="I16" s="5"/>
      <c r="J16" s="23" t="s">
        <v>174</v>
      </c>
    </row>
    <row r="17" spans="2:10" x14ac:dyDescent="0.45">
      <c r="B17" s="39"/>
      <c r="C17" s="39" t="s">
        <v>112</v>
      </c>
      <c r="D17" s="39" t="s">
        <v>112</v>
      </c>
      <c r="E17" s="39" t="s">
        <v>108</v>
      </c>
      <c r="F17" s="39" t="s">
        <v>112</v>
      </c>
      <c r="G17" s="39" t="s">
        <v>175</v>
      </c>
      <c r="H17" s="39" t="s">
        <v>176</v>
      </c>
    </row>
    <row r="18" spans="2:10" x14ac:dyDescent="0.45">
      <c r="B18" s="25" t="s">
        <v>177</v>
      </c>
      <c r="C18" s="40">
        <v>0</v>
      </c>
      <c r="D18" s="35">
        <f>Retention</f>
        <v>2000</v>
      </c>
      <c r="E18" s="41" cm="1">
        <f t="array" ref="E18">FreqMean*(1-_xll.VoseProb(C18,Sev,TRUE))</f>
        <v>60</v>
      </c>
      <c r="F18" s="35">
        <f>MIN(MAX(ExampleClaim-C18,0),D18-C18)</f>
        <v>2000</v>
      </c>
      <c r="G18" s="41" cm="1">
        <f t="array" ref="G18">FreqMean*_xll.VoseMean(_xll.VoseDeductObject(Sev,C18,D18-C18,TRUE))/1000</f>
        <v>24.83661227918628</v>
      </c>
      <c r="H18" s="42">
        <f t="array" aca="1" ref="H18:H21" ca="1">_xll.VoseAggregateTranche(Freq,Sev,C18:C21,D18:D21)/1000</f>
        <v>26.507245697666747</v>
      </c>
      <c r="I18" s="28"/>
      <c r="J18" s="26" t="str">
        <f>"Every claim starts here: the insurer keeps it up to the retention"</f>
        <v>Every claim starts here: the insurer keeps it up to the retention</v>
      </c>
    </row>
    <row r="19" spans="2:10" x14ac:dyDescent="0.45">
      <c r="B19" s="25" t="s">
        <v>178</v>
      </c>
      <c r="C19" s="40">
        <f>Retention</f>
        <v>2000</v>
      </c>
      <c r="D19" s="35">
        <f>Retention+Limit1</f>
        <v>10000</v>
      </c>
      <c r="E19" s="41" cm="1">
        <f t="array" ref="E19">FreqMean*(1-_xll.VoseProb(C19,Sev,TRUE))</f>
        <v>2.3831020249909463</v>
      </c>
      <c r="F19" s="35">
        <f>MIN(MAX(ExampleClaim-C19,0),D19-C19)</f>
        <v>8000</v>
      </c>
      <c r="G19" s="41" cm="1">
        <f t="array" ref="G19">FreqMean*_xll.VoseMean(_xll.VoseDeductObject(Sev,C19,D19-C19,TRUE))/1000</f>
        <v>4.2072163924314898</v>
      </c>
      <c r="H19" s="42">
        <f ca="1"/>
        <v>6.6623814672734625</v>
      </c>
      <c r="I19" s="28"/>
      <c r="J19" s="26" t="str">
        <f>"A working layer: reached about "&amp;TEXT(E19,"0.0")&amp;" times a year"</f>
        <v>A working layer: reached about 2.4 times a year</v>
      </c>
    </row>
    <row r="20" spans="2:10" x14ac:dyDescent="0.45">
      <c r="B20" s="25" t="s">
        <v>179</v>
      </c>
      <c r="C20" s="40">
        <f>Retention+Limit1</f>
        <v>10000</v>
      </c>
      <c r="D20" s="35">
        <f>Top</f>
        <v>25000</v>
      </c>
      <c r="E20" s="41" cm="1">
        <f t="array" ref="E20">FreqMean*(1-_xll.VoseProb(C20,Sev,TRUE))</f>
        <v>0.10824581076025463</v>
      </c>
      <c r="F20" s="35">
        <f>MIN(MAX(ExampleClaim-C20,0),D20-C20)</f>
        <v>2000</v>
      </c>
      <c r="G20" s="41" cm="1">
        <f t="array" ref="G20">FreqMean*_xll.VoseMean(_xll.VoseDeductObject(Sev,C20,D20-C20,TRUE))/1000</f>
        <v>0.62426556269258004</v>
      </c>
      <c r="H20" s="42">
        <f ca="1"/>
        <v>0</v>
      </c>
      <c r="I20" s="28"/>
      <c r="J20" s="26" t="str">
        <f>"Reached about once in "&amp;TEXT(1/E20,"0")&amp;" years"</f>
        <v>Reached about once in 9 years</v>
      </c>
    </row>
    <row r="21" spans="2:10" x14ac:dyDescent="0.45">
      <c r="B21" s="25" t="s">
        <v>180</v>
      </c>
      <c r="C21" s="40">
        <f>Top</f>
        <v>25000</v>
      </c>
      <c r="D21" s="43">
        <v>1000000000000</v>
      </c>
      <c r="E21" s="41" cm="1">
        <f t="array" ref="E21">FreqMean*(1-_xll.VoseProb(C21,Sev,TRUE))</f>
        <v>1.55580827666979E-2</v>
      </c>
      <c r="F21" s="35">
        <f>MIN(MAX(ExampleClaim-C21,0),D21-C21)</f>
        <v>0</v>
      </c>
      <c r="G21" s="41" cm="1">
        <f t="array" ref="G21">FreqMean*_xll.VoseMean(_xll.VoseDeductObject(Sev,C21,D21-C21,TRUE))/1000</f>
        <v>0.33190576512295089</v>
      </c>
      <c r="H21" s="42">
        <f ca="1"/>
        <v>0</v>
      </c>
      <c r="I21" s="28"/>
      <c r="J21" s="26" t="str">
        <f>"Reached about once in "&amp;TEXT(1/E21,"0")&amp;" years: the excess comes back to the insurer"</f>
        <v>Reached about once in 64 years: the excess comes back to the insurer</v>
      </c>
    </row>
    <row r="22" spans="2:10" x14ac:dyDescent="0.45">
      <c r="B22" s="44" t="s">
        <v>181</v>
      </c>
      <c r="C22" s="45"/>
      <c r="D22" s="45"/>
      <c r="E22" s="45"/>
      <c r="F22" s="46">
        <f>SUM(F18:F21)</f>
        <v>12000</v>
      </c>
      <c r="G22" s="47">
        <f>SUM(G18:G21)</f>
        <v>29.999999999433303</v>
      </c>
      <c r="H22" s="47">
        <f ca="1">SUM(H18:H21)</f>
        <v>33.169627164940209</v>
      </c>
      <c r="I22" s="45"/>
      <c r="J22" s="48" t="s">
        <v>182</v>
      </c>
    </row>
    <row r="23" spans="2:10" ht="30" customHeight="1" x14ac:dyDescent="0.45">
      <c r="B23" s="68" t="s">
        <v>183</v>
      </c>
      <c r="C23" s="66"/>
      <c r="D23" s="66"/>
      <c r="E23" s="66"/>
      <c r="F23" s="66"/>
      <c r="G23" s="66"/>
      <c r="H23" s="66"/>
      <c r="I23" s="66"/>
      <c r="J23" s="66"/>
    </row>
    <row r="24" spans="2:10" ht="8" customHeight="1" x14ac:dyDescent="0.45"/>
    <row r="25" spans="2:10" ht="22.05" customHeight="1" x14ac:dyDescent="0.5">
      <c r="B25" s="7" t="s">
        <v>184</v>
      </c>
      <c r="C25" s="8"/>
      <c r="D25" s="8"/>
      <c r="E25" s="8"/>
      <c r="F25" s="8"/>
      <c r="G25" s="8"/>
      <c r="H25" s="8"/>
      <c r="I25" s="8"/>
      <c r="J25" s="8"/>
    </row>
    <row r="26" spans="2:10" ht="18" customHeight="1" x14ac:dyDescent="0.45">
      <c r="B26" s="13" t="s">
        <v>185</v>
      </c>
    </row>
    <row r="27" spans="2:10" ht="18" customHeight="1" x14ac:dyDescent="0.45">
      <c r="B27" s="33" t="s">
        <v>153</v>
      </c>
      <c r="C27" s="33" t="s">
        <v>103</v>
      </c>
      <c r="D27" s="34" t="s">
        <v>154</v>
      </c>
      <c r="E27" s="5"/>
      <c r="F27" s="5"/>
      <c r="G27" s="5"/>
      <c r="H27" s="5"/>
      <c r="I27" s="5"/>
      <c r="J27" s="33" t="s">
        <v>155</v>
      </c>
    </row>
    <row r="28" spans="2:10" x14ac:dyDescent="0.45">
      <c r="B28" s="25" t="s">
        <v>186</v>
      </c>
      <c r="C28" s="26" t="s">
        <v>141</v>
      </c>
      <c r="D28" s="41">
        <f>Load1*EL_L1</f>
        <v>5.2590204905393625</v>
      </c>
      <c r="E28" s="28"/>
      <c r="F28" s="28"/>
      <c r="G28" s="28"/>
      <c r="H28" s="28"/>
      <c r="I28" s="28"/>
      <c r="J28" s="26" t="s">
        <v>187</v>
      </c>
    </row>
    <row r="29" spans="2:10" x14ac:dyDescent="0.45">
      <c r="B29" s="25" t="s">
        <v>188</v>
      </c>
      <c r="C29" s="26" t="s">
        <v>141</v>
      </c>
      <c r="D29" s="41">
        <f>Load2*EL_L2</f>
        <v>1.2485311253851601</v>
      </c>
      <c r="E29" s="28"/>
      <c r="F29" s="28"/>
      <c r="G29" s="28"/>
      <c r="H29" s="28"/>
      <c r="I29" s="28"/>
      <c r="J29" s="26" t="s">
        <v>187</v>
      </c>
    </row>
    <row r="30" spans="2:10" x14ac:dyDescent="0.45">
      <c r="B30" s="25" t="s">
        <v>189</v>
      </c>
      <c r="C30" s="26" t="s">
        <v>141</v>
      </c>
      <c r="D30" s="41">
        <f>Prem1+Prem2</f>
        <v>6.5075516159245224</v>
      </c>
      <c r="E30" s="28"/>
      <c r="F30" s="28"/>
      <c r="G30" s="28"/>
      <c r="H30" s="28"/>
      <c r="I30" s="28"/>
      <c r="J30" s="26" t="s">
        <v>190</v>
      </c>
    </row>
    <row r="31" spans="2:10" x14ac:dyDescent="0.45">
      <c r="B31" s="25" t="s">
        <v>191</v>
      </c>
      <c r="C31" s="26" t="s">
        <v>192</v>
      </c>
      <c r="D31" s="49">
        <f>Prem1/(Limit1/1000)</f>
        <v>0.65737756131742031</v>
      </c>
      <c r="E31" s="28"/>
      <c r="F31" s="28"/>
      <c r="G31" s="28"/>
      <c r="H31" s="28"/>
      <c r="I31" s="28"/>
      <c r="J31" s="26" t="s">
        <v>193</v>
      </c>
    </row>
    <row r="32" spans="2:10" x14ac:dyDescent="0.45">
      <c r="B32" s="25" t="s">
        <v>194</v>
      </c>
      <c r="C32" s="26" t="s">
        <v>192</v>
      </c>
      <c r="D32" s="49">
        <f>Prem2/(Limit2/1000)</f>
        <v>8.3235408359010679E-2</v>
      </c>
      <c r="E32" s="28"/>
      <c r="F32" s="28"/>
      <c r="G32" s="28"/>
      <c r="H32" s="28"/>
      <c r="I32" s="28"/>
      <c r="J32" s="26" t="s">
        <v>195</v>
      </c>
    </row>
    <row r="33" spans="2:10" x14ac:dyDescent="0.45">
      <c r="B33" s="25" t="s">
        <v>196</v>
      </c>
      <c r="C33" s="26" t="s">
        <v>141</v>
      </c>
      <c r="D33" s="41">
        <f>ExpRatio*Premium</f>
        <v>8.4</v>
      </c>
      <c r="E33" s="28"/>
      <c r="F33" s="28"/>
      <c r="G33" s="28"/>
      <c r="H33" s="28"/>
      <c r="I33" s="28"/>
      <c r="J33" s="26" t="s">
        <v>197</v>
      </c>
    </row>
    <row r="34" spans="2:10" ht="8" customHeight="1" x14ac:dyDescent="0.45"/>
    <row r="35" spans="2:10" ht="22.05" customHeight="1" x14ac:dyDescent="0.5">
      <c r="B35" s="7" t="s">
        <v>198</v>
      </c>
      <c r="C35" s="8"/>
      <c r="D35" s="8"/>
      <c r="E35" s="8"/>
      <c r="F35" s="8"/>
      <c r="G35" s="8"/>
      <c r="H35" s="8"/>
      <c r="I35" s="8"/>
      <c r="J35" s="8"/>
    </row>
    <row r="36" spans="2:10" ht="18" customHeight="1" x14ac:dyDescent="0.45">
      <c r="B36" s="13" t="s">
        <v>199</v>
      </c>
    </row>
    <row r="37" spans="2:10" ht="18" customHeight="1" x14ac:dyDescent="0.45">
      <c r="B37" s="33" t="s">
        <v>153</v>
      </c>
      <c r="C37" s="33" t="s">
        <v>103</v>
      </c>
      <c r="D37" s="34" t="s">
        <v>154</v>
      </c>
      <c r="E37" s="5"/>
      <c r="F37" s="5"/>
      <c r="G37" s="5"/>
      <c r="H37" s="5"/>
      <c r="I37" s="5"/>
      <c r="J37" s="33" t="s">
        <v>155</v>
      </c>
    </row>
    <row r="38" spans="2:10" x14ac:dyDescent="0.45">
      <c r="B38" s="25" t="s">
        <v>200</v>
      </c>
      <c r="C38" s="26" t="s">
        <v>141</v>
      </c>
      <c r="D38" s="41">
        <f>Premium-XoLPrem</f>
        <v>35.49244838407548</v>
      </c>
      <c r="E38" s="28"/>
      <c r="F38" s="28"/>
      <c r="G38" s="28"/>
      <c r="H38" s="28"/>
      <c r="I38" s="28"/>
      <c r="J38" s="26" t="s">
        <v>201</v>
      </c>
    </row>
    <row r="39" spans="2:10" x14ac:dyDescent="0.45">
      <c r="B39" s="25" t="s">
        <v>202</v>
      </c>
      <c r="C39" s="26" t="s">
        <v>141</v>
      </c>
      <c r="D39" s="41">
        <f ca="1">Gross-Y_L1-Y_L2</f>
        <v>26.507245697666747</v>
      </c>
      <c r="E39" s="28"/>
      <c r="F39" s="28"/>
      <c r="G39" s="28"/>
      <c r="H39" s="28"/>
      <c r="I39" s="28"/>
      <c r="J39" s="26" t="s">
        <v>203</v>
      </c>
    </row>
    <row r="40" spans="2:10" ht="6" customHeight="1" x14ac:dyDescent="0.45"/>
    <row r="41" spans="2:10" ht="30" customHeight="1" x14ac:dyDescent="0.45">
      <c r="B41" s="37" t="s">
        <v>41</v>
      </c>
      <c r="C41" s="38" t="s">
        <v>204</v>
      </c>
      <c r="D41" s="38" t="s">
        <v>205</v>
      </c>
      <c r="E41" s="38" t="s">
        <v>206</v>
      </c>
      <c r="F41" s="38" t="s">
        <v>207</v>
      </c>
      <c r="G41" s="5"/>
      <c r="H41" s="5"/>
      <c r="I41" s="5"/>
      <c r="J41" s="23" t="s">
        <v>208</v>
      </c>
    </row>
    <row r="42" spans="2:10" x14ac:dyDescent="0.45">
      <c r="B42" s="39"/>
      <c r="C42" s="39" t="s">
        <v>141</v>
      </c>
      <c r="D42" s="39" t="s">
        <v>141</v>
      </c>
      <c r="E42" s="39" t="s">
        <v>141</v>
      </c>
      <c r="F42" s="39" t="s">
        <v>141</v>
      </c>
    </row>
    <row r="43" spans="2:10" x14ac:dyDescent="0.45">
      <c r="B43" s="25" t="s">
        <v>209</v>
      </c>
      <c r="C43" s="41">
        <v>0</v>
      </c>
      <c r="D43" s="41">
        <v>0</v>
      </c>
      <c r="E43" s="41">
        <v>0</v>
      </c>
      <c r="F43" s="41">
        <f ca="1">Gross-E43</f>
        <v>33.169627164940209</v>
      </c>
      <c r="G43" s="28"/>
      <c r="H43" s="28"/>
      <c r="I43" s="28"/>
      <c r="J43" s="26" t="s">
        <v>210</v>
      </c>
    </row>
    <row r="44" spans="2:10" x14ac:dyDescent="0.45">
      <c r="B44" s="25" t="s">
        <v>211</v>
      </c>
      <c r="C44" s="41">
        <f>XoLPrem</f>
        <v>6.5075516159245224</v>
      </c>
      <c r="D44" s="41">
        <v>0</v>
      </c>
      <c r="E44" s="41">
        <f ca="1">Y_L1+Y_L2</f>
        <v>6.6623814672734625</v>
      </c>
      <c r="F44" s="41">
        <f ca="1">Gross-E44</f>
        <v>26.507245697666747</v>
      </c>
      <c r="G44" s="28"/>
      <c r="H44" s="28"/>
      <c r="I44" s="28"/>
      <c r="J44" s="26" t="s">
        <v>212</v>
      </c>
    </row>
    <row r="45" spans="2:10" x14ac:dyDescent="0.45">
      <c r="B45" s="25" t="s">
        <v>213</v>
      </c>
      <c r="C45" s="41">
        <f>QSShare*Premium</f>
        <v>12.6</v>
      </c>
      <c r="D45" s="41">
        <f>QSComm*QSShare*Premium</f>
        <v>3.15</v>
      </c>
      <c r="E45" s="41">
        <f ca="1">QSShare*Gross</f>
        <v>9.9508881494820631</v>
      </c>
      <c r="F45" s="41">
        <f ca="1">Gross-E45</f>
        <v>23.218739015458148</v>
      </c>
      <c r="G45" s="28"/>
      <c r="H45" s="28"/>
      <c r="I45" s="28"/>
      <c r="J45" s="26" t="s">
        <v>214</v>
      </c>
    </row>
    <row r="46" spans="2:10" x14ac:dyDescent="0.45">
      <c r="B46" s="25" t="s">
        <v>215</v>
      </c>
      <c r="C46" s="41">
        <f>XoLPrem+QSShare*PremLeft</f>
        <v>17.155286131147164</v>
      </c>
      <c r="D46" s="41">
        <f>QSComm*QSShare*PremLeft</f>
        <v>2.6619336288056608</v>
      </c>
      <c r="E46" s="41">
        <f ca="1">Y_L1+Y_L2+QSShare*ClaimsLeft</f>
        <v>14.614555176573486</v>
      </c>
      <c r="F46" s="41">
        <f ca="1">Gross-E46</f>
        <v>18.555071988366723</v>
      </c>
      <c r="G46" s="28"/>
      <c r="H46" s="28"/>
      <c r="I46" s="28"/>
      <c r="J46" s="26" t="s">
        <v>216</v>
      </c>
    </row>
    <row r="47" spans="2:10" ht="8" customHeight="1" x14ac:dyDescent="0.45"/>
    <row r="48" spans="2:10" ht="22.05" customHeight="1" x14ac:dyDescent="0.5">
      <c r="B48" s="7" t="s">
        <v>217</v>
      </c>
      <c r="C48" s="8"/>
      <c r="D48" s="8"/>
      <c r="E48" s="8"/>
      <c r="F48" s="8"/>
      <c r="G48" s="8"/>
      <c r="H48" s="8"/>
      <c r="I48" s="8"/>
      <c r="J48" s="8"/>
    </row>
    <row r="49" spans="2:10" ht="18" customHeight="1" x14ac:dyDescent="0.45">
      <c r="B49" s="13" t="s">
        <v>218</v>
      </c>
    </row>
    <row r="50" spans="2:10" ht="18" customHeight="1" x14ac:dyDescent="0.45">
      <c r="B50" s="33" t="s">
        <v>219</v>
      </c>
      <c r="C50" s="33" t="s">
        <v>103</v>
      </c>
      <c r="D50" s="34" t="s">
        <v>154</v>
      </c>
      <c r="E50" s="5"/>
      <c r="F50" s="5"/>
      <c r="G50" s="5"/>
      <c r="H50" s="5"/>
      <c r="I50" s="5"/>
      <c r="J50" s="33" t="s">
        <v>220</v>
      </c>
    </row>
    <row r="51" spans="2:10" x14ac:dyDescent="0.45">
      <c r="B51" s="25" t="s">
        <v>221</v>
      </c>
      <c r="C51" s="26" t="s">
        <v>141</v>
      </c>
      <c r="D51" s="50" cm="1">
        <f t="array" aca="1" ref="D51" ca="1">_xll.VoseOutput("Result, no reinsurance","US$m")+Premium-Expenses-RIP_None+Com_None-Kept_None</f>
        <v>0.43037283505979218</v>
      </c>
      <c r="E51" s="28"/>
      <c r="F51" s="28"/>
      <c r="G51" s="28"/>
      <c r="H51" s="28"/>
      <c r="I51" s="28"/>
      <c r="J51" s="26" t="s">
        <v>222</v>
      </c>
    </row>
    <row r="52" spans="2:10" x14ac:dyDescent="0.45">
      <c r="B52" s="25" t="s">
        <v>223</v>
      </c>
      <c r="C52" s="26" t="s">
        <v>141</v>
      </c>
      <c r="D52" s="50" cm="1">
        <f t="array" aca="1" ref="D52" ca="1">_xll.VoseOutput("Result, excess of loss","US$m")+Premium-Expenses-RIP_XoL+Com_XoL-Kept_XoL</f>
        <v>0.58520268640873141</v>
      </c>
      <c r="E52" s="28"/>
      <c r="F52" s="28"/>
      <c r="G52" s="28"/>
      <c r="H52" s="28"/>
      <c r="I52" s="28"/>
      <c r="J52" s="26" t="s">
        <v>222</v>
      </c>
    </row>
    <row r="53" spans="2:10" x14ac:dyDescent="0.45">
      <c r="B53" s="25" t="s">
        <v>224</v>
      </c>
      <c r="C53" s="26" t="s">
        <v>141</v>
      </c>
      <c r="D53" s="50" cm="1">
        <f t="array" aca="1" ref="D53" ca="1">_xll.VoseOutput("Result, quota share","US$m")+Premium-Expenses-RIP_QS+Com_QS-Kept_QS</f>
        <v>0.93126098454185069</v>
      </c>
      <c r="E53" s="28"/>
      <c r="F53" s="28"/>
      <c r="G53" s="28"/>
      <c r="H53" s="28"/>
      <c r="I53" s="28"/>
      <c r="J53" s="26" t="s">
        <v>222</v>
      </c>
    </row>
    <row r="54" spans="2:10" x14ac:dyDescent="0.45">
      <c r="B54" s="25" t="s">
        <v>225</v>
      </c>
      <c r="C54" s="26" t="s">
        <v>141</v>
      </c>
      <c r="D54" s="50" cm="1">
        <f t="array" aca="1" ref="D54" ca="1">_xll.VoseOutput("Result, both covers","US$m")+Premium-Expenses-RIP_Both+Com_Both-Kept_Both</f>
        <v>0.5515755092917729</v>
      </c>
      <c r="E54" s="28"/>
      <c r="F54" s="28"/>
      <c r="G54" s="28"/>
      <c r="H54" s="28"/>
      <c r="I54" s="28"/>
      <c r="J54" s="26" t="s">
        <v>222</v>
      </c>
    </row>
    <row r="55" spans="2:10" x14ac:dyDescent="0.45">
      <c r="B55" s="25" t="s">
        <v>226</v>
      </c>
      <c r="C55" s="26" t="s">
        <v>141</v>
      </c>
      <c r="D55" s="50" cm="1">
        <f t="array" aca="1" ref="D55" ca="1">_xll.VoseOutput("Gross claims","US$m")+Gross</f>
        <v>33.169627164940209</v>
      </c>
      <c r="E55" s="28"/>
      <c r="F55" s="28"/>
      <c r="G55" s="28"/>
      <c r="H55" s="28"/>
      <c r="I55" s="28"/>
      <c r="J55" s="26" t="s">
        <v>227</v>
      </c>
    </row>
    <row r="56" spans="2:10" x14ac:dyDescent="0.45">
      <c r="B56" s="25" t="s">
        <v>228</v>
      </c>
      <c r="C56" s="26" t="s">
        <v>141</v>
      </c>
      <c r="D56" s="50" cm="1">
        <f t="array" aca="1" ref="D56" ca="1">_xll.VoseOutput("Claims within the retention","US$m")+Y_Ret</f>
        <v>26.507245697666747</v>
      </c>
      <c r="E56" s="28"/>
      <c r="F56" s="28"/>
      <c r="G56" s="28"/>
      <c r="H56" s="28"/>
      <c r="I56" s="28"/>
      <c r="J56" s="26" t="s">
        <v>229</v>
      </c>
    </row>
    <row r="57" spans="2:10" x14ac:dyDescent="0.45">
      <c r="B57" s="25" t="s">
        <v>230</v>
      </c>
      <c r="C57" s="26" t="s">
        <v>141</v>
      </c>
      <c r="D57" s="50" cm="1">
        <f t="array" aca="1" ref="D57" ca="1">_xll.VoseOutput("Claims in layer 1","US$m")+Y_L1</f>
        <v>6.6623814672734625</v>
      </c>
      <c r="E57" s="28"/>
      <c r="F57" s="28"/>
      <c r="G57" s="28"/>
      <c r="H57" s="28"/>
      <c r="I57" s="28"/>
      <c r="J57" s="26" t="s">
        <v>231</v>
      </c>
    </row>
    <row r="58" spans="2:10" x14ac:dyDescent="0.45">
      <c r="B58" s="25" t="s">
        <v>232</v>
      </c>
      <c r="C58" s="26" t="s">
        <v>141</v>
      </c>
      <c r="D58" s="50" cm="1">
        <f t="array" aca="1" ref="D58" ca="1">_xll.VoseOutput("Claims in layer 2","US$m")+Y_L2</f>
        <v>0</v>
      </c>
      <c r="E58" s="28"/>
      <c r="F58" s="28"/>
      <c r="G58" s="28"/>
      <c r="H58" s="28"/>
      <c r="I58" s="28"/>
      <c r="J58" s="26" t="s">
        <v>233</v>
      </c>
    </row>
    <row r="59" spans="2:10" x14ac:dyDescent="0.45">
      <c r="B59" s="25" t="s">
        <v>234</v>
      </c>
      <c r="C59" s="26" t="s">
        <v>141</v>
      </c>
      <c r="D59" s="50" cm="1">
        <f t="array" aca="1" ref="D59" ca="1">_xll.VoseOutput("Claims above the programme","US$m")+Y_Above</f>
        <v>0</v>
      </c>
      <c r="E59" s="28"/>
      <c r="F59" s="28"/>
      <c r="G59" s="28"/>
      <c r="H59" s="28"/>
      <c r="I59" s="28"/>
      <c r="J59" s="26" t="s">
        <v>235</v>
      </c>
    </row>
    <row r="60" spans="2:10" ht="8" customHeight="1" x14ac:dyDescent="0.45"/>
    <row r="61" spans="2:10" ht="22.05" customHeight="1" x14ac:dyDescent="0.5">
      <c r="B61" s="7" t="s">
        <v>236</v>
      </c>
      <c r="C61" s="8"/>
      <c r="D61" s="8"/>
      <c r="E61" s="8"/>
      <c r="F61" s="8"/>
      <c r="G61" s="8"/>
      <c r="H61" s="8"/>
      <c r="I61" s="8"/>
      <c r="J61" s="8"/>
    </row>
    <row r="62" spans="2:10" ht="18" customHeight="1" x14ac:dyDescent="0.45">
      <c r="B62" s="13" t="s">
        <v>237</v>
      </c>
    </row>
    <row r="63" spans="2:10" x14ac:dyDescent="0.45">
      <c r="B63" s="25" t="s">
        <v>238</v>
      </c>
      <c r="C63" s="28"/>
      <c r="D63" s="51" t="str">
        <f>IF(ABS(EL_Total/(FreqMean*SevMean/1000)-1)&lt;0.005,"OK","CHECK")</f>
        <v>OK</v>
      </c>
      <c r="E63" s="28"/>
      <c r="F63" s="28"/>
      <c r="G63" s="28"/>
      <c r="H63" s="28"/>
      <c r="I63" s="28"/>
      <c r="J63" s="28"/>
    </row>
    <row r="64" spans="2:10" x14ac:dyDescent="0.45">
      <c r="B64" s="25" t="s">
        <v>239</v>
      </c>
      <c r="C64" s="28"/>
      <c r="D64" s="51" t="str">
        <f>IF(SevShape&gt;1,"OK","CHECK")</f>
        <v>OK</v>
      </c>
      <c r="E64" s="28"/>
      <c r="F64" s="28"/>
      <c r="G64" s="28"/>
      <c r="H64" s="28"/>
      <c r="I64" s="28"/>
      <c r="J64" s="28"/>
    </row>
    <row r="65" spans="2:10" x14ac:dyDescent="0.45">
      <c r="B65" s="25" t="s">
        <v>240</v>
      </c>
      <c r="C65" s="28"/>
      <c r="D65" s="51" t="str">
        <f>IF(AND(Load1&gt;=1,Load2&gt;=1),"OK","CHECK")</f>
        <v>OK</v>
      </c>
      <c r="E65" s="28"/>
      <c r="F65" s="28"/>
      <c r="G65" s="28"/>
      <c r="H65" s="28"/>
      <c r="I65" s="28"/>
      <c r="J65" s="28"/>
    </row>
    <row r="66" spans="2:10" x14ac:dyDescent="0.45">
      <c r="B66" s="25" t="s">
        <v>241</v>
      </c>
      <c r="C66" s="28"/>
      <c r="D66" s="51" t="str">
        <f>IF(AND(QSShare&gt;=0,QSShare&lt;=1,QSComm&gt;=0,QSComm&lt;=1),"OK","CHECK")</f>
        <v>OK</v>
      </c>
      <c r="E66" s="28"/>
      <c r="F66" s="28"/>
      <c r="G66" s="28"/>
      <c r="H66" s="28"/>
      <c r="I66" s="28"/>
      <c r="J66" s="28"/>
    </row>
    <row r="67" spans="2:10" ht="14" customHeight="1" x14ac:dyDescent="0.45"/>
  </sheetData>
  <mergeCells count="1">
    <mergeCell ref="B23:J23"/>
  </mergeCells>
  <conditionalFormatting sqref="D63:D66">
    <cfRule type="expression" dxfId="10" priority="1">
      <formula>D63="CHECK"</formula>
    </cfRule>
  </conditionalFormatting>
  <hyperlinks>
    <hyperlink ref="B4" location="'Inputs'!A1" display="◂  Inputs" xr:uid="{00000000-0004-0000-0200-000000000000}"/>
    <hyperlink ref="J4" location="'Results'!A1" display="Next:  Results  ▸" xr:uid="{00000000-0004-0000-0200-000001000000}"/>
  </hyperlinks>
  <printOptions horizontalCentered="1"/>
  <pageMargins left="0.4" right="0.4" top="0.5" bottom="0.6" header="0.25" footer="0.25"/>
  <pageSetup paperSize="9" scale="82" fitToHeight="0" orientation="landscape" r:id="rId1"/>
  <headerFooter>
    <oddFooter>&amp;L&amp;K3F5876&amp;8&amp;F · &amp;A&amp;R&amp;K3F5876&amp;8Page &amp;P of &amp;N</oddFooter>
  </headerFooter>
  <rowBreaks count="1" manualBreakCount="1">
    <brk id="3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3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242</v>
      </c>
      <c r="C3" s="1"/>
      <c r="D3" s="1"/>
      <c r="E3" s="1"/>
      <c r="F3" s="1"/>
      <c r="G3" s="1"/>
      <c r="H3" s="1"/>
      <c r="I3" s="1"/>
      <c r="J3" s="1"/>
      <c r="K3" s="1"/>
      <c r="L3" s="1"/>
      <c r="M3" s="1"/>
      <c r="N3" s="1"/>
      <c r="O3" s="1"/>
      <c r="P3" s="1"/>
      <c r="Q3" s="1"/>
      <c r="R3" s="1"/>
    </row>
    <row r="4" spans="1:18" ht="20" customHeight="1" x14ac:dyDescent="0.45">
      <c r="A4" s="5"/>
      <c r="B4" s="22" t="s">
        <v>243</v>
      </c>
      <c r="C4" s="5"/>
      <c r="D4" s="5"/>
      <c r="E4" s="5"/>
      <c r="F4" s="5"/>
      <c r="G4" s="5"/>
      <c r="H4" s="5"/>
      <c r="I4" s="5"/>
      <c r="J4" s="5"/>
      <c r="K4" s="5"/>
      <c r="L4" s="5"/>
      <c r="M4" s="5"/>
      <c r="N4" s="5"/>
      <c r="O4" s="5"/>
      <c r="P4" s="5"/>
      <c r="Q4" s="5"/>
      <c r="R4" s="5"/>
    </row>
    <row r="5" spans="1:18" ht="8" customHeight="1" x14ac:dyDescent="0.45"/>
    <row r="6" spans="1:18" ht="26" customHeight="1" x14ac:dyDescent="0.45">
      <c r="B6" s="52" t="str" cm="1">
        <f t="array" aca="1" ref="B6" ca="1">IF(ISNUMBER(_xll.VoseSimMean(Result_Both)),"✔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3"/>
      <c r="D6" s="53"/>
      <c r="E6" s="53"/>
      <c r="F6" s="53"/>
      <c r="G6" s="53"/>
    </row>
    <row r="7" spans="1:18" x14ac:dyDescent="0.45">
      <c r="B7" s="54"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244</v>
      </c>
      <c r="C9" s="8"/>
      <c r="D9" s="8"/>
      <c r="E9" s="8"/>
      <c r="F9" s="8"/>
      <c r="G9" s="8"/>
      <c r="I9" s="55" t="s">
        <v>245</v>
      </c>
      <c r="J9" s="8"/>
      <c r="K9" s="8"/>
      <c r="L9" s="8"/>
      <c r="M9" s="8"/>
      <c r="N9" s="8"/>
      <c r="O9" s="8"/>
      <c r="P9" s="8"/>
      <c r="Q9" s="8"/>
      <c r="R9" s="8"/>
    </row>
    <row r="10" spans="1:18" ht="18" customHeight="1" x14ac:dyDescent="0.45">
      <c r="B10" s="13" t="s">
        <v>246</v>
      </c>
    </row>
    <row r="11" spans="1:18" ht="18" customHeight="1" x14ac:dyDescent="0.45">
      <c r="B11" s="37" t="s">
        <v>41</v>
      </c>
      <c r="C11" s="38" t="s">
        <v>247</v>
      </c>
      <c r="D11" s="38" t="s">
        <v>248</v>
      </c>
      <c r="E11" s="38" t="s">
        <v>249</v>
      </c>
      <c r="F11" s="38" t="s">
        <v>65</v>
      </c>
      <c r="G11" s="38" t="s">
        <v>250</v>
      </c>
    </row>
    <row r="12" spans="1:18" x14ac:dyDescent="0.45">
      <c r="B12" s="39"/>
      <c r="C12" s="39" t="s">
        <v>141</v>
      </c>
      <c r="D12" s="39" t="s">
        <v>141</v>
      </c>
      <c r="E12" s="39" t="s">
        <v>251</v>
      </c>
      <c r="F12" s="39" t="s">
        <v>252</v>
      </c>
      <c r="G12" s="39" t="s">
        <v>253</v>
      </c>
    </row>
    <row r="13" spans="1:18" x14ac:dyDescent="0.45">
      <c r="B13" s="25" t="s">
        <v>209</v>
      </c>
      <c r="C13" s="56" cm="1">
        <f t="array" aca="1" ref="C13" ca="1">_xll.VoseSimMean(Result_None)</f>
        <v>3.5921209291688494</v>
      </c>
      <c r="D13" s="56" cm="1">
        <f t="array" aca="1" ref="D13" ca="1">_xll.VoseSimStdev(Result_None)</f>
        <v>10.497669831819341</v>
      </c>
      <c r="E13" s="56" cm="1">
        <f t="array" aca="1" ref="E13" ca="1">_xll.VoseSimPercentile(Result_None,0.05)</f>
        <v>-13.176913502987766</v>
      </c>
      <c r="F13" s="56" cm="1">
        <f t="array" aca="1" ref="F13" ca="1">_xll.VoseSimPercentile(Result_None,0.005)</f>
        <v>-43.190857106913889</v>
      </c>
      <c r="G13" s="57" cm="1">
        <f t="array" aca="1" ref="G13" ca="1">_xll.VoseSimProbability(Result_None,0)</f>
        <v>0.26807319268073193</v>
      </c>
    </row>
    <row r="14" spans="1:18" x14ac:dyDescent="0.45">
      <c r="B14" s="25" t="s">
        <v>211</v>
      </c>
      <c r="C14" s="56" cm="1">
        <f t="array" aca="1" ref="C14" ca="1">_xll.VoseSimMean(Result_XoL)</f>
        <v>1.9037543288761116</v>
      </c>
      <c r="D14" s="56" cm="1">
        <f t="array" aca="1" ref="D14" ca="1">_xll.VoseSimStdev(Result_XoL)</f>
        <v>6.6493010980592206</v>
      </c>
      <c r="E14" s="56" cm="1">
        <f t="array" aca="1" ref="E14" ca="1">_xll.VoseSimPercentile(Result_XoL,0.05)</f>
        <v>-6.9944104605238984</v>
      </c>
      <c r="F14" s="56" cm="1">
        <f t="array" aca="1" ref="F14" ca="1">_xll.VoseSimPercentile(Result_XoL,0.005)</f>
        <v>-22.133722714860657</v>
      </c>
      <c r="G14" s="57" cm="1">
        <f t="array" aca="1" ref="G14" ca="1">_xll.VoseSimProbability(Result_XoL,0)</f>
        <v>0.32686731326867313</v>
      </c>
    </row>
    <row r="15" spans="1:18" x14ac:dyDescent="0.45">
      <c r="B15" s="25" t="s">
        <v>213</v>
      </c>
      <c r="C15" s="56" cm="1">
        <f t="array" aca="1" ref="C15" ca="1">_xll.VoseSimMean(Result_QS)</f>
        <v>3.14448465041818</v>
      </c>
      <c r="D15" s="56" cm="1">
        <f t="array" aca="1" ref="D15" ca="1">_xll.VoseSimStdev(Result_QS)</f>
        <v>7.3483688822735616</v>
      </c>
      <c r="E15" s="56" cm="1">
        <f t="array" aca="1" ref="E15" ca="1">_xll.VoseSimPercentile(Result_QS,0.05)</f>
        <v>-8.5938394520914372</v>
      </c>
      <c r="F15" s="56" cm="1">
        <f t="array" aca="1" ref="F15" ca="1">_xll.VoseSimPercentile(Result_QS,0.005)</f>
        <v>-29.603599974839724</v>
      </c>
      <c r="G15" s="57" cm="1">
        <f t="array" aca="1" ref="G15" ca="1">_xll.VoseSimProbability(Result_QS,0)</f>
        <v>0.24017598240175983</v>
      </c>
    </row>
    <row r="16" spans="1:18" x14ac:dyDescent="0.45">
      <c r="B16" s="58" t="s">
        <v>215</v>
      </c>
      <c r="C16" s="56" cm="1">
        <f t="array" aca="1" ref="C16" ca="1">_xll.VoseSimMean(Result_Both)</f>
        <v>1.4745616590189512</v>
      </c>
      <c r="D16" s="56" cm="1">
        <f t="array" aca="1" ref="D16" ca="1">_xll.VoseSimStdev(Result_Both)</f>
        <v>4.6545107686414502</v>
      </c>
      <c r="E16" s="56" cm="1">
        <f t="array" aca="1" ref="E16" ca="1">_xll.VoseSimPercentile(Result_Both,0.05)</f>
        <v>-4.7541536935610686</v>
      </c>
      <c r="F16" s="56" cm="1">
        <f t="array" aca="1" ref="F16" ca="1">_xll.VoseSimPercentile(Result_Both,0.005)</f>
        <v>-15.351672271596801</v>
      </c>
      <c r="G16" s="57" cm="1">
        <f t="array" aca="1" ref="G16" ca="1">_xll.VoseSimProbability(Result_Both,0)</f>
        <v>0.31416858314168583</v>
      </c>
    </row>
    <row r="17" spans="2:18" ht="8" customHeight="1" x14ac:dyDescent="0.45"/>
    <row r="18" spans="2:18" ht="22.05" customHeight="1" x14ac:dyDescent="0.5">
      <c r="B18" s="7" t="s">
        <v>254</v>
      </c>
      <c r="C18" s="8"/>
      <c r="D18" s="8"/>
      <c r="E18" s="8"/>
      <c r="F18" s="8"/>
      <c r="G18" s="8"/>
    </row>
    <row r="19" spans="2:18" ht="18" customHeight="1" x14ac:dyDescent="0.45">
      <c r="B19" s="13" t="s">
        <v>255</v>
      </c>
    </row>
    <row r="20" spans="2:18" ht="18" customHeight="1" x14ac:dyDescent="0.45">
      <c r="B20" s="37" t="s">
        <v>41</v>
      </c>
      <c r="C20" s="38" t="s">
        <v>256</v>
      </c>
      <c r="D20" s="38" t="s">
        <v>257</v>
      </c>
      <c r="E20" s="38" t="s">
        <v>258</v>
      </c>
      <c r="F20" s="38" t="s">
        <v>259</v>
      </c>
      <c r="G20" s="38" t="s">
        <v>260</v>
      </c>
    </row>
    <row r="21" spans="2:18" x14ac:dyDescent="0.45">
      <c r="B21" s="39"/>
      <c r="C21" s="39" t="s">
        <v>261</v>
      </c>
      <c r="D21" s="39" t="s">
        <v>141</v>
      </c>
      <c r="E21" s="39" t="s">
        <v>262</v>
      </c>
      <c r="F21" s="39" t="s">
        <v>261</v>
      </c>
      <c r="G21" s="39" t="s">
        <v>263</v>
      </c>
    </row>
    <row r="22" spans="2:18" x14ac:dyDescent="0.45">
      <c r="B22" s="25" t="s">
        <v>211</v>
      </c>
      <c r="C22" s="56">
        <f ca="1">IFERROR(C13-C14,"–")</f>
        <v>1.6883666002927378</v>
      </c>
      <c r="D22" s="56">
        <f ca="1">IFERROR(F14-F13,"–")</f>
        <v>21.057134392053232</v>
      </c>
      <c r="E22" s="57">
        <f ca="1">IFERROR(C22/D22,"–")</f>
        <v>8.0180264268527993E-2</v>
      </c>
      <c r="F22" s="56">
        <f ca="1">IFERROR(CoC*D22-C22,"–")</f>
        <v>0.41734683891258562</v>
      </c>
      <c r="G22" s="59" t="str">
        <f ca="1">IF(ISNUMBER(F22),IF(F22&gt;0,"✔  yes","✘  no"),"–")</f>
        <v>✔  yes</v>
      </c>
    </row>
    <row r="23" spans="2:18" x14ac:dyDescent="0.45">
      <c r="B23" s="25" t="s">
        <v>213</v>
      </c>
      <c r="C23" s="56">
        <f ca="1">IFERROR(C13-C15,"–")</f>
        <v>0.44763627875066936</v>
      </c>
      <c r="D23" s="56">
        <f ca="1">IFERROR(F15-F13,"–")</f>
        <v>13.587257132074164</v>
      </c>
      <c r="E23" s="57">
        <f ca="1">IFERROR(C23/D23,"–")</f>
        <v>3.294530120387406E-2</v>
      </c>
      <c r="F23" s="56">
        <f ca="1">IFERROR(CoC*D23-C23,"–")</f>
        <v>0.91108943445674706</v>
      </c>
      <c r="G23" s="59" t="str">
        <f ca="1">IF(ISNUMBER(F23),IF(F23&gt;0,"✔  yes","✘  no"),"–")</f>
        <v>✔  yes</v>
      </c>
    </row>
    <row r="24" spans="2:18" x14ac:dyDescent="0.45">
      <c r="B24" s="58" t="s">
        <v>215</v>
      </c>
      <c r="C24" s="56">
        <f ca="1">IFERROR(C13-C16,"–")</f>
        <v>2.117559270149898</v>
      </c>
      <c r="D24" s="56">
        <f ca="1">IFERROR(F16-F13,"–")</f>
        <v>27.839184835317088</v>
      </c>
      <c r="E24" s="57">
        <f ca="1">IFERROR(C24/D24,"–")</f>
        <v>7.6063982572634081E-2</v>
      </c>
      <c r="F24" s="56">
        <f ca="1">IFERROR(CoC*D24-C24,"–")</f>
        <v>0.66635921338181081</v>
      </c>
      <c r="G24" s="59" t="str">
        <f ca="1">IF(ISNUMBER(F24),IF(F24&gt;0,"✔  yes","✘  no"),"–")</f>
        <v>✔  yes</v>
      </c>
    </row>
    <row r="25" spans="2:18" ht="51" customHeight="1" x14ac:dyDescent="0.45">
      <c r="B25" s="68" t="s">
        <v>264</v>
      </c>
      <c r="C25" s="66"/>
      <c r="D25" s="66"/>
      <c r="E25" s="66"/>
      <c r="F25" s="66"/>
      <c r="G25" s="66"/>
    </row>
    <row r="26" spans="2:18" ht="8" customHeight="1" x14ac:dyDescent="0.45"/>
    <row r="27" spans="2:18" ht="22.05" customHeight="1" x14ac:dyDescent="0.5">
      <c r="B27" s="7" t="s">
        <v>265</v>
      </c>
      <c r="C27" s="8"/>
      <c r="D27" s="8"/>
      <c r="E27" s="8"/>
      <c r="F27" s="8"/>
      <c r="G27" s="8"/>
      <c r="I27" s="55" t="s">
        <v>266</v>
      </c>
      <c r="J27" s="8"/>
      <c r="K27" s="8"/>
      <c r="L27" s="8"/>
      <c r="M27" s="8"/>
      <c r="N27" s="8"/>
      <c r="O27" s="8"/>
      <c r="P27" s="8"/>
      <c r="Q27" s="8"/>
      <c r="R27" s="8"/>
    </row>
    <row r="28" spans="2:18" ht="18" customHeight="1" x14ac:dyDescent="0.45">
      <c r="B28" s="13" t="s">
        <v>267</v>
      </c>
    </row>
    <row r="29" spans="2:18" ht="18" customHeight="1" x14ac:dyDescent="0.45">
      <c r="B29" s="37" t="s">
        <v>167</v>
      </c>
      <c r="C29" s="38" t="s">
        <v>268</v>
      </c>
      <c r="D29" s="38" t="s">
        <v>247</v>
      </c>
      <c r="E29" s="38" t="s">
        <v>269</v>
      </c>
      <c r="F29" s="38" t="s">
        <v>270</v>
      </c>
      <c r="G29" s="38" t="s">
        <v>271</v>
      </c>
    </row>
    <row r="30" spans="2:18" x14ac:dyDescent="0.45">
      <c r="B30" s="39"/>
      <c r="C30" s="39" t="s">
        <v>272</v>
      </c>
      <c r="D30" s="39" t="s">
        <v>273</v>
      </c>
      <c r="E30" s="39" t="s">
        <v>249</v>
      </c>
      <c r="F30" s="39" t="s">
        <v>65</v>
      </c>
      <c r="G30" s="39" t="s">
        <v>274</v>
      </c>
    </row>
    <row r="31" spans="2:18" x14ac:dyDescent="0.45">
      <c r="B31" s="25" t="s">
        <v>177</v>
      </c>
      <c r="C31" s="41">
        <f>EL_Ret</f>
        <v>24.83661227918628</v>
      </c>
      <c r="D31" s="56" cm="1">
        <f t="array" aca="1" ref="D31" ca="1">_xll.VoseSimMean(Out_Ret)</f>
        <v>24.86620102401827</v>
      </c>
      <c r="E31" s="56" cm="1">
        <f t="array" aca="1" ref="E31" ca="1">_xll.VoseSimPercentile(Out_Ret,0.95)</f>
        <v>33.552549868798295</v>
      </c>
      <c r="F31" s="56" cm="1">
        <f t="array" aca="1" ref="F31" ca="1">_xll.VoseSimPercentile(Out_Ret,0.995)</f>
        <v>39.215692495102239</v>
      </c>
      <c r="G31" s="49">
        <f>EL_Ret/EL_Total</f>
        <v>0.82788707598851474</v>
      </c>
    </row>
    <row r="32" spans="2:18" x14ac:dyDescent="0.45">
      <c r="B32" s="25" t="s">
        <v>178</v>
      </c>
      <c r="C32" s="41">
        <f>EL_L1</f>
        <v>4.2072163924314898</v>
      </c>
      <c r="D32" s="56" cm="1">
        <f t="array" aca="1" ref="D32" ca="1">_xll.VoseSimMean(Out_L1)</f>
        <v>4.1986911096730237</v>
      </c>
      <c r="E32" s="56" cm="1">
        <f t="array" aca="1" ref="E32" ca="1">_xll.VoseSimPercentile(Out_L1,0.95)</f>
        <v>12.39988738938453</v>
      </c>
      <c r="F32" s="56" cm="1">
        <f t="array" aca="1" ref="F32" ca="1">_xll.VoseSimPercentile(Out_L1,0.995)</f>
        <v>20.254193002724136</v>
      </c>
      <c r="G32" s="49">
        <f>EL_L1/EL_Total</f>
        <v>0.14024054641703212</v>
      </c>
    </row>
    <row r="33" spans="2:7" x14ac:dyDescent="0.45">
      <c r="B33" s="25" t="s">
        <v>179</v>
      </c>
      <c r="C33" s="41">
        <f>EL_L2</f>
        <v>0.62426556269258004</v>
      </c>
      <c r="D33" s="56" cm="1">
        <f t="array" aca="1" ref="D33" ca="1">_xll.VoseSimMean(Out_L2)</f>
        <v>0.62049390595879217</v>
      </c>
      <c r="E33" s="56" cm="1">
        <f t="array" aca="1" ref="E33" ca="1">_xll.VoseSimPercentile(Out_L2,0.95)</f>
        <v>4.4078389099915167</v>
      </c>
      <c r="F33" s="56" cm="1">
        <f t="array" aca="1" ref="F33" ca="1">_xll.VoseSimPercentile(Out_L2,0.995)</f>
        <v>15</v>
      </c>
      <c r="G33" s="49">
        <f>EL_L2/EL_Total</f>
        <v>2.0808852090145744E-2</v>
      </c>
    </row>
    <row r="34" spans="2:7" x14ac:dyDescent="0.45">
      <c r="B34" s="25" t="s">
        <v>180</v>
      </c>
      <c r="C34" s="41">
        <f>EL_Above</f>
        <v>0.33190576512295089</v>
      </c>
      <c r="D34" s="56" cm="1">
        <f t="array" aca="1" ref="D34" ca="1">_xll.VoseSimMean(Out_Above)</f>
        <v>0.32249303118115924</v>
      </c>
      <c r="E34" s="56" cm="1">
        <f t="array" aca="1" ref="E34" ca="1">_xll.VoseSimPercentile(Out_Above,0.95)</f>
        <v>0</v>
      </c>
      <c r="F34" s="56" cm="1">
        <f t="array" aca="1" ref="F34" ca="1">_xll.VoseSimPercentile(Out_Above,0.995)</f>
        <v>22.113550085008232</v>
      </c>
      <c r="G34" s="49">
        <f>EL_Above/EL_Total</f>
        <v>1.1063525504307352E-2</v>
      </c>
    </row>
    <row r="35" spans="2:7" x14ac:dyDescent="0.45">
      <c r="B35" s="58" t="s">
        <v>226</v>
      </c>
      <c r="C35" s="41">
        <f>EL_Total</f>
        <v>29.999999999433303</v>
      </c>
      <c r="D35" s="56" cm="1">
        <f t="array" aca="1" ref="D35" ca="1">_xll.VoseSimMean(Out_Gross)</f>
        <v>30.007879070831091</v>
      </c>
      <c r="E35" s="56" cm="1">
        <f t="array" aca="1" ref="E35" ca="1">_xll.VoseSimPercentile(Out_Gross,0.95)</f>
        <v>46.774878559324165</v>
      </c>
      <c r="F35" s="56" cm="1">
        <f t="array" aca="1" ref="F35" ca="1">_xll.VoseSimPercentile(Out_Gross,0.995)</f>
        <v>76.269635649012116</v>
      </c>
      <c r="G35" s="49">
        <f>EL_Total/EL_Total</f>
        <v>1</v>
      </c>
    </row>
    <row r="36" spans="2:7" ht="8" customHeight="1" x14ac:dyDescent="0.45"/>
    <row r="42" spans="2:7" ht="22.05" customHeight="1" x14ac:dyDescent="0.5">
      <c r="B42" s="7" t="s">
        <v>275</v>
      </c>
      <c r="C42" s="8"/>
      <c r="D42" s="8"/>
      <c r="E42" s="8"/>
      <c r="F42" s="8"/>
      <c r="G42" s="8"/>
    </row>
    <row r="43" spans="2:7" ht="32" customHeight="1" x14ac:dyDescent="0.45">
      <c r="B43" s="65" t="s">
        <v>276</v>
      </c>
      <c r="C43" s="66"/>
      <c r="D43" s="66"/>
      <c r="E43" s="66"/>
      <c r="F43" s="66"/>
      <c r="G43" s="66"/>
    </row>
    <row r="44" spans="2:7" ht="32" customHeight="1" x14ac:dyDescent="0.45">
      <c r="B44" s="65" t="s">
        <v>277</v>
      </c>
      <c r="C44" s="66"/>
      <c r="D44" s="66"/>
      <c r="E44" s="66"/>
      <c r="F44" s="66"/>
      <c r="G44" s="66"/>
    </row>
    <row r="45" spans="2:7" ht="45" customHeight="1" x14ac:dyDescent="0.45">
      <c r="B45" s="65" t="s">
        <v>278</v>
      </c>
      <c r="C45" s="66"/>
      <c r="D45" s="66"/>
      <c r="E45" s="66"/>
      <c r="F45" s="66"/>
      <c r="G45" s="66"/>
    </row>
    <row r="46" spans="2:7" ht="32" customHeight="1" x14ac:dyDescent="0.45">
      <c r="B46" s="65" t="s">
        <v>279</v>
      </c>
      <c r="C46" s="66"/>
      <c r="D46" s="66"/>
      <c r="E46" s="66"/>
      <c r="F46" s="66"/>
      <c r="G46" s="66"/>
    </row>
    <row r="47" spans="2:7" ht="32" customHeight="1" x14ac:dyDescent="0.45">
      <c r="B47" s="65" t="s">
        <v>280</v>
      </c>
      <c r="C47" s="66"/>
      <c r="D47" s="66"/>
      <c r="E47" s="66"/>
      <c r="F47" s="66"/>
      <c r="G47" s="66"/>
    </row>
    <row r="48" spans="2:7" ht="14" customHeight="1" x14ac:dyDescent="0.45"/>
    <row r="49" spans="2:8" ht="14" customHeight="1" x14ac:dyDescent="0.45"/>
    <row r="50" spans="2:8" ht="22.05" customHeight="1" x14ac:dyDescent="0.5">
      <c r="B50" s="7" t="s">
        <v>281</v>
      </c>
      <c r="C50" s="8"/>
      <c r="D50" s="8"/>
      <c r="E50" s="8"/>
      <c r="F50" s="8"/>
      <c r="G50" s="8"/>
    </row>
    <row r="51" spans="2:8" ht="18" customHeight="1" x14ac:dyDescent="0.45">
      <c r="B51" s="13" t="s">
        <v>282</v>
      </c>
    </row>
    <row r="52" spans="2:8" ht="28.05" hidden="1" customHeight="1" outlineLevel="1" x14ac:dyDescent="0.45">
      <c r="B52" s="24" t="s">
        <v>283</v>
      </c>
      <c r="C52" s="24" t="s">
        <v>284</v>
      </c>
      <c r="D52" s="24" t="s">
        <v>285</v>
      </c>
      <c r="E52" s="24" t="s">
        <v>286</v>
      </c>
      <c r="F52" s="24" t="s">
        <v>287</v>
      </c>
      <c r="G52" s="24" t="s">
        <v>288</v>
      </c>
      <c r="H52" s="24" t="s">
        <v>289</v>
      </c>
    </row>
    <row r="53" spans="2:8" hidden="1" outlineLevel="1" x14ac:dyDescent="0.45">
      <c r="B53" s="60">
        <v>0.01</v>
      </c>
      <c r="C53" s="60">
        <f t="shared" ref="C53:C84" si="0">1-B53</f>
        <v>0.99</v>
      </c>
      <c r="D53" s="61" cm="1">
        <f t="array" aca="1" ref="D53" ca="1">IF(ISNUMBER(_xll.VoseSimPercentile(Result_None,$B53)),_xll.VoseSimPercentile(Result_None,$B53),NA())</f>
        <v>-31.789388763142135</v>
      </c>
      <c r="E53" s="61" cm="1">
        <f t="array" aca="1" ref="E53" ca="1">IF(ISNUMBER(_xll.VoseSimPercentile(Result_XoL,$B53)),_xll.VoseSimPercentile(Result_XoL,$B53),NA())</f>
        <v>-12.960398379570453</v>
      </c>
      <c r="F53" s="61" cm="1">
        <f t="array" aca="1" ref="F53" ca="1">IF(ISNUMBER(_xll.VoseSimPercentile(Result_QS,$B53)),_xll.VoseSimPercentile(Result_QS,$B53),NA())</f>
        <v>-21.622572134199494</v>
      </c>
      <c r="G53" s="61" cm="1">
        <f t="array" aca="1" ref="G53" ca="1">IF(ISNUMBER(_xll.VoseSimPercentile(Result_Both,$B53)),_xll.VoseSimPercentile(Result_Both,$B53),NA())</f>
        <v>-8.930345236893654</v>
      </c>
      <c r="H53" s="61" cm="1">
        <f t="array" aca="1" ref="H53" ca="1">IF(ISNUMBER(_xll.VoseSimPercentile(Out_Gross,$B53)),_xll.VoseSimPercentile(Out_Gross,$B53),NA())</f>
        <v>14.955648391932343</v>
      </c>
    </row>
    <row r="54" spans="2:8" hidden="1" outlineLevel="1" x14ac:dyDescent="0.45">
      <c r="B54" s="60">
        <v>0.03</v>
      </c>
      <c r="C54" s="60">
        <f t="shared" si="0"/>
        <v>0.97</v>
      </c>
      <c r="D54" s="61" cm="1">
        <f t="array" aca="1" ref="D54" ca="1">IF(ISNUMBER(_xll.VoseSimPercentile(Result_None,$B54)),_xll.VoseSimPercentile(Result_None,$B54),NA())</f>
        <v>-18.261219476836438</v>
      </c>
      <c r="E54" s="61" cm="1">
        <f t="array" aca="1" ref="E54" ca="1">IF(ISNUMBER(_xll.VoseSimPercentile(Result_XoL,$B54)),_xll.VoseSimPercentile(Result_XoL,$B54),NA())</f>
        <v>-8.7896200438124801</v>
      </c>
      <c r="F54" s="61" cm="1">
        <f t="array" aca="1" ref="F54" ca="1">IF(ISNUMBER(_xll.VoseSimPercentile(Result_QS,$B54)),_xll.VoseSimPercentile(Result_QS,$B54),NA())</f>
        <v>-12.152853633785512</v>
      </c>
      <c r="G54" s="61" cm="1">
        <f t="array" aca="1" ref="G54" ca="1">IF(ISNUMBER(_xll.VoseSimPercentile(Result_Both,$B54)),_xll.VoseSimPercentile(Result_Both,$B54),NA())</f>
        <v>-6.0108004018630723</v>
      </c>
      <c r="H54" s="61" cm="1">
        <f t="array" aca="1" ref="H54" ca="1">IF(ISNUMBER(_xll.VoseSimPercentile(Out_Gross,$B54)),_xll.VoseSimPercentile(Out_Gross,$B54),NA())</f>
        <v>16.725853016666502</v>
      </c>
    </row>
    <row r="55" spans="2:8" hidden="1" outlineLevel="1" x14ac:dyDescent="0.45">
      <c r="B55" s="60">
        <v>0.05</v>
      </c>
      <c r="C55" s="60">
        <f t="shared" si="0"/>
        <v>0.95</v>
      </c>
      <c r="D55" s="61" cm="1">
        <f t="array" aca="1" ref="D55" ca="1">IF(ISNUMBER(_xll.VoseSimPercentile(Result_None,$B55)),_xll.VoseSimPercentile(Result_None,$B55),NA())</f>
        <v>-13.176913502987766</v>
      </c>
      <c r="E55" s="61" cm="1">
        <f t="array" aca="1" ref="E55" ca="1">IF(ISNUMBER(_xll.VoseSimPercentile(Result_XoL,$B55)),_xll.VoseSimPercentile(Result_XoL,$B55),NA())</f>
        <v>-6.9944104605238984</v>
      </c>
      <c r="F55" s="61" cm="1">
        <f t="array" aca="1" ref="F55" ca="1">IF(ISNUMBER(_xll.VoseSimPercentile(Result_QS,$B55)),_xll.VoseSimPercentile(Result_QS,$B55),NA())</f>
        <v>-8.5938394520914372</v>
      </c>
      <c r="G55" s="61" cm="1">
        <f t="array" aca="1" ref="G55" ca="1">IF(ISNUMBER(_xll.VoseSimPercentile(Result_Both,$B55)),_xll.VoseSimPercentile(Result_Both,$B55),NA())</f>
        <v>-4.7541536935610686</v>
      </c>
      <c r="H55" s="61" cm="1">
        <f t="array" aca="1" ref="H55" ca="1">IF(ISNUMBER(_xll.VoseSimPercentile(Out_Gross,$B55)),_xll.VoseSimPercentile(Out_Gross,$B55),NA())</f>
        <v>17.92258791339523</v>
      </c>
    </row>
    <row r="56" spans="2:8" hidden="1" outlineLevel="1" x14ac:dyDescent="0.45">
      <c r="B56" s="60">
        <v>7.0000000000000007E-2</v>
      </c>
      <c r="C56" s="60">
        <f t="shared" si="0"/>
        <v>0.92999999999999994</v>
      </c>
      <c r="D56" s="61" cm="1">
        <f t="array" aca="1" ref="D56" ca="1">IF(ISNUMBER(_xll.VoseSimPercentile(Result_None,$B56)),_xll.VoseSimPercentile(Result_None,$B56),NA())</f>
        <v>-10.15638113230893</v>
      </c>
      <c r="E56" s="61" cm="1">
        <f t="array" aca="1" ref="E56" ca="1">IF(ISNUMBER(_xll.VoseSimPercentile(Result_XoL,$B56)),_xll.VoseSimPercentile(Result_XoL,$B56),NA())</f>
        <v>-5.8624527797107611</v>
      </c>
      <c r="F56" s="61" cm="1">
        <f t="array" aca="1" ref="F56" ca="1">IF(ISNUMBER(_xll.VoseSimPercentile(Result_QS,$B56)),_xll.VoseSimPercentile(Result_QS,$B56),NA())</f>
        <v>-6.4794667926162539</v>
      </c>
      <c r="G56" s="61" cm="1">
        <f t="array" aca="1" ref="G56" ca="1">IF(ISNUMBER(_xll.VoseSimPercentile(Result_Both,$B56)),_xll.VoseSimPercentile(Result_Both,$B56),NA())</f>
        <v>-3.9617833169918732</v>
      </c>
      <c r="H56" s="61" cm="1">
        <f t="array" aca="1" ref="H56" ca="1">IF(ISNUMBER(_xll.VoseSimPercentile(Out_Gross,$B56)),_xll.VoseSimPercentile(Out_Gross,$B56),NA())</f>
        <v>18.823915692185292</v>
      </c>
    </row>
    <row r="57" spans="2:8" hidden="1" outlineLevel="1" x14ac:dyDescent="0.45">
      <c r="B57" s="60">
        <v>0.09</v>
      </c>
      <c r="C57" s="60">
        <f t="shared" si="0"/>
        <v>0.91</v>
      </c>
      <c r="D57" s="61" cm="1">
        <f t="array" aca="1" ref="D57" ca="1">IF(ISNUMBER(_xll.VoseSimPercentile(Result_None,$B57)),_xll.VoseSimPercentile(Result_None,$B57),NA())</f>
        <v>-8.3663138109045221</v>
      </c>
      <c r="E57" s="61" cm="1">
        <f t="array" aca="1" ref="E57" ca="1">IF(ISNUMBER(_xll.VoseSimPercentile(Result_XoL,$B57)),_xll.VoseSimPercentile(Result_XoL,$B57),NA())</f>
        <v>-5.0189416917130991</v>
      </c>
      <c r="F57" s="61" cm="1">
        <f t="array" aca="1" ref="F57" ca="1">IF(ISNUMBER(_xll.VoseSimPercentile(Result_QS,$B57)),_xll.VoseSimPercentile(Result_QS,$B57),NA())</f>
        <v>-5.2264196676331665</v>
      </c>
      <c r="G57" s="61" cm="1">
        <f t="array" aca="1" ref="G57" ca="1">IF(ISNUMBER(_xll.VoseSimPercentile(Result_Both,$B57)),_xll.VoseSimPercentile(Result_Both,$B57),NA())</f>
        <v>-3.3713255553935078</v>
      </c>
      <c r="H57" s="61" cm="1">
        <f t="array" aca="1" ref="H57" ca="1">IF(ISNUMBER(_xll.VoseSimPercentile(Out_Gross,$B57)),_xll.VoseSimPercentile(Out_Gross,$B57),NA())</f>
        <v>19.588813606750662</v>
      </c>
    </row>
    <row r="58" spans="2:8" hidden="1" outlineLevel="1" x14ac:dyDescent="0.45">
      <c r="B58" s="60">
        <v>0.11</v>
      </c>
      <c r="C58" s="60">
        <f t="shared" si="0"/>
        <v>0.89</v>
      </c>
      <c r="D58" s="61" cm="1">
        <f t="array" aca="1" ref="D58" ca="1">IF(ISNUMBER(_xll.VoseSimPercentile(Result_None,$B58)),_xll.VoseSimPercentile(Result_None,$B58),NA())</f>
        <v>-6.8800012390466847</v>
      </c>
      <c r="E58" s="61" cm="1">
        <f t="array" aca="1" ref="E58" ca="1">IF(ISNUMBER(_xll.VoseSimPercentile(Result_XoL,$B58)),_xll.VoseSimPercentile(Result_XoL,$B58),NA())</f>
        <v>-4.3065881224493978</v>
      </c>
      <c r="F58" s="61" cm="1">
        <f t="array" aca="1" ref="F58" ca="1">IF(ISNUMBER(_xll.VoseSimPercentile(Result_QS,$B58)),_xll.VoseSimPercentile(Result_QS,$B58),NA())</f>
        <v>-4.1860008673326803</v>
      </c>
      <c r="G58" s="61" cm="1">
        <f t="array" aca="1" ref="G58" ca="1">IF(ISNUMBER(_xll.VoseSimPercentile(Result_Both,$B58)),_xll.VoseSimPercentile(Result_Both,$B58),NA())</f>
        <v>-2.8726780569089208</v>
      </c>
      <c r="H58" s="61" cm="1">
        <f t="array" aca="1" ref="H58" ca="1">IF(ISNUMBER(_xll.VoseSimPercentile(Out_Gross,$B58)),_xll.VoseSimPercentile(Out_Gross,$B58),NA())</f>
        <v>20.189636418794418</v>
      </c>
    </row>
    <row r="59" spans="2:8" hidden="1" outlineLevel="1" x14ac:dyDescent="0.45">
      <c r="B59" s="60">
        <v>0.13</v>
      </c>
      <c r="C59" s="60">
        <f t="shared" si="0"/>
        <v>0.87</v>
      </c>
      <c r="D59" s="61" cm="1">
        <f t="array" aca="1" ref="D59" ca="1">IF(ISNUMBER(_xll.VoseSimPercentile(Result_None,$B59)),_xll.VoseSimPercentile(Result_None,$B59),NA())</f>
        <v>-5.4300396916487799</v>
      </c>
      <c r="E59" s="61" cm="1">
        <f t="array" aca="1" ref="E59" ca="1">IF(ISNUMBER(_xll.VoseSimPercentile(Result_XoL,$B59)),_xll.VoseSimPercentile(Result_XoL,$B59),NA())</f>
        <v>-3.7537940218448682</v>
      </c>
      <c r="F59" s="61" cm="1">
        <f t="array" aca="1" ref="F59" ca="1">IF(ISNUMBER(_xll.VoseSimPercentile(Result_QS,$B59)),_xll.VoseSimPercentile(Result_QS,$B59),NA())</f>
        <v>-3.1710277841541483</v>
      </c>
      <c r="G59" s="61" cm="1">
        <f t="array" aca="1" ref="G59" ca="1">IF(ISNUMBER(_xll.VoseSimPercentile(Result_Both,$B59)),_xll.VoseSimPercentile(Result_Both,$B59),NA())</f>
        <v>-2.4857221864857486</v>
      </c>
      <c r="H59" s="61" cm="1">
        <f t="array" aca="1" ref="H59" ca="1">IF(ISNUMBER(_xll.VoseSimPercentile(Out_Gross,$B59)),_xll.VoseSimPercentile(Out_Gross,$B59),NA())</f>
        <v>20.783941203826416</v>
      </c>
    </row>
    <row r="60" spans="2:8" hidden="1" outlineLevel="1" x14ac:dyDescent="0.45">
      <c r="B60" s="60">
        <v>0.15</v>
      </c>
      <c r="C60" s="60">
        <f t="shared" si="0"/>
        <v>0.85</v>
      </c>
      <c r="D60" s="61" cm="1">
        <f t="array" aca="1" ref="D60" ca="1">IF(ISNUMBER(_xll.VoseSimPercentile(Result_None,$B60)),_xll.VoseSimPercentile(Result_None,$B60),NA())</f>
        <v>-4.4844167046261916</v>
      </c>
      <c r="E60" s="61" cm="1">
        <f t="array" aca="1" ref="E60" ca="1">IF(ISNUMBER(_xll.VoseSimPercentile(Result_XoL,$B60)),_xll.VoseSimPercentile(Result_XoL,$B60),NA())</f>
        <v>-3.1637688297999382</v>
      </c>
      <c r="F60" s="61" cm="1">
        <f t="array" aca="1" ref="F60" ca="1">IF(ISNUMBER(_xll.VoseSimPercentile(Result_QS,$B60)),_xll.VoseSimPercentile(Result_QS,$B60),NA())</f>
        <v>-2.5090916932383394</v>
      </c>
      <c r="G60" s="61" cm="1">
        <f t="array" aca="1" ref="G60" ca="1">IF(ISNUMBER(_xll.VoseSimPercentile(Result_Both,$B60)),_xll.VoseSimPercentile(Result_Both,$B60),NA())</f>
        <v>-2.0727045520542937</v>
      </c>
      <c r="H60" s="61" cm="1">
        <f t="array" aca="1" ref="H60" ca="1">IF(ISNUMBER(_xll.VoseSimPercentile(Out_Gross,$B60)),_xll.VoseSimPercentile(Out_Gross,$B60),NA())</f>
        <v>21.296361443124088</v>
      </c>
    </row>
    <row r="61" spans="2:8" hidden="1" outlineLevel="1" x14ac:dyDescent="0.45">
      <c r="B61" s="60">
        <v>0.17</v>
      </c>
      <c r="C61" s="60">
        <f t="shared" si="0"/>
        <v>0.83</v>
      </c>
      <c r="D61" s="61" cm="1">
        <f t="array" aca="1" ref="D61" ca="1">IF(ISNUMBER(_xll.VoseSimPercentile(Result_None,$B61)),_xll.VoseSimPercentile(Result_None,$B61),NA())</f>
        <v>-3.5641372953865087</v>
      </c>
      <c r="E61" s="61" cm="1">
        <f t="array" aca="1" ref="E61" ca="1">IF(ISNUMBER(_xll.VoseSimPercentile(Result_XoL,$B61)),_xll.VoseSimPercentile(Result_XoL,$B61),NA())</f>
        <v>-2.696487001038772</v>
      </c>
      <c r="F61" s="61" cm="1">
        <f t="array" aca="1" ref="F61" ca="1">IF(ISNUMBER(_xll.VoseSimPercentile(Result_QS,$B61)),_xll.VoseSimPercentile(Result_QS,$B61),NA())</f>
        <v>-1.8648961067705585</v>
      </c>
      <c r="G61" s="61" cm="1">
        <f t="array" aca="1" ref="G61" ca="1">IF(ISNUMBER(_xll.VoseSimPercentile(Result_Both,$B61)),_xll.VoseSimPercentile(Result_Both,$B61),NA())</f>
        <v>-1.7456072719214788</v>
      </c>
      <c r="H61" s="61" cm="1">
        <f t="array" aca="1" ref="H61" ca="1">IF(ISNUMBER(_xll.VoseSimPercentile(Out_Gross,$B61)),_xll.VoseSimPercentile(Out_Gross,$B61),NA())</f>
        <v>21.792042170906967</v>
      </c>
    </row>
    <row r="62" spans="2:8" hidden="1" outlineLevel="1" x14ac:dyDescent="0.45">
      <c r="B62" s="60">
        <v>0.19</v>
      </c>
      <c r="C62" s="60">
        <f t="shared" si="0"/>
        <v>0.81</v>
      </c>
      <c r="D62" s="61" cm="1">
        <f t="array" aca="1" ref="D62" ca="1">IF(ISNUMBER(_xll.VoseSimPercentile(Result_None,$B62)),_xll.VoseSimPercentile(Result_None,$B62),NA())</f>
        <v>-2.7558157031138393</v>
      </c>
      <c r="E62" s="61" cm="1">
        <f t="array" aca="1" ref="E62" ca="1">IF(ISNUMBER(_xll.VoseSimPercentile(Result_XoL,$B62)),_xll.VoseSimPercentile(Result_XoL,$B62),NA())</f>
        <v>-2.2930873481137333</v>
      </c>
      <c r="F62" s="61" cm="1">
        <f t="array" aca="1" ref="F62" ca="1">IF(ISNUMBER(_xll.VoseSimPercentile(Result_QS,$B62)),_xll.VoseSimPercentile(Result_QS,$B62),NA())</f>
        <v>-1.2990709921796899</v>
      </c>
      <c r="G62" s="61" cm="1">
        <f t="array" aca="1" ref="G62" ca="1">IF(ISNUMBER(_xll.VoseSimPercentile(Result_Both,$B62)),_xll.VoseSimPercentile(Result_Both,$B62),NA())</f>
        <v>-1.4632275148739495</v>
      </c>
      <c r="H62" s="61" cm="1">
        <f t="array" aca="1" ref="H62" ca="1">IF(ISNUMBER(_xll.VoseSimPercentile(Out_Gross,$B62)),_xll.VoseSimPercentile(Out_Gross,$B62),NA())</f>
        <v>22.24134540966142</v>
      </c>
    </row>
    <row r="63" spans="2:8" hidden="1" outlineLevel="1" x14ac:dyDescent="0.45">
      <c r="B63" s="60">
        <v>0.21</v>
      </c>
      <c r="C63" s="60">
        <f t="shared" si="0"/>
        <v>0.79</v>
      </c>
      <c r="D63" s="61" cm="1">
        <f t="array" aca="1" ref="D63" ca="1">IF(ISNUMBER(_xll.VoseSimPercentile(Result_None,$B63)),_xll.VoseSimPercentile(Result_None,$B63),NA())</f>
        <v>-1.9607666009760507</v>
      </c>
      <c r="E63" s="61" cm="1">
        <f t="array" aca="1" ref="E63" ca="1">IF(ISNUMBER(_xll.VoseSimPercentile(Result_XoL,$B63)),_xll.VoseSimPercentile(Result_XoL,$B63),NA())</f>
        <v>-1.8967797857799589</v>
      </c>
      <c r="F63" s="61" cm="1">
        <f t="array" aca="1" ref="F63" ca="1">IF(ISNUMBER(_xll.VoseSimPercentile(Result_QS,$B63)),_xll.VoseSimPercentile(Result_QS,$B63),NA())</f>
        <v>-0.74253662068323933</v>
      </c>
      <c r="G63" s="61" cm="1">
        <f t="array" aca="1" ref="G63" ca="1">IF(ISNUMBER(_xll.VoseSimPercentile(Result_Both,$B63)),_xll.VoseSimPercentile(Result_Both,$B63),NA())</f>
        <v>-1.1858122212403117</v>
      </c>
      <c r="H63" s="61" cm="1">
        <f t="array" aca="1" ref="H63" ca="1">IF(ISNUMBER(_xll.VoseSimPercentile(Out_Gross,$B63)),_xll.VoseSimPercentile(Out_Gross,$B63),NA())</f>
        <v>22.694813578879973</v>
      </c>
    </row>
    <row r="64" spans="2:8" hidden="1" outlineLevel="1" x14ac:dyDescent="0.45">
      <c r="B64" s="60">
        <v>0.23</v>
      </c>
      <c r="C64" s="60">
        <f t="shared" si="0"/>
        <v>0.77</v>
      </c>
      <c r="D64" s="61" cm="1">
        <f t="array" aca="1" ref="D64" ca="1">IF(ISNUMBER(_xll.VoseSimPercentile(Result_None,$B64)),_xll.VoseSimPercentile(Result_None,$B64),NA())</f>
        <v>-1.2715274135649679</v>
      </c>
      <c r="E64" s="61" cm="1">
        <f t="array" aca="1" ref="E64" ca="1">IF(ISNUMBER(_xll.VoseSimPercentile(Result_XoL,$B64)),_xll.VoseSimPercentile(Result_XoL,$B64),NA())</f>
        <v>-1.584365426041245</v>
      </c>
      <c r="F64" s="61" cm="1">
        <f t="array" aca="1" ref="F64" ca="1">IF(ISNUMBER(_xll.VoseSimPercentile(Result_QS,$B64)),_xll.VoseSimPercentile(Result_QS,$B64),NA())</f>
        <v>-0.26006918949548208</v>
      </c>
      <c r="G64" s="61" cm="1">
        <f t="array" aca="1" ref="G64" ca="1">IF(ISNUMBER(_xll.VoseSimPercentile(Result_Both,$B64)),_xll.VoseSimPercentile(Result_Both,$B64),NA())</f>
        <v>-0.9671221694232095</v>
      </c>
      <c r="H64" s="61" cm="1">
        <f t="array" aca="1" ref="H64" ca="1">IF(ISNUMBER(_xll.VoseSimPercentile(Out_Gross,$B64)),_xll.VoseSimPercentile(Out_Gross,$B64),NA())</f>
        <v>23.130327562859289</v>
      </c>
    </row>
    <row r="65" spans="2:8" hidden="1" outlineLevel="1" x14ac:dyDescent="0.45">
      <c r="B65" s="60">
        <v>0.25</v>
      </c>
      <c r="C65" s="60">
        <f t="shared" si="0"/>
        <v>0.75</v>
      </c>
      <c r="D65" s="61" cm="1">
        <f t="array" aca="1" ref="D65" ca="1">IF(ISNUMBER(_xll.VoseSimPercentile(Result_None,$B65)),_xll.VoseSimPercentile(Result_None,$B65),NA())</f>
        <v>-0.59492087742602706</v>
      </c>
      <c r="E65" s="61" cm="1">
        <f t="array" aca="1" ref="E65" ca="1">IF(ISNUMBER(_xll.VoseSimPercentile(Result_XoL,$B65)),_xll.VoseSimPercentile(Result_XoL,$B65),NA())</f>
        <v>-1.2323330489583704</v>
      </c>
      <c r="F65" s="61" cm="1">
        <f t="array" aca="1" ref="F65" ca="1">IF(ISNUMBER(_xll.VoseSimPercentile(Result_QS,$B65)),_xll.VoseSimPercentile(Result_QS,$B65),NA())</f>
        <v>0.2135553858017758</v>
      </c>
      <c r="G65" s="61" cm="1">
        <f t="array" aca="1" ref="G65" ca="1">IF(ISNUMBER(_xll.VoseSimPercentile(Result_Both,$B65)),_xll.VoseSimPercentile(Result_Both,$B65),NA())</f>
        <v>-0.72069950546519479</v>
      </c>
      <c r="H65" s="61" cm="1">
        <f t="array" aca="1" ref="H65" ca="1">IF(ISNUMBER(_xll.VoseSimPercentile(Out_Gross,$B65)),_xll.VoseSimPercentile(Out_Gross,$B65),NA())</f>
        <v>23.508589611432942</v>
      </c>
    </row>
    <row r="66" spans="2:8" hidden="1" outlineLevel="1" x14ac:dyDescent="0.45">
      <c r="B66" s="60">
        <v>0.27</v>
      </c>
      <c r="C66" s="60">
        <f t="shared" si="0"/>
        <v>0.73</v>
      </c>
      <c r="D66" s="61" cm="1">
        <f t="array" aca="1" ref="D66" ca="1">IF(ISNUMBER(_xll.VoseSimPercentile(Result_None,$B66)),_xll.VoseSimPercentile(Result_None,$B66),NA())</f>
        <v>4.2913724547865684E-2</v>
      </c>
      <c r="E66" s="61" cm="1">
        <f t="array" aca="1" ref="E66" ca="1">IF(ISNUMBER(_xll.VoseSimPercentile(Result_XoL,$B66)),_xll.VoseSimPercentile(Result_XoL,$B66),NA())</f>
        <v>-0.86036776936277093</v>
      </c>
      <c r="F66" s="61" cm="1">
        <f t="array" aca="1" ref="F66" ca="1">IF(ISNUMBER(_xll.VoseSimPercentile(Result_QS,$B66)),_xll.VoseSimPercentile(Result_QS,$B66),NA())</f>
        <v>0.66003960718350285</v>
      </c>
      <c r="G66" s="61" cm="1">
        <f t="array" aca="1" ref="G66" ca="1">IF(ISNUMBER(_xll.VoseSimPercentile(Result_Both,$B66)),_xll.VoseSimPercentile(Result_Both,$B66),NA())</f>
        <v>-0.46032380974827802</v>
      </c>
      <c r="H66" s="61" cm="1">
        <f t="array" aca="1" ref="H66" ca="1">IF(ISNUMBER(_xll.VoseSimPercentile(Out_Gross,$B66)),_xll.VoseSimPercentile(Out_Gross,$B66),NA())</f>
        <v>23.933781808526231</v>
      </c>
    </row>
    <row r="67" spans="2:8" hidden="1" outlineLevel="1" x14ac:dyDescent="0.45">
      <c r="B67" s="60">
        <v>0.28999999999999998</v>
      </c>
      <c r="C67" s="60">
        <f t="shared" si="0"/>
        <v>0.71</v>
      </c>
      <c r="D67" s="61" cm="1">
        <f t="array" aca="1" ref="D67" ca="1">IF(ISNUMBER(_xll.VoseSimPercentile(Result_None,$B67)),_xll.VoseSimPercentile(Result_None,$B67),NA())</f>
        <v>0.54297259354196115</v>
      </c>
      <c r="E67" s="61" cm="1">
        <f t="array" aca="1" ref="E67" ca="1">IF(ISNUMBER(_xll.VoseSimPercentile(Result_XoL,$B67)),_xll.VoseSimPercentile(Result_XoL,$B67),NA())</f>
        <v>-0.55978930424651807</v>
      </c>
      <c r="F67" s="61" cm="1">
        <f t="array" aca="1" ref="F67" ca="1">IF(ISNUMBER(_xll.VoseSimPercentile(Result_QS,$B67)),_xll.VoseSimPercentile(Result_QS,$B67),NA())</f>
        <v>1.0100808154793697</v>
      </c>
      <c r="G67" s="61" cm="1">
        <f t="array" aca="1" ref="G67" ca="1">IF(ISNUMBER(_xll.VoseSimPercentile(Result_Both,$B67)),_xll.VoseSimPercentile(Result_Both,$B67),NA())</f>
        <v>-0.24991888416690244</v>
      </c>
      <c r="H67" s="61" cm="1">
        <f t="array" aca="1" ref="H67" ca="1">IF(ISNUMBER(_xll.VoseSimPercentile(Out_Gross,$B67)),_xll.VoseSimPercentile(Out_Gross,$B67),NA())</f>
        <v>24.326166930955683</v>
      </c>
    </row>
    <row r="68" spans="2:8" hidden="1" outlineLevel="1" x14ac:dyDescent="0.45">
      <c r="B68" s="60">
        <v>0.31</v>
      </c>
      <c r="C68" s="60">
        <f t="shared" si="0"/>
        <v>0.69</v>
      </c>
      <c r="D68" s="61" cm="1">
        <f t="array" aca="1" ref="D68" ca="1">IF(ISNUMBER(_xll.VoseSimPercentile(Result_None,$B68)),_xll.VoseSimPercentile(Result_None,$B68),NA())</f>
        <v>1.0881206567295365</v>
      </c>
      <c r="E68" s="61" cm="1">
        <f t="array" aca="1" ref="E68" ca="1">IF(ISNUMBER(_xll.VoseSimPercentile(Result_XoL,$B68)),_xll.VoseSimPercentile(Result_XoL,$B68),NA())</f>
        <v>-0.26082364310862616</v>
      </c>
      <c r="F68" s="61" cm="1">
        <f t="array" aca="1" ref="F68" ca="1">IF(ISNUMBER(_xll.VoseSimPercentile(Result_QS,$B68)),_xll.VoseSimPercentile(Result_QS,$B68),NA())</f>
        <v>1.3916844597106746</v>
      </c>
      <c r="G68" s="61" cm="1">
        <f t="array" aca="1" ref="G68" ca="1">IF(ISNUMBER(_xll.VoseSimPercentile(Result_Both,$B68)),_xll.VoseSimPercentile(Result_Both,$B68),NA())</f>
        <v>-4.0642921370380947E-2</v>
      </c>
      <c r="H68" s="61" cm="1">
        <f t="array" aca="1" ref="H68" ca="1">IF(ISNUMBER(_xll.VoseSimPercentile(Out_Gross,$B68)),_xll.VoseSimPercentile(Out_Gross,$B68),NA())</f>
        <v>24.69124539297907</v>
      </c>
    </row>
    <row r="69" spans="2:8" hidden="1" outlineLevel="1" x14ac:dyDescent="0.45">
      <c r="B69" s="60">
        <v>0.33</v>
      </c>
      <c r="C69" s="60">
        <f t="shared" si="0"/>
        <v>0.66999999999999993</v>
      </c>
      <c r="D69" s="61" cm="1">
        <f t="array" aca="1" ref="D69" ca="1">IF(ISNUMBER(_xll.VoseSimPercentile(Result_None,$B69)),_xll.VoseSimPercentile(Result_None,$B69),NA())</f>
        <v>1.594214585787995</v>
      </c>
      <c r="E69" s="61" cm="1">
        <f t="array" aca="1" ref="E69" ca="1">IF(ISNUMBER(_xll.VoseSimPercentile(Result_XoL,$B69)),_xll.VoseSimPercentile(Result_XoL,$B69),NA())</f>
        <v>5.3025745422747406E-2</v>
      </c>
      <c r="F69" s="61" cm="1">
        <f t="array" aca="1" ref="F69" ca="1">IF(ISNUMBER(_xll.VoseSimPercentile(Result_QS,$B69)),_xll.VoseSimPercentile(Result_QS,$B69),NA())</f>
        <v>1.7459502100515962</v>
      </c>
      <c r="G69" s="61" cm="1">
        <f t="array" aca="1" ref="G69" ca="1">IF(ISNUMBER(_xll.VoseSimPercentile(Result_Both,$B69)),_xll.VoseSimPercentile(Result_Both,$B69),NA())</f>
        <v>0.17905165060158623</v>
      </c>
      <c r="H69" s="61" cm="1">
        <f t="array" aca="1" ref="H69" ca="1">IF(ISNUMBER(_xll.VoseSimPercentile(Out_Gross,$B69)),_xll.VoseSimPercentile(Out_Gross,$B69),NA())</f>
        <v>25.087607776502686</v>
      </c>
    </row>
    <row r="70" spans="2:8" hidden="1" outlineLevel="1" x14ac:dyDescent="0.45">
      <c r="B70" s="60">
        <v>0.35</v>
      </c>
      <c r="C70" s="60">
        <f t="shared" si="0"/>
        <v>0.65</v>
      </c>
      <c r="D70" s="61" cm="1">
        <f t="array" aca="1" ref="D70" ca="1">IF(ISNUMBER(_xll.VoseSimPercentile(Result_None,$B70)),_xll.VoseSimPercentile(Result_None,$B70),NA())</f>
        <v>2.0197959513373611</v>
      </c>
      <c r="E70" s="61" cm="1">
        <f t="array" aca="1" ref="E70" ca="1">IF(ISNUMBER(_xll.VoseSimPercentile(Result_XoL,$B70)),_xll.VoseSimPercentile(Result_XoL,$B70),NA())</f>
        <v>0.37520892362890024</v>
      </c>
      <c r="F70" s="61" cm="1">
        <f t="array" aca="1" ref="F70" ca="1">IF(ISNUMBER(_xll.VoseSimPercentile(Result_QS,$B70)),_xll.VoseSimPercentile(Result_QS,$B70),NA())</f>
        <v>2.0438571659361493</v>
      </c>
      <c r="G70" s="61" cm="1">
        <f t="array" aca="1" ref="G70" ca="1">IF(ISNUMBER(_xll.VoseSimPercentile(Result_Both,$B70)),_xll.VoseSimPercentile(Result_Both,$B70),NA())</f>
        <v>0.40457987534589179</v>
      </c>
      <c r="H70" s="61" cm="1">
        <f t="array" aca="1" ref="H70" ca="1">IF(ISNUMBER(_xll.VoseSimPercentile(Out_Gross,$B70)),_xll.VoseSimPercentile(Out_Gross,$B70),NA())</f>
        <v>25.444877341217889</v>
      </c>
    </row>
    <row r="71" spans="2:8" hidden="1" outlineLevel="1" x14ac:dyDescent="0.45">
      <c r="B71" s="60">
        <v>0.37</v>
      </c>
      <c r="C71" s="60">
        <f t="shared" si="0"/>
        <v>0.63</v>
      </c>
      <c r="D71" s="61" cm="1">
        <f t="array" aca="1" ref="D71" ca="1">IF(ISNUMBER(_xll.VoseSimPercentile(Result_None,$B71)),_xll.VoseSimPercentile(Result_None,$B71),NA())</f>
        <v>2.4781900984611696</v>
      </c>
      <c r="E71" s="61" cm="1">
        <f t="array" aca="1" ref="E71" ca="1">IF(ISNUMBER(_xll.VoseSimPercentile(Result_XoL,$B71)),_xll.VoseSimPercentile(Result_XoL,$B71),NA())</f>
        <v>0.66535905453319444</v>
      </c>
      <c r="F71" s="61" cm="1">
        <f t="array" aca="1" ref="F71" ca="1">IF(ISNUMBER(_xll.VoseSimPercentile(Result_QS,$B71)),_xll.VoseSimPercentile(Result_QS,$B71),NA())</f>
        <v>2.364733068922817</v>
      </c>
      <c r="G71" s="61" cm="1">
        <f t="array" aca="1" ref="G71" ca="1">IF(ISNUMBER(_xll.VoseSimPercentile(Result_Both,$B71)),_xll.VoseSimPercentile(Result_Both,$B71),NA())</f>
        <v>0.60768496697889773</v>
      </c>
      <c r="H71" s="61" cm="1">
        <f t="array" aca="1" ref="H71" ca="1">IF(ISNUMBER(_xll.VoseSimPercentile(Out_Gross,$B71)),_xll.VoseSimPercentile(Out_Gross,$B71),NA())</f>
        <v>25.823913127545854</v>
      </c>
    </row>
    <row r="72" spans="2:8" hidden="1" outlineLevel="1" x14ac:dyDescent="0.45">
      <c r="B72" s="60">
        <v>0.39</v>
      </c>
      <c r="C72" s="60">
        <f t="shared" si="0"/>
        <v>0.61</v>
      </c>
      <c r="D72" s="61" cm="1">
        <f t="array" aca="1" ref="D72" ca="1">IF(ISNUMBER(_xll.VoseSimPercentile(Result_None,$B72)),_xll.VoseSimPercentile(Result_None,$B72),NA())</f>
        <v>2.9625015207534915</v>
      </c>
      <c r="E72" s="61" cm="1">
        <f t="array" aca="1" ref="E72" ca="1">IF(ISNUMBER(_xll.VoseSimPercentile(Result_XoL,$B72)),_xll.VoseSimPercentile(Result_XoL,$B72),NA())</f>
        <v>0.93839383332194259</v>
      </c>
      <c r="F72" s="61" cm="1">
        <f t="array" aca="1" ref="F72" ca="1">IF(ISNUMBER(_xll.VoseSimPercentile(Result_QS,$B72)),_xll.VoseSimPercentile(Result_QS,$B72),NA())</f>
        <v>2.7037510645274416</v>
      </c>
      <c r="G72" s="61" cm="1">
        <f t="array" aca="1" ref="G72" ca="1">IF(ISNUMBER(_xll.VoseSimPercentile(Result_Both,$B72)),_xll.VoseSimPercentile(Result_Both,$B72),NA())</f>
        <v>0.79880931213102357</v>
      </c>
      <c r="H72" s="61" cm="1">
        <f t="array" aca="1" ref="H72" ca="1">IF(ISNUMBER(_xll.VoseSimPercentile(Out_Gross,$B72)),_xll.VoseSimPercentile(Out_Gross,$B72),NA())</f>
        <v>26.222975632417967</v>
      </c>
    </row>
    <row r="73" spans="2:8" hidden="1" outlineLevel="1" x14ac:dyDescent="0.45">
      <c r="B73" s="60">
        <v>0.41</v>
      </c>
      <c r="C73" s="60">
        <f t="shared" si="0"/>
        <v>0.59000000000000008</v>
      </c>
      <c r="D73" s="61" cm="1">
        <f t="array" aca="1" ref="D73" ca="1">IF(ISNUMBER(_xll.VoseSimPercentile(Result_None,$B73)),_xll.VoseSimPercentile(Result_None,$B73),NA())</f>
        <v>3.4100650829623156</v>
      </c>
      <c r="E73" s="61" cm="1">
        <f t="array" aca="1" ref="E73" ca="1">IF(ISNUMBER(_xll.VoseSimPercentile(Result_XoL,$B73)),_xll.VoseSimPercentile(Result_XoL,$B73),NA())</f>
        <v>1.2088358375813684</v>
      </c>
      <c r="F73" s="61" cm="1">
        <f t="array" aca="1" ref="F73" ca="1">IF(ISNUMBER(_xll.VoseSimPercentile(Result_QS,$B73)),_xll.VoseSimPercentile(Result_QS,$B73),NA())</f>
        <v>3.0170455580736188</v>
      </c>
      <c r="G73" s="61" cm="1">
        <f t="array" aca="1" ref="G73" ca="1">IF(ISNUMBER(_xll.VoseSimPercentile(Result_Both,$B73)),_xll.VoseSimPercentile(Result_Both,$B73),NA())</f>
        <v>0.98811871511261984</v>
      </c>
      <c r="H73" s="61" cm="1">
        <f t="array" aca="1" ref="H73" ca="1">IF(ISNUMBER(_xll.VoseSimPercentile(Out_Gross,$B73)),_xll.VoseSimPercentile(Out_Gross,$B73),NA())</f>
        <v>26.604998365262901</v>
      </c>
    </row>
    <row r="74" spans="2:8" hidden="1" outlineLevel="1" x14ac:dyDescent="0.45">
      <c r="B74" s="60">
        <v>0.43</v>
      </c>
      <c r="C74" s="60">
        <f t="shared" si="0"/>
        <v>0.57000000000000006</v>
      </c>
      <c r="D74" s="61" cm="1">
        <f t="array" aca="1" ref="D74" ca="1">IF(ISNUMBER(_xll.VoseSimPercentile(Result_None,$B74)),_xll.VoseSimPercentile(Result_None,$B74),NA())</f>
        <v>3.8044070910207637</v>
      </c>
      <c r="E74" s="61" cm="1">
        <f t="array" aca="1" ref="E74" ca="1">IF(ISNUMBER(_xll.VoseSimPercentile(Result_XoL,$B74)),_xll.VoseSimPercentile(Result_XoL,$B74),NA())</f>
        <v>1.48264616401908</v>
      </c>
      <c r="F74" s="61" cm="1">
        <f t="array" aca="1" ref="F74" ca="1">IF(ISNUMBER(_xll.VoseSimPercentile(Result_QS,$B74)),_xll.VoseSimPercentile(Result_QS,$B74),NA())</f>
        <v>3.2930849637145343</v>
      </c>
      <c r="G74" s="61" cm="1">
        <f t="array" aca="1" ref="G74" ca="1">IF(ISNUMBER(_xll.VoseSimPercentile(Result_Both,$B74)),_xll.VoseSimPercentile(Result_Both,$B74),NA())</f>
        <v>1.1797859436190166</v>
      </c>
      <c r="H74" s="61" cm="1">
        <f t="array" aca="1" ref="H74" ca="1">IF(ISNUMBER(_xll.VoseSimPercentile(Out_Gross,$B74)),_xll.VoseSimPercentile(Out_Gross,$B74),NA())</f>
        <v>26.975147841498494</v>
      </c>
    </row>
    <row r="75" spans="2:8" hidden="1" outlineLevel="1" x14ac:dyDescent="0.45">
      <c r="B75" s="60">
        <v>0.45</v>
      </c>
      <c r="C75" s="60">
        <f t="shared" si="0"/>
        <v>0.55000000000000004</v>
      </c>
      <c r="D75" s="61" cm="1">
        <f t="array" aca="1" ref="D75" ca="1">IF(ISNUMBER(_xll.VoseSimPercentile(Result_None,$B75)),_xll.VoseSimPercentile(Result_None,$B75),NA())</f>
        <v>4.2271398944064487</v>
      </c>
      <c r="E75" s="61" cm="1">
        <f t="array" aca="1" ref="E75" ca="1">IF(ISNUMBER(_xll.VoseSimPercentile(Result_XoL,$B75)),_xll.VoseSimPercentile(Result_XoL,$B75),NA())</f>
        <v>1.7185410784030992</v>
      </c>
      <c r="F75" s="61" cm="1">
        <f t="array" aca="1" ref="F75" ca="1">IF(ISNUMBER(_xll.VoseSimPercentile(Result_QS,$B75)),_xll.VoseSimPercentile(Result_QS,$B75),NA())</f>
        <v>3.5889979260845095</v>
      </c>
      <c r="G75" s="61" cm="1">
        <f t="array" aca="1" ref="G75" ca="1">IF(ISNUMBER(_xll.VoseSimPercentile(Result_Both,$B75)),_xll.VoseSimPercentile(Result_Both,$B75),NA())</f>
        <v>1.3449123836878307</v>
      </c>
      <c r="H75" s="61" cm="1">
        <f t="array" aca="1" ref="H75" ca="1">IF(ISNUMBER(_xll.VoseSimPercentile(Out_Gross,$B75)),_xll.VoseSimPercentile(Out_Gross,$B75),NA())</f>
        <v>27.335703321698688</v>
      </c>
    </row>
    <row r="76" spans="2:8" hidden="1" outlineLevel="1" x14ac:dyDescent="0.45">
      <c r="B76" s="60">
        <v>0.47</v>
      </c>
      <c r="C76" s="60">
        <f t="shared" si="0"/>
        <v>0.53</v>
      </c>
      <c r="D76" s="61" cm="1">
        <f t="array" aca="1" ref="D76" ca="1">IF(ISNUMBER(_xll.VoseSimPercentile(Result_None,$B76)),_xll.VoseSimPercentile(Result_None,$B76),NA())</f>
        <v>4.6928440697348819</v>
      </c>
      <c r="E76" s="61" cm="1">
        <f t="array" aca="1" ref="E76" ca="1">IF(ISNUMBER(_xll.VoseSimPercentile(Result_XoL,$B76)),_xll.VoseSimPercentile(Result_XoL,$B76),NA())</f>
        <v>1.9889719365117529</v>
      </c>
      <c r="F76" s="61" cm="1">
        <f t="array" aca="1" ref="F76" ca="1">IF(ISNUMBER(_xll.VoseSimPercentile(Result_QS,$B76)),_xll.VoseSimPercentile(Result_QS,$B76),NA())</f>
        <v>3.9149908488144121</v>
      </c>
      <c r="G76" s="61" cm="1">
        <f t="array" aca="1" ref="G76" ca="1">IF(ISNUMBER(_xll.VoseSimPercentile(Result_Both,$B76)),_xll.VoseSimPercentile(Result_Both,$B76),NA())</f>
        <v>1.5342139843638876</v>
      </c>
      <c r="H76" s="61" cm="1">
        <f t="array" aca="1" ref="H76" ca="1">IF(ISNUMBER(_xll.VoseSimPercentile(Out_Gross,$B76)),_xll.VoseSimPercentile(Out_Gross,$B76),NA())</f>
        <v>27.705386016131197</v>
      </c>
    </row>
    <row r="77" spans="2:8" hidden="1" outlineLevel="1" x14ac:dyDescent="0.45">
      <c r="B77" s="60">
        <v>0.49</v>
      </c>
      <c r="C77" s="60">
        <f t="shared" si="0"/>
        <v>0.51</v>
      </c>
      <c r="D77" s="61" cm="1">
        <f t="array" aca="1" ref="D77" ca="1">IF(ISNUMBER(_xll.VoseSimPercentile(Result_None,$B77)),_xll.VoseSimPercentile(Result_None,$B77),NA())</f>
        <v>5.079485532570942</v>
      </c>
      <c r="E77" s="61" cm="1">
        <f t="array" aca="1" ref="E77" ca="1">IF(ISNUMBER(_xll.VoseSimPercentile(Result_XoL,$B77)),_xll.VoseSimPercentile(Result_XoL,$B77),NA())</f>
        <v>2.2303808208278078</v>
      </c>
      <c r="F77" s="61" cm="1">
        <f t="array" aca="1" ref="F77" ca="1">IF(ISNUMBER(_xll.VoseSimPercentile(Result_QS,$B77)),_xll.VoseSimPercentile(Result_QS,$B77),NA())</f>
        <v>4.1856398727996549</v>
      </c>
      <c r="G77" s="61" cm="1">
        <f t="array" aca="1" ref="G77" ca="1">IF(ISNUMBER(_xll.VoseSimPercentile(Result_Both,$B77)),_xll.VoseSimPercentile(Result_Both,$B77),NA())</f>
        <v>1.7032002033851263</v>
      </c>
      <c r="H77" s="61" cm="1">
        <f t="array" aca="1" ref="H77" ca="1">IF(ISNUMBER(_xll.VoseSimPercentile(Out_Gross,$B77)),_xll.VoseSimPercentile(Out_Gross,$B77),NA())</f>
        <v>28.127249138005375</v>
      </c>
    </row>
    <row r="78" spans="2:8" hidden="1" outlineLevel="1" x14ac:dyDescent="0.45">
      <c r="B78" s="60">
        <v>0.51</v>
      </c>
      <c r="C78" s="60">
        <f t="shared" si="0"/>
        <v>0.49</v>
      </c>
      <c r="D78" s="61" cm="1">
        <f t="array" aca="1" ref="D78" ca="1">IF(ISNUMBER(_xll.VoseSimPercentile(Result_None,$B78)),_xll.VoseSimPercentile(Result_None,$B78),NA())</f>
        <v>5.4725581115583282</v>
      </c>
      <c r="E78" s="61" cm="1">
        <f t="array" aca="1" ref="E78" ca="1">IF(ISNUMBER(_xll.VoseSimPercentile(Result_XoL,$B78)),_xll.VoseSimPercentile(Result_XoL,$B78),NA())</f>
        <v>2.4795898870366564</v>
      </c>
      <c r="F78" s="61" cm="1">
        <f t="array" aca="1" ref="F78" ca="1">IF(ISNUMBER(_xll.VoseSimPercentile(Result_QS,$B78)),_xll.VoseSimPercentile(Result_QS,$B78),NA())</f>
        <v>4.4607906780908273</v>
      </c>
      <c r="G78" s="61" cm="1">
        <f t="array" aca="1" ref="G78" ca="1">IF(ISNUMBER(_xll.VoseSimPercentile(Result_Both,$B78)),_xll.VoseSimPercentile(Result_Both,$B78),NA())</f>
        <v>1.8776465497313204</v>
      </c>
      <c r="H78" s="61" cm="1">
        <f t="array" aca="1" ref="H78" ca="1">IF(ISNUMBER(_xll.VoseSimPercentile(Out_Gross,$B78)),_xll.VoseSimPercentile(Out_Gross,$B78),NA())</f>
        <v>28.520370436325106</v>
      </c>
    </row>
    <row r="79" spans="2:8" hidden="1" outlineLevel="1" x14ac:dyDescent="0.45">
      <c r="B79" s="60">
        <v>0.53</v>
      </c>
      <c r="C79" s="60">
        <f t="shared" si="0"/>
        <v>0.47</v>
      </c>
      <c r="D79" s="61" cm="1">
        <f t="array" aca="1" ref="D79" ca="1">IF(ISNUMBER(_xll.VoseSimPercentile(Result_None,$B79)),_xll.VoseSimPercentile(Result_None,$B79),NA())</f>
        <v>5.8945960244746161</v>
      </c>
      <c r="E79" s="61" cm="1">
        <f t="array" aca="1" ref="E79" ca="1">IF(ISNUMBER(_xll.VoseSimPercentile(Result_XoL,$B79)),_xll.VoseSimPercentile(Result_XoL,$B79),NA())</f>
        <v>2.7447818451161474</v>
      </c>
      <c r="F79" s="61" cm="1">
        <f t="array" aca="1" ref="F79" ca="1">IF(ISNUMBER(_xll.VoseSimPercentile(Result_QS,$B79)),_xll.VoseSimPercentile(Result_QS,$B79),NA())</f>
        <v>4.7562172171322281</v>
      </c>
      <c r="G79" s="61" cm="1">
        <f t="array" aca="1" ref="G79" ca="1">IF(ISNUMBER(_xll.VoseSimPercentile(Result_Both,$B79)),_xll.VoseSimPercentile(Result_Both,$B79),NA())</f>
        <v>2.0632809203869655</v>
      </c>
      <c r="H79" s="61" cm="1">
        <f t="array" aca="1" ref="H79" ca="1">IF(ISNUMBER(_xll.VoseSimPercentile(Out_Gross,$B79)),_xll.VoseSimPercentile(Out_Gross,$B79),NA())</f>
        <v>28.904764572927085</v>
      </c>
    </row>
    <row r="80" spans="2:8" hidden="1" outlineLevel="1" x14ac:dyDescent="0.45">
      <c r="B80" s="60">
        <v>0.55000000000000004</v>
      </c>
      <c r="C80" s="60">
        <f t="shared" si="0"/>
        <v>0.44999999999999996</v>
      </c>
      <c r="D80" s="61" cm="1">
        <f t="array" aca="1" ref="D80" ca="1">IF(ISNUMBER(_xll.VoseSimPercentile(Result_None,$B80)),_xll.VoseSimPercentile(Result_None,$B80),NA())</f>
        <v>6.2633055669502191</v>
      </c>
      <c r="E80" s="61" cm="1">
        <f t="array" aca="1" ref="E80" ca="1">IF(ISNUMBER(_xll.VoseSimPercentile(Result_XoL,$B80)),_xll.VoseSimPercentile(Result_XoL,$B80),NA())</f>
        <v>3.0155889683672612</v>
      </c>
      <c r="F80" s="61" cm="1">
        <f t="array" aca="1" ref="F80" ca="1">IF(ISNUMBER(_xll.VoseSimPercentile(Result_QS,$B80)),_xll.VoseSimPercentile(Result_QS,$B80),NA())</f>
        <v>5.0143138968651506</v>
      </c>
      <c r="G80" s="61" cm="1">
        <f t="array" aca="1" ref="G80" ca="1">IF(ISNUMBER(_xll.VoseSimPercentile(Result_Both,$B80)),_xll.VoseSimPercentile(Result_Both,$B80),NA())</f>
        <v>2.252845906662742</v>
      </c>
      <c r="H80" s="61" cm="1">
        <f t="array" aca="1" ref="H80" ca="1">IF(ISNUMBER(_xll.VoseSimPercentile(Out_Gross,$B80)),_xll.VoseSimPercentile(Out_Gross,$B80),NA())</f>
        <v>29.37171798252847</v>
      </c>
    </row>
    <row r="81" spans="2:8" hidden="1" outlineLevel="1" x14ac:dyDescent="0.45">
      <c r="B81" s="60">
        <v>0.56999999999999995</v>
      </c>
      <c r="C81" s="60">
        <f t="shared" si="0"/>
        <v>0.43000000000000005</v>
      </c>
      <c r="D81" s="61" cm="1">
        <f t="array" aca="1" ref="D81" ca="1">IF(ISNUMBER(_xll.VoseSimPercentile(Result_None,$B81)),_xll.VoseSimPercentile(Result_None,$B81),NA())</f>
        <v>6.6164578424513358</v>
      </c>
      <c r="E81" s="61" cm="1">
        <f t="array" aca="1" ref="E81" ca="1">IF(ISNUMBER(_xll.VoseSimPercentile(Result_XoL,$B81)),_xll.VoseSimPercentile(Result_XoL,$B81),NA())</f>
        <v>3.2819531180653421</v>
      </c>
      <c r="F81" s="61" cm="1">
        <f t="array" aca="1" ref="F81" ca="1">IF(ISNUMBER(_xll.VoseSimPercentile(Result_QS,$B81)),_xll.VoseSimPercentile(Result_QS,$B81),NA())</f>
        <v>5.2615204897159344</v>
      </c>
      <c r="G81" s="61" cm="1">
        <f t="array" aca="1" ref="G81" ca="1">IF(ISNUMBER(_xll.VoseSimPercentile(Result_Both,$B81)),_xll.VoseSimPercentile(Result_Both,$B81),NA())</f>
        <v>2.4393008114513997</v>
      </c>
      <c r="H81" s="61" cm="1">
        <f t="array" aca="1" ref="H81" ca="1">IF(ISNUMBER(_xll.VoseSimPercentile(Out_Gross,$B81)),_xll.VoseSimPercentile(Out_Gross,$B81),NA())</f>
        <v>29.793030979360914</v>
      </c>
    </row>
    <row r="82" spans="2:8" hidden="1" outlineLevel="1" x14ac:dyDescent="0.45">
      <c r="B82" s="60">
        <v>0.59</v>
      </c>
      <c r="C82" s="60">
        <f t="shared" si="0"/>
        <v>0.41000000000000003</v>
      </c>
      <c r="D82" s="61" cm="1">
        <f t="array" aca="1" ref="D82" ca="1">IF(ISNUMBER(_xll.VoseSimPercentile(Result_None,$B82)),_xll.VoseSimPercentile(Result_None,$B82),NA())</f>
        <v>6.9941248804649092</v>
      </c>
      <c r="E82" s="61" cm="1">
        <f t="array" aca="1" ref="E82" ca="1">IF(ISNUMBER(_xll.VoseSimPercentile(Result_XoL,$B82)),_xll.VoseSimPercentile(Result_XoL,$B82),NA())</f>
        <v>3.5610714358537052</v>
      </c>
      <c r="F82" s="61" cm="1">
        <f t="array" aca="1" ref="F82" ca="1">IF(ISNUMBER(_xll.VoseSimPercentile(Result_QS,$B82)),_xll.VoseSimPercentile(Result_QS,$B82),NA())</f>
        <v>5.5258874163254319</v>
      </c>
      <c r="G82" s="61" cm="1">
        <f t="array" aca="1" ref="G82" ca="1">IF(ISNUMBER(_xll.VoseSimPercentile(Result_Both,$B82)),_xll.VoseSimPercentile(Result_Both,$B82),NA())</f>
        <v>2.6346836339032542</v>
      </c>
      <c r="H82" s="61" cm="1">
        <f t="array" aca="1" ref="H82" ca="1">IF(ISNUMBER(_xll.VoseSimPercentile(Out_Gross,$B82)),_xll.VoseSimPercentile(Out_Gross,$B82),NA())</f>
        <v>30.189582023361925</v>
      </c>
    </row>
    <row r="83" spans="2:8" hidden="1" outlineLevel="1" x14ac:dyDescent="0.45">
      <c r="B83" s="60">
        <v>0.61</v>
      </c>
      <c r="C83" s="60">
        <f t="shared" si="0"/>
        <v>0.39</v>
      </c>
      <c r="D83" s="61" cm="1">
        <f t="array" aca="1" ref="D83" ca="1">IF(ISNUMBER(_xll.VoseSimPercentile(Result_None,$B83)),_xll.VoseSimPercentile(Result_None,$B83),NA())</f>
        <v>7.3727831957370036</v>
      </c>
      <c r="E83" s="61" cm="1">
        <f t="array" aca="1" ref="E83" ca="1">IF(ISNUMBER(_xll.VoseSimPercentile(Result_XoL,$B83)),_xll.VoseSimPercentile(Result_XoL,$B83),NA())</f>
        <v>3.8082132501600121</v>
      </c>
      <c r="F83" s="61" cm="1">
        <f t="array" aca="1" ref="F83" ca="1">IF(ISNUMBER(_xll.VoseSimPercentile(Result_QS,$B83)),_xll.VoseSimPercentile(Result_QS,$B83),NA())</f>
        <v>5.7909482370159004</v>
      </c>
      <c r="G83" s="61" cm="1">
        <f t="array" aca="1" ref="G83" ca="1">IF(ISNUMBER(_xll.VoseSimPercentile(Result_Both,$B83)),_xll.VoseSimPercentile(Result_Both,$B83),NA())</f>
        <v>2.8076829039176694</v>
      </c>
      <c r="H83" s="61" cm="1">
        <f t="array" aca="1" ref="H83" ca="1">IF(ISNUMBER(_xll.VoseSimPercentile(Out_Gross,$B83)),_xll.VoseSimPercentile(Out_Gross,$B83),NA())</f>
        <v>30.632414771662599</v>
      </c>
    </row>
    <row r="84" spans="2:8" hidden="1" outlineLevel="1" x14ac:dyDescent="0.45">
      <c r="B84" s="60">
        <v>0.63</v>
      </c>
      <c r="C84" s="60">
        <f t="shared" si="0"/>
        <v>0.37</v>
      </c>
      <c r="D84" s="61" cm="1">
        <f t="array" aca="1" ref="D84" ca="1">IF(ISNUMBER(_xll.VoseSimPercentile(Result_None,$B84)),_xll.VoseSimPercentile(Result_None,$B84),NA())</f>
        <v>7.774923657636748</v>
      </c>
      <c r="E84" s="61" cm="1">
        <f t="array" aca="1" ref="E84" ca="1">IF(ISNUMBER(_xll.VoseSimPercentile(Result_XoL,$B84)),_xll.VoseSimPercentile(Result_XoL,$B84),NA())</f>
        <v>4.0819144001080367</v>
      </c>
      <c r="F84" s="61" cm="1">
        <f t="array" aca="1" ref="F84" ca="1">IF(ISNUMBER(_xll.VoseSimPercentile(Result_QS,$B84)),_xll.VoseSimPercentile(Result_QS,$B84),NA())</f>
        <v>6.0724465603457212</v>
      </c>
      <c r="G84" s="61" cm="1">
        <f t="array" aca="1" ref="G84" ca="1">IF(ISNUMBER(_xll.VoseSimPercentile(Result_Both,$B84)),_xll.VoseSimPercentile(Result_Both,$B84),NA())</f>
        <v>2.9992737088812866</v>
      </c>
      <c r="H84" s="61" cm="1">
        <f t="array" aca="1" ref="H84" ca="1">IF(ISNUMBER(_xll.VoseSimPercentile(Out_Gross,$B84)),_xll.VoseSimPercentile(Out_Gross,$B84),NA())</f>
        <v>31.119454485587742</v>
      </c>
    </row>
    <row r="85" spans="2:8" hidden="1" outlineLevel="1" x14ac:dyDescent="0.45">
      <c r="B85" s="60">
        <v>0.65</v>
      </c>
      <c r="C85" s="60">
        <f t="shared" ref="C85:C116" si="1">1-B85</f>
        <v>0.35</v>
      </c>
      <c r="D85" s="61" cm="1">
        <f t="array" aca="1" ref="D85" ca="1">IF(ISNUMBER(_xll.VoseSimPercentile(Result_None,$B85)),_xll.VoseSimPercentile(Result_None,$B85),NA())</f>
        <v>8.1511472663729201</v>
      </c>
      <c r="E85" s="61" cm="1">
        <f t="array" aca="1" ref="E85" ca="1">IF(ISNUMBER(_xll.VoseSimPercentile(Result_XoL,$B85)),_xll.VoseSimPercentile(Result_XoL,$B85),NA())</f>
        <v>4.3750748130515298</v>
      </c>
      <c r="F85" s="61" cm="1">
        <f t="array" aca="1" ref="F85" ca="1">IF(ISNUMBER(_xll.VoseSimPercentile(Result_QS,$B85)),_xll.VoseSimPercentile(Result_QS,$B85),NA())</f>
        <v>6.3358030864610413</v>
      </c>
      <c r="G85" s="61" cm="1">
        <f t="array" aca="1" ref="G85" ca="1">IF(ISNUMBER(_xll.VoseSimPercentile(Result_Both,$B85)),_xll.VoseSimPercentile(Result_Both,$B85),NA())</f>
        <v>3.2044859979417311</v>
      </c>
      <c r="H85" s="61" cm="1">
        <f t="array" aca="1" ref="H85" ca="1">IF(ISNUMBER(_xll.VoseSimPercentile(Out_Gross,$B85)),_xll.VoseSimPercentile(Out_Gross,$B85),NA())</f>
        <v>31.579533628351005</v>
      </c>
    </row>
    <row r="86" spans="2:8" hidden="1" outlineLevel="1" x14ac:dyDescent="0.45">
      <c r="B86" s="60">
        <v>0.67</v>
      </c>
      <c r="C86" s="60">
        <f t="shared" si="1"/>
        <v>0.32999999999999996</v>
      </c>
      <c r="D86" s="61" cm="1">
        <f t="array" aca="1" ref="D86" ca="1">IF(ISNUMBER(_xll.VoseSimPercentile(Result_None,$B86)),_xll.VoseSimPercentile(Result_None,$B86),NA())</f>
        <v>8.51020009930199</v>
      </c>
      <c r="E86" s="61" cm="1">
        <f t="array" aca="1" ref="E86" ca="1">IF(ISNUMBER(_xll.VoseSimPercentile(Result_XoL,$B86)),_xll.VoseSimPercentile(Result_XoL,$B86),NA())</f>
        <v>4.6026128617679092</v>
      </c>
      <c r="F86" s="61" cm="1">
        <f t="array" aca="1" ref="F86" ca="1">IF(ISNUMBER(_xll.VoseSimPercentile(Result_QS,$B86)),_xll.VoseSimPercentile(Result_QS,$B86),NA())</f>
        <v>6.587140069511392</v>
      </c>
      <c r="G86" s="61" cm="1">
        <f t="array" aca="1" ref="G86" ca="1">IF(ISNUMBER(_xll.VoseSimPercentile(Result_Both,$B86)),_xll.VoseSimPercentile(Result_Both,$B86),NA())</f>
        <v>3.3637626320431959</v>
      </c>
      <c r="H86" s="61" cm="1">
        <f t="array" aca="1" ref="H86" ca="1">IF(ISNUMBER(_xll.VoseSimPercentile(Out_Gross,$B86)),_xll.VoseSimPercentile(Out_Gross,$B86),NA())</f>
        <v>32.005708201692528</v>
      </c>
    </row>
    <row r="87" spans="2:8" hidden="1" outlineLevel="1" x14ac:dyDescent="0.45">
      <c r="B87" s="60">
        <v>0.69</v>
      </c>
      <c r="C87" s="60">
        <f t="shared" si="1"/>
        <v>0.31000000000000005</v>
      </c>
      <c r="D87" s="61" cm="1">
        <f t="array" aca="1" ref="D87" ca="1">IF(ISNUMBER(_xll.VoseSimPercentile(Result_None,$B87)),_xll.VoseSimPercentile(Result_None,$B87),NA())</f>
        <v>8.9054987274800403</v>
      </c>
      <c r="E87" s="61" cm="1">
        <f t="array" aca="1" ref="E87" ca="1">IF(ISNUMBER(_xll.VoseSimPercentile(Result_XoL,$B87)),_xll.VoseSimPercentile(Result_XoL,$B87),NA())</f>
        <v>4.8996870185331396</v>
      </c>
      <c r="F87" s="61" cm="1">
        <f t="array" aca="1" ref="F87" ca="1">IF(ISNUMBER(_xll.VoseSimPercentile(Result_QS,$B87)),_xll.VoseSimPercentile(Result_QS,$B87),NA())</f>
        <v>6.8638491092360248</v>
      </c>
      <c r="G87" s="61" cm="1">
        <f t="array" aca="1" ref="G87" ca="1">IF(ISNUMBER(_xll.VoseSimPercentile(Result_Both,$B87)),_xll.VoseSimPercentile(Result_Both,$B87),NA())</f>
        <v>3.5717145417788601</v>
      </c>
      <c r="H87" s="61" cm="1">
        <f t="array" aca="1" ref="H87" ca="1">IF(ISNUMBER(_xll.VoseSimPercentile(Out_Gross,$B87)),_xll.VoseSimPercentile(Out_Gross,$B87),NA())</f>
        <v>32.507965954893031</v>
      </c>
    </row>
    <row r="88" spans="2:8" hidden="1" outlineLevel="1" x14ac:dyDescent="0.45">
      <c r="B88" s="60">
        <v>0.71</v>
      </c>
      <c r="C88" s="60">
        <f t="shared" si="1"/>
        <v>0.29000000000000004</v>
      </c>
      <c r="D88" s="61" cm="1">
        <f t="array" aca="1" ref="D88" ca="1">IF(ISNUMBER(_xll.VoseSimPercentile(Result_None,$B88)),_xll.VoseSimPercentile(Result_None,$B88),NA())</f>
        <v>9.2732873014742658</v>
      </c>
      <c r="E88" s="61" cm="1">
        <f t="array" aca="1" ref="E88" ca="1">IF(ISNUMBER(_xll.VoseSimPercentile(Result_XoL,$B88)),_xll.VoseSimPercentile(Result_XoL,$B88),NA())</f>
        <v>5.1901770005601442</v>
      </c>
      <c r="F88" s="61" cm="1">
        <f t="array" aca="1" ref="F88" ca="1">IF(ISNUMBER(_xll.VoseSimPercentile(Result_QS,$B88)),_xll.VoseSimPercentile(Result_QS,$B88),NA())</f>
        <v>7.1213011110319826</v>
      </c>
      <c r="G88" s="61" cm="1">
        <f t="array" aca="1" ref="G88" ca="1">IF(ISNUMBER(_xll.VoseSimPercentile(Result_Both,$B88)),_xll.VoseSimPercentile(Result_Both,$B88),NA())</f>
        <v>3.7750575291977615</v>
      </c>
      <c r="H88" s="61" cm="1">
        <f t="array" aca="1" ref="H88" ca="1">IF(ISNUMBER(_xll.VoseSimPercentile(Out_Gross,$B88)),_xll.VoseSimPercentile(Out_Gross,$B88),NA())</f>
        <v>33.055385173851775</v>
      </c>
    </row>
    <row r="89" spans="2:8" hidden="1" outlineLevel="1" x14ac:dyDescent="0.45">
      <c r="B89" s="60">
        <v>0.73</v>
      </c>
      <c r="C89" s="60">
        <f t="shared" si="1"/>
        <v>0.27</v>
      </c>
      <c r="D89" s="61" cm="1">
        <f t="array" aca="1" ref="D89" ca="1">IF(ISNUMBER(_xll.VoseSimPercentile(Result_None,$B89)),_xll.VoseSimPercentile(Result_None,$B89),NA())</f>
        <v>9.6622767464115498</v>
      </c>
      <c r="E89" s="61" cm="1">
        <f t="array" aca="1" ref="E89" ca="1">IF(ISNUMBER(_xll.VoseSimPercentile(Result_XoL,$B89)),_xll.VoseSimPercentile(Result_XoL,$B89),NA())</f>
        <v>5.4649209827886835</v>
      </c>
      <c r="F89" s="61" cm="1">
        <f t="array" aca="1" ref="F89" ca="1">IF(ISNUMBER(_xll.VoseSimPercentile(Result_QS,$B89)),_xll.VoseSimPercentile(Result_QS,$B89),NA())</f>
        <v>7.393593722488081</v>
      </c>
      <c r="G89" s="61" cm="1">
        <f t="array" aca="1" ref="G89" ca="1">IF(ISNUMBER(_xll.VoseSimPercentile(Result_Both,$B89)),_xll.VoseSimPercentile(Result_Both,$B89),NA())</f>
        <v>3.9673783167577401</v>
      </c>
      <c r="H89" s="61" cm="1">
        <f t="array" aca="1" ref="H89" ca="1">IF(ISNUMBER(_xll.VoseSimPercentile(Out_Gross,$B89)),_xll.VoseSimPercentile(Out_Gross,$B89),NA())</f>
        <v>33.553498044586007</v>
      </c>
    </row>
    <row r="90" spans="2:8" hidden="1" outlineLevel="1" x14ac:dyDescent="0.45">
      <c r="B90" s="60">
        <v>0.75</v>
      </c>
      <c r="C90" s="60">
        <f t="shared" si="1"/>
        <v>0.25</v>
      </c>
      <c r="D90" s="61" cm="1">
        <f t="array" aca="1" ref="D90" ca="1">IF(ISNUMBER(_xll.VoseSimPercentile(Result_None,$B90)),_xll.VoseSimPercentile(Result_None,$B90),NA())</f>
        <v>10.090623248372431</v>
      </c>
      <c r="E90" s="61" cm="1">
        <f t="array" aca="1" ref="E90" ca="1">IF(ISNUMBER(_xll.VoseSimPercentile(Result_XoL,$B90)),_xll.VoseSimPercentile(Result_XoL,$B90),NA())</f>
        <v>5.7559318411190183</v>
      </c>
      <c r="F90" s="61" cm="1">
        <f t="array" aca="1" ref="F90" ca="1">IF(ISNUMBER(_xll.VoseSimPercentile(Result_QS,$B90)),_xll.VoseSimPercentile(Result_QS,$B90),NA())</f>
        <v>7.6934362738606978</v>
      </c>
      <c r="G90" s="61" cm="1">
        <f t="array" aca="1" ref="G90" ca="1">IF(ISNUMBER(_xll.VoseSimPercentile(Result_Both,$B90)),_xll.VoseSimPercentile(Result_Both,$B90),NA())</f>
        <v>4.1710859175889752</v>
      </c>
      <c r="H90" s="61" cm="1">
        <f t="array" aca="1" ref="H90" ca="1">IF(ISNUMBER(_xll.VoseSimPercentile(Out_Gross,$B90)),_xll.VoseSimPercentile(Out_Gross,$B90),NA())</f>
        <v>34.194579539203069</v>
      </c>
    </row>
    <row r="91" spans="2:8" hidden="1" outlineLevel="1" x14ac:dyDescent="0.45">
      <c r="B91" s="60">
        <v>0.77</v>
      </c>
      <c r="C91" s="60">
        <f t="shared" si="1"/>
        <v>0.22999999999999998</v>
      </c>
      <c r="D91" s="61" cm="1">
        <f t="array" aca="1" ref="D91" ca="1">IF(ISNUMBER(_xll.VoseSimPercentile(Result_None,$B91)),_xll.VoseSimPercentile(Result_None,$B91),NA())</f>
        <v>10.468679818362261</v>
      </c>
      <c r="E91" s="61" cm="1">
        <f t="array" aca="1" ref="E91" ca="1">IF(ISNUMBER(_xll.VoseSimPercentile(Result_XoL,$B91)),_xll.VoseSimPercentile(Result_XoL,$B91),NA())</f>
        <v>6.0541814942906171</v>
      </c>
      <c r="F91" s="61" cm="1">
        <f t="array" aca="1" ref="F91" ca="1">IF(ISNUMBER(_xll.VoseSimPercentile(Result_QS,$B91)),_xll.VoseSimPercentile(Result_QS,$B91),NA())</f>
        <v>7.9580758728535805</v>
      </c>
      <c r="G91" s="61" cm="1">
        <f t="array" aca="1" ref="G91" ca="1">IF(ISNUMBER(_xll.VoseSimPercentile(Result_Both,$B91)),_xll.VoseSimPercentile(Result_Both,$B91),NA())</f>
        <v>4.3798606748090947</v>
      </c>
      <c r="H91" s="61" cm="1">
        <f t="array" aca="1" ref="H91" ca="1">IF(ISNUMBER(_xll.VoseSimPercentile(Out_Gross,$B91)),_xll.VoseSimPercentile(Out_Gross,$B91),NA())</f>
        <v>34.863787864803072</v>
      </c>
    </row>
    <row r="92" spans="2:8" hidden="1" outlineLevel="1" x14ac:dyDescent="0.45">
      <c r="B92" s="60">
        <v>0.79</v>
      </c>
      <c r="C92" s="60">
        <f t="shared" si="1"/>
        <v>0.20999999999999996</v>
      </c>
      <c r="D92" s="61" cm="1">
        <f t="array" aca="1" ref="D92" ca="1">IF(ISNUMBER(_xll.VoseSimPercentile(Result_None,$B92)),_xll.VoseSimPercentile(Result_None,$B92),NA())</f>
        <v>10.904674872735558</v>
      </c>
      <c r="E92" s="61" cm="1">
        <f t="array" aca="1" ref="E92" ca="1">IF(ISNUMBER(_xll.VoseSimPercentile(Result_XoL,$B92)),_xll.VoseSimPercentile(Result_XoL,$B92),NA())</f>
        <v>6.3907284671439974</v>
      </c>
      <c r="F92" s="61" cm="1">
        <f t="array" aca="1" ref="F92" ca="1">IF(ISNUMBER(_xll.VoseSimPercentile(Result_QS,$B92)),_xll.VoseSimPercentile(Result_QS,$B92),NA())</f>
        <v>8.2632724109148885</v>
      </c>
      <c r="G92" s="61" cm="1">
        <f t="array" aca="1" ref="G92" ca="1">IF(ISNUMBER(_xll.VoseSimPercentile(Result_Both,$B92)),_xll.VoseSimPercentile(Result_Both,$B92),NA())</f>
        <v>4.6154435558064595</v>
      </c>
      <c r="H92" s="61" cm="1">
        <f t="array" aca="1" ref="H92" ca="1">IF(ISNUMBER(_xll.VoseSimPercentile(Out_Gross,$B92)),_xll.VoseSimPercentile(Out_Gross,$B92),NA())</f>
        <v>35.556232492025877</v>
      </c>
    </row>
    <row r="93" spans="2:8" hidden="1" outlineLevel="1" x14ac:dyDescent="0.45">
      <c r="B93" s="60">
        <v>0.81</v>
      </c>
      <c r="C93" s="60">
        <f t="shared" si="1"/>
        <v>0.18999999999999995</v>
      </c>
      <c r="D93" s="61" cm="1">
        <f t="array" aca="1" ref="D93" ca="1">IF(ISNUMBER(_xll.VoseSimPercentile(Result_None,$B93)),_xll.VoseSimPercentile(Result_None,$B93),NA())</f>
        <v>11.357499506337977</v>
      </c>
      <c r="E93" s="61" cm="1">
        <f t="array" aca="1" ref="E93" ca="1">IF(ISNUMBER(_xll.VoseSimPercentile(Result_XoL,$B93)),_xll.VoseSimPercentile(Result_XoL,$B93),NA())</f>
        <v>6.7171303234061313</v>
      </c>
      <c r="F93" s="61" cm="1">
        <f t="array" aca="1" ref="F93" ca="1">IF(ISNUMBER(_xll.VoseSimPercentile(Result_QS,$B93)),_xll.VoseSimPercentile(Result_QS,$B93),NA())</f>
        <v>8.5802496544365816</v>
      </c>
      <c r="G93" s="61" cm="1">
        <f t="array" aca="1" ref="G93" ca="1">IF(ISNUMBER(_xll.VoseSimPercentile(Result_Both,$B93)),_xll.VoseSimPercentile(Result_Both,$B93),NA())</f>
        <v>4.8439248551899521</v>
      </c>
      <c r="H93" s="61" cm="1">
        <f t="array" aca="1" ref="H93" ca="1">IF(ISNUMBER(_xll.VoseSimPercentile(Out_Gross,$B93)),_xll.VoseSimPercentile(Out_Gross,$B93),NA())</f>
        <v>36.354996290766969</v>
      </c>
    </row>
    <row r="94" spans="2:8" hidden="1" outlineLevel="1" x14ac:dyDescent="0.45">
      <c r="B94" s="60">
        <v>0.83</v>
      </c>
      <c r="C94" s="60">
        <f t="shared" si="1"/>
        <v>0.17000000000000004</v>
      </c>
      <c r="D94" s="61" cm="1">
        <f t="array" aca="1" ref="D94" ca="1">IF(ISNUMBER(_xll.VoseSimPercentile(Result_None,$B94)),_xll.VoseSimPercentile(Result_None,$B94),NA())</f>
        <v>11.80582967607916</v>
      </c>
      <c r="E94" s="61" cm="1">
        <f t="array" aca="1" ref="E94" ca="1">IF(ISNUMBER(_xll.VoseSimPercentile(Result_XoL,$B94)),_xll.VoseSimPercentile(Result_XoL,$B94),NA())</f>
        <v>7.0516557129586879</v>
      </c>
      <c r="F94" s="61" cm="1">
        <f t="array" aca="1" ref="F94" ca="1">IF(ISNUMBER(_xll.VoseSimPercentile(Result_QS,$B94)),_xll.VoseSimPercentile(Result_QS,$B94),NA())</f>
        <v>8.8940807732554106</v>
      </c>
      <c r="G94" s="61" cm="1">
        <f t="array" aca="1" ref="G94" ca="1">IF(ISNUMBER(_xll.VoseSimPercentile(Result_Both,$B94)),_xll.VoseSimPercentile(Result_Both,$B94),NA())</f>
        <v>5.0780926278767424</v>
      </c>
      <c r="H94" s="61" cm="1">
        <f t="array" aca="1" ref="H94" ca="1">IF(ISNUMBER(_xll.VoseSimPercentile(Out_Gross,$B94)),_xll.VoseSimPercentile(Out_Gross,$B94),NA())</f>
        <v>37.157729913347346</v>
      </c>
    </row>
    <row r="95" spans="2:8" hidden="1" outlineLevel="1" x14ac:dyDescent="0.45">
      <c r="B95" s="60">
        <v>0.85</v>
      </c>
      <c r="C95" s="60">
        <f t="shared" si="1"/>
        <v>0.15000000000000002</v>
      </c>
      <c r="D95" s="61" cm="1">
        <f t="array" aca="1" ref="D95" ca="1">IF(ISNUMBER(_xll.VoseSimPercentile(Result_None,$B95)),_xll.VoseSimPercentile(Result_None,$B95),NA())</f>
        <v>12.301556215355529</v>
      </c>
      <c r="E95" s="61" cm="1">
        <f t="array" aca="1" ref="E95" ca="1">IF(ISNUMBER(_xll.VoseSimPercentile(Result_XoL,$B95)),_xll.VoseSimPercentile(Result_XoL,$B95),NA())</f>
        <v>7.4263184114099055</v>
      </c>
      <c r="F95" s="61" cm="1">
        <f t="array" aca="1" ref="F95" ca="1">IF(ISNUMBER(_xll.VoseSimPercentile(Result_QS,$B95)),_xll.VoseSimPercentile(Result_QS,$B95),NA())</f>
        <v>9.2410893507488687</v>
      </c>
      <c r="G95" s="61" cm="1">
        <f t="array" aca="1" ref="G95" ca="1">IF(ISNUMBER(_xll.VoseSimPercentile(Result_Both,$B95)),_xll.VoseSimPercentile(Result_Both,$B95),NA())</f>
        <v>5.3403565167925962</v>
      </c>
      <c r="H95" s="61" cm="1">
        <f t="array" aca="1" ref="H95" ca="1">IF(ISNUMBER(_xll.VoseSimPercentile(Out_Gross,$B95)),_xll.VoseSimPercentile(Out_Gross,$B95),NA())</f>
        <v>38.07809308702398</v>
      </c>
    </row>
    <row r="96" spans="2:8" hidden="1" outlineLevel="1" x14ac:dyDescent="0.45">
      <c r="B96" s="60">
        <v>0.87</v>
      </c>
      <c r="C96" s="60">
        <f t="shared" si="1"/>
        <v>0.13</v>
      </c>
      <c r="D96" s="61" cm="1">
        <f t="array" aca="1" ref="D96" ca="1">IF(ISNUMBER(_xll.VoseSimPercentile(Result_None,$B96)),_xll.VoseSimPercentile(Result_None,$B96),NA())</f>
        <v>12.808603763092229</v>
      </c>
      <c r="E96" s="61" cm="1">
        <f t="array" aca="1" ref="E96" ca="1">IF(ISNUMBER(_xll.VoseSimPercentile(Result_XoL,$B96)),_xll.VoseSimPercentile(Result_XoL,$B96),NA())</f>
        <v>7.833667933168023</v>
      </c>
      <c r="F96" s="61" cm="1">
        <f t="array" aca="1" ref="F96" ca="1">IF(ISNUMBER(_xll.VoseSimPercentile(Result_QS,$B96)),_xll.VoseSimPercentile(Result_QS,$B96),NA())</f>
        <v>9.5960226341645587</v>
      </c>
      <c r="G96" s="61" cm="1">
        <f t="array" aca="1" ref="G96" ca="1">IF(ISNUMBER(_xll.VoseSimPercentile(Result_Both,$B96)),_xll.VoseSimPercentile(Result_Both,$B96),NA())</f>
        <v>5.6255011820232781</v>
      </c>
      <c r="H96" s="61" cm="1">
        <f t="array" aca="1" ref="H96" ca="1">IF(ISNUMBER(_xll.VoseSimPercentile(Out_Gross,$B96)),_xll.VoseSimPercentile(Out_Gross,$B96),NA())</f>
        <v>39.028119854320238</v>
      </c>
    </row>
    <row r="97" spans="2:8" hidden="1" outlineLevel="1" x14ac:dyDescent="0.45">
      <c r="B97" s="60">
        <v>0.89</v>
      </c>
      <c r="C97" s="60">
        <f t="shared" si="1"/>
        <v>0.10999999999999999</v>
      </c>
      <c r="D97" s="61" cm="1">
        <f t="array" aca="1" ref="D97" ca="1">IF(ISNUMBER(_xll.VoseSimPercentile(Result_None,$B97)),_xll.VoseSimPercentile(Result_None,$B97),NA())</f>
        <v>13.406493198702456</v>
      </c>
      <c r="E97" s="61" cm="1">
        <f t="array" aca="1" ref="E97" ca="1">IF(ISNUMBER(_xll.VoseSimPercentile(Result_XoL,$B97)),_xll.VoseSimPercentile(Result_XoL,$B97),NA())</f>
        <v>8.3465043692686045</v>
      </c>
      <c r="F97" s="61" cm="1">
        <f t="array" aca="1" ref="F97" ca="1">IF(ISNUMBER(_xll.VoseSimPercentile(Result_QS,$B97)),_xll.VoseSimPercentile(Result_QS,$B97),NA())</f>
        <v>10.014545239091717</v>
      </c>
      <c r="G97" s="61" cm="1">
        <f t="array" aca="1" ref="G97" ca="1">IF(ISNUMBER(_xll.VoseSimPercentile(Result_Both,$B97)),_xll.VoseSimPercentile(Result_Both,$B97),NA())</f>
        <v>5.9844866872936837</v>
      </c>
      <c r="H97" s="61" cm="1">
        <f t="array" aca="1" ref="H97" ca="1">IF(ISNUMBER(_xll.VoseSimPercentile(Out_Gross,$B97)),_xll.VoseSimPercentile(Out_Gross,$B97),NA())</f>
        <v>40.466249380631034</v>
      </c>
    </row>
    <row r="98" spans="2:8" hidden="1" outlineLevel="1" x14ac:dyDescent="0.45">
      <c r="B98" s="60">
        <v>0.91</v>
      </c>
      <c r="C98" s="60">
        <f t="shared" si="1"/>
        <v>8.9999999999999969E-2</v>
      </c>
      <c r="D98" s="61" cm="1">
        <f t="array" aca="1" ref="D98" ca="1">IF(ISNUMBER(_xll.VoseSimPercentile(Result_None,$B98)),_xll.VoseSimPercentile(Result_None,$B98),NA())</f>
        <v>14.010255346612613</v>
      </c>
      <c r="E98" s="61" cm="1">
        <f t="array" aca="1" ref="E98" ca="1">IF(ISNUMBER(_xll.VoseSimPercentile(Result_XoL,$B98)),_xll.VoseSimPercentile(Result_XoL,$B98),NA())</f>
        <v>8.902500935062502</v>
      </c>
      <c r="F98" s="61" cm="1">
        <f t="array" aca="1" ref="F98" ca="1">IF(ISNUMBER(_xll.VoseSimPercentile(Result_QS,$B98)),_xll.VoseSimPercentile(Result_QS,$B98),NA())</f>
        <v>10.437178742628827</v>
      </c>
      <c r="G98" s="61" cm="1">
        <f t="array" aca="1" ref="G98" ca="1">IF(ISNUMBER(_xll.VoseSimPercentile(Result_Both,$B98)),_xll.VoseSimPercentile(Result_Both,$B98),NA())</f>
        <v>6.3736842833494158</v>
      </c>
      <c r="H98" s="61" cm="1">
        <f t="array" aca="1" ref="H98" ca="1">IF(ISNUMBER(_xll.VoseSimPercentile(Out_Gross,$B98)),_xll.VoseSimPercentile(Out_Gross,$B98),NA())</f>
        <v>41.965890040869297</v>
      </c>
    </row>
    <row r="99" spans="2:8" hidden="1" outlineLevel="1" x14ac:dyDescent="0.45">
      <c r="B99" s="60">
        <v>0.93</v>
      </c>
      <c r="C99" s="60">
        <f t="shared" si="1"/>
        <v>6.9999999999999951E-2</v>
      </c>
      <c r="D99" s="61" cm="1">
        <f t="array" aca="1" ref="D99" ca="1">IF(ISNUMBER(_xll.VoseSimPercentile(Result_None,$B99)),_xll.VoseSimPercentile(Result_None,$B99),NA())</f>
        <v>14.775725635440139</v>
      </c>
      <c r="E99" s="61" cm="1">
        <f t="array" aca="1" ref="E99" ca="1">IF(ISNUMBER(_xll.VoseSimPercentile(Result_XoL,$B99)),_xll.VoseSimPercentile(Result_XoL,$B99),NA())</f>
        <v>9.4626089813478593</v>
      </c>
      <c r="F99" s="61" cm="1">
        <f t="array" aca="1" ref="F99" ca="1">IF(ISNUMBER(_xll.VoseSimPercentile(Result_QS,$B99)),_xll.VoseSimPercentile(Result_QS,$B99),NA())</f>
        <v>10.973007944808096</v>
      </c>
      <c r="G99" s="61" cm="1">
        <f t="array" aca="1" ref="G99" ca="1">IF(ISNUMBER(_xll.VoseSimPercentile(Result_Both,$B99)),_xll.VoseSimPercentile(Result_Both,$B99),NA())</f>
        <v>6.7657599157491646</v>
      </c>
      <c r="H99" s="61" cm="1">
        <f t="array" aca="1" ref="H99" ca="1">IF(ISNUMBER(_xll.VoseSimPercentile(Out_Gross,$B99)),_xll.VoseSimPercentile(Out_Gross,$B99),NA())</f>
        <v>43.755392673318674</v>
      </c>
    </row>
    <row r="100" spans="2:8" hidden="1" outlineLevel="1" x14ac:dyDescent="0.45">
      <c r="B100" s="60">
        <v>0.95</v>
      </c>
      <c r="C100" s="60">
        <f t="shared" si="1"/>
        <v>5.0000000000000044E-2</v>
      </c>
      <c r="D100" s="61" cm="1">
        <f t="array" aca="1" ref="D100" ca="1">IF(ISNUMBER(_xll.VoseSimPercentile(Result_None,$B100)),_xll.VoseSimPercentile(Result_None,$B100),NA())</f>
        <v>15.666365039015403</v>
      </c>
      <c r="E100" s="61" cm="1">
        <f t="array" aca="1" ref="E100" ca="1">IF(ISNUMBER(_xll.VoseSimPercentile(Result_XoL,$B100)),_xll.VoseSimPercentile(Result_XoL,$B100),NA())</f>
        <v>10.159684229323936</v>
      </c>
      <c r="F100" s="61" cm="1">
        <f t="array" aca="1" ref="F100" ca="1">IF(ISNUMBER(_xll.VoseSimPercentile(Result_QS,$B100)),_xll.VoseSimPercentile(Result_QS,$B100),NA())</f>
        <v>11.596455527310781</v>
      </c>
      <c r="G100" s="61" cm="1">
        <f t="array" aca="1" ref="G100" ca="1">IF(ISNUMBER(_xll.VoseSimPercentile(Result_Both,$B100)),_xll.VoseSimPercentile(Result_Both,$B100),NA())</f>
        <v>7.2537125893324159</v>
      </c>
      <c r="H100" s="61" cm="1">
        <f t="array" aca="1" ref="H100" ca="1">IF(ISNUMBER(_xll.VoseSimPercentile(Out_Gross,$B100)),_xll.VoseSimPercentile(Out_Gross,$B100),NA())</f>
        <v>46.774878559324165</v>
      </c>
    </row>
    <row r="101" spans="2:8" hidden="1" outlineLevel="1" x14ac:dyDescent="0.45">
      <c r="B101" s="60">
        <v>0.97</v>
      </c>
      <c r="C101" s="60">
        <f t="shared" si="1"/>
        <v>3.0000000000000027E-2</v>
      </c>
      <c r="D101" s="61" cm="1">
        <f t="array" aca="1" ref="D101" ca="1">IF(ISNUMBER(_xll.VoseSimPercentile(Result_None,$B101)),_xll.VoseSimPercentile(Result_None,$B101),NA())</f>
        <v>16.869114699260301</v>
      </c>
      <c r="E101" s="61" cm="1">
        <f t="array" aca="1" ref="E101" ca="1">IF(ISNUMBER(_xll.VoseSimPercentile(Result_XoL,$B101)),_xll.VoseSimPercentile(Result_XoL,$B101),NA())</f>
        <v>11.122618696938348</v>
      </c>
      <c r="F101" s="61" cm="1">
        <f t="array" aca="1" ref="F101" ca="1">IF(ISNUMBER(_xll.VoseSimPercentile(Result_QS,$B101)),_xll.VoseSimPercentile(Result_QS,$B101),NA())</f>
        <v>12.438380289482208</v>
      </c>
      <c r="G101" s="61" cm="1">
        <f t="array" aca="1" ref="G101" ca="1">IF(ISNUMBER(_xll.VoseSimPercentile(Result_Both,$B101)),_xll.VoseSimPercentile(Result_Both,$B101),NA())</f>
        <v>7.9277667166625054</v>
      </c>
      <c r="H101" s="61" cm="1">
        <f t="array" aca="1" ref="H101" ca="1">IF(ISNUMBER(_xll.VoseSimPercentile(Out_Gross,$B101)),_xll.VoseSimPercentile(Out_Gross,$B101),NA())</f>
        <v>51.794089027590381</v>
      </c>
    </row>
    <row r="102" spans="2:8" hidden="1" outlineLevel="1" x14ac:dyDescent="0.45">
      <c r="B102" s="60">
        <v>0.99</v>
      </c>
      <c r="C102" s="60">
        <f t="shared" si="1"/>
        <v>1.0000000000000009E-2</v>
      </c>
      <c r="D102" s="61" cm="1">
        <f t="array" aca="1" ref="D102" ca="1">IF(ISNUMBER(_xll.VoseSimPercentile(Result_None,$B102)),_xll.VoseSimPercentile(Result_None,$B102),NA())</f>
        <v>18.644106304252112</v>
      </c>
      <c r="E102" s="61" cm="1">
        <f t="array" aca="1" ref="E102" ca="1">IF(ISNUMBER(_xll.VoseSimPercentile(Result_XoL,$B102)),_xll.VoseSimPercentile(Result_XoL,$B102),NA())</f>
        <v>12.678271925783203</v>
      </c>
      <c r="F102" s="61" cm="1">
        <f t="array" aca="1" ref="F102" ca="1">IF(ISNUMBER(_xll.VoseSimPercentile(Result_QS,$B102)),_xll.VoseSimPercentile(Result_QS,$B102),NA())</f>
        <v>13.680874412976475</v>
      </c>
      <c r="G102" s="61" cm="1">
        <f t="array" aca="1" ref="G102" ca="1">IF(ISNUMBER(_xll.VoseSimPercentile(Result_Both,$B102)),_xll.VoseSimPercentile(Result_Both,$B102),NA())</f>
        <v>9.0167239768539051</v>
      </c>
      <c r="H102" s="61" cm="1">
        <f t="array" aca="1" ref="H102" ca="1">IF(ISNUMBER(_xll.VoseSimPercentile(Out_Gross,$B102)),_xll.VoseSimPercentile(Out_Gross,$B102),NA())</f>
        <v>64.987072904938302</v>
      </c>
    </row>
    <row r="103" spans="2:8" hidden="1" outlineLevel="1" x14ac:dyDescent="0.45"/>
    <row r="104" spans="2:8" ht="18" hidden="1" customHeight="1" outlineLevel="1" x14ac:dyDescent="0.45">
      <c r="B104" s="23" t="s">
        <v>290</v>
      </c>
      <c r="C104" s="24" t="s">
        <v>154</v>
      </c>
      <c r="D104" s="5"/>
      <c r="E104" s="5"/>
      <c r="F104" s="5"/>
      <c r="G104" s="5"/>
    </row>
    <row r="105" spans="2:8" hidden="1" outlineLevel="1" x14ac:dyDescent="0.45">
      <c r="B105" s="62">
        <v>5.0000000000000001E-3</v>
      </c>
      <c r="C105" s="61" cm="1">
        <f t="array" aca="1" ref="C105" ca="1">IF(ISNUMBER(_xll.VoseSimPercentile(Out_Gross,0.005)),_xll.VoseSimPercentile(Out_Gross,0.005),NA())</f>
        <v>13.944995958191765</v>
      </c>
    </row>
    <row r="106" spans="2:8" hidden="1" outlineLevel="1" x14ac:dyDescent="0.45">
      <c r="B106" s="62">
        <v>0.01</v>
      </c>
      <c r="C106" s="61" cm="1">
        <f t="array" aca="1" ref="C106" ca="1">IF(ISNUMBER(_xll.VoseSimPercentile(Out_Gross,0.01)),_xll.VoseSimPercentile(Out_Gross,0.01),NA())</f>
        <v>14.955648391932343</v>
      </c>
    </row>
    <row r="107" spans="2:8" hidden="1" outlineLevel="1" x14ac:dyDescent="0.45">
      <c r="B107" s="62">
        <v>0.02</v>
      </c>
      <c r="C107" s="61" cm="1">
        <f t="array" aca="1" ref="C107" ca="1">IF(ISNUMBER(_xll.VoseSimPercentile(Out_Gross,0.02)),_xll.VoseSimPercentile(Out_Gross,0.02),NA())</f>
        <v>15.944472005795106</v>
      </c>
    </row>
    <row r="108" spans="2:8" hidden="1" outlineLevel="1" x14ac:dyDescent="0.45">
      <c r="B108" s="62">
        <v>0.03</v>
      </c>
      <c r="C108" s="61" cm="1">
        <f t="array" aca="1" ref="C108" ca="1">IF(ISNUMBER(_xll.VoseSimPercentile(Out_Gross,0.03)),_xll.VoseSimPercentile(Out_Gross,0.03),NA())</f>
        <v>16.725853016666502</v>
      </c>
    </row>
    <row r="109" spans="2:8" hidden="1" outlineLevel="1" x14ac:dyDescent="0.45">
      <c r="B109" s="62">
        <v>0.04</v>
      </c>
      <c r="C109" s="61" cm="1">
        <f t="array" aca="1" ref="C109" ca="1">IF(ISNUMBER(_xll.VoseSimPercentile(Out_Gross,0.04)),_xll.VoseSimPercentile(Out_Gross,0.04),NA())</f>
        <v>17.409515760986224</v>
      </c>
    </row>
    <row r="110" spans="2:8" hidden="1" outlineLevel="1" x14ac:dyDescent="0.45">
      <c r="B110" s="62">
        <v>0.05</v>
      </c>
      <c r="C110" s="61" cm="1">
        <f t="array" aca="1" ref="C110" ca="1">IF(ISNUMBER(_xll.VoseSimPercentile(Out_Gross,0.05)),_xll.VoseSimPercentile(Out_Gross,0.05),NA())</f>
        <v>17.92258791339523</v>
      </c>
    </row>
    <row r="111" spans="2:8" hidden="1" outlineLevel="1" x14ac:dyDescent="0.45">
      <c r="B111" s="62">
        <v>0.06</v>
      </c>
      <c r="C111" s="61" cm="1">
        <f t="array" aca="1" ref="C111" ca="1">IF(ISNUMBER(_xll.VoseSimPercentile(Out_Gross,0.06)),_xll.VoseSimPercentile(Out_Gross,0.06),NA())</f>
        <v>18.376013352551901</v>
      </c>
    </row>
    <row r="112" spans="2:8" hidden="1" outlineLevel="1" x14ac:dyDescent="0.45">
      <c r="B112" s="62">
        <v>7.0000000000000007E-2</v>
      </c>
      <c r="C112" s="61" cm="1">
        <f t="array" aca="1" ref="C112" ca="1">IF(ISNUMBER(_xll.VoseSimPercentile(Out_Gross,0.07)),_xll.VoseSimPercentile(Out_Gross,0.07),NA())</f>
        <v>18.823915692185292</v>
      </c>
    </row>
    <row r="113" spans="2:3" hidden="1" outlineLevel="1" x14ac:dyDescent="0.45">
      <c r="B113" s="62">
        <v>0.08</v>
      </c>
      <c r="C113" s="61" cm="1">
        <f t="array" aca="1" ref="C113" ca="1">IF(ISNUMBER(_xll.VoseSimPercentile(Out_Gross,0.08)),_xll.VoseSimPercentile(Out_Gross,0.08),NA())</f>
        <v>19.220435535181156</v>
      </c>
    </row>
    <row r="114" spans="2:3" hidden="1" outlineLevel="1" x14ac:dyDescent="0.45">
      <c r="B114" s="62">
        <v>0.09</v>
      </c>
      <c r="C114" s="61" cm="1">
        <f t="array" aca="1" ref="C114" ca="1">IF(ISNUMBER(_xll.VoseSimPercentile(Out_Gross,0.09)),_xll.VoseSimPercentile(Out_Gross,0.09),NA())</f>
        <v>19.588813606750662</v>
      </c>
    </row>
    <row r="115" spans="2:3" hidden="1" outlineLevel="1" x14ac:dyDescent="0.45">
      <c r="B115" s="62">
        <v>0.1</v>
      </c>
      <c r="C115" s="61" cm="1">
        <f t="array" aca="1" ref="C115" ca="1">IF(ISNUMBER(_xll.VoseSimPercentile(Out_Gross,0.1)),_xll.VoseSimPercentile(Out_Gross,0.1),NA())</f>
        <v>19.908425058743912</v>
      </c>
    </row>
    <row r="116" spans="2:3" hidden="1" outlineLevel="1" x14ac:dyDescent="0.45">
      <c r="B116" s="62">
        <v>0.11</v>
      </c>
      <c r="C116" s="61" cm="1">
        <f t="array" aca="1" ref="C116" ca="1">IF(ISNUMBER(_xll.VoseSimPercentile(Out_Gross,0.11)),_xll.VoseSimPercentile(Out_Gross,0.11),NA())</f>
        <v>20.189636418794418</v>
      </c>
    </row>
    <row r="117" spans="2:3" hidden="1" outlineLevel="1" x14ac:dyDescent="0.45">
      <c r="B117" s="62">
        <v>0.12</v>
      </c>
      <c r="C117" s="61" cm="1">
        <f t="array" aca="1" ref="C117" ca="1">IF(ISNUMBER(_xll.VoseSimPercentile(Out_Gross,0.12)),_xll.VoseSimPercentile(Out_Gross,0.12),NA())</f>
        <v>20.52073902752706</v>
      </c>
    </row>
    <row r="118" spans="2:3" hidden="1" outlineLevel="1" x14ac:dyDescent="0.45">
      <c r="B118" s="62">
        <v>0.13</v>
      </c>
      <c r="C118" s="61" cm="1">
        <f t="array" aca="1" ref="C118" ca="1">IF(ISNUMBER(_xll.VoseSimPercentile(Out_Gross,0.13)),_xll.VoseSimPercentile(Out_Gross,0.13),NA())</f>
        <v>20.783941203826416</v>
      </c>
    </row>
    <row r="119" spans="2:3" hidden="1" outlineLevel="1" x14ac:dyDescent="0.45">
      <c r="B119" s="62">
        <v>0.14000000000000001</v>
      </c>
      <c r="C119" s="61" cm="1">
        <f t="array" aca="1" ref="C119" ca="1">IF(ISNUMBER(_xll.VoseSimPercentile(Out_Gross,0.14)),_xll.VoseSimPercentile(Out_Gross,0.14),NA())</f>
        <v>21.03794770294822</v>
      </c>
    </row>
    <row r="120" spans="2:3" hidden="1" outlineLevel="1" x14ac:dyDescent="0.45">
      <c r="B120" s="62">
        <v>0.15</v>
      </c>
      <c r="C120" s="61" cm="1">
        <f t="array" aca="1" ref="C120" ca="1">IF(ISNUMBER(_xll.VoseSimPercentile(Out_Gross,0.15)),_xll.VoseSimPercentile(Out_Gross,0.15),NA())</f>
        <v>21.296361443124088</v>
      </c>
    </row>
    <row r="121" spans="2:3" hidden="1" outlineLevel="1" x14ac:dyDescent="0.45">
      <c r="B121" s="62">
        <v>0.16</v>
      </c>
      <c r="C121" s="61" cm="1">
        <f t="array" aca="1" ref="C121" ca="1">IF(ISNUMBER(_xll.VoseSimPercentile(Out_Gross,0.16)),_xll.VoseSimPercentile(Out_Gross,0.16),NA())</f>
        <v>21.553662670543442</v>
      </c>
    </row>
    <row r="122" spans="2:3" hidden="1" outlineLevel="1" x14ac:dyDescent="0.45">
      <c r="B122" s="62">
        <v>0.17</v>
      </c>
      <c r="C122" s="61" cm="1">
        <f t="array" aca="1" ref="C122" ca="1">IF(ISNUMBER(_xll.VoseSimPercentile(Out_Gross,0.17)),_xll.VoseSimPercentile(Out_Gross,0.17),NA())</f>
        <v>21.792042170906967</v>
      </c>
    </row>
    <row r="123" spans="2:3" hidden="1" outlineLevel="1" x14ac:dyDescent="0.45">
      <c r="B123" s="62">
        <v>0.18</v>
      </c>
      <c r="C123" s="61" cm="1">
        <f t="array" aca="1" ref="C123" ca="1">IF(ISNUMBER(_xll.VoseSimPercentile(Out_Gross,0.18)),_xll.VoseSimPercentile(Out_Gross,0.18),NA())</f>
        <v>21.996464822419661</v>
      </c>
    </row>
    <row r="124" spans="2:3" hidden="1" outlineLevel="1" x14ac:dyDescent="0.45">
      <c r="B124" s="62">
        <v>0.19</v>
      </c>
      <c r="C124" s="61" cm="1">
        <f t="array" aca="1" ref="C124" ca="1">IF(ISNUMBER(_xll.VoseSimPercentile(Out_Gross,0.19)),_xll.VoseSimPercentile(Out_Gross,0.19),NA())</f>
        <v>22.24134540966142</v>
      </c>
    </row>
    <row r="125" spans="2:3" hidden="1" outlineLevel="1" x14ac:dyDescent="0.45">
      <c r="B125" s="62">
        <v>0.2</v>
      </c>
      <c r="C125" s="61" cm="1">
        <f t="array" aca="1" ref="C125" ca="1">IF(ISNUMBER(_xll.VoseSimPercentile(Out_Gross,0.2)),_xll.VoseSimPercentile(Out_Gross,0.2),NA())</f>
        <v>22.452111531717623</v>
      </c>
    </row>
    <row r="126" spans="2:3" hidden="1" outlineLevel="1" x14ac:dyDescent="0.45">
      <c r="B126" s="62">
        <v>0.21</v>
      </c>
      <c r="C126" s="61" cm="1">
        <f t="array" aca="1" ref="C126" ca="1">IF(ISNUMBER(_xll.VoseSimPercentile(Out_Gross,0.21)),_xll.VoseSimPercentile(Out_Gross,0.21),NA())</f>
        <v>22.694813578879973</v>
      </c>
    </row>
    <row r="127" spans="2:3" hidden="1" outlineLevel="1" x14ac:dyDescent="0.45">
      <c r="B127" s="62">
        <v>0.22</v>
      </c>
      <c r="C127" s="61" cm="1">
        <f t="array" aca="1" ref="C127" ca="1">IF(ISNUMBER(_xll.VoseSimPercentile(Out_Gross,0.22)),_xll.VoseSimPercentile(Out_Gross,0.22),NA())</f>
        <v>22.920378409451857</v>
      </c>
    </row>
    <row r="128" spans="2:3" hidden="1" outlineLevel="1" x14ac:dyDescent="0.45">
      <c r="B128" s="62">
        <v>0.23</v>
      </c>
      <c r="C128" s="61" cm="1">
        <f t="array" aca="1" ref="C128" ca="1">IF(ISNUMBER(_xll.VoseSimPercentile(Out_Gross,0.23)),_xll.VoseSimPercentile(Out_Gross,0.23),NA())</f>
        <v>23.130327562859289</v>
      </c>
    </row>
    <row r="129" spans="2:3" hidden="1" outlineLevel="1" x14ac:dyDescent="0.45">
      <c r="B129" s="62">
        <v>0.24</v>
      </c>
      <c r="C129" s="61" cm="1">
        <f t="array" aca="1" ref="C129" ca="1">IF(ISNUMBER(_xll.VoseSimPercentile(Out_Gross,0.24)),_xll.VoseSimPercentile(Out_Gross,0.24),NA())</f>
        <v>23.313476921928434</v>
      </c>
    </row>
    <row r="130" spans="2:3" hidden="1" outlineLevel="1" x14ac:dyDescent="0.45">
      <c r="B130" s="62">
        <v>0.25</v>
      </c>
      <c r="C130" s="61" cm="1">
        <f t="array" aca="1" ref="C130" ca="1">IF(ISNUMBER(_xll.VoseSimPercentile(Out_Gross,0.25)),_xll.VoseSimPercentile(Out_Gross,0.25),NA())</f>
        <v>23.508589611432942</v>
      </c>
    </row>
    <row r="131" spans="2:3" hidden="1" outlineLevel="1" x14ac:dyDescent="0.45">
      <c r="B131" s="62">
        <v>0.26</v>
      </c>
      <c r="C131" s="61" cm="1">
        <f t="array" aca="1" ref="C131" ca="1">IF(ISNUMBER(_xll.VoseSimPercentile(Out_Gross,0.26)),_xll.VoseSimPercentile(Out_Gross,0.26),NA())</f>
        <v>23.711346727077984</v>
      </c>
    </row>
    <row r="132" spans="2:3" hidden="1" outlineLevel="1" x14ac:dyDescent="0.45">
      <c r="B132" s="62">
        <v>0.27</v>
      </c>
      <c r="C132" s="61" cm="1">
        <f t="array" aca="1" ref="C132" ca="1">IF(ISNUMBER(_xll.VoseSimPercentile(Out_Gross,0.27)),_xll.VoseSimPercentile(Out_Gross,0.27),NA())</f>
        <v>23.933781808526231</v>
      </c>
    </row>
    <row r="133" spans="2:3" hidden="1" outlineLevel="1" x14ac:dyDescent="0.45">
      <c r="B133" s="62">
        <v>0.28000000000000003</v>
      </c>
      <c r="C133" s="61" cm="1">
        <f t="array" aca="1" ref="C133" ca="1">IF(ISNUMBER(_xll.VoseSimPercentile(Out_Gross,0.28)),_xll.VoseSimPercentile(Out_Gross,0.28),NA())</f>
        <v>24.140582799642353</v>
      </c>
    </row>
    <row r="134" spans="2:3" hidden="1" outlineLevel="1" x14ac:dyDescent="0.45">
      <c r="B134" s="62">
        <v>0.28999999999999998</v>
      </c>
      <c r="C134" s="61" cm="1">
        <f t="array" aca="1" ref="C134" ca="1">IF(ISNUMBER(_xll.VoseSimPercentile(Out_Gross,0.29)),_xll.VoseSimPercentile(Out_Gross,0.29),NA())</f>
        <v>24.326166930955683</v>
      </c>
    </row>
    <row r="135" spans="2:3" hidden="1" outlineLevel="1" x14ac:dyDescent="0.45">
      <c r="B135" s="62">
        <v>0.3</v>
      </c>
      <c r="C135" s="61" cm="1">
        <f t="array" aca="1" ref="C135" ca="1">IF(ISNUMBER(_xll.VoseSimPercentile(Out_Gross,0.3)),_xll.VoseSimPercentile(Out_Gross,0.3),NA())</f>
        <v>24.5090941362275</v>
      </c>
    </row>
    <row r="136" spans="2:3" hidden="1" outlineLevel="1" x14ac:dyDescent="0.45">
      <c r="B136" s="62">
        <v>0.31</v>
      </c>
      <c r="C136" s="61" cm="1">
        <f t="array" aca="1" ref="C136" ca="1">IF(ISNUMBER(_xll.VoseSimPercentile(Out_Gross,0.31)),_xll.VoseSimPercentile(Out_Gross,0.31),NA())</f>
        <v>24.69124539297907</v>
      </c>
    </row>
    <row r="137" spans="2:3" hidden="1" outlineLevel="1" x14ac:dyDescent="0.45">
      <c r="B137" s="62">
        <v>0.32</v>
      </c>
      <c r="C137" s="61" cm="1">
        <f t="array" aca="1" ref="C137" ca="1">IF(ISNUMBER(_xll.VoseSimPercentile(Out_Gross,0.32)),_xll.VoseSimPercentile(Out_Gross,0.32),NA())</f>
        <v>24.903147341779963</v>
      </c>
    </row>
    <row r="138" spans="2:3" hidden="1" outlineLevel="1" x14ac:dyDescent="0.45">
      <c r="B138" s="62">
        <v>0.33</v>
      </c>
      <c r="C138" s="61" cm="1">
        <f t="array" aca="1" ref="C138" ca="1">IF(ISNUMBER(_xll.VoseSimPercentile(Out_Gross,0.33)),_xll.VoseSimPercentile(Out_Gross,0.33),NA())</f>
        <v>25.087607776502686</v>
      </c>
    </row>
    <row r="139" spans="2:3" hidden="1" outlineLevel="1" x14ac:dyDescent="0.45">
      <c r="B139" s="62">
        <v>0.34</v>
      </c>
      <c r="C139" s="61" cm="1">
        <f t="array" aca="1" ref="C139" ca="1">IF(ISNUMBER(_xll.VoseSimPercentile(Out_Gross,0.34)),_xll.VoseSimPercentile(Out_Gross,0.34),NA())</f>
        <v>25.27385665865264</v>
      </c>
    </row>
    <row r="140" spans="2:3" hidden="1" outlineLevel="1" x14ac:dyDescent="0.45">
      <c r="B140" s="62">
        <v>0.35</v>
      </c>
      <c r="C140" s="61" cm="1">
        <f t="array" aca="1" ref="C140" ca="1">IF(ISNUMBER(_xll.VoseSimPercentile(Out_Gross,0.35)),_xll.VoseSimPercentile(Out_Gross,0.35),NA())</f>
        <v>25.444877341217889</v>
      </c>
    </row>
    <row r="141" spans="2:3" hidden="1" outlineLevel="1" x14ac:dyDescent="0.45">
      <c r="B141" s="62">
        <v>0.36</v>
      </c>
      <c r="C141" s="61" cm="1">
        <f t="array" aca="1" ref="C141" ca="1">IF(ISNUMBER(_xll.VoseSimPercentile(Out_Gross,0.36)),_xll.VoseSimPercentile(Out_Gross,0.36),NA())</f>
        <v>25.643875300920282</v>
      </c>
    </row>
    <row r="142" spans="2:3" hidden="1" outlineLevel="1" x14ac:dyDescent="0.45">
      <c r="B142" s="62">
        <v>0.37</v>
      </c>
      <c r="C142" s="61" cm="1">
        <f t="array" aca="1" ref="C142" ca="1">IF(ISNUMBER(_xll.VoseSimPercentile(Out_Gross,0.37)),_xll.VoseSimPercentile(Out_Gross,0.37),NA())</f>
        <v>25.823913127545854</v>
      </c>
    </row>
    <row r="143" spans="2:3" hidden="1" outlineLevel="1" x14ac:dyDescent="0.45">
      <c r="B143" s="62">
        <v>0.38</v>
      </c>
      <c r="C143" s="61" cm="1">
        <f t="array" aca="1" ref="C143" ca="1">IF(ISNUMBER(_xll.VoseSimPercentile(Out_Gross,0.38)),_xll.VoseSimPercentile(Out_Gross,0.38),NA())</f>
        <v>25.991093550667205</v>
      </c>
    </row>
    <row r="144" spans="2:3" hidden="1" outlineLevel="1" x14ac:dyDescent="0.45">
      <c r="B144" s="62">
        <v>0.39</v>
      </c>
      <c r="C144" s="61" cm="1">
        <f t="array" aca="1" ref="C144" ca="1">IF(ISNUMBER(_xll.VoseSimPercentile(Out_Gross,0.39)),_xll.VoseSimPercentile(Out_Gross,0.39),NA())</f>
        <v>26.222975632417967</v>
      </c>
    </row>
    <row r="145" spans="2:3" hidden="1" outlineLevel="1" x14ac:dyDescent="0.45">
      <c r="B145" s="62">
        <v>0.4</v>
      </c>
      <c r="C145" s="61" cm="1">
        <f t="array" aca="1" ref="C145" ca="1">IF(ISNUMBER(_xll.VoseSimPercentile(Out_Gross,0.4)),_xll.VoseSimPercentile(Out_Gross,0.4),NA())</f>
        <v>26.403850142824822</v>
      </c>
    </row>
    <row r="146" spans="2:3" hidden="1" outlineLevel="1" x14ac:dyDescent="0.45">
      <c r="B146" s="62">
        <v>0.41</v>
      </c>
      <c r="C146" s="61" cm="1">
        <f t="array" aca="1" ref="C146" ca="1">IF(ISNUMBER(_xll.VoseSimPercentile(Out_Gross,0.41)),_xll.VoseSimPercentile(Out_Gross,0.41),NA())</f>
        <v>26.604998365262901</v>
      </c>
    </row>
    <row r="147" spans="2:3" hidden="1" outlineLevel="1" x14ac:dyDescent="0.45">
      <c r="B147" s="62">
        <v>0.42</v>
      </c>
      <c r="C147" s="61" cm="1">
        <f t="array" aca="1" ref="C147" ca="1">IF(ISNUMBER(_xll.VoseSimPercentile(Out_Gross,0.42)),_xll.VoseSimPercentile(Out_Gross,0.42),NA())</f>
        <v>26.780793753954796</v>
      </c>
    </row>
    <row r="148" spans="2:3" hidden="1" outlineLevel="1" x14ac:dyDescent="0.45">
      <c r="B148" s="62">
        <v>0.43</v>
      </c>
      <c r="C148" s="61" cm="1">
        <f t="array" aca="1" ref="C148" ca="1">IF(ISNUMBER(_xll.VoseSimPercentile(Out_Gross,0.43)),_xll.VoseSimPercentile(Out_Gross,0.43),NA())</f>
        <v>26.975147841498494</v>
      </c>
    </row>
    <row r="149" spans="2:3" hidden="1" outlineLevel="1" x14ac:dyDescent="0.45">
      <c r="B149" s="62">
        <v>0.44</v>
      </c>
      <c r="C149" s="61" cm="1">
        <f t="array" aca="1" ref="C149" ca="1">IF(ISNUMBER(_xll.VoseSimPercentile(Out_Gross,0.44)),_xll.VoseSimPercentile(Out_Gross,0.44),NA())</f>
        <v>27.156206990361163</v>
      </c>
    </row>
    <row r="150" spans="2:3" hidden="1" outlineLevel="1" x14ac:dyDescent="0.45">
      <c r="B150" s="62">
        <v>0.45</v>
      </c>
      <c r="C150" s="61" cm="1">
        <f t="array" aca="1" ref="C150" ca="1">IF(ISNUMBER(_xll.VoseSimPercentile(Out_Gross,0.45)),_xll.VoseSimPercentile(Out_Gross,0.45),NA())</f>
        <v>27.335703321698688</v>
      </c>
    </row>
    <row r="151" spans="2:3" hidden="1" outlineLevel="1" x14ac:dyDescent="0.45">
      <c r="B151" s="62">
        <v>0.46</v>
      </c>
      <c r="C151" s="61" cm="1">
        <f t="array" aca="1" ref="C151" ca="1">IF(ISNUMBER(_xll.VoseSimPercentile(Out_Gross,0.46)),_xll.VoseSimPercentile(Out_Gross,0.46),NA())</f>
        <v>27.517067125022944</v>
      </c>
    </row>
    <row r="152" spans="2:3" hidden="1" outlineLevel="1" x14ac:dyDescent="0.45">
      <c r="B152" s="62">
        <v>0.47</v>
      </c>
      <c r="C152" s="61" cm="1">
        <f t="array" aca="1" ref="C152" ca="1">IF(ISNUMBER(_xll.VoseSimPercentile(Out_Gross,0.47)),_xll.VoseSimPercentile(Out_Gross,0.47),NA())</f>
        <v>27.705386016131197</v>
      </c>
    </row>
    <row r="153" spans="2:3" hidden="1" outlineLevel="1" x14ac:dyDescent="0.45">
      <c r="B153" s="62">
        <v>0.48</v>
      </c>
      <c r="C153" s="61" cm="1">
        <f t="array" aca="1" ref="C153" ca="1">IF(ISNUMBER(_xll.VoseSimPercentile(Out_Gross,0.48)),_xll.VoseSimPercentile(Out_Gross,0.48),NA())</f>
        <v>27.907451405435872</v>
      </c>
    </row>
    <row r="154" spans="2:3" hidden="1" outlineLevel="1" x14ac:dyDescent="0.45">
      <c r="B154" s="62">
        <v>0.49</v>
      </c>
      <c r="C154" s="61" cm="1">
        <f t="array" aca="1" ref="C154" ca="1">IF(ISNUMBER(_xll.VoseSimPercentile(Out_Gross,0.49)),_xll.VoseSimPercentile(Out_Gross,0.49),NA())</f>
        <v>28.127249138005375</v>
      </c>
    </row>
    <row r="155" spans="2:3" hidden="1" outlineLevel="1" x14ac:dyDescent="0.45">
      <c r="B155" s="62">
        <v>0.5</v>
      </c>
      <c r="C155" s="61" cm="1">
        <f t="array" aca="1" ref="C155" ca="1">IF(ISNUMBER(_xll.VoseSimPercentile(Out_Gross,0.5)),_xll.VoseSimPercentile(Out_Gross,0.5),NA())</f>
        <v>28.315170618465704</v>
      </c>
    </row>
    <row r="156" spans="2:3" hidden="1" outlineLevel="1" x14ac:dyDescent="0.45">
      <c r="B156" s="62">
        <v>0.51</v>
      </c>
      <c r="C156" s="61" cm="1">
        <f t="array" aca="1" ref="C156" ca="1">IF(ISNUMBER(_xll.VoseSimPercentile(Out_Gross,0.51)),_xll.VoseSimPercentile(Out_Gross,0.51),NA())</f>
        <v>28.520370436325106</v>
      </c>
    </row>
    <row r="157" spans="2:3" hidden="1" outlineLevel="1" x14ac:dyDescent="0.45">
      <c r="B157" s="62">
        <v>0.52</v>
      </c>
      <c r="C157" s="61" cm="1">
        <f t="array" aca="1" ref="C157" ca="1">IF(ISNUMBER(_xll.VoseSimPercentile(Out_Gross,0.52)),_xll.VoseSimPercentile(Out_Gross,0.52),NA())</f>
        <v>28.740350086302655</v>
      </c>
    </row>
    <row r="158" spans="2:3" hidden="1" outlineLevel="1" x14ac:dyDescent="0.45">
      <c r="B158" s="62">
        <v>0.53</v>
      </c>
      <c r="C158" s="61" cm="1">
        <f t="array" aca="1" ref="C158" ca="1">IF(ISNUMBER(_xll.VoseSimPercentile(Out_Gross,0.53)),_xll.VoseSimPercentile(Out_Gross,0.53),NA())</f>
        <v>28.904764572927085</v>
      </c>
    </row>
    <row r="159" spans="2:3" hidden="1" outlineLevel="1" x14ac:dyDescent="0.45">
      <c r="B159" s="62">
        <v>0.54</v>
      </c>
      <c r="C159" s="61" cm="1">
        <f t="array" aca="1" ref="C159" ca="1">IF(ISNUMBER(_xll.VoseSimPercentile(Out_Gross,0.54)),_xll.VoseSimPercentile(Out_Gross,0.54),NA())</f>
        <v>29.114284534465579</v>
      </c>
    </row>
    <row r="160" spans="2:3" hidden="1" outlineLevel="1" x14ac:dyDescent="0.45">
      <c r="B160" s="62">
        <v>0.55000000000000004</v>
      </c>
      <c r="C160" s="61" cm="1">
        <f t="array" aca="1" ref="C160" ca="1">IF(ISNUMBER(_xll.VoseSimPercentile(Out_Gross,0.55)),_xll.VoseSimPercentile(Out_Gross,0.55),NA())</f>
        <v>29.37171798252847</v>
      </c>
    </row>
    <row r="161" spans="2:3" hidden="1" outlineLevel="1" x14ac:dyDescent="0.45">
      <c r="B161" s="62">
        <v>0.56000000000000005</v>
      </c>
      <c r="C161" s="61" cm="1">
        <f t="array" aca="1" ref="C161" ca="1">IF(ISNUMBER(_xll.VoseSimPercentile(Out_Gross,0.56)),_xll.VoseSimPercentile(Out_Gross,0.56),NA())</f>
        <v>29.601772113581895</v>
      </c>
    </row>
    <row r="162" spans="2:3" hidden="1" outlineLevel="1" x14ac:dyDescent="0.45">
      <c r="B162" s="62">
        <v>0.56999999999999995</v>
      </c>
      <c r="C162" s="61" cm="1">
        <f t="array" aca="1" ref="C162" ca="1">IF(ISNUMBER(_xll.VoseSimPercentile(Out_Gross,0.57)),_xll.VoseSimPercentile(Out_Gross,0.57),NA())</f>
        <v>29.793030979360914</v>
      </c>
    </row>
    <row r="163" spans="2:3" hidden="1" outlineLevel="1" x14ac:dyDescent="0.45">
      <c r="B163" s="62">
        <v>0.57999999999999996</v>
      </c>
      <c r="C163" s="61" cm="1">
        <f t="array" aca="1" ref="C163" ca="1">IF(ISNUMBER(_xll.VoseSimPercentile(Out_Gross,0.58)),_xll.VoseSimPercentile(Out_Gross,0.58),NA())</f>
        <v>29.990423421153046</v>
      </c>
    </row>
    <row r="164" spans="2:3" hidden="1" outlineLevel="1" x14ac:dyDescent="0.45">
      <c r="B164" s="62">
        <v>0.59</v>
      </c>
      <c r="C164" s="61" cm="1">
        <f t="array" aca="1" ref="C164" ca="1">IF(ISNUMBER(_xll.VoseSimPercentile(Out_Gross,0.59)),_xll.VoseSimPercentile(Out_Gross,0.59),NA())</f>
        <v>30.189582023361925</v>
      </c>
    </row>
    <row r="165" spans="2:3" hidden="1" outlineLevel="1" x14ac:dyDescent="0.45">
      <c r="B165" s="62">
        <v>0.6</v>
      </c>
      <c r="C165" s="61" cm="1">
        <f t="array" aca="1" ref="C165" ca="1">IF(ISNUMBER(_xll.VoseSimPercentile(Out_Gross,0.6)),_xll.VoseSimPercentile(Out_Gross,0.6),NA())</f>
        <v>30.395875068300423</v>
      </c>
    </row>
    <row r="166" spans="2:3" hidden="1" outlineLevel="1" x14ac:dyDescent="0.45">
      <c r="B166" s="62">
        <v>0.61</v>
      </c>
      <c r="C166" s="61" cm="1">
        <f t="array" aca="1" ref="C166" ca="1">IF(ISNUMBER(_xll.VoseSimPercentile(Out_Gross,0.61)),_xll.VoseSimPercentile(Out_Gross,0.61),NA())</f>
        <v>30.632414771662599</v>
      </c>
    </row>
    <row r="167" spans="2:3" hidden="1" outlineLevel="1" x14ac:dyDescent="0.45">
      <c r="B167" s="62">
        <v>0.62</v>
      </c>
      <c r="C167" s="61" cm="1">
        <f t="array" aca="1" ref="C167" ca="1">IF(ISNUMBER(_xll.VoseSimPercentile(Out_Gross,0.62)),_xll.VoseSimPercentile(Out_Gross,0.62),NA())</f>
        <v>30.886981289489814</v>
      </c>
    </row>
    <row r="168" spans="2:3" hidden="1" outlineLevel="1" x14ac:dyDescent="0.45">
      <c r="B168" s="62">
        <v>0.63</v>
      </c>
      <c r="C168" s="61" cm="1">
        <f t="array" aca="1" ref="C168" ca="1">IF(ISNUMBER(_xll.VoseSimPercentile(Out_Gross,0.63)),_xll.VoseSimPercentile(Out_Gross,0.63),NA())</f>
        <v>31.119454485587742</v>
      </c>
    </row>
    <row r="169" spans="2:3" hidden="1" outlineLevel="1" x14ac:dyDescent="0.45">
      <c r="B169" s="62">
        <v>0.64</v>
      </c>
      <c r="C169" s="61" cm="1">
        <f t="array" aca="1" ref="C169" ca="1">IF(ISNUMBER(_xll.VoseSimPercentile(Out_Gross,0.64)),_xll.VoseSimPercentile(Out_Gross,0.64),NA())</f>
        <v>31.360361796607542</v>
      </c>
    </row>
    <row r="170" spans="2:3" hidden="1" outlineLevel="1" x14ac:dyDescent="0.45">
      <c r="B170" s="62">
        <v>0.65</v>
      </c>
      <c r="C170" s="61" cm="1">
        <f t="array" aca="1" ref="C170" ca="1">IF(ISNUMBER(_xll.VoseSimPercentile(Out_Gross,0.65)),_xll.VoseSimPercentile(Out_Gross,0.65),NA())</f>
        <v>31.579533628351005</v>
      </c>
    </row>
    <row r="171" spans="2:3" hidden="1" outlineLevel="1" x14ac:dyDescent="0.45">
      <c r="B171" s="62">
        <v>0.66</v>
      </c>
      <c r="C171" s="61" cm="1">
        <f t="array" aca="1" ref="C171" ca="1">IF(ISNUMBER(_xll.VoseSimPercentile(Out_Gross,0.66)),_xll.VoseSimPercentile(Out_Gross,0.66),NA())</f>
        <v>31.794155508789583</v>
      </c>
    </row>
    <row r="172" spans="2:3" hidden="1" outlineLevel="1" x14ac:dyDescent="0.45">
      <c r="B172" s="62">
        <v>0.67</v>
      </c>
      <c r="C172" s="61" cm="1">
        <f t="array" aca="1" ref="C172" ca="1">IF(ISNUMBER(_xll.VoseSimPercentile(Out_Gross,0.67)),_xll.VoseSimPercentile(Out_Gross,0.67),NA())</f>
        <v>32.005708201692528</v>
      </c>
    </row>
    <row r="173" spans="2:3" hidden="1" outlineLevel="1" x14ac:dyDescent="0.45">
      <c r="B173" s="62">
        <v>0.68</v>
      </c>
      <c r="C173" s="61" cm="1">
        <f t="array" aca="1" ref="C173" ca="1">IF(ISNUMBER(_xll.VoseSimPercentile(Out_Gross,0.68)),_xll.VoseSimPercentile(Out_Gross,0.68),NA())</f>
        <v>32.278615125155838</v>
      </c>
    </row>
    <row r="174" spans="2:3" hidden="1" outlineLevel="1" x14ac:dyDescent="0.45">
      <c r="B174" s="62">
        <v>0.69</v>
      </c>
      <c r="C174" s="61" cm="1">
        <f t="array" aca="1" ref="C174" ca="1">IF(ISNUMBER(_xll.VoseSimPercentile(Out_Gross,0.69)),_xll.VoseSimPercentile(Out_Gross,0.69),NA())</f>
        <v>32.507965954893031</v>
      </c>
    </row>
    <row r="175" spans="2:3" hidden="1" outlineLevel="1" x14ac:dyDescent="0.45">
      <c r="B175" s="62">
        <v>0.7</v>
      </c>
      <c r="C175" s="61" cm="1">
        <f t="array" aca="1" ref="C175" ca="1">IF(ISNUMBER(_xll.VoseSimPercentile(Out_Gross,0.7)),_xll.VoseSimPercentile(Out_Gross,0.7),NA())</f>
        <v>32.781341871571975</v>
      </c>
    </row>
    <row r="176" spans="2:3" hidden="1" outlineLevel="1" x14ac:dyDescent="0.45">
      <c r="B176" s="62">
        <v>0.71</v>
      </c>
      <c r="C176" s="61" cm="1">
        <f t="array" aca="1" ref="C176" ca="1">IF(ISNUMBER(_xll.VoseSimPercentile(Out_Gross,0.71)),_xll.VoseSimPercentile(Out_Gross,0.71),NA())</f>
        <v>33.055385173851775</v>
      </c>
    </row>
    <row r="177" spans="2:3" hidden="1" outlineLevel="1" x14ac:dyDescent="0.45">
      <c r="B177" s="62">
        <v>0.72</v>
      </c>
      <c r="C177" s="61" cm="1">
        <f t="array" aca="1" ref="C177" ca="1">IF(ISNUMBER(_xll.VoseSimPercentile(Out_Gross,0.72)),_xll.VoseSimPercentile(Out_Gross,0.72),NA())</f>
        <v>33.287852683181256</v>
      </c>
    </row>
    <row r="178" spans="2:3" hidden="1" outlineLevel="1" x14ac:dyDescent="0.45">
      <c r="B178" s="62">
        <v>0.73</v>
      </c>
      <c r="C178" s="61" cm="1">
        <f t="array" aca="1" ref="C178" ca="1">IF(ISNUMBER(_xll.VoseSimPercentile(Out_Gross,0.73)),_xll.VoseSimPercentile(Out_Gross,0.73),NA())</f>
        <v>33.553498044586007</v>
      </c>
    </row>
    <row r="179" spans="2:3" hidden="1" outlineLevel="1" x14ac:dyDescent="0.45">
      <c r="B179" s="62">
        <v>0.74</v>
      </c>
      <c r="C179" s="61" cm="1">
        <f t="array" aca="1" ref="C179" ca="1">IF(ISNUMBER(_xll.VoseSimPercentile(Out_Gross,0.74)),_xll.VoseSimPercentile(Out_Gross,0.74),NA())</f>
        <v>33.878127452932567</v>
      </c>
    </row>
    <row r="180" spans="2:3" hidden="1" outlineLevel="1" x14ac:dyDescent="0.45">
      <c r="B180" s="62">
        <v>0.75</v>
      </c>
      <c r="C180" s="61" cm="1">
        <f t="array" aca="1" ref="C180" ca="1">IF(ISNUMBER(_xll.VoseSimPercentile(Out_Gross,0.75)),_xll.VoseSimPercentile(Out_Gross,0.75),NA())</f>
        <v>34.194579539203069</v>
      </c>
    </row>
    <row r="181" spans="2:3" hidden="1" outlineLevel="1" x14ac:dyDescent="0.45">
      <c r="B181" s="62">
        <v>0.76</v>
      </c>
      <c r="C181" s="61" cm="1">
        <f t="array" aca="1" ref="C181" ca="1">IF(ISNUMBER(_xll.VoseSimPercentile(Out_Gross,0.76)),_xll.VoseSimPercentile(Out_Gross,0.76),NA())</f>
        <v>34.500480456929608</v>
      </c>
    </row>
    <row r="182" spans="2:3" hidden="1" outlineLevel="1" x14ac:dyDescent="0.45">
      <c r="B182" s="62">
        <v>0.77</v>
      </c>
      <c r="C182" s="61" cm="1">
        <f t="array" aca="1" ref="C182" ca="1">IF(ISNUMBER(_xll.VoseSimPercentile(Out_Gross,0.77)),_xll.VoseSimPercentile(Out_Gross,0.77),NA())</f>
        <v>34.863787864803072</v>
      </c>
    </row>
    <row r="183" spans="2:3" hidden="1" outlineLevel="1" x14ac:dyDescent="0.45">
      <c r="B183" s="62">
        <v>0.78</v>
      </c>
      <c r="C183" s="61" cm="1">
        <f t="array" aca="1" ref="C183" ca="1">IF(ISNUMBER(_xll.VoseSimPercentile(Out_Gross,0.78)),_xll.VoseSimPercentile(Out_Gross,0.78),NA())</f>
        <v>35.188907458761115</v>
      </c>
    </row>
    <row r="184" spans="2:3" hidden="1" outlineLevel="1" x14ac:dyDescent="0.45">
      <c r="B184" s="62">
        <v>0.79</v>
      </c>
      <c r="C184" s="61" cm="1">
        <f t="array" aca="1" ref="C184" ca="1">IF(ISNUMBER(_xll.VoseSimPercentile(Out_Gross,0.79)),_xll.VoseSimPercentile(Out_Gross,0.79),NA())</f>
        <v>35.556232492025877</v>
      </c>
    </row>
    <row r="185" spans="2:3" hidden="1" outlineLevel="1" x14ac:dyDescent="0.45">
      <c r="B185" s="62">
        <v>0.8</v>
      </c>
      <c r="C185" s="61" cm="1">
        <f t="array" aca="1" ref="C185" ca="1">IF(ISNUMBER(_xll.VoseSimPercentile(Out_Gross,0.8)),_xll.VoseSimPercentile(Out_Gross,0.8),NA())</f>
        <v>35.939718787395122</v>
      </c>
    </row>
    <row r="186" spans="2:3" hidden="1" outlineLevel="1" x14ac:dyDescent="0.45">
      <c r="B186" s="62">
        <v>0.81</v>
      </c>
      <c r="C186" s="61" cm="1">
        <f t="array" aca="1" ref="C186" ca="1">IF(ISNUMBER(_xll.VoseSimPercentile(Out_Gross,0.81)),_xll.VoseSimPercentile(Out_Gross,0.81),NA())</f>
        <v>36.354996290766969</v>
      </c>
    </row>
    <row r="187" spans="2:3" hidden="1" outlineLevel="1" x14ac:dyDescent="0.45">
      <c r="B187" s="62">
        <v>0.82</v>
      </c>
      <c r="C187" s="61" cm="1">
        <f t="array" aca="1" ref="C187" ca="1">IF(ISNUMBER(_xll.VoseSimPercentile(Out_Gross,0.82)),_xll.VoseSimPercentile(Out_Gross,0.82),NA())</f>
        <v>36.760696318927756</v>
      </c>
    </row>
    <row r="188" spans="2:3" hidden="1" outlineLevel="1" x14ac:dyDescent="0.45">
      <c r="B188" s="62">
        <v>0.83</v>
      </c>
      <c r="C188" s="61" cm="1">
        <f t="array" aca="1" ref="C188" ca="1">IF(ISNUMBER(_xll.VoseSimPercentile(Out_Gross,0.83)),_xll.VoseSimPercentile(Out_Gross,0.83),NA())</f>
        <v>37.157729913347346</v>
      </c>
    </row>
    <row r="189" spans="2:3" hidden="1" outlineLevel="1" x14ac:dyDescent="0.45">
      <c r="B189" s="62">
        <v>0.84</v>
      </c>
      <c r="C189" s="61" cm="1">
        <f t="array" aca="1" ref="C189" ca="1">IF(ISNUMBER(_xll.VoseSimPercentile(Out_Gross,0.84)),_xll.VoseSimPercentile(Out_Gross,0.84),NA())</f>
        <v>37.567070386656141</v>
      </c>
    </row>
    <row r="190" spans="2:3" hidden="1" outlineLevel="1" x14ac:dyDescent="0.45">
      <c r="B190" s="62">
        <v>0.85</v>
      </c>
      <c r="C190" s="61" cm="1">
        <f t="array" aca="1" ref="C190" ca="1">IF(ISNUMBER(_xll.VoseSimPercentile(Out_Gross,0.85)),_xll.VoseSimPercentile(Out_Gross,0.85),NA())</f>
        <v>38.07809308702398</v>
      </c>
    </row>
    <row r="191" spans="2:3" hidden="1" outlineLevel="1" x14ac:dyDescent="0.45">
      <c r="B191" s="62">
        <v>0.86</v>
      </c>
      <c r="C191" s="61" cm="1">
        <f t="array" aca="1" ref="C191" ca="1">IF(ISNUMBER(_xll.VoseSimPercentile(Out_Gross,0.86)),_xll.VoseSimPercentile(Out_Gross,0.86),NA())</f>
        <v>38.532061954938648</v>
      </c>
    </row>
    <row r="192" spans="2:3" hidden="1" outlineLevel="1" x14ac:dyDescent="0.45">
      <c r="B192" s="62">
        <v>0.87</v>
      </c>
      <c r="C192" s="61" cm="1">
        <f t="array" aca="1" ref="C192" ca="1">IF(ISNUMBER(_xll.VoseSimPercentile(Out_Gross,0.87)),_xll.VoseSimPercentile(Out_Gross,0.87),NA())</f>
        <v>39.028119854320238</v>
      </c>
    </row>
    <row r="193" spans="2:7" hidden="1" outlineLevel="1" x14ac:dyDescent="0.45">
      <c r="B193" s="62">
        <v>0.88</v>
      </c>
      <c r="C193" s="61" cm="1">
        <f t="array" aca="1" ref="C193" ca="1">IF(ISNUMBER(_xll.VoseSimPercentile(Out_Gross,0.88)),_xll.VoseSimPercentile(Out_Gross,0.88),NA())</f>
        <v>39.71721150131355</v>
      </c>
    </row>
    <row r="194" spans="2:7" hidden="1" outlineLevel="1" x14ac:dyDescent="0.45">
      <c r="B194" s="62">
        <v>0.89</v>
      </c>
      <c r="C194" s="61" cm="1">
        <f t="array" aca="1" ref="C194" ca="1">IF(ISNUMBER(_xll.VoseSimPercentile(Out_Gross,0.89)),_xll.VoseSimPercentile(Out_Gross,0.89),NA())</f>
        <v>40.466249380631034</v>
      </c>
    </row>
    <row r="195" spans="2:7" hidden="1" outlineLevel="1" x14ac:dyDescent="0.45">
      <c r="B195" s="62">
        <v>0.9</v>
      </c>
      <c r="C195" s="61" cm="1">
        <f t="array" aca="1" ref="C195" ca="1">IF(ISNUMBER(_xll.VoseSimPercentile(Out_Gross,0.9)),_xll.VoseSimPercentile(Out_Gross,0.9),NA())</f>
        <v>41.22935230256941</v>
      </c>
    </row>
    <row r="196" spans="2:7" hidden="1" outlineLevel="1" x14ac:dyDescent="0.45">
      <c r="B196" s="62">
        <v>0.91</v>
      </c>
      <c r="C196" s="61" cm="1">
        <f t="array" aca="1" ref="C196" ca="1">IF(ISNUMBER(_xll.VoseSimPercentile(Out_Gross,0.91)),_xll.VoseSimPercentile(Out_Gross,0.91),NA())</f>
        <v>41.965890040869297</v>
      </c>
    </row>
    <row r="197" spans="2:7" hidden="1" outlineLevel="1" x14ac:dyDescent="0.45">
      <c r="B197" s="62">
        <v>0.92</v>
      </c>
      <c r="C197" s="61" cm="1">
        <f t="array" aca="1" ref="C197" ca="1">IF(ISNUMBER(_xll.VoseSimPercentile(Out_Gross,0.92)),_xll.VoseSimPercentile(Out_Gross,0.92),NA())</f>
        <v>42.758659708477971</v>
      </c>
    </row>
    <row r="198" spans="2:7" hidden="1" outlineLevel="1" x14ac:dyDescent="0.45">
      <c r="B198" s="62">
        <v>0.93</v>
      </c>
      <c r="C198" s="61" cm="1">
        <f t="array" aca="1" ref="C198" ca="1">IF(ISNUMBER(_xll.VoseSimPercentile(Out_Gross,0.93)),_xll.VoseSimPercentile(Out_Gross,0.93),NA())</f>
        <v>43.755392673318674</v>
      </c>
    </row>
    <row r="199" spans="2:7" hidden="1" outlineLevel="1" x14ac:dyDescent="0.45">
      <c r="B199" s="62">
        <v>0.94</v>
      </c>
      <c r="C199" s="61" cm="1">
        <f t="array" aca="1" ref="C199" ca="1">IF(ISNUMBER(_xll.VoseSimPercentile(Out_Gross,0.94)),_xll.VoseSimPercentile(Out_Gross,0.94),NA())</f>
        <v>45.128988471783565</v>
      </c>
    </row>
    <row r="200" spans="2:7" hidden="1" outlineLevel="1" x14ac:dyDescent="0.45">
      <c r="B200" s="62">
        <v>0.95</v>
      </c>
      <c r="C200" s="61" cm="1">
        <f t="array" aca="1" ref="C200" ca="1">IF(ISNUMBER(_xll.VoseSimPercentile(Out_Gross,0.95)),_xll.VoseSimPercentile(Out_Gross,0.95),NA())</f>
        <v>46.774878559324165</v>
      </c>
    </row>
    <row r="201" spans="2:7" hidden="1" outlineLevel="1" x14ac:dyDescent="0.45">
      <c r="B201" s="62">
        <v>0.96</v>
      </c>
      <c r="C201" s="61" cm="1">
        <f t="array" aca="1" ref="C201" ca="1">IF(ISNUMBER(_xll.VoseSimPercentile(Out_Gross,0.96)),_xll.VoseSimPercentile(Out_Gross,0.96),NA())</f>
        <v>49.198936260152493</v>
      </c>
    </row>
    <row r="202" spans="2:7" hidden="1" outlineLevel="1" x14ac:dyDescent="0.45">
      <c r="B202" s="62">
        <v>0.97</v>
      </c>
      <c r="C202" s="61" cm="1">
        <f t="array" aca="1" ref="C202" ca="1">IF(ISNUMBER(_xll.VoseSimPercentile(Out_Gross,0.97)),_xll.VoseSimPercentile(Out_Gross,0.97),NA())</f>
        <v>51.794089027590381</v>
      </c>
    </row>
    <row r="203" spans="2:7" hidden="1" outlineLevel="1" x14ac:dyDescent="0.45">
      <c r="B203" s="62">
        <v>0.98</v>
      </c>
      <c r="C203" s="61" cm="1">
        <f t="array" aca="1" ref="C203" ca="1">IF(ISNUMBER(_xll.VoseSimPercentile(Out_Gross,0.98)),_xll.VoseSimPercentile(Out_Gross,0.98),NA())</f>
        <v>56.031401409747637</v>
      </c>
    </row>
    <row r="204" spans="2:7" hidden="1" outlineLevel="1" x14ac:dyDescent="0.45">
      <c r="B204" s="62">
        <v>0.99</v>
      </c>
      <c r="C204" s="61" cm="1">
        <f t="array" aca="1" ref="C204" ca="1">IF(ISNUMBER(_xll.VoseSimPercentile(Out_Gross,0.99)),_xll.VoseSimPercentile(Out_Gross,0.99),NA())</f>
        <v>64.987072904938302</v>
      </c>
    </row>
    <row r="205" spans="2:7" hidden="1" outlineLevel="1" x14ac:dyDescent="0.45">
      <c r="B205" s="62">
        <v>0.995</v>
      </c>
      <c r="C205" s="61" cm="1">
        <f t="array" aca="1" ref="C205" ca="1">IF(ISNUMBER(_xll.VoseSimPercentile(Out_Gross,0.995)),_xll.VoseSimPercentile(Out_Gross,0.995),NA())</f>
        <v>76.269635649012116</v>
      </c>
    </row>
    <row r="206" spans="2:7" hidden="1" outlineLevel="1" x14ac:dyDescent="0.45"/>
    <row r="207" spans="2:7" ht="18" hidden="1" customHeight="1" outlineLevel="1" x14ac:dyDescent="0.45">
      <c r="B207" s="23" t="s">
        <v>291</v>
      </c>
      <c r="C207" s="24" t="s">
        <v>292</v>
      </c>
      <c r="D207" s="24" t="s">
        <v>293</v>
      </c>
      <c r="E207" s="24" t="s">
        <v>294</v>
      </c>
      <c r="F207" s="24" t="s">
        <v>295</v>
      </c>
      <c r="G207" s="24" t="s">
        <v>296</v>
      </c>
    </row>
    <row r="208" spans="2:7" hidden="1" outlineLevel="1" x14ac:dyDescent="0.45">
      <c r="B208" s="63">
        <v>0</v>
      </c>
      <c r="C208" s="61">
        <f ca="1">IF(ISNUMBER($C$105),$C$105+($C$205-$C$105)*0/24,NA())</f>
        <v>13.944995958191765</v>
      </c>
      <c r="D208" s="64">
        <f t="shared" ref="D208:D232" ca="1" si="2">IF(ISNUMBER(C208),MATCH(C208,$C$105:$C$205,1),NA())</f>
        <v>1</v>
      </c>
      <c r="E208" s="61">
        <f t="shared" ref="E208:E231" ca="1" si="3">IF(ISNUMBER(C208),(C208+C209)/2,NA())</f>
        <v>15.243425951750522</v>
      </c>
      <c r="F208" s="62">
        <f t="shared" ref="F208:F231" ca="1" si="4">IF(ISNUMBER(G209),G209-G208,NA())</f>
        <v>2.2645232366831788E-2</v>
      </c>
      <c r="G208" s="62" cm="1">
        <f t="array" aca="1" ref="G208" ca="1">IF(ISNUMBER(D208),IF(D208&gt;=101,INDEX($B$105:$B$205,101),INDEX($B$105:$B$205,D208)+(C208-INDEX($C$105:$C$205,D208))/MAX(0.000000000001,INDEX($C$105:$C$205,D208+1)-INDEX($C$105:$C$205,D208))*(INDEX($B$105:$B$205,D208+1)-INDEX($B$105:$B$205,D208))),NA())</f>
        <v>5.0000000000000001E-3</v>
      </c>
    </row>
    <row r="209" spans="2:7" hidden="1" outlineLevel="1" x14ac:dyDescent="0.45">
      <c r="B209" s="63">
        <v>1</v>
      </c>
      <c r="C209" s="61">
        <f ca="1">IF(ISNUMBER($C$105),$C$105+($C$205-$C$105)*1/24,NA())</f>
        <v>16.54185594530928</v>
      </c>
      <c r="D209" s="64">
        <f t="shared" ca="1" si="2"/>
        <v>3</v>
      </c>
      <c r="E209" s="61">
        <f t="shared" ca="1" si="3"/>
        <v>17.840285938868035</v>
      </c>
      <c r="F209" s="62">
        <f t="shared" ca="1" si="4"/>
        <v>5.0293846743637502E-2</v>
      </c>
      <c r="G209" s="62" cm="1">
        <f t="array" aca="1" ref="G209" ca="1">IF(ISNUMBER(D209),IF(D209&gt;=101,INDEX($B$105:$B$205,101),INDEX($B$105:$B$205,D209)+(C209-INDEX($C$105:$C$205,D209))/MAX(0.000000000001,INDEX($C$105:$C$205,D209+1)-INDEX($C$105:$C$205,D209))*(INDEX($B$105:$B$205,D209+1)-INDEX($B$105:$B$205,D209))),NA())</f>
        <v>2.7645232366831789E-2</v>
      </c>
    </row>
    <row r="210" spans="2:7" hidden="1" outlineLevel="1" x14ac:dyDescent="0.45">
      <c r="B210" s="63">
        <v>2</v>
      </c>
      <c r="C210" s="61">
        <f ca="1">IF(ISNUMBER($C$105),$C$105+($C$205-$C$105)*2/24,NA())</f>
        <v>19.138715932426795</v>
      </c>
      <c r="D210" s="64">
        <f t="shared" ca="1" si="2"/>
        <v>8</v>
      </c>
      <c r="E210" s="61">
        <f t="shared" ca="1" si="3"/>
        <v>20.437145925985554</v>
      </c>
      <c r="F210" s="62">
        <f t="shared" ca="1" si="4"/>
        <v>8.9692166391910438E-2</v>
      </c>
      <c r="G210" s="62" cm="1">
        <f t="array" aca="1" ref="G210" ca="1">IF(ISNUMBER(D210),IF(D210&gt;=101,INDEX($B$105:$B$205,101),INDEX($B$105:$B$205,D210)+(C210-INDEX($C$105:$C$205,D210))/MAX(0.000000000001,INDEX($C$105:$C$205,D210+1)-INDEX($C$105:$C$205,D210))*(INDEX($B$105:$B$205,D210+1)-INDEX($B$105:$B$205,D210))),NA())</f>
        <v>7.7939079110469295E-2</v>
      </c>
    </row>
    <row r="211" spans="2:7" hidden="1" outlineLevel="1" x14ac:dyDescent="0.45">
      <c r="B211" s="63">
        <v>3</v>
      </c>
      <c r="C211" s="61">
        <f ca="1">IF(ISNUMBER($C$105),$C$105+($C$205-$C$105)*3/24,NA())</f>
        <v>21.73557591954431</v>
      </c>
      <c r="D211" s="64">
        <f t="shared" ca="1" si="2"/>
        <v>17</v>
      </c>
      <c r="E211" s="61">
        <f t="shared" ca="1" si="3"/>
        <v>23.034005913103066</v>
      </c>
      <c r="F211" s="62">
        <f t="shared" ca="1" si="4"/>
        <v>0.12271145779846732</v>
      </c>
      <c r="G211" s="62" cm="1">
        <f t="array" aca="1" ref="G211" ca="1">IF(ISNUMBER(D211),IF(D211&gt;=101,INDEX($B$105:$B$205,101),INDEX($B$105:$B$205,D211)+(C211-INDEX($C$105:$C$205,D211))/MAX(0.000000000001,INDEX($C$105:$C$205,D211+1)-INDEX($C$105:$C$205,D211))*(INDEX($B$105:$B$205,D211+1)-INDEX($B$105:$B$205,D211))),NA())</f>
        <v>0.16763124550237973</v>
      </c>
    </row>
    <row r="212" spans="2:7" hidden="1" outlineLevel="1" x14ac:dyDescent="0.45">
      <c r="B212" s="63">
        <v>4</v>
      </c>
      <c r="C212" s="61">
        <f ca="1">IF(ISNUMBER($C$105),$C$105+($C$205-$C$105)*4/24,NA())</f>
        <v>24.332435906661821</v>
      </c>
      <c r="D212" s="64">
        <f t="shared" ca="1" si="2"/>
        <v>30</v>
      </c>
      <c r="E212" s="61">
        <f t="shared" ca="1" si="3"/>
        <v>25.630865900220577</v>
      </c>
      <c r="F212" s="62">
        <f t="shared" ca="1" si="4"/>
        <v>0.13729810022952127</v>
      </c>
      <c r="G212" s="62" cm="1">
        <f t="array" aca="1" ref="G212" ca="1">IF(ISNUMBER(D212),IF(D212&gt;=101,INDEX($B$105:$B$205,101),INDEX($B$105:$B$205,D212)+(C212-INDEX($C$105:$C$205,D212))/MAX(0.000000000001,INDEX($C$105:$C$205,D212+1)-INDEX($C$105:$C$205,D212))*(INDEX($B$105:$B$205,D212+1)-INDEX($B$105:$B$205,D212))),NA())</f>
        <v>0.29034270330084705</v>
      </c>
    </row>
    <row r="213" spans="2:7" hidden="1" outlineLevel="1" x14ac:dyDescent="0.45">
      <c r="B213" s="63">
        <v>5</v>
      </c>
      <c r="C213" s="61">
        <f ca="1">IF(ISNUMBER($C$105),$C$105+($C$205-$C$105)*5/24,NA())</f>
        <v>26.929295893779337</v>
      </c>
      <c r="D213" s="64">
        <f t="shared" ca="1" si="2"/>
        <v>43</v>
      </c>
      <c r="E213" s="61">
        <f t="shared" ca="1" si="3"/>
        <v>28.227725887338096</v>
      </c>
      <c r="F213" s="62">
        <f t="shared" ca="1" si="4"/>
        <v>0.12907230775614525</v>
      </c>
      <c r="G213" s="62" cm="1">
        <f t="array" aca="1" ref="G213" ca="1">IF(ISNUMBER(D213),IF(D213&gt;=101,INDEX($B$105:$B$205,101),INDEX($B$105:$B$205,D213)+(C213-INDEX($C$105:$C$205,D213))/MAX(0.000000000001,INDEX($C$105:$C$205,D213+1)-INDEX($C$105:$C$205,D213))*(INDEX($B$105:$B$205,D213+1)-INDEX($B$105:$B$205,D213))),NA())</f>
        <v>0.42764080353036832</v>
      </c>
    </row>
    <row r="214" spans="2:7" hidden="1" outlineLevel="1" x14ac:dyDescent="0.45">
      <c r="B214" s="63">
        <v>6</v>
      </c>
      <c r="C214" s="61">
        <f ca="1">IF(ISNUMBER($C$105),$C$105+($C$205-$C$105)*6/24,NA())</f>
        <v>29.526155880896852</v>
      </c>
      <c r="D214" s="64">
        <f t="shared" ca="1" si="2"/>
        <v>56</v>
      </c>
      <c r="E214" s="61">
        <f t="shared" ca="1" si="3"/>
        <v>30.824585874455607</v>
      </c>
      <c r="F214" s="62">
        <f t="shared" ca="1" si="4"/>
        <v>0.11758533833994333</v>
      </c>
      <c r="G214" s="62" cm="1">
        <f t="array" aca="1" ref="G214" ca="1">IF(ISNUMBER(D214),IF(D214&gt;=101,INDEX($B$105:$B$205,101),INDEX($B$105:$B$205,D214)+(C214-INDEX($C$105:$C$205,D214))/MAX(0.000000000001,INDEX($C$105:$C$205,D214+1)-INDEX($C$105:$C$205,D214))*(INDEX($B$105:$B$205,D214+1)-INDEX($B$105:$B$205,D214))),NA())</f>
        <v>0.55671311128651357</v>
      </c>
    </row>
    <row r="215" spans="2:7" hidden="1" outlineLevel="1" x14ac:dyDescent="0.45">
      <c r="B215" s="63">
        <v>7</v>
      </c>
      <c r="C215" s="61">
        <f ca="1">IF(ISNUMBER($C$105),$C$105+($C$205-$C$105)*7/24,NA())</f>
        <v>32.123015868014363</v>
      </c>
      <c r="D215" s="64">
        <f t="shared" ca="1" si="2"/>
        <v>68</v>
      </c>
      <c r="E215" s="61">
        <f t="shared" ca="1" si="3"/>
        <v>33.421445861573119</v>
      </c>
      <c r="F215" s="62">
        <f t="shared" ca="1" si="4"/>
        <v>9.1740386726659406E-2</v>
      </c>
      <c r="G215" s="62" cm="1">
        <f t="array" aca="1" ref="G215" ca="1">IF(ISNUMBER(D215),IF(D215&gt;=101,INDEX($B$105:$B$205,101),INDEX($B$105:$B$205,D215)+(C215-INDEX($C$105:$C$205,D215))/MAX(0.000000000001,INDEX($C$105:$C$205,D215+1)-INDEX($C$105:$C$205,D215))*(INDEX($B$105:$B$205,D215+1)-INDEX($B$105:$B$205,D215))),NA())</f>
        <v>0.67429844962645691</v>
      </c>
    </row>
    <row r="216" spans="2:7" hidden="1" outlineLevel="1" x14ac:dyDescent="0.45">
      <c r="B216" s="63">
        <v>8</v>
      </c>
      <c r="C216" s="61">
        <f ca="1">IF(ISNUMBER($C$105),$C$105+($C$205-$C$105)*8/24,NA())</f>
        <v>34.719875855131882</v>
      </c>
      <c r="D216" s="64">
        <f t="shared" ca="1" si="2"/>
        <v>77</v>
      </c>
      <c r="E216" s="61">
        <f t="shared" ca="1" si="3"/>
        <v>36.018305848690645</v>
      </c>
      <c r="F216" s="62">
        <f t="shared" ca="1" si="4"/>
        <v>6.784560555453989E-2</v>
      </c>
      <c r="G216" s="62" cm="1">
        <f t="array" aca="1" ref="G216" ca="1">IF(ISNUMBER(D216),IF(D216&gt;=101,INDEX($B$105:$B$205,101),INDEX($B$105:$B$205,D216)+(C216-INDEX($C$105:$C$205,D216))/MAX(0.000000000001,INDEX($C$105:$C$205,D216+1)-INDEX($C$105:$C$205,D216))*(INDEX($B$105:$B$205,D216+1)-INDEX($B$105:$B$205,D216))),NA())</f>
        <v>0.76603883635311631</v>
      </c>
    </row>
    <row r="217" spans="2:7" hidden="1" outlineLevel="1" x14ac:dyDescent="0.45">
      <c r="B217" s="63">
        <v>9</v>
      </c>
      <c r="C217" s="61">
        <f ca="1">IF(ISNUMBER($C$105),$C$105+($C$205-$C$105)*9/24,NA())</f>
        <v>37.3167358422494</v>
      </c>
      <c r="D217" s="64">
        <f t="shared" ca="1" si="2"/>
        <v>84</v>
      </c>
      <c r="E217" s="61">
        <f t="shared" ca="1" si="3"/>
        <v>38.615165835808156</v>
      </c>
      <c r="F217" s="62">
        <f t="shared" ca="1" si="4"/>
        <v>4.8737379144068282E-2</v>
      </c>
      <c r="G217" s="62" cm="1">
        <f t="array" aca="1" ref="G217" ca="1">IF(ISNUMBER(D217),IF(D217&gt;=101,INDEX($B$105:$B$205,101),INDEX($B$105:$B$205,D217)+(C217-INDEX($C$105:$C$205,D217))/MAX(0.000000000001,INDEX($C$105:$C$205,D217+1)-INDEX($C$105:$C$205,D217))*(INDEX($B$105:$B$205,D217+1)-INDEX($B$105:$B$205,D217))),NA())</f>
        <v>0.8338844419076562</v>
      </c>
    </row>
    <row r="218" spans="2:7" hidden="1" outlineLevel="1" x14ac:dyDescent="0.45">
      <c r="B218" s="63">
        <v>10</v>
      </c>
      <c r="C218" s="61">
        <f ca="1">IF(ISNUMBER($C$105),$C$105+($C$205-$C$105)*10/24,NA())</f>
        <v>39.913595829366912</v>
      </c>
      <c r="D218" s="64">
        <f t="shared" ca="1" si="2"/>
        <v>89</v>
      </c>
      <c r="E218" s="61">
        <f t="shared" ca="1" si="3"/>
        <v>41.212025822925668</v>
      </c>
      <c r="F218" s="62">
        <f t="shared" ca="1" si="4"/>
        <v>3.4247333986179074E-2</v>
      </c>
      <c r="G218" s="62" cm="1">
        <f t="array" aca="1" ref="G218" ca="1">IF(ISNUMBER(D218),IF(D218&gt;=101,INDEX($B$105:$B$205,101),INDEX($B$105:$B$205,D218)+(C218-INDEX($C$105:$C$205,D218))/MAX(0.000000000001,INDEX($C$105:$C$205,D218+1)-INDEX($C$105:$C$205,D218))*(INDEX($B$105:$B$205,D218+1)-INDEX($B$105:$B$205,D218))),NA())</f>
        <v>0.88262182105172449</v>
      </c>
    </row>
    <row r="219" spans="2:7" hidden="1" outlineLevel="1" x14ac:dyDescent="0.45">
      <c r="B219" s="63">
        <v>11</v>
      </c>
      <c r="C219" s="61">
        <f ca="1">IF(ISNUMBER($C$105),$C$105+($C$205-$C$105)*11/24,NA())</f>
        <v>42.510455816484424</v>
      </c>
      <c r="D219" s="64">
        <f t="shared" ca="1" si="2"/>
        <v>92</v>
      </c>
      <c r="E219" s="61">
        <f t="shared" ca="1" si="3"/>
        <v>43.808885810043179</v>
      </c>
      <c r="F219" s="62">
        <f t="shared" ca="1" si="4"/>
        <v>2.2973064425741763E-2</v>
      </c>
      <c r="G219" s="62" cm="1">
        <f t="array" aca="1" ref="G219" ca="1">IF(ISNUMBER(D219),IF(D219&gt;=101,INDEX($B$105:$B$205,101),INDEX($B$105:$B$205,D219)+(C219-INDEX($C$105:$C$205,D219))/MAX(0.000000000001,INDEX($C$105:$C$205,D219+1)-INDEX($C$105:$C$205,D219))*(INDEX($B$105:$B$205,D219+1)-INDEX($B$105:$B$205,D219))),NA())</f>
        <v>0.91686915503790356</v>
      </c>
    </row>
    <row r="220" spans="2:7" hidden="1" outlineLevel="1" x14ac:dyDescent="0.45">
      <c r="B220" s="63">
        <v>12</v>
      </c>
      <c r="C220" s="61">
        <f ca="1">IF(ISNUMBER($C$105),$C$105+($C$205-$C$105)*12/24,NA())</f>
        <v>45.107315803601942</v>
      </c>
      <c r="D220" s="64">
        <f t="shared" ca="1" si="2"/>
        <v>94</v>
      </c>
      <c r="E220" s="61">
        <f t="shared" ca="1" si="3"/>
        <v>46.405745797160691</v>
      </c>
      <c r="F220" s="62">
        <f t="shared" ca="1" si="4"/>
        <v>1.3991423733369812E-2</v>
      </c>
      <c r="G220" s="62" cm="1">
        <f t="array" aca="1" ref="G220" ca="1">IF(ISNUMBER(D220),IF(D220&gt;=101,INDEX($B$105:$B$205,101),INDEX($B$105:$B$205,D220)+(C220-INDEX($C$105:$C$205,D220))/MAX(0.000000000001,INDEX($C$105:$C$205,D220+1)-INDEX($C$105:$C$205,D220))*(INDEX($B$105:$B$205,D220+1)-INDEX($B$105:$B$205,D220))),NA())</f>
        <v>0.93984221946364532</v>
      </c>
    </row>
    <row r="221" spans="2:7" hidden="1" outlineLevel="1" x14ac:dyDescent="0.45">
      <c r="B221" s="63">
        <v>13</v>
      </c>
      <c r="C221" s="61">
        <f ca="1">IF(ISNUMBER($C$105),$C$105+($C$205-$C$105)*13/24,NA())</f>
        <v>47.704175790719447</v>
      </c>
      <c r="D221" s="64">
        <f t="shared" ca="1" si="2"/>
        <v>96</v>
      </c>
      <c r="E221" s="61">
        <f t="shared" ca="1" si="3"/>
        <v>49.002605784278209</v>
      </c>
      <c r="F221" s="62">
        <f t="shared" ca="1" si="4"/>
        <v>1.0413118425317225E-2</v>
      </c>
      <c r="G221" s="62" cm="1">
        <f t="array" aca="1" ref="G221" ca="1">IF(ISNUMBER(D221),IF(D221&gt;=101,INDEX($B$105:$B$205,101),INDEX($B$105:$B$205,D221)+(C221-INDEX($C$105:$C$205,D221))/MAX(0.000000000001,INDEX($C$105:$C$205,D221+1)-INDEX($C$105:$C$205,D221))*(INDEX($B$105:$B$205,D221+1)-INDEX($B$105:$B$205,D221))),NA())</f>
        <v>0.95383364319701514</v>
      </c>
    </row>
    <row r="222" spans="2:7" hidden="1" outlineLevel="1" x14ac:dyDescent="0.45">
      <c r="B222" s="63">
        <v>14</v>
      </c>
      <c r="C222" s="61">
        <f ca="1">IF(ISNUMBER($C$105),$C$105+($C$205-$C$105)*14/24,NA())</f>
        <v>50.301035777836972</v>
      </c>
      <c r="D222" s="64">
        <f t="shared" ca="1" si="2"/>
        <v>97</v>
      </c>
      <c r="E222" s="61">
        <f t="shared" ca="1" si="3"/>
        <v>51.599465771395728</v>
      </c>
      <c r="F222" s="62">
        <f t="shared" ca="1" si="4"/>
        <v>8.3582073717216598E-3</v>
      </c>
      <c r="G222" s="62" cm="1">
        <f t="array" aca="1" ref="G222" ca="1">IF(ISNUMBER(D222),IF(D222&gt;=101,INDEX($B$105:$B$205,101),INDEX($B$105:$B$205,D222)+(C222-INDEX($C$105:$C$205,D222))/MAX(0.000000000001,INDEX($C$105:$C$205,D222+1)-INDEX($C$105:$C$205,D222))*(INDEX($B$105:$B$205,D222+1)-INDEX($B$105:$B$205,D222))),NA())</f>
        <v>0.96424676162233236</v>
      </c>
    </row>
    <row r="223" spans="2:7" hidden="1" outlineLevel="1" x14ac:dyDescent="0.45">
      <c r="B223" s="63">
        <v>15</v>
      </c>
      <c r="C223" s="61">
        <f ca="1">IF(ISNUMBER($C$105),$C$105+($C$205-$C$105)*15/24,NA())</f>
        <v>52.897895764954484</v>
      </c>
      <c r="D223" s="64">
        <f t="shared" ca="1" si="2"/>
        <v>98</v>
      </c>
      <c r="E223" s="61">
        <f t="shared" ca="1" si="3"/>
        <v>54.19632575851324</v>
      </c>
      <c r="F223" s="62">
        <f t="shared" ca="1" si="4"/>
        <v>6.1285545008494813E-3</v>
      </c>
      <c r="G223" s="62" cm="1">
        <f t="array" aca="1" ref="G223" ca="1">IF(ISNUMBER(D223),IF(D223&gt;=101,INDEX($B$105:$B$205,101),INDEX($B$105:$B$205,D223)+(C223-INDEX($C$105:$C$205,D223))/MAX(0.000000000001,INDEX($C$105:$C$205,D223+1)-INDEX($C$105:$C$205,D223))*(INDEX($B$105:$B$205,D223+1)-INDEX($B$105:$B$205,D223))),NA())</f>
        <v>0.97260496899405402</v>
      </c>
    </row>
    <row r="224" spans="2:7" hidden="1" outlineLevel="1" x14ac:dyDescent="0.45">
      <c r="B224" s="63">
        <v>16</v>
      </c>
      <c r="C224" s="61">
        <f ca="1">IF(ISNUMBER($C$105),$C$105+($C$205-$C$105)*16/24,NA())</f>
        <v>55.494755752071995</v>
      </c>
      <c r="D224" s="64">
        <f t="shared" ca="1" si="2"/>
        <v>98</v>
      </c>
      <c r="E224" s="61">
        <f t="shared" ca="1" si="3"/>
        <v>56.793185745630751</v>
      </c>
      <c r="F224" s="62">
        <f t="shared" ca="1" si="4"/>
        <v>3.5669341877484495E-3</v>
      </c>
      <c r="G224" s="62" cm="1">
        <f t="array" aca="1" ref="G224" ca="1">IF(ISNUMBER(D224),IF(D224&gt;=101,INDEX($B$105:$B$205,101),INDEX($B$105:$B$205,D224)+(C224-INDEX($C$105:$C$205,D224))/MAX(0.000000000001,INDEX($C$105:$C$205,D224+1)-INDEX($C$105:$C$205,D224))*(INDEX($B$105:$B$205,D224+1)-INDEX($B$105:$B$205,D224))),NA())</f>
        <v>0.9787335234949035</v>
      </c>
    </row>
    <row r="225" spans="2:7" hidden="1" outlineLevel="1" x14ac:dyDescent="0.45">
      <c r="B225" s="63">
        <v>17</v>
      </c>
      <c r="C225" s="61">
        <f ca="1">IF(ISNUMBER($C$105),$C$105+($C$205-$C$105)*17/24,NA())</f>
        <v>58.091615739189507</v>
      </c>
      <c r="D225" s="64">
        <f t="shared" ca="1" si="2"/>
        <v>99</v>
      </c>
      <c r="E225" s="61">
        <f t="shared" ca="1" si="3"/>
        <v>59.39004573274827</v>
      </c>
      <c r="F225" s="62">
        <f t="shared" ca="1" si="4"/>
        <v>2.899682048981056E-3</v>
      </c>
      <c r="G225" s="62" cm="1">
        <f t="array" aca="1" ref="G225" ca="1">IF(ISNUMBER(D225),IF(D225&gt;=101,INDEX($B$105:$B$205,101),INDEX($B$105:$B$205,D225)+(C225-INDEX($C$105:$C$205,D225))/MAX(0.000000000001,INDEX($C$105:$C$205,D225+1)-INDEX($C$105:$C$205,D225))*(INDEX($B$105:$B$205,D225+1)-INDEX($B$105:$B$205,D225))),NA())</f>
        <v>0.98230045768265195</v>
      </c>
    </row>
    <row r="226" spans="2:7" hidden="1" outlineLevel="1" x14ac:dyDescent="0.45">
      <c r="B226" s="63">
        <v>18</v>
      </c>
      <c r="C226" s="61">
        <f ca="1">IF(ISNUMBER($C$105),$C$105+($C$205-$C$105)*18/24,NA())</f>
        <v>60.688475726307033</v>
      </c>
      <c r="D226" s="64">
        <f t="shared" ca="1" si="2"/>
        <v>99</v>
      </c>
      <c r="E226" s="61">
        <f t="shared" ca="1" si="3"/>
        <v>61.986905719865788</v>
      </c>
      <c r="F226" s="62">
        <f t="shared" ca="1" si="4"/>
        <v>2.8996820489809449E-3</v>
      </c>
      <c r="G226" s="62" cm="1">
        <f t="array" aca="1" ref="G226" ca="1">IF(ISNUMBER(D226),IF(D226&gt;=101,INDEX($B$105:$B$205,101),INDEX($B$105:$B$205,D226)+(C226-INDEX($C$105:$C$205,D226))/MAX(0.000000000001,INDEX($C$105:$C$205,D226+1)-INDEX($C$105:$C$205,D226))*(INDEX($B$105:$B$205,D226+1)-INDEX($B$105:$B$205,D226))),NA())</f>
        <v>0.98520013973163301</v>
      </c>
    </row>
    <row r="227" spans="2:7" hidden="1" outlineLevel="1" x14ac:dyDescent="0.45">
      <c r="B227" s="63">
        <v>19</v>
      </c>
      <c r="C227" s="61">
        <f ca="1">IF(ISNUMBER($C$105),$C$105+($C$205-$C$105)*19/24,NA())</f>
        <v>63.285335713424544</v>
      </c>
      <c r="D227" s="64">
        <f t="shared" ca="1" si="2"/>
        <v>99</v>
      </c>
      <c r="E227" s="61">
        <f t="shared" ca="1" si="3"/>
        <v>64.5837657069833</v>
      </c>
      <c r="F227" s="62">
        <f t="shared" ca="1" si="4"/>
        <v>2.2968623841046476E-3</v>
      </c>
      <c r="G227" s="62" cm="1">
        <f t="array" aca="1" ref="G227" ca="1">IF(ISNUMBER(D227),IF(D227&gt;=101,INDEX($B$105:$B$205,101),INDEX($B$105:$B$205,D227)+(C227-INDEX($C$105:$C$205,D227))/MAX(0.000000000001,INDEX($C$105:$C$205,D227+1)-INDEX($C$105:$C$205,D227))*(INDEX($B$105:$B$205,D227+1)-INDEX($B$105:$B$205,D227))),NA())</f>
        <v>0.98809982178061395</v>
      </c>
    </row>
    <row r="228" spans="2:7" hidden="1" outlineLevel="1" x14ac:dyDescent="0.45">
      <c r="B228" s="63">
        <v>20</v>
      </c>
      <c r="C228" s="61">
        <f ca="1">IF(ISNUMBER($C$105),$C$105+($C$205-$C$105)*20/24,NA())</f>
        <v>65.882195700542056</v>
      </c>
      <c r="D228" s="64">
        <f t="shared" ca="1" si="2"/>
        <v>100</v>
      </c>
      <c r="E228" s="61">
        <f t="shared" ca="1" si="3"/>
        <v>67.180625694100812</v>
      </c>
      <c r="F228" s="62">
        <f t="shared" ca="1" si="4"/>
        <v>1.1508289588203491E-3</v>
      </c>
      <c r="G228" s="62" cm="1">
        <f t="array" aca="1" ref="G228" ca="1">IF(ISNUMBER(D228),IF(D228&gt;=101,INDEX($B$105:$B$205,101),INDEX($B$105:$B$205,D228)+(C228-INDEX($C$105:$C$205,D228))/MAX(0.000000000001,INDEX($C$105:$C$205,D228+1)-INDEX($C$105:$C$205,D228))*(INDEX($B$105:$B$205,D228+1)-INDEX($B$105:$B$205,D228))),NA())</f>
        <v>0.9903966841647186</v>
      </c>
    </row>
    <row r="229" spans="2:7" hidden="1" outlineLevel="1" x14ac:dyDescent="0.45">
      <c r="B229" s="63">
        <v>21</v>
      </c>
      <c r="C229" s="61">
        <f ca="1">IF(ISNUMBER($C$105),$C$105+($C$205-$C$105)*21/24,NA())</f>
        <v>68.479055687659567</v>
      </c>
      <c r="D229" s="64">
        <f t="shared" ca="1" si="2"/>
        <v>100</v>
      </c>
      <c r="E229" s="61">
        <f t="shared" ca="1" si="3"/>
        <v>69.777485681218323</v>
      </c>
      <c r="F229" s="62">
        <f t="shared" ca="1" si="4"/>
        <v>1.1508289588203491E-3</v>
      </c>
      <c r="G229" s="62" cm="1">
        <f t="array" aca="1" ref="G229" ca="1">IF(ISNUMBER(D229),IF(D229&gt;=101,INDEX($B$105:$B$205,101),INDEX($B$105:$B$205,D229)+(C229-INDEX($C$105:$C$205,D229))/MAX(0.000000000001,INDEX($C$105:$C$205,D229+1)-INDEX($C$105:$C$205,D229))*(INDEX($B$105:$B$205,D229+1)-INDEX($B$105:$B$205,D229))),NA())</f>
        <v>0.99154751312353895</v>
      </c>
    </row>
    <row r="230" spans="2:7" hidden="1" outlineLevel="1" x14ac:dyDescent="0.45">
      <c r="B230" s="63">
        <v>22</v>
      </c>
      <c r="C230" s="61">
        <f ca="1">IF(ISNUMBER($C$105),$C$105+($C$205-$C$105)*22/24,NA())</f>
        <v>71.075915674777079</v>
      </c>
      <c r="D230" s="64">
        <f t="shared" ca="1" si="2"/>
        <v>100</v>
      </c>
      <c r="E230" s="61">
        <f t="shared" ca="1" si="3"/>
        <v>72.374345668335835</v>
      </c>
      <c r="F230" s="62">
        <f t="shared" ca="1" si="4"/>
        <v>1.1508289588203491E-3</v>
      </c>
      <c r="G230" s="62" cm="1">
        <f t="array" aca="1" ref="G230" ca="1">IF(ISNUMBER(D230),IF(D230&gt;=101,INDEX($B$105:$B$205,101),INDEX($B$105:$B$205,D230)+(C230-INDEX($C$105:$C$205,D230))/MAX(0.000000000001,INDEX($C$105:$C$205,D230+1)-INDEX($C$105:$C$205,D230))*(INDEX($B$105:$B$205,D230+1)-INDEX($B$105:$B$205,D230))),NA())</f>
        <v>0.9926983420823593</v>
      </c>
    </row>
    <row r="231" spans="2:7" hidden="1" outlineLevel="1" x14ac:dyDescent="0.45">
      <c r="B231" s="63">
        <v>23</v>
      </c>
      <c r="C231" s="61">
        <f ca="1">IF(ISNUMBER($C$105),$C$105+($C$205-$C$105)*23/24,NA())</f>
        <v>73.67277566189459</v>
      </c>
      <c r="D231" s="64">
        <f t="shared" ca="1" si="2"/>
        <v>100</v>
      </c>
      <c r="E231" s="61">
        <f t="shared" ca="1" si="3"/>
        <v>74.97120565545336</v>
      </c>
      <c r="F231" s="62">
        <f t="shared" ca="1" si="4"/>
        <v>1.1508289588203491E-3</v>
      </c>
      <c r="G231" s="62" cm="1">
        <f t="array" aca="1" ref="G231" ca="1">IF(ISNUMBER(D231),IF(D231&gt;=101,INDEX($B$105:$B$205,101),INDEX($B$105:$B$205,D231)+(C231-INDEX($C$105:$C$205,D231))/MAX(0.000000000001,INDEX($C$105:$C$205,D231+1)-INDEX($C$105:$C$205,D231))*(INDEX($B$105:$B$205,D231+1)-INDEX($B$105:$B$205,D231))),NA())</f>
        <v>0.99384917104117965</v>
      </c>
    </row>
    <row r="232" spans="2:7" hidden="1" outlineLevel="1" x14ac:dyDescent="0.45">
      <c r="B232" s="63">
        <v>24</v>
      </c>
      <c r="C232" s="61">
        <f ca="1">IF(ISNUMBER($C$105),$C$105+($C$205-$C$105)*24/24,NA())</f>
        <v>76.269635649012116</v>
      </c>
      <c r="D232" s="64">
        <f t="shared" ca="1" si="2"/>
        <v>101</v>
      </c>
      <c r="G232" s="62" cm="1">
        <f t="array" aca="1" ref="G232" ca="1">IF(ISNUMBER(D232),IF(D232&gt;=101,INDEX($B$105:$B$205,101),INDEX($B$105:$B$205,D232)+(C232-INDEX($C$105:$C$205,D232))/MAX(0.000000000001,INDEX($C$105:$C$205,D232+1)-INDEX($C$105:$C$205,D232))*(INDEX($B$105:$B$205,D232+1)-INDEX($B$105:$B$205,D232))),NA())</f>
        <v>0.995</v>
      </c>
    </row>
  </sheetData>
  <mergeCells count="6">
    <mergeCell ref="B25:G25"/>
    <mergeCell ref="B47:G47"/>
    <mergeCell ref="B46:G46"/>
    <mergeCell ref="B45:G45"/>
    <mergeCell ref="B43:G43"/>
    <mergeCell ref="B44:G44"/>
  </mergeCells>
  <conditionalFormatting sqref="B7">
    <cfRule type="expression" dxfId="9" priority="2">
      <formula>LEFT($B$7,1)="✗"</formula>
    </cfRule>
  </conditionalFormatting>
  <conditionalFormatting sqref="B6:G6">
    <cfRule type="expression" dxfId="8" priority="1">
      <formula>LEFT($B$6,1)&lt;&gt;"✔"</formula>
    </cfRule>
  </conditionalFormatting>
  <conditionalFormatting sqref="C105:G232">
    <cfRule type="expression" dxfId="7" priority="10">
      <formula>ISNA($C$105)</formula>
    </cfRule>
  </conditionalFormatting>
  <conditionalFormatting sqref="D53:H102">
    <cfRule type="expression" dxfId="6" priority="9">
      <formula>ISNA(D53)</formula>
    </cfRule>
  </conditionalFormatting>
  <conditionalFormatting sqref="G22">
    <cfRule type="expression" dxfId="5" priority="3">
      <formula>AND(ISNUMBER($F$22),$F$22&gt;0)</formula>
    </cfRule>
    <cfRule type="expression" dxfId="4" priority="4">
      <formula>AND(ISNUMBER($F$22),$F$22&lt;=0)</formula>
    </cfRule>
  </conditionalFormatting>
  <conditionalFormatting sqref="G23">
    <cfRule type="expression" dxfId="3" priority="5">
      <formula>AND(ISNUMBER($F$23),$F$23&gt;0)</formula>
    </cfRule>
    <cfRule type="expression" dxfId="2" priority="6">
      <formula>AND(ISNUMBER($F$23),$F$23&lt;=0)</formula>
    </cfRule>
  </conditionalFormatting>
  <conditionalFormatting sqref="G24">
    <cfRule type="expression" dxfId="1" priority="7">
      <formula>AND(ISNUMBER($F$24),$F$24&gt;0)</formula>
    </cfRule>
    <cfRule type="expression" dxfId="0" priority="8">
      <formula>AND(ISNUMBER($F$24),$F$24&lt;=0)</formula>
    </cfRule>
  </conditionalFormatting>
  <hyperlinks>
    <hyperlink ref="B4" location="'Programme'!A1" display="◂  Programme"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F544-CACA-400C-8A11-64E4F65989E9}">
  <dimension ref="A1:B1"/>
  <sheetViews>
    <sheetView workbookViewId="0"/>
  </sheetViews>
  <sheetFormatPr defaultRowHeight="14.25" x14ac:dyDescent="0.45"/>
  <sheetData>
    <row r="1" spans="1:2" x14ac:dyDescent="0.45">
      <c r="A1" s="69" t="s">
        <v>297</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A5BA1-9C2E-45F6-A587-9E9C11A37FB5}">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8F135-4D55-41EA-8E1A-597C8D8DF371}">
  <dimension ref="B3:B92"/>
  <sheetViews>
    <sheetView workbookViewId="0"/>
  </sheetViews>
  <sheetFormatPr defaultRowHeight="14.25" x14ac:dyDescent="0.45"/>
  <sheetData>
    <row r="3" spans="2:2" x14ac:dyDescent="0.45">
      <c r="B3">
        <v>1</v>
      </c>
    </row>
    <row r="4" spans="2:2" x14ac:dyDescent="0.45">
      <c r="B4">
        <v>0</v>
      </c>
    </row>
    <row r="5" spans="2:2" x14ac:dyDescent="0.45">
      <c r="B5">
        <v>3</v>
      </c>
    </row>
    <row r="6" spans="2:2" x14ac:dyDescent="0.45">
      <c r="B6">
        <v>0</v>
      </c>
    </row>
    <row r="7" spans="2:2" x14ac:dyDescent="0.45">
      <c r="B7">
        <v>7</v>
      </c>
    </row>
    <row r="8" spans="2:2" x14ac:dyDescent="0.45">
      <c r="B8">
        <v>6</v>
      </c>
    </row>
    <row r="9" spans="2:2" x14ac:dyDescent="0.45">
      <c r="B9">
        <v>23</v>
      </c>
    </row>
    <row r="10" spans="2:2" x14ac:dyDescent="0.45">
      <c r="B10">
        <v>156</v>
      </c>
    </row>
    <row r="11" spans="2:2" x14ac:dyDescent="0.45">
      <c r="B11">
        <v>1045</v>
      </c>
    </row>
    <row r="12" spans="2:2" x14ac:dyDescent="0.45">
      <c r="B12">
        <v>759</v>
      </c>
    </row>
    <row r="13" spans="2:2" x14ac:dyDescent="0.45">
      <c r="B13">
        <v>1</v>
      </c>
    </row>
    <row r="14" spans="2:2" x14ac:dyDescent="0.45">
      <c r="B14">
        <v>0</v>
      </c>
    </row>
    <row r="15" spans="2:2" x14ac:dyDescent="0.45">
      <c r="B15">
        <v>0</v>
      </c>
    </row>
    <row r="16" spans="2:2" x14ac:dyDescent="0.45">
      <c r="B16">
        <v>3</v>
      </c>
    </row>
    <row r="17" spans="2:2" x14ac:dyDescent="0.45">
      <c r="B17">
        <v>1</v>
      </c>
    </row>
    <row r="18" spans="2:2" x14ac:dyDescent="0.45">
      <c r="B18">
        <v>6</v>
      </c>
    </row>
    <row r="19" spans="2:2" x14ac:dyDescent="0.45">
      <c r="B19">
        <v>3</v>
      </c>
    </row>
    <row r="20" spans="2:2" x14ac:dyDescent="0.45">
      <c r="B20">
        <v>39</v>
      </c>
    </row>
    <row r="21" spans="2:2" x14ac:dyDescent="0.45">
      <c r="B21">
        <v>1125</v>
      </c>
    </row>
    <row r="22" spans="2:2" x14ac:dyDescent="0.45">
      <c r="B22">
        <v>822</v>
      </c>
    </row>
    <row r="23" spans="2:2" x14ac:dyDescent="0.45">
      <c r="B23">
        <v>1</v>
      </c>
    </row>
    <row r="24" spans="2:2" x14ac:dyDescent="0.45">
      <c r="B24">
        <v>0</v>
      </c>
    </row>
    <row r="25" spans="2:2" x14ac:dyDescent="0.45">
      <c r="B25">
        <v>3</v>
      </c>
    </row>
    <row r="26" spans="2:2" x14ac:dyDescent="0.45">
      <c r="B26">
        <v>0</v>
      </c>
    </row>
    <row r="27" spans="2:2" x14ac:dyDescent="0.45">
      <c r="B27">
        <v>7</v>
      </c>
    </row>
    <row r="28" spans="2:2" x14ac:dyDescent="0.45">
      <c r="B28">
        <v>6</v>
      </c>
    </row>
    <row r="29" spans="2:2" x14ac:dyDescent="0.45">
      <c r="B29">
        <v>23</v>
      </c>
    </row>
    <row r="30" spans="2:2" x14ac:dyDescent="0.45">
      <c r="B30">
        <v>156</v>
      </c>
    </row>
    <row r="31" spans="2:2" x14ac:dyDescent="0.45">
      <c r="B31">
        <v>1045</v>
      </c>
    </row>
    <row r="32" spans="2:2" x14ac:dyDescent="0.45">
      <c r="B32">
        <v>759</v>
      </c>
    </row>
    <row r="33" spans="2:2" x14ac:dyDescent="0.45">
      <c r="B33">
        <v>1</v>
      </c>
    </row>
    <row r="34" spans="2:2" x14ac:dyDescent="0.45">
      <c r="B34">
        <v>0</v>
      </c>
    </row>
    <row r="35" spans="2:2" x14ac:dyDescent="0.45">
      <c r="B35">
        <v>0</v>
      </c>
    </row>
    <row r="36" spans="2:2" x14ac:dyDescent="0.45">
      <c r="B36">
        <v>3</v>
      </c>
    </row>
    <row r="37" spans="2:2" x14ac:dyDescent="0.45">
      <c r="B37">
        <v>1</v>
      </c>
    </row>
    <row r="38" spans="2:2" x14ac:dyDescent="0.45">
      <c r="B38">
        <v>6</v>
      </c>
    </row>
    <row r="39" spans="2:2" x14ac:dyDescent="0.45">
      <c r="B39">
        <v>3</v>
      </c>
    </row>
    <row r="40" spans="2:2" x14ac:dyDescent="0.45">
      <c r="B40">
        <v>39</v>
      </c>
    </row>
    <row r="41" spans="2:2" x14ac:dyDescent="0.45">
      <c r="B41">
        <v>1125</v>
      </c>
    </row>
    <row r="42" spans="2:2" x14ac:dyDescent="0.45">
      <c r="B42">
        <v>822</v>
      </c>
    </row>
    <row r="43" spans="2:2" x14ac:dyDescent="0.45">
      <c r="B43">
        <v>773</v>
      </c>
    </row>
    <row r="44" spans="2:2" x14ac:dyDescent="0.45">
      <c r="B44">
        <v>1039</v>
      </c>
    </row>
    <row r="45" spans="2:2" x14ac:dyDescent="0.45">
      <c r="B45">
        <v>148</v>
      </c>
    </row>
    <row r="46" spans="2:2" x14ac:dyDescent="0.45">
      <c r="B46">
        <v>23</v>
      </c>
    </row>
    <row r="47" spans="2:2" x14ac:dyDescent="0.45">
      <c r="B47">
        <v>6</v>
      </c>
    </row>
    <row r="48" spans="2:2" x14ac:dyDescent="0.45">
      <c r="B48">
        <v>7</v>
      </c>
    </row>
    <row r="49" spans="2:2" x14ac:dyDescent="0.45">
      <c r="B49">
        <v>1</v>
      </c>
    </row>
    <row r="50" spans="2:2" x14ac:dyDescent="0.45">
      <c r="B50">
        <v>2</v>
      </c>
    </row>
    <row r="51" spans="2:2" x14ac:dyDescent="0.45">
      <c r="B51">
        <v>0</v>
      </c>
    </row>
    <row r="52" spans="2:2" x14ac:dyDescent="0.45">
      <c r="B52">
        <v>1</v>
      </c>
    </row>
    <row r="53" spans="2:2" x14ac:dyDescent="0.45">
      <c r="B53">
        <v>20</v>
      </c>
    </row>
    <row r="54" spans="2:2" x14ac:dyDescent="0.45">
      <c r="B54">
        <v>102</v>
      </c>
    </row>
    <row r="55" spans="2:2" x14ac:dyDescent="0.45">
      <c r="B55">
        <v>221</v>
      </c>
    </row>
    <row r="56" spans="2:2" x14ac:dyDescent="0.45">
      <c r="B56">
        <v>395</v>
      </c>
    </row>
    <row r="57" spans="2:2" x14ac:dyDescent="0.45">
      <c r="B57">
        <v>465</v>
      </c>
    </row>
    <row r="58" spans="2:2" x14ac:dyDescent="0.45">
      <c r="B58">
        <v>391</v>
      </c>
    </row>
    <row r="59" spans="2:2" x14ac:dyDescent="0.45">
      <c r="B59">
        <v>241</v>
      </c>
    </row>
    <row r="60" spans="2:2" x14ac:dyDescent="0.45">
      <c r="B60">
        <v>108</v>
      </c>
    </row>
    <row r="61" spans="2:2" x14ac:dyDescent="0.45">
      <c r="B61">
        <v>43</v>
      </c>
    </row>
    <row r="62" spans="2:2" x14ac:dyDescent="0.45">
      <c r="B62">
        <v>14</v>
      </c>
    </row>
    <row r="63" spans="2:2" x14ac:dyDescent="0.45">
      <c r="B63">
        <v>995</v>
      </c>
    </row>
    <row r="64" spans="2:2" x14ac:dyDescent="0.45">
      <c r="B64">
        <v>438</v>
      </c>
    </row>
    <row r="65" spans="2:2" x14ac:dyDescent="0.45">
      <c r="B65">
        <v>269</v>
      </c>
    </row>
    <row r="66" spans="2:2" x14ac:dyDescent="0.45">
      <c r="B66">
        <v>180</v>
      </c>
    </row>
    <row r="67" spans="2:2" x14ac:dyDescent="0.45">
      <c r="B67">
        <v>67</v>
      </c>
    </row>
    <row r="68" spans="2:2" x14ac:dyDescent="0.45">
      <c r="B68">
        <v>32</v>
      </c>
    </row>
    <row r="69" spans="2:2" x14ac:dyDescent="0.45">
      <c r="B69">
        <v>7</v>
      </c>
    </row>
    <row r="70" spans="2:2" x14ac:dyDescent="0.45">
      <c r="B70">
        <v>9</v>
      </c>
    </row>
    <row r="71" spans="2:2" x14ac:dyDescent="0.45">
      <c r="B71">
        <v>1</v>
      </c>
    </row>
    <row r="72" spans="2:2" x14ac:dyDescent="0.45">
      <c r="B72">
        <v>2</v>
      </c>
    </row>
    <row r="73" spans="2:2" x14ac:dyDescent="0.45">
      <c r="B73">
        <v>1867</v>
      </c>
    </row>
    <row r="74" spans="2:2" x14ac:dyDescent="0.45">
      <c r="B74">
        <v>32</v>
      </c>
    </row>
    <row r="75" spans="2:2" x14ac:dyDescent="0.45">
      <c r="B75">
        <v>23</v>
      </c>
    </row>
    <row r="76" spans="2:2" x14ac:dyDescent="0.45">
      <c r="B76">
        <v>14</v>
      </c>
    </row>
    <row r="77" spans="2:2" x14ac:dyDescent="0.45">
      <c r="B77">
        <v>10</v>
      </c>
    </row>
    <row r="78" spans="2:2" x14ac:dyDescent="0.45">
      <c r="B78">
        <v>9</v>
      </c>
    </row>
    <row r="79" spans="2:2" x14ac:dyDescent="0.45">
      <c r="B79">
        <v>6</v>
      </c>
    </row>
    <row r="80" spans="2:2" x14ac:dyDescent="0.45">
      <c r="B80">
        <v>38</v>
      </c>
    </row>
    <row r="81" spans="2:2" x14ac:dyDescent="0.45">
      <c r="B81">
        <v>0</v>
      </c>
    </row>
    <row r="82" spans="2:2" x14ac:dyDescent="0.45">
      <c r="B82">
        <v>1</v>
      </c>
    </row>
    <row r="83" spans="2:2" x14ac:dyDescent="0.45">
      <c r="B83">
        <v>1980</v>
      </c>
    </row>
    <row r="84" spans="2:2" x14ac:dyDescent="0.45">
      <c r="B84">
        <v>6</v>
      </c>
    </row>
    <row r="85" spans="2:2" x14ac:dyDescent="0.45">
      <c r="B85">
        <v>3</v>
      </c>
    </row>
    <row r="86" spans="2:2" x14ac:dyDescent="0.45">
      <c r="B86">
        <v>5</v>
      </c>
    </row>
    <row r="87" spans="2:2" x14ac:dyDescent="0.45">
      <c r="B87">
        <v>2</v>
      </c>
    </row>
    <row r="88" spans="2:2" x14ac:dyDescent="0.45">
      <c r="B88">
        <v>1</v>
      </c>
    </row>
    <row r="89" spans="2:2" x14ac:dyDescent="0.45">
      <c r="B89">
        <v>1</v>
      </c>
    </row>
    <row r="90" spans="2:2" x14ac:dyDescent="0.45">
      <c r="B90">
        <v>1</v>
      </c>
    </row>
    <row r="91" spans="2:2" x14ac:dyDescent="0.45">
      <c r="B91">
        <v>0</v>
      </c>
    </row>
    <row r="92" spans="2:2" x14ac:dyDescent="0.45">
      <c r="B9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F16F7D87-8664-4829-842E-E71099389C4B}">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65</vt:i4>
      </vt:variant>
    </vt:vector>
  </HeadingPairs>
  <TitlesOfParts>
    <vt:vector size="72" baseType="lpstr">
      <vt:lpstr>About</vt:lpstr>
      <vt:lpstr>Inputs</vt:lpstr>
      <vt:lpstr>Programme</vt:lpstr>
      <vt:lpstr>Results</vt:lpstr>
      <vt:lpstr>ModelRiskDSN</vt:lpstr>
      <vt:lpstr>ModelRiskSYS1</vt:lpstr>
      <vt:lpstr>ModelRiskCharts</vt:lpstr>
      <vt:lpstr>Checks</vt:lpstr>
      <vt:lpstr>ClaimsLeft</vt:lpstr>
      <vt:lpstr>CoC</vt:lpstr>
      <vt:lpstr>Com_Both</vt:lpstr>
      <vt:lpstr>Com_None</vt:lpstr>
      <vt:lpstr>Com_QS</vt:lpstr>
      <vt:lpstr>Com_XoL</vt:lpstr>
      <vt:lpstr>EL_Above</vt:lpstr>
      <vt:lpstr>EL_L1</vt:lpstr>
      <vt:lpstr>EL_L2</vt:lpstr>
      <vt:lpstr>EL_Ret</vt:lpstr>
      <vt:lpstr>EL_Total</vt:lpstr>
      <vt:lpstr>ExampleClaim</vt:lpstr>
      <vt:lpstr>Expenses</vt:lpstr>
      <vt:lpstr>ExpRatio</vt:lpstr>
      <vt:lpstr>Freq</vt:lpstr>
      <vt:lpstr>FreqMean</vt:lpstr>
      <vt:lpstr>Gross</vt:lpstr>
      <vt:lpstr>Kept_Both</vt:lpstr>
      <vt:lpstr>Kept_None</vt:lpstr>
      <vt:lpstr>Kept_QS</vt:lpstr>
      <vt:lpstr>Kept_XoL</vt:lpstr>
      <vt:lpstr>Limit1</vt:lpstr>
      <vt:lpstr>Limit2</vt:lpstr>
      <vt:lpstr>Load1</vt:lpstr>
      <vt:lpstr>Load2</vt:lpstr>
      <vt:lpstr>Out_Above</vt:lpstr>
      <vt:lpstr>Out_Gross</vt:lpstr>
      <vt:lpstr>Out_L1</vt:lpstr>
      <vt:lpstr>Out_L2</vt:lpstr>
      <vt:lpstr>Out_Ret</vt:lpstr>
      <vt:lpstr>ParetoB</vt:lpstr>
      <vt:lpstr>Prem1</vt:lpstr>
      <vt:lpstr>Prem2</vt:lpstr>
      <vt:lpstr>Premium</vt:lpstr>
      <vt:lpstr>PremLeft</vt:lpstr>
      <vt:lpstr>Results!Print_Area</vt:lpstr>
      <vt:lpstr>Inputs!Print_Titles</vt:lpstr>
      <vt:lpstr>Results!Print_Titles</vt:lpstr>
      <vt:lpstr>QSComm</vt:lpstr>
      <vt:lpstr>QSShare</vt:lpstr>
      <vt:lpstr>Rec_Both</vt:lpstr>
      <vt:lpstr>Rec_None</vt:lpstr>
      <vt:lpstr>Rec_QS</vt:lpstr>
      <vt:lpstr>Rec_XoL</vt:lpstr>
      <vt:lpstr>Result_Both</vt:lpstr>
      <vt:lpstr>Result_None</vt:lpstr>
      <vt:lpstr>Result_QS</vt:lpstr>
      <vt:lpstr>Result_XoL</vt:lpstr>
      <vt:lpstr>Retention</vt:lpstr>
      <vt:lpstr>RIP_Both</vt:lpstr>
      <vt:lpstr>RIP_None</vt:lpstr>
      <vt:lpstr>RIP_QS</vt:lpstr>
      <vt:lpstr>RIP_XoL</vt:lpstr>
      <vt:lpstr>ROL_1</vt:lpstr>
      <vt:lpstr>ROL_2</vt:lpstr>
      <vt:lpstr>Sev</vt:lpstr>
      <vt:lpstr>SevMean</vt:lpstr>
      <vt:lpstr>SevShape</vt:lpstr>
      <vt:lpstr>Top</vt:lpstr>
      <vt:lpstr>XoLPrem</vt:lpstr>
      <vt:lpstr>Y_Above</vt:lpstr>
      <vt:lpstr>Y_L1</vt:lpstr>
      <vt:lpstr>Y_L2</vt:lpstr>
      <vt:lpstr>Y_Ret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IN-03 Reinsurance Programme: Excess of Loss and Quota Share</dc:title>
  <dc:subject>ModelRisk industry example library — Insurance</dc:subject>
  <dc:creator>Vose Software</dc:creator>
  <cp:keywords>ModelRisk; Monte Carlo; Insurance</cp:keywords>
  <dc:description>Excess-of-loss layers and a quota share on a property book: what each programme costs, and the 1-in-200 loss it removes.</dc:description>
  <cp:lastModifiedBy>Timour Koupeev</cp:lastModifiedBy>
  <cp:lastPrinted>2026-10-07T17:22:58Z</cp:lastPrinted>
  <dcterms:created xsi:type="dcterms:W3CDTF">2026-10-07T17:21:15Z</dcterms:created>
  <dcterms:modified xsi:type="dcterms:W3CDTF">2026-10-07T17:22:59Z</dcterms:modified>
</cp:coreProperties>
</file>