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Insurance\"/>
    </mc:Choice>
  </mc:AlternateContent>
  <xr:revisionPtr revIDLastSave="0" documentId="8_{1BB4D5C5-6B26-4EB3-9AFF-66F9B1608D19}"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Data" sheetId="3" r:id="rId3"/>
    <sheet name="Fits" sheetId="4" r:id="rId4"/>
    <sheet name="Results" sheetId="5" r:id="rId5"/>
    <sheet name="ModelRiskDSN" sheetId="6" state="hidden" r:id="rId6"/>
    <sheet name="ModelRiskSYS1" sheetId="7" state="hidden" r:id="rId7"/>
    <sheet name="ModelRiskCharts" sheetId="8" state="hidden" r:id="rId8"/>
  </sheets>
  <definedNames>
    <definedName name="BestK">Fits!$D$29</definedName>
    <definedName name="Checks">Fits!$D$44:$D$45</definedName>
    <definedName name="Counts">Data!$C$18:INDEX(Data!$C$18:$C$67,COUNT(Data!$C$18:$C$67))</definedName>
    <definedName name="FitNames">Fits!$B$18:$B$20</definedName>
    <definedName name="FitObjects">Fits!$C$18:$C$20</definedName>
    <definedName name="FitObjectsU">Fits!$C$24:$C$26</definedName>
    <definedName name="Freq">Fits!$D$10</definedName>
    <definedName name="FreqU">Fits!$D$12</definedName>
    <definedName name="Lambda">Fits!$D$9</definedName>
    <definedName name="Obj_GA">Fits!$C$19</definedName>
    <definedName name="Obj_LN">Fits!$C$18</definedName>
    <definedName name="Obj_PA">Fits!$C$20</definedName>
    <definedName name="_xlnm.Print_Area" localSheetId="4">Results!$A$1:$R$47</definedName>
    <definedName name="_xlnm.Print_Titles" localSheetId="1">Inputs!$1:$4</definedName>
    <definedName name="_xlnm.Print_Titles" localSheetId="4">Results!$1:$4</definedName>
    <definedName name="RateU">Fits!$D$11</definedName>
    <definedName name="Sev">Fits!$D$31</definedName>
    <definedName name="SevChoice">Inputs!$D$11</definedName>
    <definedName name="SevU">Fits!$D$32</definedName>
    <definedName name="SIC_GA">Fits!$F$19</definedName>
    <definedName name="SIC_LN">Fits!$F$18</definedName>
    <definedName name="SIC_PA">Fits!$F$20</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izes">Data!$G$18:INDEX(Data!$G$18:$G$5017,COUNT(Data!$G$18:$G$5017))</definedName>
    <definedName name="Total_F">Fits!$D$39</definedName>
    <definedName name="Total_U">Fits!$D$40</definedName>
    <definedName name="UseK">Fits!$D$30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2" i="5" l="1"/>
  <c r="C101" i="5"/>
  <c r="C100" i="5"/>
  <c r="C99" i="5"/>
  <c r="C98" i="5"/>
  <c r="C97" i="5"/>
  <c r="C96" i="5"/>
  <c r="C95" i="5"/>
  <c r="C94" i="5"/>
  <c r="C93" i="5"/>
  <c r="C92" i="5"/>
  <c r="C91" i="5"/>
  <c r="C90" i="5"/>
  <c r="C89" i="5"/>
  <c r="C88" i="5"/>
  <c r="C87" i="5"/>
  <c r="C86" i="5"/>
  <c r="C85" i="5"/>
  <c r="C84" i="5"/>
  <c r="C83" i="5"/>
  <c r="C82" i="5"/>
  <c r="C81" i="5"/>
  <c r="C80" i="5"/>
  <c r="C79" i="5"/>
  <c r="C78" i="5"/>
  <c r="C77" i="5"/>
  <c r="C76" i="5"/>
  <c r="C75" i="5"/>
  <c r="C74" i="5"/>
  <c r="C73" i="5"/>
  <c r="C72" i="5"/>
  <c r="C71" i="5"/>
  <c r="C70" i="5"/>
  <c r="C69" i="5"/>
  <c r="C68" i="5"/>
  <c r="C67" i="5"/>
  <c r="C66" i="5"/>
  <c r="C65" i="5"/>
  <c r="C64" i="5"/>
  <c r="C63" i="5"/>
  <c r="C62" i="5"/>
  <c r="C61" i="5"/>
  <c r="C60" i="5"/>
  <c r="C59" i="5"/>
  <c r="C58" i="5"/>
  <c r="C57" i="5"/>
  <c r="C56" i="5"/>
  <c r="C55" i="5"/>
  <c r="C54" i="5"/>
  <c r="C53" i="5"/>
  <c r="D45" i="4"/>
  <c r="D44" i="4"/>
  <c r="B7" i="5" s="1"/>
  <c r="K21" i="4"/>
  <c r="H21" i="4"/>
  <c r="G21" i="4"/>
  <c r="D13" i="3"/>
  <c r="D12" i="3"/>
  <c r="D11" i="3"/>
  <c r="D10" i="3"/>
  <c r="D9" i="3"/>
  <c r="C25" i="4" a="1"/>
  <c r="C18" i="4" a="1"/>
  <c r="D10" i="4" a="1"/>
  <c r="C24" i="4" a="1"/>
  <c r="C19" i="4" a="1"/>
  <c r="D9" i="4" a="1"/>
  <c r="D19" i="4" a="1"/>
  <c r="D11" i="4" a="1"/>
  <c r="D20" i="4" a="1"/>
  <c r="C20" i="4" a="1"/>
  <c r="D18" i="4" a="1"/>
  <c r="C26" i="4" a="1"/>
  <c r="C26" i="4" l="1"/>
  <c r="D18" i="4"/>
  <c r="E18" i="4"/>
  <c r="C20" i="4"/>
  <c r="E20" i="4"/>
  <c r="D20" i="4"/>
  <c r="D11" i="4"/>
  <c r="E19" i="4"/>
  <c r="D19" i="4"/>
  <c r="D9" i="4"/>
  <c r="C19" i="4"/>
  <c r="C24" i="4"/>
  <c r="D10" i="4"/>
  <c r="C18" i="4"/>
  <c r="C25" i="4"/>
  <c r="D14" i="5" a="1"/>
  <c r="E14" i="5" a="1"/>
  <c r="F14" i="5" a="1"/>
  <c r="E15" i="5" a="1"/>
  <c r="F15" i="5" a="1"/>
  <c r="D15" i="5" a="1"/>
  <c r="E13" i="5" a="1"/>
  <c r="F13" i="5" a="1"/>
  <c r="D13" i="5" a="1"/>
  <c r="E22" i="5" a="1"/>
  <c r="G22" i="5" a="1"/>
  <c r="D22" i="5" a="1"/>
  <c r="F22" i="5" a="1"/>
  <c r="I19" i="4" a="1"/>
  <c r="G19" i="4" a="1"/>
  <c r="H19" i="4" a="1"/>
  <c r="F19" i="4" a="1"/>
  <c r="G20" i="4" a="1"/>
  <c r="I20" i="4" a="1"/>
  <c r="H20" i="4" a="1"/>
  <c r="F20" i="4" a="1"/>
  <c r="G18" i="4" a="1"/>
  <c r="F18" i="4" a="1"/>
  <c r="H18" i="4" a="1"/>
  <c r="I18" i="4" a="1"/>
  <c r="D13" i="5" l="1"/>
  <c r="F13" i="5"/>
  <c r="E13" i="5"/>
  <c r="D15" i="5"/>
  <c r="F15" i="5"/>
  <c r="E15" i="5"/>
  <c r="F14" i="5"/>
  <c r="E14" i="5"/>
  <c r="D14" i="5"/>
  <c r="F22" i="5"/>
  <c r="D22" i="5"/>
  <c r="G22" i="5"/>
  <c r="E22" i="5"/>
  <c r="D12" i="4" a="1"/>
  <c r="D12" i="4" s="1"/>
  <c r="I18" i="4"/>
  <c r="H18" i="4"/>
  <c r="F18" i="4"/>
  <c r="C13" i="5" s="1"/>
  <c r="G18" i="4"/>
  <c r="F20" i="4"/>
  <c r="C15" i="5" s="1"/>
  <c r="H20" i="4"/>
  <c r="I20" i="4"/>
  <c r="G20" i="4"/>
  <c r="F19" i="4"/>
  <c r="C14" i="5" s="1"/>
  <c r="H19" i="4"/>
  <c r="G19" i="4"/>
  <c r="I19" i="4"/>
  <c r="D29" i="4" l="1"/>
  <c r="D30" i="4" s="1"/>
  <c r="G14" i="5" l="1"/>
  <c r="G13" i="5"/>
  <c r="G15" i="5"/>
  <c r="D31" i="4" a="1"/>
  <c r="D31" i="4" s="1"/>
  <c r="D32" i="4" a="1"/>
  <c r="D32" i="4" s="1"/>
  <c r="D39" i="4" a="1"/>
  <c r="D40" i="4" a="1"/>
  <c r="D40" i="4" l="1"/>
  <c r="D39" i="4"/>
  <c r="C133" i="5" a="1"/>
  <c r="E99" i="5" a="1"/>
  <c r="G21" i="5" a="1"/>
  <c r="C204" i="5" a="1"/>
  <c r="C199" i="5" a="1"/>
  <c r="C151" i="5" a="1"/>
  <c r="C140" i="5" a="1"/>
  <c r="C135" i="5" a="1"/>
  <c r="C128" i="5" a="1"/>
  <c r="E88" i="5" a="1"/>
  <c r="C150" i="5" a="1"/>
  <c r="E91" i="5" a="1"/>
  <c r="C113" i="5" a="1"/>
  <c r="C177" i="5" a="1"/>
  <c r="C200" i="5" a="1"/>
  <c r="C195" i="5" a="1"/>
  <c r="C139" i="5" a="1"/>
  <c r="C123" i="5" a="1"/>
  <c r="C119" i="5" a="1"/>
  <c r="C112" i="5" a="1"/>
  <c r="E64" i="5" a="1"/>
  <c r="E75" i="5" a="1"/>
  <c r="C202" i="5" a="1"/>
  <c r="C146" i="5" a="1"/>
  <c r="E83" i="5" a="1"/>
  <c r="C205" i="5" a="1"/>
  <c r="C165" i="5" a="1"/>
  <c r="C184" i="5" a="1"/>
  <c r="C191" i="5" a="1"/>
  <c r="C130" i="5" a="1"/>
  <c r="E102" i="5" a="1"/>
  <c r="E54" i="5" a="1"/>
  <c r="E98" i="5" a="1"/>
  <c r="C118" i="5" a="1"/>
  <c r="C190" i="5" a="1"/>
  <c r="C142" i="5" a="1"/>
  <c r="E79" i="5" a="1"/>
  <c r="C189" i="5" a="1"/>
  <c r="C149" i="5" a="1"/>
  <c r="C172" i="5" a="1"/>
  <c r="C187" i="5" a="1"/>
  <c r="E101" i="5" a="1"/>
  <c r="E94" i="5" a="1"/>
  <c r="E92" i="5" a="1"/>
  <c r="E90" i="5" a="1"/>
  <c r="E86" i="5" a="1"/>
  <c r="E21" i="5" a="1"/>
  <c r="B6" i="5" a="1"/>
  <c r="E81" i="5" a="1"/>
  <c r="C182" i="5" a="1"/>
  <c r="C114" i="5" a="1"/>
  <c r="E67" i="5" a="1"/>
  <c r="C173" i="5" a="1"/>
  <c r="C129" i="5" a="1"/>
  <c r="C164" i="5" a="1"/>
  <c r="C171" i="5" a="1"/>
  <c r="E65" i="5" a="1"/>
  <c r="E78" i="5" a="1"/>
  <c r="E66" i="5" a="1"/>
  <c r="C124" i="5" a="1"/>
  <c r="C186" i="5" a="1"/>
  <c r="C181" i="5" a="1"/>
  <c r="C170" i="5" a="1"/>
  <c r="C110" i="5" a="1"/>
  <c r="E63" i="5" a="1"/>
  <c r="C197" i="5" a="1"/>
  <c r="C121" i="5" a="1"/>
  <c r="C160" i="5" a="1"/>
  <c r="C159" i="5" a="1"/>
  <c r="E57" i="5" a="1"/>
  <c r="E70" i="5" a="1"/>
  <c r="E60" i="5" a="1"/>
  <c r="C108" i="5" a="1"/>
  <c r="C183" i="5" a="1"/>
  <c r="C158" i="5" a="1"/>
  <c r="C106" i="5" a="1"/>
  <c r="E61" i="5" a="1"/>
  <c r="C193" i="5" a="1"/>
  <c r="C192" i="5" a="1"/>
  <c r="C156" i="5" a="1"/>
  <c r="C155" i="5" a="1"/>
  <c r="E55" i="5" a="1"/>
  <c r="E68" i="5" a="1"/>
  <c r="D21" i="5" a="1"/>
  <c r="E96" i="5" a="1"/>
  <c r="C168" i="5" a="1"/>
  <c r="C154" i="5" a="1"/>
  <c r="C185" i="5" a="1"/>
  <c r="C178" i="5" a="1"/>
  <c r="C138" i="5" a="1"/>
  <c r="E87" i="5" a="1"/>
  <c r="E59" i="5" a="1"/>
  <c r="C169" i="5" a="1"/>
  <c r="C145" i="5" a="1"/>
  <c r="C196" i="5" a="1"/>
  <c r="C152" i="5" a="1"/>
  <c r="C167" i="5" a="1"/>
  <c r="E93" i="5" a="1"/>
  <c r="C107" i="5" a="1"/>
  <c r="E58" i="5" a="1"/>
  <c r="C132" i="5" a="1"/>
  <c r="E82" i="5" a="1"/>
  <c r="E56" i="5" a="1"/>
  <c r="C174" i="5" a="1"/>
  <c r="C122" i="5" a="1"/>
  <c r="E85" i="5" a="1"/>
  <c r="E53" i="5" a="1"/>
  <c r="C201" i="5" a="1"/>
  <c r="C137" i="5" a="1"/>
  <c r="C188" i="5" a="1"/>
  <c r="C203" i="5" a="1"/>
  <c r="C163" i="5" a="1"/>
  <c r="E89" i="5" a="1"/>
  <c r="C120" i="5" a="1"/>
  <c r="D25" i="5" a="1"/>
  <c r="E84" i="5" a="1"/>
  <c r="C111" i="5" a="1"/>
  <c r="C198" i="5" a="1"/>
  <c r="C166" i="5" a="1"/>
  <c r="C134" i="5" a="1"/>
  <c r="E97" i="5" a="1"/>
  <c r="E71" i="5" a="1"/>
  <c r="C157" i="5" a="1"/>
  <c r="C141" i="5" a="1"/>
  <c r="C161" i="5" a="1"/>
  <c r="C109" i="5" a="1"/>
  <c r="C180" i="5" a="1"/>
  <c r="C148" i="5" a="1"/>
  <c r="C179" i="5" a="1"/>
  <c r="C147" i="5" a="1"/>
  <c r="E77" i="5" a="1"/>
  <c r="E76" i="5" a="1"/>
  <c r="E62" i="5" a="1"/>
  <c r="F21" i="5" a="1"/>
  <c r="C131" i="5" a="1"/>
  <c r="E74" i="5" a="1"/>
  <c r="E80" i="5" a="1"/>
  <c r="C194" i="5" a="1"/>
  <c r="C162" i="5" a="1"/>
  <c r="C126" i="5" a="1"/>
  <c r="E95" i="5" a="1"/>
  <c r="E69" i="5" a="1"/>
  <c r="C125" i="5" a="1"/>
  <c r="C117" i="5" a="1"/>
  <c r="C153" i="5" a="1"/>
  <c r="C105" i="5" a="1"/>
  <c r="C176" i="5" a="1"/>
  <c r="C144" i="5" a="1"/>
  <c r="C175" i="5" a="1"/>
  <c r="C143" i="5" a="1"/>
  <c r="E73" i="5" a="1"/>
  <c r="C136" i="5" a="1"/>
  <c r="E100" i="5" a="1"/>
  <c r="C116" i="5" a="1"/>
  <c r="C115" i="5" a="1"/>
  <c r="C127" i="5" a="1"/>
  <c r="E72" i="5" a="1"/>
  <c r="D97" i="5" a="1"/>
  <c r="D96" i="5" a="1"/>
  <c r="D92" i="5" a="1"/>
  <c r="D95" i="5" a="1"/>
  <c r="D88" i="5" a="1"/>
  <c r="D68" i="5" a="1"/>
  <c r="D89" i="5" a="1"/>
  <c r="D87" i="5" a="1"/>
  <c r="D80" i="5" a="1"/>
  <c r="D60" i="5" a="1"/>
  <c r="D83" i="5" a="1"/>
  <c r="D85" i="5" a="1"/>
  <c r="D72" i="5" a="1"/>
  <c r="D98" i="5" a="1"/>
  <c r="D81" i="5" a="1"/>
  <c r="D77" i="5" a="1"/>
  <c r="D94" i="5" a="1"/>
  <c r="D90" i="5" a="1"/>
  <c r="D65" i="5" a="1"/>
  <c r="G20" i="5" a="1"/>
  <c r="D86" i="5" a="1"/>
  <c r="D74" i="5" a="1"/>
  <c r="D63" i="5" a="1"/>
  <c r="D61" i="5" a="1"/>
  <c r="D78" i="5" a="1"/>
  <c r="D20" i="5" a="1"/>
  <c r="D59" i="5" a="1"/>
  <c r="D57" i="5" a="1"/>
  <c r="D70" i="5" a="1"/>
  <c r="D100" i="5" a="1"/>
  <c r="D82" i="5" a="1"/>
  <c r="D101" i="5" a="1"/>
  <c r="D79" i="5" a="1"/>
  <c r="D55" i="5" a="1"/>
  <c r="D84" i="5" a="1"/>
  <c r="D66" i="5" a="1"/>
  <c r="D93" i="5" a="1"/>
  <c r="D99" i="5" a="1"/>
  <c r="D75" i="5" a="1"/>
  <c r="D102" i="5" a="1"/>
  <c r="D76" i="5" a="1"/>
  <c r="D58" i="5" a="1"/>
  <c r="D71" i="5" a="1"/>
  <c r="D73" i="5" a="1"/>
  <c r="D64" i="5" a="1"/>
  <c r="D62" i="5" a="1"/>
  <c r="D53" i="5" a="1"/>
  <c r="D24" i="5" a="1"/>
  <c r="D67" i="5" a="1"/>
  <c r="D91" i="5" a="1"/>
  <c r="D69" i="5" a="1"/>
  <c r="D56" i="5" a="1"/>
  <c r="D54" i="5" a="1"/>
  <c r="F20" i="5" a="1"/>
  <c r="E20" i="5" a="1"/>
  <c r="E20" i="5" l="1"/>
  <c r="F20" i="5"/>
  <c r="D54" i="5"/>
  <c r="D56" i="5"/>
  <c r="D69" i="5"/>
  <c r="D91" i="5"/>
  <c r="D67" i="5"/>
  <c r="D24" i="5"/>
  <c r="D53" i="5"/>
  <c r="D62" i="5"/>
  <c r="D64" i="5"/>
  <c r="D73" i="5"/>
  <c r="D71" i="5"/>
  <c r="D58" i="5"/>
  <c r="D76" i="5"/>
  <c r="D102" i="5"/>
  <c r="D75" i="5"/>
  <c r="D99" i="5"/>
  <c r="D93" i="5"/>
  <c r="D66" i="5"/>
  <c r="D84" i="5"/>
  <c r="D55" i="5"/>
  <c r="D79" i="5"/>
  <c r="D101" i="5"/>
  <c r="D82" i="5"/>
  <c r="D100" i="5"/>
  <c r="D70" i="5"/>
  <c r="D57" i="5"/>
  <c r="D59" i="5"/>
  <c r="D20" i="5"/>
  <c r="D78" i="5"/>
  <c r="D61" i="5"/>
  <c r="D63" i="5"/>
  <c r="D74" i="5"/>
  <c r="D86" i="5"/>
  <c r="G20" i="5"/>
  <c r="D65" i="5"/>
  <c r="D90" i="5"/>
  <c r="D94" i="5"/>
  <c r="D77" i="5"/>
  <c r="D81" i="5"/>
  <c r="D98" i="5"/>
  <c r="D72" i="5"/>
  <c r="D85" i="5"/>
  <c r="D83" i="5"/>
  <c r="D60" i="5"/>
  <c r="D80" i="5"/>
  <c r="D87" i="5"/>
  <c r="D89" i="5"/>
  <c r="D68" i="5"/>
  <c r="D88" i="5"/>
  <c r="D95" i="5"/>
  <c r="D92" i="5"/>
  <c r="D96" i="5"/>
  <c r="D97" i="5"/>
  <c r="E72" i="5"/>
  <c r="C127" i="5"/>
  <c r="C115" i="5"/>
  <c r="C116" i="5"/>
  <c r="E100" i="5"/>
  <c r="C136" i="5"/>
  <c r="E73" i="5"/>
  <c r="C143" i="5"/>
  <c r="C175" i="5"/>
  <c r="C144" i="5"/>
  <c r="C176" i="5"/>
  <c r="C105" i="5"/>
  <c r="C153" i="5"/>
  <c r="C117" i="5"/>
  <c r="C125" i="5"/>
  <c r="E69" i="5"/>
  <c r="E95" i="5"/>
  <c r="C126" i="5"/>
  <c r="C162" i="5"/>
  <c r="C194" i="5"/>
  <c r="E80" i="5"/>
  <c r="E74" i="5"/>
  <c r="C131" i="5"/>
  <c r="F21" i="5"/>
  <c r="E62" i="5"/>
  <c r="E76" i="5"/>
  <c r="E77" i="5"/>
  <c r="C147" i="5"/>
  <c r="C179" i="5"/>
  <c r="C148" i="5"/>
  <c r="C180" i="5"/>
  <c r="C109" i="5"/>
  <c r="C161" i="5"/>
  <c r="C141" i="5"/>
  <c r="C157" i="5"/>
  <c r="E71" i="5"/>
  <c r="E97" i="5"/>
  <c r="C134" i="5"/>
  <c r="C166" i="5"/>
  <c r="C198" i="5"/>
  <c r="C111" i="5"/>
  <c r="E84" i="5"/>
  <c r="D25" i="5"/>
  <c r="C120" i="5"/>
  <c r="E89" i="5"/>
  <c r="C163" i="5"/>
  <c r="C203" i="5"/>
  <c r="C188" i="5"/>
  <c r="C137" i="5"/>
  <c r="C201" i="5"/>
  <c r="E53" i="5"/>
  <c r="E85" i="5"/>
  <c r="C122" i="5"/>
  <c r="C174" i="5"/>
  <c r="E56" i="5"/>
  <c r="E82" i="5"/>
  <c r="C132" i="5"/>
  <c r="E58" i="5"/>
  <c r="C107" i="5"/>
  <c r="E93" i="5"/>
  <c r="C167" i="5"/>
  <c r="C152" i="5"/>
  <c r="C196" i="5"/>
  <c r="C145" i="5"/>
  <c r="C169" i="5"/>
  <c r="E59" i="5"/>
  <c r="E87" i="5"/>
  <c r="C138" i="5"/>
  <c r="C178" i="5"/>
  <c r="C185" i="5"/>
  <c r="C154" i="5"/>
  <c r="C168" i="5"/>
  <c r="E96" i="5"/>
  <c r="D21" i="5"/>
  <c r="E68" i="5"/>
  <c r="E55" i="5"/>
  <c r="C155" i="5"/>
  <c r="C156" i="5"/>
  <c r="C192" i="5"/>
  <c r="C193" i="5"/>
  <c r="E61" i="5"/>
  <c r="C106" i="5"/>
  <c r="C158" i="5"/>
  <c r="C183" i="5"/>
  <c r="C108" i="5"/>
  <c r="E60" i="5"/>
  <c r="E70" i="5"/>
  <c r="E57" i="5"/>
  <c r="C159" i="5"/>
  <c r="C160" i="5"/>
  <c r="C121" i="5"/>
  <c r="C197" i="5"/>
  <c r="E63" i="5"/>
  <c r="C110" i="5"/>
  <c r="C170" i="5"/>
  <c r="C181" i="5"/>
  <c r="C186" i="5"/>
  <c r="C124" i="5"/>
  <c r="E66" i="5"/>
  <c r="E78" i="5"/>
  <c r="E65" i="5"/>
  <c r="C171" i="5"/>
  <c r="C164" i="5"/>
  <c r="C129" i="5"/>
  <c r="C173" i="5"/>
  <c r="E67" i="5"/>
  <c r="C114" i="5"/>
  <c r="C182" i="5"/>
  <c r="E81" i="5"/>
  <c r="B6" i="5"/>
  <c r="E21" i="5"/>
  <c r="E86" i="5"/>
  <c r="E90" i="5"/>
  <c r="E92" i="5"/>
  <c r="E94" i="5"/>
  <c r="E101" i="5"/>
  <c r="C187" i="5"/>
  <c r="C172" i="5"/>
  <c r="C149" i="5"/>
  <c r="C189" i="5"/>
  <c r="E79" i="5"/>
  <c r="C142" i="5"/>
  <c r="C190" i="5"/>
  <c r="C118" i="5"/>
  <c r="E98" i="5"/>
  <c r="E54" i="5"/>
  <c r="E102" i="5"/>
  <c r="C130" i="5"/>
  <c r="C191" i="5"/>
  <c r="C184" i="5"/>
  <c r="C165" i="5"/>
  <c r="C205" i="5"/>
  <c r="E83" i="5"/>
  <c r="C146" i="5"/>
  <c r="C202" i="5"/>
  <c r="E75" i="5"/>
  <c r="E64" i="5"/>
  <c r="C112" i="5"/>
  <c r="C119" i="5"/>
  <c r="C123" i="5"/>
  <c r="C139" i="5"/>
  <c r="C195" i="5"/>
  <c r="C200" i="5"/>
  <c r="C177" i="5"/>
  <c r="C113" i="5"/>
  <c r="E91" i="5"/>
  <c r="C150" i="5"/>
  <c r="E88" i="5"/>
  <c r="C128" i="5"/>
  <c r="C135" i="5"/>
  <c r="C140" i="5"/>
  <c r="C151" i="5"/>
  <c r="C199" i="5"/>
  <c r="C204" i="5"/>
  <c r="G21" i="5"/>
  <c r="E99" i="5"/>
  <c r="C133" i="5"/>
  <c r="D26" i="5" l="1"/>
  <c r="C224" i="5"/>
  <c r="C216" i="5"/>
  <c r="C219" i="5"/>
  <c r="C228" i="5"/>
  <c r="C230" i="5"/>
  <c r="C232" i="5"/>
  <c r="D232" i="5" s="1"/>
  <c r="G232" i="5" s="1" a="1"/>
  <c r="G232" i="5" s="1"/>
  <c r="C229" i="5"/>
  <c r="C225" i="5"/>
  <c r="C214" i="5"/>
  <c r="C217" i="5"/>
  <c r="C209" i="5"/>
  <c r="C227" i="5"/>
  <c r="C226" i="5"/>
  <c r="C208" i="5"/>
  <c r="C220" i="5"/>
  <c r="C231" i="5"/>
  <c r="C212" i="5"/>
  <c r="C215" i="5"/>
  <c r="C211" i="5"/>
  <c r="C218" i="5"/>
  <c r="C221" i="5"/>
  <c r="C210" i="5"/>
  <c r="C213" i="5"/>
  <c r="C223" i="5"/>
  <c r="C222" i="5"/>
  <c r="D226" i="5" l="1"/>
  <c r="G226" i="5" s="1" a="1"/>
  <c r="G226" i="5" s="1"/>
  <c r="E226" i="5"/>
  <c r="D230" i="5"/>
  <c r="G230" i="5" s="1" a="1"/>
  <c r="G230" i="5" s="1"/>
  <c r="E230" i="5"/>
  <c r="D218" i="5"/>
  <c r="G218" i="5" s="1" a="1"/>
  <c r="G218" i="5" s="1"/>
  <c r="E218" i="5"/>
  <c r="D227" i="5"/>
  <c r="G227" i="5" s="1" a="1"/>
  <c r="G227" i="5" s="1"/>
  <c r="F226" i="5" s="1"/>
  <c r="E227" i="5"/>
  <c r="E211" i="5"/>
  <c r="D211" i="5"/>
  <c r="G211" i="5" s="1" a="1"/>
  <c r="G211" i="5" s="1"/>
  <c r="E209" i="5"/>
  <c r="D209" i="5"/>
  <c r="G209" i="5" s="1" a="1"/>
  <c r="G209" i="5" s="1"/>
  <c r="F208" i="5" s="1"/>
  <c r="E215" i="5"/>
  <c r="D215" i="5"/>
  <c r="G215" i="5" s="1" a="1"/>
  <c r="G215" i="5" s="1"/>
  <c r="D217" i="5"/>
  <c r="G217" i="5" s="1" a="1"/>
  <c r="G217" i="5" s="1"/>
  <c r="E217" i="5"/>
  <c r="E216" i="5"/>
  <c r="D216" i="5"/>
  <c r="G216" i="5" s="1" a="1"/>
  <c r="G216" i="5" s="1"/>
  <c r="D222" i="5"/>
  <c r="G222" i="5" s="1" a="1"/>
  <c r="G222" i="5" s="1"/>
  <c r="E222" i="5"/>
  <c r="E212" i="5"/>
  <c r="D212" i="5"/>
  <c r="G212" i="5" s="1" a="1"/>
  <c r="G212" i="5" s="1"/>
  <c r="D214" i="5"/>
  <c r="G214" i="5" s="1" a="1"/>
  <c r="G214" i="5" s="1"/>
  <c r="F213" i="5" s="1"/>
  <c r="E214" i="5"/>
  <c r="E224" i="5"/>
  <c r="D224" i="5"/>
  <c r="G224" i="5" s="1" a="1"/>
  <c r="G224" i="5" s="1"/>
  <c r="E223" i="5"/>
  <c r="D223" i="5"/>
  <c r="G223" i="5" s="1" a="1"/>
  <c r="G223" i="5" s="1"/>
  <c r="F222" i="5" s="1"/>
  <c r="E231" i="5"/>
  <c r="D231" i="5"/>
  <c r="G231" i="5" s="1" a="1"/>
  <c r="G231" i="5" s="1"/>
  <c r="E225" i="5"/>
  <c r="D225" i="5"/>
  <c r="G225" i="5" s="1" a="1"/>
  <c r="G225" i="5" s="1"/>
  <c r="D213" i="5"/>
  <c r="G213" i="5" s="1" a="1"/>
  <c r="G213" i="5" s="1"/>
  <c r="E213" i="5"/>
  <c r="E220" i="5"/>
  <c r="D220" i="5"/>
  <c r="G220" i="5" s="1" a="1"/>
  <c r="G220" i="5" s="1"/>
  <c r="D229" i="5"/>
  <c r="G229" i="5" s="1" a="1"/>
  <c r="G229" i="5" s="1"/>
  <c r="F228" i="5" s="1"/>
  <c r="E229" i="5"/>
  <c r="D221" i="5"/>
  <c r="G221" i="5" s="1" a="1"/>
  <c r="G221" i="5" s="1"/>
  <c r="E221" i="5"/>
  <c r="E208" i="5"/>
  <c r="D208" i="5"/>
  <c r="G208" i="5" s="1" a="1"/>
  <c r="G208" i="5" s="1"/>
  <c r="D228" i="5"/>
  <c r="G228" i="5" s="1" a="1"/>
  <c r="G228" i="5" s="1"/>
  <c r="E228" i="5"/>
  <c r="D210" i="5"/>
  <c r="G210" i="5" s="1" a="1"/>
  <c r="G210" i="5" s="1"/>
  <c r="E210" i="5"/>
  <c r="D219" i="5"/>
  <c r="G219" i="5" s="1" a="1"/>
  <c r="G219" i="5" s="1"/>
  <c r="E219" i="5"/>
  <c r="F216" i="5" l="1"/>
  <c r="F219" i="5"/>
  <c r="F215" i="5"/>
  <c r="F212" i="5"/>
  <c r="F217" i="5"/>
  <c r="F227" i="5"/>
  <c r="F229" i="5"/>
  <c r="F210" i="5"/>
  <c r="F209" i="5"/>
  <c r="F218" i="5"/>
  <c r="F220" i="5"/>
  <c r="F230" i="5"/>
  <c r="F211" i="5"/>
  <c r="F214" i="5"/>
  <c r="F221" i="5"/>
  <c r="F225" i="5"/>
  <c r="F223" i="5"/>
  <c r="F224" i="5"/>
  <c r="F231"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<sst xmlns="http://schemas.openxmlformats.org/spreadsheetml/2006/main" count="280" uniqueCount="218">
  <si>
    <t>Fitting Claim Frequency and Severity to Data</t>
  </si>
  <si>
    <t>ModelRisk example  ·  Insurance  ·  IN-02</t>
  </si>
  <si>
    <t>Which distributions fit the claims history — and how much does the shortness of that history add to the risk?</t>
  </si>
  <si>
    <t>Next:  Inputs  ▸</t>
  </si>
  <si>
    <t>Model card</t>
  </si>
  <si>
    <t>Industry</t>
  </si>
  <si>
    <t>Insurance</t>
  </si>
  <si>
    <t>Difficulty</t>
  </si>
  <si>
    <t>★★★☆☆   Distributions fitted to ten years of claim counts and 250 claims, compared by SIC, used with and without parameter uncertainty.</t>
  </si>
  <si>
    <t>Business question</t>
  </si>
  <si>
    <t>A commercial liability insurer has ten years of claim counts and the amounts of 250 settled claims. Which distributions should describe next year's claim numbers and sizes, how different are the candidates in the tail, and how much does the uncertainty in the fitted parameters — from only ten years and 250 claims — widen next year's 1-in-200 total?</t>
  </si>
  <si>
    <t>Who it is for</t>
  </si>
  <si>
    <t>Pricing and capital actuaries, reserving teams, risk modellers fitting distributions to loss data.</t>
  </si>
  <si>
    <t>Main outputs</t>
  </si>
  <si>
    <t>SIC ranking of three severity distributions and their tails · fitted claim rate with its uncertainty · next year's total claims with and without parameter uncertainty: mean, 95th and 99.5th percentiles.</t>
  </si>
  <si>
    <t>ModelRisk techniques</t>
  </si>
  <si>
    <t>Fitting with ModelRisk's fit objects (VosePoissonFitObject, VoseLognormalFitObject, VoseGammaFitObject, VosePareto2FitObject) · model selection by SIC (VoseSIC) · tail percentiles (VosePercentile) · parameter uncertainty (Uncertainty = TRUE) · aggregate claims (VoseAggregateMC).</t>
  </si>
  <si>
    <t>File</t>
  </si>
  <si>
    <t>IN-02 Fitting claim frequency and severity to data  ·  Version 1.0  ·  October 2026  ·  built with ModelRisk 10</t>
  </si>
  <si>
    <t>The business question</t>
  </si>
  <si>
    <t>A commercial liability insurer is setting next year's reserves and capital for a small book. It has counted its claims for ten years — about 40 a year — and has the settled amounts of 250 claims: most are below US$200,000, but a few run into millions. The obvious step is to fit distributions to these data and simulate next year. Two questions decide how good that simulation is. Which distribution describes the claim sizes, especially the rare large ones that drive the 1-in-200 year? And how sure can the insurer be of the fitted parameters, with only ten years and 250 claims? The model fits three candidate severity distributions, ranks them by SIC, compares their tails, and simulates next year's claims with the fitted parameters fixed and with their uncertainty.</t>
  </si>
  <si>
    <t>How the model works</t>
  </si>
  <si>
    <t>Three sheets after this one, read from left to right. Each one feeds the next.</t>
  </si>
  <si>
    <t>1  Inputs</t>
  </si>
  <si>
    <t>Ten years of claim counts and 250 claim amounts, one column each (Data sheet); which severity distribution to use, from a list — the best by SIC, or one chosen by hand.</t>
  </si>
  <si>
    <t>2  Fits</t>
  </si>
  <si>
    <t>A Poisson is fitted to the counts; Lognormal, Gamma and Pareto (type 2) distributions to the amounts, each ranked by SIC. Next year's claims are simulated with VoseAggregateMC twice: with the fitted parameters fixed (Uncertainty = FALSE), and with their uncertainty (Uncertainty = TRUE), which redraws plausible parameters from the data in every iteration.</t>
  </si>
  <si>
    <t>3  Results</t>
  </si>
  <si>
    <t>The candidates' SIC and their 99th and 99.9th percentile claims; the fitted claim rate and its range; next year's total claims with and without parameter uncertainty.</t>
  </si>
  <si>
    <t>How to use it</t>
  </si>
  <si>
    <t>Step 1</t>
  </si>
  <si>
    <t>Paste your claim counts and claim amounts into their columns on the Data sheet: any number of years and claims; the model reads every number in each column.</t>
  </si>
  <si>
    <t>Step 2</t>
  </si>
  <si>
    <t>Look at the SIC ranking and the tails on the Fits sheet; choose a distribution on the Inputs sheet if needed.</t>
  </si>
  <si>
    <t>Step 3</t>
  </si>
  <si>
    <t>Run a simulation from the ModelRisk ribbon (10,000 samples with a fixed seed are set). It takes a few minutes: every iteration refits the three distributions; 1,000 samples are enough while exploring.</t>
  </si>
  <si>
    <t>Step 4</t>
  </si>
  <si>
    <t>Use the totals with parameter uncertainty for reserves and capital: they include what the data cannot tell.</t>
  </si>
  <si>
    <t>Workbook map</t>
  </si>
  <si>
    <t>Inputs</t>
  </si>
  <si>
    <t>The choice of severity distribution.</t>
  </si>
  <si>
    <t>Data</t>
  </si>
  <si>
    <t>Claim counts by year and the claim amounts, one column each; a summary.</t>
  </si>
  <si>
    <t>Fits</t>
  </si>
  <si>
    <t>Fitted distributions, SIC, tails; next year's claims; outputs and checks.</t>
  </si>
  <si>
    <t>Results</t>
  </si>
  <si>
    <t>SIC ranking and tails; next year's claims with and without parameter uncertainty.</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</si>
  <si>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</si>
  <si>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</si>
  <si>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</si>
  <si>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</si>
  <si>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</si>
  <si>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</si>
  <si>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</si>
  <si>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</si>
  <si>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</si>
  <si>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</si>
  <si>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</si>
  <si>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</si>
  <si>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</si>
  <si>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Claim amounts in US$ thousand; totals in US$ million (US$m).</t>
  </si>
  <si>
    <t>SIC</t>
  </si>
  <si>
    <t>Schwarz information criterion = k·ln(n) − 2·ln(maximum likelihood), as VoseSIC returns it: the lower, the better the fit, after a penalty for the number of parameters. (ModelRisk's fitting windows show its negative.)</t>
  </si>
  <si>
    <t>Parameter uncertainty</t>
  </si>
  <si>
    <t>How far the fitted parameters could be from the true ones, given the amount of data.</t>
  </si>
  <si>
    <t>Key assumptions and limitations</t>
  </si>
  <si>
    <t>Claims</t>
  </si>
  <si>
    <t>Claim sizes are independent and identically distributed; amounts are already inflated to next year.</t>
  </si>
  <si>
    <t>Frequency</t>
  </si>
  <si>
    <t>Claim numbers are Poisson with a rate estimated from the ten years.</t>
  </si>
  <si>
    <t>The claims are invented for this example (drawn from a heavy-tailed distribution).</t>
  </si>
  <si>
    <t>ModelRisk functions used</t>
  </si>
  <si>
    <t>VosePoissonFitObject, VoseLognormalFitObject, VoseGammaFitObject, VosePareto2FitObject</t>
  </si>
  <si>
    <t>Distributions fitted to data, without (FALSE) or with (TRUE) parameter uncertainty.</t>
  </si>
  <si>
    <t>VoseSIC</t>
  </si>
  <si>
    <t>The Schwarz information criterion of a fit: lower is better.</t>
  </si>
  <si>
    <t>VosePercentile, VoseMean</t>
  </si>
  <si>
    <t>Percentiles and the mean of a fitted distribution object.</t>
  </si>
  <si>
    <t>VoseAggregateMC</t>
  </si>
  <si>
    <t>Next year's total: a claim number, then one claim size for every claim.</t>
  </si>
  <si>
    <t>VoseSimPercentile, VoseSimMean</t>
  </si>
  <si>
    <t>Statistics of the simulation on the Results sheet.</t>
  </si>
  <si>
    <t>Further reading</t>
  </si>
  <si>
    <t>Loss distributions</t>
  </si>
  <si>
    <t>Klugman, S. A., Panjer, H. H. &amp; Willmot, G. E. (2019). Loss Models: From Data to Decisions, 5th edition. Wiley.</t>
  </si>
  <si>
    <t>Risk analysis</t>
  </si>
  <si>
    <t>Vose, D. (2008). Risk Analysis: A Quantitative Guide, 3rd edition. Wiley — fitting and parameter uncertainty.</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</si>
  <si>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</si>
  <si>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</si>
  <si>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</si>
  <si>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Data  ▸</t>
  </si>
  <si>
    <t>How to read this sheet:  yellow cells are inputs.</t>
  </si>
  <si>
    <t>1   Severity distribution</t>
  </si>
  <si>
    <t>Which distribution describes the claim amounts.</t>
  </si>
  <si>
    <t>Assumption</t>
  </si>
  <si>
    <t>Unit</t>
  </si>
  <si>
    <t>Value in model</t>
  </si>
  <si>
    <t>Uncertainty</t>
  </si>
  <si>
    <t>Basis / source (illustrative)</t>
  </si>
  <si>
    <t>Distribution to use</t>
  </si>
  <si>
    <t>Best by SIC</t>
  </si>
  <si>
    <t>Fixed</t>
  </si>
  <si>
    <t>Best by SIC picks the one with the lowest SIC on the Fits sheet.</t>
  </si>
  <si>
    <t>DATA   ·   Claim counts by year and settled claim amounts (US$ thousand), one column each. Yellow cells are data.</t>
  </si>
  <si>
    <t>◂  Inputs</t>
  </si>
  <si>
    <t>Next:  Fits  ▸</t>
  </si>
  <si>
    <t>1   Summary</t>
  </si>
  <si>
    <t>What the model reads from the two columns below.</t>
  </si>
  <si>
    <t>Quantity</t>
  </si>
  <si>
    <t>Value</t>
  </si>
  <si>
    <t>Years of claim counts</t>
  </si>
  <si>
    <t>years</t>
  </si>
  <si>
    <t>Claims per year: mean</t>
  </si>
  <si>
    <t>claims</t>
  </si>
  <si>
    <t>Claim amounts: number</t>
  </si>
  <si>
    <t>Claim amounts: mean</t>
  </si>
  <si>
    <t>US$ thousand</t>
  </si>
  <si>
    <t>Claim amounts: largest</t>
  </si>
  <si>
    <t>2   The data</t>
  </si>
  <si>
    <t>Claim counts by year (left) and claim amounts in US$ thousand, inflated to next year's prices (right). Paste your own into the yellow columns — up to 50 years and 5,000 claims: the model reads every number in each column.</t>
  </si>
  <si>
    <t>Year</t>
  </si>
  <si>
    <t>Claim</t>
  </si>
  <si>
    <t>Amount</t>
  </si>
  <si>
    <t>FITS   ·   Distributions fitted to the data, compared by SIC; next year's claims with and without parameter uncertainty.</t>
  </si>
  <si>
    <t>◂  Data</t>
  </si>
  <si>
    <t>Next:  Results  ▸</t>
  </si>
  <si>
    <t>1   Claim numbers</t>
  </si>
  <si>
    <t>A Poisson distribution fitted to the yearly counts.</t>
  </si>
  <si>
    <t>How it is calculated</t>
  </si>
  <si>
    <t>Fitted claim rate</t>
  </si>
  <si>
    <t>claims a year</t>
  </si>
  <si>
    <t>VosePoissonFitP(data, FALSE): the fitted parameter</t>
  </si>
  <si>
    <t>Fitted Poisson  (parameters fixed)</t>
  </si>
  <si>
    <t>object</t>
  </si>
  <si>
    <t>VosePoissonFitObject(data, FALSE); INDEX(…, 1) keeps the object only</t>
  </si>
  <si>
    <t>Claim rate, with parameter uncertainty</t>
  </si>
  <si>
    <t>VosePoissonFitP(data, TRUE): a plausible rate, redrawn every iteration</t>
  </si>
  <si>
    <t>Poisson at that rate</t>
  </si>
  <si>
    <t>The claim numbers with parameter uncertainty: the same rate as the output above</t>
  </si>
  <si>
    <t>2   Claim sizes</t>
  </si>
  <si>
    <t>Three candidate distributions fitted to the amounts, ranked by SIC: parameters fixed, and with parameter uncertainty.</t>
  </si>
  <si>
    <t>Distribution</t>
  </si>
  <si>
    <t>Fitted object</t>
  </si>
  <si>
    <t>Parameter</t>
  </si>
  <si>
    <t>Mean claim</t>
  </si>
  <si>
    <t>99th pct</t>
  </si>
  <si>
    <t>99.9th pct</t>
  </si>
  <si>
    <t>Parameters</t>
  </si>
  <si>
    <t>1</t>
  </si>
  <si>
    <t>2</t>
  </si>
  <si>
    <t>lower = better</t>
  </si>
  <si>
    <t>Lognormal</t>
  </si>
  <si>
    <t>Mean and standard deviation of a claim</t>
  </si>
  <si>
    <t>Gamma</t>
  </si>
  <si>
    <t>Shape α and scale β</t>
  </si>
  <si>
    <t>Pareto (type 2)</t>
  </si>
  <si>
    <t>Scale b and shape q</t>
  </si>
  <si>
    <t>The data</t>
  </si>
  <si>
    <t>With parameter uncertainty</t>
  </si>
  <si>
    <t>Uncertainty = TRUE: the parameters are redrawn every iteration</t>
  </si>
  <si>
    <t>1 / 2 / 3</t>
  </si>
  <si>
    <t>The lowest SIC</t>
  </si>
  <si>
    <t>Distribution used</t>
  </si>
  <si>
    <t>The choice on the Inputs sheet: its row in the tables above</t>
  </si>
  <si>
    <t>Claim size, parameters fixed</t>
  </si>
  <si>
    <t>Claim size, with parameter uncertainty</t>
  </si>
  <si>
    <t>3   Next year's claims</t>
  </si>
  <si>
    <t>Total claims (US$m): a claim number, then one claim size for every claim.</t>
  </si>
  <si>
    <t>4   Value in this iteration</t>
  </si>
  <si>
    <t>Key outputs, recorded by ModelRisk at every sample (VoseOutput). Their statistics appear on the Results sheet.</t>
  </si>
  <si>
    <t>Output</t>
  </si>
  <si>
    <t>Meaning</t>
  </si>
  <si>
    <t>Total claims, parameters fixed</t>
  </si>
  <si>
    <t>US$m</t>
  </si>
  <si>
    <t>As if the fitted parameters were the true ones.</t>
  </si>
  <si>
    <t>Total claims, with parameter uncertainty</t>
  </si>
  <si>
    <t>Plausible parameters redrawn every iteration.</t>
  </si>
  <si>
    <t>5   Model checks</t>
  </si>
  <si>
    <t>Should all read OK. A CHECK means an input has been set outside the range the model is built for.</t>
  </si>
  <si>
    <t>At least 5 years of counts and 100 claim amounts</t>
  </si>
  <si>
    <t>All claim amounts are positive</t>
  </si>
  <si>
    <t>RESULTS   ·   Filled in automatically from the last simulation. Run a simulation after changing any input.</t>
  </si>
  <si>
    <t>◂  Fits</t>
  </si>
  <si>
    <t>1   Which distribution fits the claim sizes?</t>
  </si>
  <si>
    <t>Next year's total claims — cumulative probability</t>
  </si>
  <si>
    <t>Ranked by SIC (lower is better); the tails differ far more than the fits do.</t>
  </si>
  <si>
    <t>Used</t>
  </si>
  <si>
    <t>2   Next year's claims</t>
  </si>
  <si>
    <t>Total claims (US$m) with the fitted parameters fixed, and with their uncertainty.</t>
  </si>
  <si>
    <t>Measure</t>
  </si>
  <si>
    <t>10th pct</t>
  </si>
  <si>
    <t>Median</t>
  </si>
  <si>
    <t>90th pct</t>
  </si>
  <si>
    <t>Mean</t>
  </si>
  <si>
    <t>a year</t>
  </si>
  <si>
    <t>1-in-200 total, parameters fixed  (99.5th percentile)</t>
  </si>
  <si>
    <t>1-in-200 total, with parameter uncertainty</t>
  </si>
  <si>
    <t>Increase from parameter uncertainty</t>
  </si>
  <si>
    <t>Next year's total claims, with parameter uncertainty</t>
  </si>
  <si>
    <t>3   How to read these results</t>
  </si>
  <si>
    <t>•  The three distributions fit the bulk of the claims almost equally well, so the SIC values are close. They part company in the tail, where the data are thinnest: the 1-in-1,000 claim differs several-fold between them. For reserves and capital, the tail is what matters — check it against the largest claims you know of.</t>
  </si>
  <si>
    <t>•  The Gamma distribution has a light tail and badly understates large claims; the Pareto (type 2), chosen by SIC here, has a heavy one, as liability claims usually do.</t>
  </si>
  <si>
    <t>•  Ten years and 250 claims do not pin the parameters down. With their uncertainty included, the 1-in-200 total is higher than with the fitted parameters treated as exact — reserves and capital set on fixed parameters are too low. Both 1-in-200 figures rest on only 50 of the 10,000 samples and move by several per cent from run to run: run 100,000 samples before setting capital on them.</t>
  </si>
  <si>
    <t>•  Parameter uncertainty shrinks as data accumulate; it never disappears. Always fit with Uncertainty = TRUE for decisions that depend on the tail.</t>
  </si>
  <si>
    <t>Chart data</t>
  </si>
  <si>
    <t>Statistics of the last simulation behind the charts and the ranking above. Grouped: click + in the left margin to show them.</t>
  </si>
  <si>
    <t>Cumulative probability</t>
  </si>
  <si>
    <t>Exceedance</t>
  </si>
  <si>
    <t>Total_F</t>
  </si>
  <si>
    <t>Total_U</t>
  </si>
  <si>
    <t>Percentiles: Total_U</t>
  </si>
  <si>
    <t>Histogram: Total_U</t>
  </si>
  <si>
    <t>Edge</t>
  </si>
  <si>
    <t>Index</t>
  </si>
  <si>
    <t>Mid-point</t>
  </si>
  <si>
    <t>Probability</t>
  </si>
  <si>
    <t>Below edge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</si>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</sst>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_);\(#,##0\);&quot;–&quot;_)"/>
    <numFmt numFmtId="165" formatCode="#,##0.0_);\(#,##0.0\);&quot;–&quot;_)"/>
    <numFmt numFmtId="166" formatCode="#,##0.00_);\(#,##0.00\);&quot;–&quot;_)"/>
    <numFmt numFmtId="167" formatCode="#,##0.00_);\(#,##0.00\);&quot;–&quot;_);&quot;–&quot;"/>
    <numFmt numFmtId="168" formatCode="#,##0.0_);\(#,##0.0\);&quot;–&quot;_);&quot;–&quot;"/>
    <numFmt numFmtId="169" formatCode="0%;\-0%;0%;&quot;–&quot;"/>
    <numFmt numFmtId="170" formatCode="0.0%"/>
  </numFmts>
  <fonts count="24"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sz val="10"/>
      <color rgb="FF3F5876"/>
      <name val="Calibri"/>
    </font>
    <font>
      <b/>
      <sz val="10"/>
      <color rgb="FF15803D"/>
      <name val="Calibri"/>
    </font>
    <font>
      <sz val="9"/>
      <color rgb="FF8AA0BA"/>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67">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49"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64" fontId="3" fillId="0" borderId="8" xfId="3" applyNumberFormat="1" applyBorder="1">
      <alignment horizontal="right" vertical="center"/>
    </xf>
    <xf numFmtId="165" fontId="3" fillId="0" borderId="8" xfId="3" applyNumberFormat="1" applyBorder="1">
      <alignment horizontal="right" vertical="center"/>
    </xf>
    <xf numFmtId="1" fontId="1" fillId="2" borderId="7" xfId="1" applyNumberFormat="1" applyBorder="1" applyAlignment="1">
      <alignment horizontal="left" vertical="center" indent="1"/>
    </xf>
    <xf numFmtId="164" fontId="1" fillId="2" borderId="7" xfId="1" applyNumberFormat="1" applyBorder="1">
      <alignment horizontal="right" vertical="center"/>
    </xf>
    <xf numFmtId="0" fontId="3" fillId="0" borderId="8" xfId="3" applyBorder="1" applyAlignment="1">
      <alignment horizontal="left" vertical="center" indent="1"/>
    </xf>
    <xf numFmtId="165" fontId="4" fillId="4" borderId="9" xfId="4" applyNumberFormat="1" applyBorder="1">
      <alignment horizontal="right" vertical="center"/>
    </xf>
    <xf numFmtId="0" fontId="17" fillId="7" borderId="2" xfId="0" applyFont="1" applyFill="1" applyBorder="1" applyAlignment="1">
      <alignment horizontal="left" vertical="center" indent="1"/>
    </xf>
    <xf numFmtId="0" fontId="17" fillId="7" borderId="2" xfId="0" applyFont="1" applyFill="1" applyBorder="1" applyAlignment="1">
      <alignment horizontal="right" vertical="center"/>
    </xf>
    <xf numFmtId="0" fontId="19" fillId="7" borderId="4" xfId="0" applyFont="1" applyFill="1" applyBorder="1" applyAlignment="1">
      <alignment horizontal="right" vertical="center"/>
    </xf>
    <xf numFmtId="166" fontId="3" fillId="0" borderId="8" xfId="3" applyNumberFormat="1" applyBorder="1">
      <alignment horizontal="right" vertical="center"/>
    </xf>
    <xf numFmtId="0" fontId="20" fillId="0" borderId="6" xfId="0" applyFont="1" applyBorder="1" applyAlignment="1">
      <alignment horizontal="left" vertical="center" indent="1"/>
    </xf>
    <xf numFmtId="1" fontId="3" fillId="0" borderId="8" xfId="3" applyNumberFormat="1" applyBorder="1">
      <alignment horizontal="right" vertical="center"/>
    </xf>
    <xf numFmtId="166" fontId="4" fillId="4" borderId="9" xfId="4" applyNumberFormat="1" applyBorder="1">
      <alignment horizontal="right" vertical="center"/>
    </xf>
    <xf numFmtId="0" fontId="21"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3" fillId="0" borderId="5" xfId="0" applyFont="1" applyBorder="1"/>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0" fontId="3" fillId="0" borderId="8" xfId="3" applyBorder="1">
      <alignment horizontal="right" vertical="center"/>
    </xf>
    <xf numFmtId="167" fontId="1" fillId="5" borderId="7" xfId="5" applyNumberFormat="1" applyBorder="1">
      <alignment horizontal="right" vertical="center"/>
    </xf>
    <xf numFmtId="168" fontId="1" fillId="5" borderId="7" xfId="5" applyNumberFormat="1" applyBorder="1">
      <alignment horizontal="right" vertical="center"/>
    </xf>
    <xf numFmtId="0" fontId="12" fillId="0" borderId="6" xfId="0" applyFont="1" applyBorder="1" applyAlignment="1">
      <alignment horizontal="left" vertical="center" indent="1"/>
    </xf>
    <xf numFmtId="169" fontId="1" fillId="5" borderId="7" xfId="5"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170" fontId="3" fillId="0" borderId="2" xfId="3" applyNumberFormat="1">
      <alignment horizontal="right" vertical="center"/>
    </xf>
    <xf numFmtId="0" fontId="22" fillId="0" borderId="0" xfId="0" applyFont="1"/>
    <xf numFmtId="1"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5">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Parameters fixed</c:v>
          </c:tx>
          <c:spPr>
            <a:ln w="25400">
              <a:solidFill>
                <a:srgbClr val="0E4F92"/>
              </a:solidFill>
              <a:prstDash val="solid"/>
            </a:ln>
          </c:spPr>
          <c:marker>
            <c:symbol val="none"/>
          </c:marker>
          <c:xVal>
            <c:numRef>
              <c:f>Results!$D$53:$D$102</c:f>
              <c:numCache>
                <c:formatCode>#,##0.00</c:formatCode>
                <c:ptCount val="50"/>
                <c:pt idx="0">
                  <c:v>3.0923588789335672</c:v>
                </c:pt>
                <c:pt idx="1">
                  <c:v>3.7167233886314262</c:v>
                </c:pt>
                <c:pt idx="2">
                  <c:v>4.0187405409528685</c:v>
                </c:pt>
                <c:pt idx="3">
                  <c:v>4.2635108269598572</c:v>
                </c:pt>
                <c:pt idx="4">
                  <c:v>4.4298281431965316</c:v>
                </c:pt>
                <c:pt idx="5">
                  <c:v>4.5930414349326565</c:v>
                </c:pt>
                <c:pt idx="6">
                  <c:v>4.7385395410630125</c:v>
                </c:pt>
                <c:pt idx="7">
                  <c:v>4.8694315477305494</c:v>
                </c:pt>
                <c:pt idx="8">
                  <c:v>4.9806975880745092</c:v>
                </c:pt>
                <c:pt idx="9">
                  <c:v>5.1021689285740193</c:v>
                </c:pt>
                <c:pt idx="10">
                  <c:v>5.2152770136667419</c:v>
                </c:pt>
                <c:pt idx="11">
                  <c:v>5.3236740707967076</c:v>
                </c:pt>
                <c:pt idx="12">
                  <c:v>5.4200679449695279</c:v>
                </c:pt>
                <c:pt idx="13">
                  <c:v>5.5267128391588267</c:v>
                </c:pt>
                <c:pt idx="14">
                  <c:v>5.6404047018914225</c:v>
                </c:pt>
                <c:pt idx="15">
                  <c:v>5.7487103873518937</c:v>
                </c:pt>
                <c:pt idx="16">
                  <c:v>5.8374136149261231</c:v>
                </c:pt>
                <c:pt idx="17">
                  <c:v>5.9361426161376896</c:v>
                </c:pt>
                <c:pt idx="18">
                  <c:v>6.0343270681308372</c:v>
                </c:pt>
                <c:pt idx="19">
                  <c:v>6.127857926329634</c:v>
                </c:pt>
                <c:pt idx="20">
                  <c:v>6.231762638182694</c:v>
                </c:pt>
                <c:pt idx="21">
                  <c:v>6.3312724947375312</c:v>
                </c:pt>
                <c:pt idx="22">
                  <c:v>6.4445247490499096</c:v>
                </c:pt>
                <c:pt idx="23">
                  <c:v>6.5373601204918028</c:v>
                </c:pt>
                <c:pt idx="24">
                  <c:v>6.6303169980820122</c:v>
                </c:pt>
                <c:pt idx="25">
                  <c:v>6.7242061724796836</c:v>
                </c:pt>
                <c:pt idx="26">
                  <c:v>6.8298261538556355</c:v>
                </c:pt>
                <c:pt idx="27">
                  <c:v>6.9252428015340675</c:v>
                </c:pt>
                <c:pt idx="28">
                  <c:v>7.0254462984561012</c:v>
                </c:pt>
                <c:pt idx="29">
                  <c:v>7.1407082391097028</c:v>
                </c:pt>
                <c:pt idx="30">
                  <c:v>7.2457417482928834</c:v>
                </c:pt>
                <c:pt idx="31">
                  <c:v>7.3464006361349936</c:v>
                </c:pt>
                <c:pt idx="32">
                  <c:v>7.456259555695655</c:v>
                </c:pt>
                <c:pt idx="33">
                  <c:v>7.5895600804388144</c:v>
                </c:pt>
                <c:pt idx="34">
                  <c:v>7.7043686596335563</c:v>
                </c:pt>
                <c:pt idx="35">
                  <c:v>7.8330992315540007</c:v>
                </c:pt>
                <c:pt idx="36">
                  <c:v>7.9513141895220247</c:v>
                </c:pt>
                <c:pt idx="37">
                  <c:v>8.0959273731922572</c:v>
                </c:pt>
                <c:pt idx="38">
                  <c:v>8.2512124293131581</c:v>
                </c:pt>
                <c:pt idx="39">
                  <c:v>8.4347477528510328</c:v>
                </c:pt>
                <c:pt idx="40">
                  <c:v>8.6161458730606704</c:v>
                </c:pt>
                <c:pt idx="41">
                  <c:v>8.8333911446514204</c:v>
                </c:pt>
                <c:pt idx="42">
                  <c:v>9.0782929797619047</c:v>
                </c:pt>
                <c:pt idx="43">
                  <c:v>9.3248600553571048</c:v>
                </c:pt>
                <c:pt idx="44">
                  <c:v>9.6214465074699955</c:v>
                </c:pt>
                <c:pt idx="45">
                  <c:v>9.9720655357982881</c:v>
                </c:pt>
                <c:pt idx="46">
                  <c:v>10.4580524413263</c:v>
                </c:pt>
                <c:pt idx="47">
                  <c:v>11.016730963333789</c:v>
                </c:pt>
                <c:pt idx="48">
                  <c:v>11.846709500757877</c:v>
                </c:pt>
                <c:pt idx="49">
                  <c:v>14.193939155536718</c:v>
                </c:pt>
              </c:numCache>
            </c:numRef>
          </c:xVal>
          <c:yVal>
            <c:numRef>
              <c:f>Results!$B$53:$B$102</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B8D9-45FA-9E92-BF9F368B9823}"/>
            </c:ext>
          </c:extLst>
        </c:ser>
        <c:ser>
          <c:idx val="1"/>
          <c:order val="1"/>
          <c:tx>
            <c:v>With parameter uncertainty</c:v>
          </c:tx>
          <c:spPr>
            <a:ln w="25400">
              <a:solidFill>
                <a:srgbClr val="B45309"/>
              </a:solidFill>
              <a:prstDash val="dash"/>
            </a:ln>
          </c:spPr>
          <c:marker>
            <c:symbol val="none"/>
          </c:marker>
          <c:xVal>
            <c:numRef>
              <c:f>Results!$E$53:$E$102</c:f>
              <c:numCache>
                <c:formatCode>#,##0.00</c:formatCode>
                <c:ptCount val="50"/>
                <c:pt idx="0">
                  <c:v>3.1359328464297822</c:v>
                </c:pt>
                <c:pt idx="1">
                  <c:v>3.6576697508759555</c:v>
                </c:pt>
                <c:pt idx="2">
                  <c:v>3.9341813642031842</c:v>
                </c:pt>
                <c:pt idx="3">
                  <c:v>4.146233355374326</c:v>
                </c:pt>
                <c:pt idx="4">
                  <c:v>4.337759726178299</c:v>
                </c:pt>
                <c:pt idx="5">
                  <c:v>4.5070684596549251</c:v>
                </c:pt>
                <c:pt idx="6">
                  <c:v>4.6611410387393937</c:v>
                </c:pt>
                <c:pt idx="7">
                  <c:v>4.8157743638775026</c:v>
                </c:pt>
                <c:pt idx="8">
                  <c:v>4.9420826012784751</c:v>
                </c:pt>
                <c:pt idx="9">
                  <c:v>5.059354960772656</c:v>
                </c:pt>
                <c:pt idx="10">
                  <c:v>5.1570854287450123</c:v>
                </c:pt>
                <c:pt idx="11">
                  <c:v>5.2548191802714825</c:v>
                </c:pt>
                <c:pt idx="12">
                  <c:v>5.3716411167212188</c:v>
                </c:pt>
                <c:pt idx="13">
                  <c:v>5.4765513586840902</c:v>
                </c:pt>
                <c:pt idx="14">
                  <c:v>5.5756072929965645</c:v>
                </c:pt>
                <c:pt idx="15">
                  <c:v>5.6904191703515812</c:v>
                </c:pt>
                <c:pt idx="16">
                  <c:v>5.7851013349975808</c:v>
                </c:pt>
                <c:pt idx="17">
                  <c:v>5.8888167367732498</c:v>
                </c:pt>
                <c:pt idx="18">
                  <c:v>5.9867783818809519</c:v>
                </c:pt>
                <c:pt idx="19">
                  <c:v>6.0805653764095853</c:v>
                </c:pt>
                <c:pt idx="20">
                  <c:v>6.1838773092907315</c:v>
                </c:pt>
                <c:pt idx="21">
                  <c:v>6.2772372717769791</c:v>
                </c:pt>
                <c:pt idx="22">
                  <c:v>6.373684160514876</c:v>
                </c:pt>
                <c:pt idx="23">
                  <c:v>6.4774828596984442</c:v>
                </c:pt>
                <c:pt idx="24">
                  <c:v>6.5806909682077093</c:v>
                </c:pt>
                <c:pt idx="25">
                  <c:v>6.6752018830500832</c:v>
                </c:pt>
                <c:pt idx="26">
                  <c:v>6.7652012765448495</c:v>
                </c:pt>
                <c:pt idx="27">
                  <c:v>6.879382436160939</c:v>
                </c:pt>
                <c:pt idx="28">
                  <c:v>6.9945591775637208</c:v>
                </c:pt>
                <c:pt idx="29">
                  <c:v>7.1085845685759264</c:v>
                </c:pt>
                <c:pt idx="30">
                  <c:v>7.2180650016388483</c:v>
                </c:pt>
                <c:pt idx="31">
                  <c:v>7.3276619068896327</c:v>
                </c:pt>
                <c:pt idx="32">
                  <c:v>7.4577128354201161</c:v>
                </c:pt>
                <c:pt idx="33">
                  <c:v>7.5866901995870792</c:v>
                </c:pt>
                <c:pt idx="34">
                  <c:v>7.7042226827904212</c:v>
                </c:pt>
                <c:pt idx="35">
                  <c:v>7.839522744375012</c:v>
                </c:pt>
                <c:pt idx="36">
                  <c:v>7.9775122176394184</c:v>
                </c:pt>
                <c:pt idx="37">
                  <c:v>8.1354734910713518</c:v>
                </c:pt>
                <c:pt idx="38">
                  <c:v>8.301661225312122</c:v>
                </c:pt>
                <c:pt idx="39">
                  <c:v>8.4727174054892878</c:v>
                </c:pt>
                <c:pt idx="40">
                  <c:v>8.6635036758295332</c:v>
                </c:pt>
                <c:pt idx="41">
                  <c:v>8.8964186168659545</c:v>
                </c:pt>
                <c:pt idx="42">
                  <c:v>9.150941719573872</c:v>
                </c:pt>
                <c:pt idx="43">
                  <c:v>9.4251835155613364</c:v>
                </c:pt>
                <c:pt idx="44">
                  <c:v>9.7354018560105029</c:v>
                </c:pt>
                <c:pt idx="45">
                  <c:v>10.178054562859112</c:v>
                </c:pt>
                <c:pt idx="46">
                  <c:v>10.633885860069977</c:v>
                </c:pt>
                <c:pt idx="47">
                  <c:v>11.334745442517884</c:v>
                </c:pt>
                <c:pt idx="48">
                  <c:v>12.424539775885359</c:v>
                </c:pt>
                <c:pt idx="49">
                  <c:v>15.436861725257611</c:v>
                </c:pt>
              </c:numCache>
            </c:numRef>
          </c:xVal>
          <c:yVal>
            <c:numRef>
              <c:f>Results!$B$53:$B$102</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B8D9-45FA-9E92-BF9F368B9823}"/>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With parameter uncertainty</c:v>
          </c:tx>
          <c:spPr>
            <a:solidFill>
              <a:srgbClr val="0E4F92"/>
            </a:solidFill>
            <a:ln>
              <a:noFill/>
              <a:prstDash val="solid"/>
            </a:ln>
          </c:spPr>
          <c:invertIfNegative val="1"/>
          <c:cat>
            <c:numRef>
              <c:f>Results!$E$208:$E$231</c:f>
              <c:numCache>
                <c:formatCode>#,##0.00</c:formatCode>
                <c:ptCount val="24"/>
                <c:pt idx="0">
                  <c:v>3.1582724700712292</c:v>
                </c:pt>
                <c:pt idx="1">
                  <c:v>3.7636753072286222</c:v>
                </c:pt>
                <c:pt idx="2">
                  <c:v>4.369078144386016</c:v>
                </c:pt>
                <c:pt idx="3">
                  <c:v>4.9744809815434099</c:v>
                </c:pt>
                <c:pt idx="4">
                  <c:v>5.5798838187008029</c:v>
                </c:pt>
                <c:pt idx="5">
                  <c:v>6.1852866558581967</c:v>
                </c:pt>
                <c:pt idx="6">
                  <c:v>6.7906894930155905</c:v>
                </c:pt>
                <c:pt idx="7">
                  <c:v>7.3960923301729835</c:v>
                </c:pt>
                <c:pt idx="8">
                  <c:v>8.0014951673303774</c:v>
                </c:pt>
                <c:pt idx="9">
                  <c:v>8.6068980044877712</c:v>
                </c:pt>
                <c:pt idx="10">
                  <c:v>9.2123008416451651</c:v>
                </c:pt>
                <c:pt idx="11">
                  <c:v>9.8177036788025589</c:v>
                </c:pt>
                <c:pt idx="12">
                  <c:v>10.423106515959951</c:v>
                </c:pt>
                <c:pt idx="13">
                  <c:v>11.028509353117345</c:v>
                </c:pt>
                <c:pt idx="14">
                  <c:v>11.633912190274739</c:v>
                </c:pt>
                <c:pt idx="15">
                  <c:v>12.239315027432133</c:v>
                </c:pt>
                <c:pt idx="16">
                  <c:v>12.844717864589526</c:v>
                </c:pt>
                <c:pt idx="17">
                  <c:v>13.450120701746918</c:v>
                </c:pt>
                <c:pt idx="18">
                  <c:v>14.055523538904314</c:v>
                </c:pt>
                <c:pt idx="19">
                  <c:v>14.660926376061706</c:v>
                </c:pt>
                <c:pt idx="20">
                  <c:v>15.266329213219098</c:v>
                </c:pt>
                <c:pt idx="21">
                  <c:v>15.871732050376494</c:v>
                </c:pt>
                <c:pt idx="22">
                  <c:v>16.477134887533889</c:v>
                </c:pt>
                <c:pt idx="23">
                  <c:v>17.082537724691282</c:v>
                </c:pt>
              </c:numCache>
            </c:numRef>
          </c:cat>
          <c:val>
            <c:numRef>
              <c:f>Results!$F$208:$F$231</c:f>
              <c:numCache>
                <c:formatCode>0.0%</c:formatCode>
                <c:ptCount val="24"/>
                <c:pt idx="0">
                  <c:v>1.408101009548593E-2</c:v>
                </c:pt>
                <c:pt idx="1">
                  <c:v>4.3671798673930715E-2</c:v>
                </c:pt>
                <c:pt idx="2">
                  <c:v>6.8610275605734669E-2</c:v>
                </c:pt>
                <c:pt idx="3">
                  <c:v>0.10297230221799514</c:v>
                </c:pt>
                <c:pt idx="4">
                  <c:v>0.11454799341148025</c:v>
                </c:pt>
                <c:pt idx="5">
                  <c:v>0.12296493063131408</c:v>
                </c:pt>
                <c:pt idx="6">
                  <c:v>0.11563566833327965</c:v>
                </c:pt>
                <c:pt idx="7">
                  <c:v>0.10157345003642926</c:v>
                </c:pt>
                <c:pt idx="8">
                  <c:v>8.1276972851550999E-2</c:v>
                </c:pt>
                <c:pt idx="9">
                  <c:v>6.0734782810512589E-2</c:v>
                </c:pt>
                <c:pt idx="10">
                  <c:v>4.4734210875652991E-2</c:v>
                </c:pt>
                <c:pt idx="11">
                  <c:v>3.1802490202760714E-2</c:v>
                </c:pt>
                <c:pt idx="12">
                  <c:v>2.5274135186448721E-2</c:v>
                </c:pt>
                <c:pt idx="13">
                  <c:v>1.7027372788995798E-2</c:v>
                </c:pt>
                <c:pt idx="14">
                  <c:v>1.2799215496955174E-2</c:v>
                </c:pt>
                <c:pt idx="15">
                  <c:v>8.4771735022726169E-3</c:v>
                </c:pt>
                <c:pt idx="16">
                  <c:v>6.100491416588194E-3</c:v>
                </c:pt>
                <c:pt idx="17">
                  <c:v>4.3786411872982489E-3</c:v>
                </c:pt>
                <c:pt idx="18">
                  <c:v>2.997135400660933E-3</c:v>
                </c:pt>
                <c:pt idx="19">
                  <c:v>2.997135400660822E-3</c:v>
                </c:pt>
                <c:pt idx="20">
                  <c:v>2.6819907329478365E-3</c:v>
                </c:pt>
                <c:pt idx="21">
                  <c:v>1.5536077136815152E-3</c:v>
                </c:pt>
                <c:pt idx="22">
                  <c:v>1.5536077136816262E-3</c:v>
                </c:pt>
                <c:pt idx="23">
                  <c:v>1.5536077136815152E-3</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B363-4765-9A5C-BF27FAB467A9}"/>
            </c:ext>
          </c:extLst>
        </c:ser>
        <c:dLbls>
          <c:showLegendKey val="0"/>
          <c:showVal val="0"/>
          <c:showCatName val="0"/>
          <c:showSerName val="0"/>
          <c:showPercent val="0"/>
          <c:showBubbleSize val="0"/>
        </c:dLbls>
        <c:gapWidth val="8"/>
        <c:axId val="10"/>
        <c:axId val="100"/>
      </c:barChart>
      <c:catAx>
        <c:axId val="10"/>
        <c:scaling>
          <c:orientation val="minMax"/>
        </c:scaling>
        <c:delete val="0"/>
        <c:axPos val="b"/>
        <c:title>
          <c:tx>
            <c:rich>
              <a:bodyPr/>
              <a:lstStyle/>
              <a:p>
                <a:pPr>
                  <a:defRPr/>
                </a:pPr>
                <a:r>
                  <a:rPr lang="en-US"/>
                  <a:t>US$m</a:t>
                </a:r>
              </a:p>
            </c:rich>
          </c:tx>
          <c:overlay val="0"/>
        </c:title>
        <c:numFmt formatCode="0" sourceLinked="0"/>
        <c:majorTickMark val="none"/>
        <c:minorTickMark val="none"/>
        <c:tickLblPos val="nextTo"/>
        <c:crossAx val="100"/>
        <c:crosses val="autoZero"/>
        <c:auto val="1"/>
        <c:lblAlgn val="ctr"/>
        <c:lblOffset val="100"/>
        <c:tickLblSkip val="4"/>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Probability</a:t>
                </a:r>
              </a:p>
            </c:rich>
          </c:tx>
          <c:overlay val="0"/>
        </c:title>
        <c:numFmt formatCode="0%" sourceLinked="0"/>
        <c:majorTickMark val="none"/>
        <c:minorTickMark val="none"/>
        <c:tickLblPos val="nextTo"/>
        <c:crossAx val="10"/>
        <c:crosses val="min"/>
        <c:crossBetween val="between"/>
      </c:valAx>
    </c:plotArea>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28</xdr:row>
      <xdr:rowOff>0</xdr:rowOff>
    </xdr:from>
    <xdr:ext cx="6263999" cy="2376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2"/>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26.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64" t="s">
        <v>20</v>
      </c>
      <c r="C16" s="63"/>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ht="26.25" x14ac:dyDescent="0.45">
      <c r="B33" s="9" t="s">
        <v>30</v>
      </c>
      <c r="C33" s="10" t="s">
        <v>31</v>
      </c>
    </row>
    <row r="34" spans="2:3" x14ac:dyDescent="0.45">
      <c r="B34" s="9" t="s">
        <v>32</v>
      </c>
      <c r="C34" s="10" t="s">
        <v>33</v>
      </c>
    </row>
    <row r="35" spans="2:3" ht="26.25"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x14ac:dyDescent="0.45">
      <c r="B42" s="14" t="s">
        <v>45</v>
      </c>
      <c r="C42" s="10" t="s">
        <v>46</v>
      </c>
    </row>
    <row r="43" spans="2:3" ht="12" customHeight="1" x14ac:dyDescent="0.45"/>
    <row r="44" spans="2:3" ht="22.05" customHeight="1" x14ac:dyDescent="0.5">
      <c r="B44" s="7" t="s">
        <v>47</v>
      </c>
      <c r="C44" s="8"/>
    </row>
    <row r="45" spans="2:3" x14ac:dyDescent="0.45">
      <c r="B45" s="15" t="s">
        <v>48</v>
      </c>
      <c r="C45" s="12" t="s">
        <v>49</v>
      </c>
    </row>
    <row r="46" spans="2:3" x14ac:dyDescent="0.45">
      <c r="B46" s="16" t="s">
        <v>50</v>
      </c>
      <c r="C46" s="12" t="s">
        <v>51</v>
      </c>
    </row>
    <row r="47" spans="2:3" x14ac:dyDescent="0.45">
      <c r="B47" s="17" t="s">
        <v>52</v>
      </c>
      <c r="C47" s="12" t="s">
        <v>53</v>
      </c>
    </row>
    <row r="48" spans="2:3" x14ac:dyDescent="0.45">
      <c r="B48" s="18" t="s">
        <v>54</v>
      </c>
      <c r="C48" s="12" t="s">
        <v>55</v>
      </c>
    </row>
    <row r="49" spans="2:3" x14ac:dyDescent="0.45">
      <c r="B49" s="19" t="s">
        <v>56</v>
      </c>
      <c r="C49" s="12" t="s">
        <v>57</v>
      </c>
    </row>
    <row r="50" spans="2:3" ht="12" customHeight="1" x14ac:dyDescent="0.45"/>
    <row r="51" spans="2:3" ht="22.05" customHeight="1" x14ac:dyDescent="0.5">
      <c r="B51" s="7" t="s">
        <v>58</v>
      </c>
      <c r="C51" s="8"/>
    </row>
    <row r="52" spans="2:3" x14ac:dyDescent="0.45">
      <c r="B52" s="9" t="s">
        <v>59</v>
      </c>
      <c r="C52" s="10" t="s">
        <v>60</v>
      </c>
    </row>
    <row r="53" spans="2:3" ht="26.25"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66</v>
      </c>
      <c r="C57" s="10" t="s">
        <v>67</v>
      </c>
    </row>
    <row r="58" spans="2:3" x14ac:dyDescent="0.45">
      <c r="B58" s="9" t="s">
        <v>68</v>
      </c>
      <c r="C58" s="10" t="s">
        <v>69</v>
      </c>
    </row>
    <row r="59" spans="2:3" x14ac:dyDescent="0.45">
      <c r="B59" s="9" t="s">
        <v>41</v>
      </c>
      <c r="C59" s="10" t="s">
        <v>70</v>
      </c>
    </row>
    <row r="60" spans="2:3" ht="12" customHeight="1" x14ac:dyDescent="0.45"/>
    <row r="61" spans="2:3" ht="22.05" customHeight="1" x14ac:dyDescent="0.5">
      <c r="B61" s="7" t="s">
        <v>71</v>
      </c>
      <c r="C61" s="8"/>
    </row>
    <row r="62" spans="2:3" ht="52.5" x14ac:dyDescent="0.45">
      <c r="B62" s="20" t="s">
        <v>72</v>
      </c>
      <c r="C62" s="10" t="s">
        <v>73</v>
      </c>
    </row>
    <row r="63" spans="2:3" x14ac:dyDescent="0.45">
      <c r="B63" s="20" t="s">
        <v>74</v>
      </c>
      <c r="C63" s="10" t="s">
        <v>75</v>
      </c>
    </row>
    <row r="64" spans="2:3" x14ac:dyDescent="0.45">
      <c r="B64" s="20" t="s">
        <v>76</v>
      </c>
      <c r="C64" s="10" t="s">
        <v>77</v>
      </c>
    </row>
    <row r="65" spans="2:3" x14ac:dyDescent="0.45">
      <c r="B65" s="20" t="s">
        <v>78</v>
      </c>
      <c r="C65" s="10" t="s">
        <v>79</v>
      </c>
    </row>
    <row r="66" spans="2:3" ht="26.25" x14ac:dyDescent="0.45">
      <c r="B66" s="20" t="s">
        <v>80</v>
      </c>
      <c r="C66" s="10" t="s">
        <v>81</v>
      </c>
    </row>
    <row r="67" spans="2:3" ht="12" customHeight="1" x14ac:dyDescent="0.45"/>
    <row r="68" spans="2:3" ht="22.05" customHeight="1" x14ac:dyDescent="0.5">
      <c r="B68" s="7" t="s">
        <v>82</v>
      </c>
      <c r="C68" s="8"/>
    </row>
    <row r="69" spans="2:3" x14ac:dyDescent="0.45">
      <c r="B69" s="9" t="s">
        <v>83</v>
      </c>
      <c r="C69" s="10" t="s">
        <v>84</v>
      </c>
    </row>
    <row r="70" spans="2:3" x14ac:dyDescent="0.45">
      <c r="B70" s="9" t="s">
        <v>85</v>
      </c>
      <c r="C70" s="10" t="s">
        <v>86</v>
      </c>
    </row>
    <row r="71" spans="2:3" ht="16.05" customHeight="1" x14ac:dyDescent="0.45"/>
    <row r="72" spans="2:3" x14ac:dyDescent="0.45">
      <c r="B72" s="62" t="s">
        <v>87</v>
      </c>
      <c r="C72" s="63"/>
    </row>
  </sheetData>
  <mergeCells count="2">
    <mergeCell ref="B72:C72"/>
    <mergeCell ref="B16:C16"/>
  </mergeCells>
  <hyperlinks>
    <hyperlink ref="D4" location="'Inputs'!A1" display="Next:  Inputs  ▸" xr:uid="{00000000-0004-0000-0000-000000000000}"/>
    <hyperlink ref="B39" location="'Inputs'!A1" display="Inputs" xr:uid="{00000000-0004-0000-0000-000001000000}"/>
    <hyperlink ref="B40" location="'Data'!A1" display="Data" xr:uid="{00000000-0004-0000-0000-000002000000}"/>
    <hyperlink ref="B41" location="'Fits'!A1" display="Fits" xr:uid="{00000000-0004-0000-0000-000003000000}"/>
    <hyperlink ref="B42" location="'Results'!A1" display="Results" xr:uid="{00000000-0004-0000-0000-000004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12"/>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88</v>
      </c>
      <c r="C3" s="1"/>
      <c r="D3" s="1"/>
      <c r="E3" s="1"/>
      <c r="F3" s="1"/>
      <c r="G3" s="1"/>
      <c r="H3" s="1"/>
      <c r="I3" s="1"/>
      <c r="J3" s="1"/>
    </row>
    <row r="4" spans="1:10" ht="20" customHeight="1" x14ac:dyDescent="0.45">
      <c r="A4" s="5"/>
      <c r="B4" s="22" t="s">
        <v>89</v>
      </c>
      <c r="C4" s="5"/>
      <c r="D4" s="5"/>
      <c r="E4" s="5"/>
      <c r="F4" s="5"/>
      <c r="G4" s="5"/>
      <c r="H4" s="5"/>
      <c r="I4" s="5"/>
      <c r="J4" s="6" t="s">
        <v>90</v>
      </c>
    </row>
    <row r="5" spans="1:10" ht="8" customHeight="1" x14ac:dyDescent="0.45"/>
    <row r="6" spans="1:10" ht="20" customHeight="1" x14ac:dyDescent="0.45">
      <c r="B6" s="65" t="s">
        <v>91</v>
      </c>
      <c r="C6" s="63"/>
      <c r="D6" s="63"/>
      <c r="E6" s="63"/>
      <c r="F6" s="63"/>
      <c r="G6" s="63"/>
      <c r="H6" s="63"/>
      <c r="I6" s="63"/>
      <c r="J6" s="63"/>
    </row>
    <row r="7" spans="1:10" ht="6" customHeight="1" x14ac:dyDescent="0.45"/>
    <row r="8" spans="1:10" ht="22.05" customHeight="1" x14ac:dyDescent="0.5">
      <c r="B8" s="7" t="s">
        <v>92</v>
      </c>
      <c r="C8" s="8"/>
      <c r="D8" s="8"/>
      <c r="E8" s="8"/>
      <c r="F8" s="8"/>
      <c r="G8" s="8"/>
      <c r="H8" s="8"/>
      <c r="I8" s="8"/>
      <c r="J8" s="8"/>
    </row>
    <row r="9" spans="1:10" ht="18" customHeight="1" x14ac:dyDescent="0.45">
      <c r="B9" s="13" t="s">
        <v>93</v>
      </c>
    </row>
    <row r="10" spans="1:10" ht="18" customHeight="1" x14ac:dyDescent="0.45">
      <c r="B10" s="23" t="s">
        <v>94</v>
      </c>
      <c r="C10" s="23" t="s">
        <v>95</v>
      </c>
      <c r="D10" s="24" t="s">
        <v>96</v>
      </c>
      <c r="E10" s="23" t="s">
        <v>97</v>
      </c>
      <c r="F10" s="5"/>
      <c r="G10" s="5"/>
      <c r="H10" s="5"/>
      <c r="I10" s="5"/>
      <c r="J10" s="23" t="s">
        <v>98</v>
      </c>
    </row>
    <row r="11" spans="1:10" x14ac:dyDescent="0.45">
      <c r="B11" s="25" t="s">
        <v>99</v>
      </c>
      <c r="C11" s="26"/>
      <c r="D11" s="27" t="s">
        <v>100</v>
      </c>
      <c r="E11" s="26" t="s">
        <v>101</v>
      </c>
      <c r="F11" s="28"/>
      <c r="G11" s="28"/>
      <c r="H11" s="28"/>
      <c r="I11" s="28"/>
      <c r="J11" s="29" t="s">
        <v>102</v>
      </c>
    </row>
    <row r="12" spans="1:10" ht="8" customHeight="1" x14ac:dyDescent="0.45"/>
  </sheetData>
  <mergeCells count="1">
    <mergeCell ref="B6:J6"/>
  </mergeCells>
  <dataValidations count="1">
    <dataValidation type="list" showErrorMessage="1" errorTitle="Choice" error="Choose one from the list." sqref="D11" xr:uid="{00000000-0002-0000-0100-000000000000}">
      <formula1>"Best by SIC,Lognormal,Gamma,Pareto (type 2)"</formula1>
    </dataValidation>
  </dataValidations>
  <hyperlinks>
    <hyperlink ref="B4" location="'About'!A1" display="◂  About" xr:uid="{00000000-0004-0000-0100-000000000000}"/>
    <hyperlink ref="J4" location="'Data'!A1" display="Next:  Data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0A800"/>
    <pageSetUpPr fitToPage="1"/>
  </sheetPr>
  <dimension ref="A1:I267"/>
  <sheetViews>
    <sheetView showGridLines="0" workbookViewId="0"/>
  </sheetViews>
  <sheetFormatPr defaultRowHeight="14.25" x14ac:dyDescent="0.45"/>
  <cols>
    <col min="1" max="1" width="2" customWidth="1"/>
    <col min="2" max="2" width="30" customWidth="1"/>
    <col min="3" max="4" width="13" customWidth="1"/>
    <col min="5" max="5" width="3" customWidth="1"/>
    <col min="6" max="6" width="10" customWidth="1"/>
    <col min="7" max="7" width="12" customWidth="1"/>
    <col min="8" max="8" width="3" customWidth="1"/>
    <col min="9" max="9" width="44" customWidth="1"/>
  </cols>
  <sheetData>
    <row r="1" spans="1:9" ht="6" customHeight="1" x14ac:dyDescent="0.45"/>
    <row r="2" spans="1:9" ht="30" customHeight="1" x14ac:dyDescent="0.45">
      <c r="A2" s="1"/>
      <c r="B2" s="21" t="s">
        <v>0</v>
      </c>
      <c r="C2" s="1"/>
      <c r="D2" s="1"/>
      <c r="E2" s="1"/>
      <c r="F2" s="1"/>
      <c r="G2" s="1"/>
      <c r="H2" s="1"/>
      <c r="I2" s="3" t="s">
        <v>1</v>
      </c>
    </row>
    <row r="3" spans="1:9" ht="20" customHeight="1" x14ac:dyDescent="0.45">
      <c r="A3" s="1"/>
      <c r="B3" s="4" t="s">
        <v>103</v>
      </c>
      <c r="C3" s="1"/>
      <c r="D3" s="1"/>
      <c r="E3" s="1"/>
      <c r="F3" s="1"/>
      <c r="G3" s="1"/>
      <c r="H3" s="1"/>
      <c r="I3" s="1"/>
    </row>
    <row r="4" spans="1:9" ht="20" customHeight="1" x14ac:dyDescent="0.45">
      <c r="A4" s="5"/>
      <c r="B4" s="22" t="s">
        <v>104</v>
      </c>
      <c r="C4" s="5"/>
      <c r="D4" s="5"/>
      <c r="E4" s="5"/>
      <c r="F4" s="5"/>
      <c r="G4" s="5"/>
      <c r="H4" s="5"/>
      <c r="I4" s="6" t="s">
        <v>105</v>
      </c>
    </row>
    <row r="5" spans="1:9" ht="8" customHeight="1" x14ac:dyDescent="0.45"/>
    <row r="6" spans="1:9" ht="22.05" customHeight="1" x14ac:dyDescent="0.5">
      <c r="B6" s="7" t="s">
        <v>106</v>
      </c>
      <c r="C6" s="8"/>
      <c r="D6" s="8"/>
      <c r="E6" s="8"/>
      <c r="F6" s="8"/>
      <c r="G6" s="8"/>
      <c r="H6" s="8"/>
      <c r="I6" s="8"/>
    </row>
    <row r="7" spans="1:9" ht="18" customHeight="1" x14ac:dyDescent="0.45">
      <c r="B7" s="13" t="s">
        <v>107</v>
      </c>
    </row>
    <row r="8" spans="1:9" ht="18" customHeight="1" x14ac:dyDescent="0.45">
      <c r="B8" s="30" t="s">
        <v>108</v>
      </c>
      <c r="C8" s="30" t="s">
        <v>95</v>
      </c>
      <c r="D8" s="31" t="s">
        <v>109</v>
      </c>
      <c r="E8" s="5"/>
      <c r="F8" s="5"/>
      <c r="G8" s="5"/>
      <c r="H8" s="5"/>
      <c r="I8" s="5"/>
    </row>
    <row r="9" spans="1:9" x14ac:dyDescent="0.45">
      <c r="B9" s="25" t="s">
        <v>110</v>
      </c>
      <c r="C9" s="26" t="s">
        <v>111</v>
      </c>
      <c r="D9" s="32">
        <f>COUNT(Counts)</f>
        <v>10</v>
      </c>
      <c r="E9" s="28"/>
      <c r="F9" s="28"/>
      <c r="G9" s="28"/>
      <c r="H9" s="28"/>
      <c r="I9" s="28"/>
    </row>
    <row r="10" spans="1:9" x14ac:dyDescent="0.45">
      <c r="B10" s="25" t="s">
        <v>112</v>
      </c>
      <c r="C10" s="26" t="s">
        <v>113</v>
      </c>
      <c r="D10" s="33">
        <f>AVERAGE(Counts)</f>
        <v>40</v>
      </c>
      <c r="E10" s="28"/>
      <c r="F10" s="28"/>
      <c r="G10" s="28"/>
      <c r="H10" s="28"/>
      <c r="I10" s="28"/>
    </row>
    <row r="11" spans="1:9" x14ac:dyDescent="0.45">
      <c r="B11" s="25" t="s">
        <v>114</v>
      </c>
      <c r="C11" s="26" t="s">
        <v>113</v>
      </c>
      <c r="D11" s="32">
        <f>COUNT(Sizes)</f>
        <v>250</v>
      </c>
      <c r="E11" s="28"/>
      <c r="F11" s="28"/>
      <c r="G11" s="28"/>
      <c r="H11" s="28"/>
      <c r="I11" s="28"/>
    </row>
    <row r="12" spans="1:9" x14ac:dyDescent="0.45">
      <c r="B12" s="25" t="s">
        <v>115</v>
      </c>
      <c r="C12" s="26" t="s">
        <v>116</v>
      </c>
      <c r="D12" s="33">
        <f>AVERAGE(Sizes)</f>
        <v>174.792</v>
      </c>
      <c r="E12" s="28"/>
      <c r="F12" s="28"/>
      <c r="G12" s="28"/>
      <c r="H12" s="28"/>
      <c r="I12" s="28"/>
    </row>
    <row r="13" spans="1:9" x14ac:dyDescent="0.45">
      <c r="B13" s="25" t="s">
        <v>117</v>
      </c>
      <c r="C13" s="26" t="s">
        <v>116</v>
      </c>
      <c r="D13" s="32">
        <f>MAX(Sizes)</f>
        <v>3109</v>
      </c>
      <c r="E13" s="28"/>
      <c r="F13" s="28"/>
      <c r="G13" s="28"/>
      <c r="H13" s="28"/>
      <c r="I13" s="28"/>
    </row>
    <row r="14" spans="1:9" ht="8" customHeight="1" x14ac:dyDescent="0.45"/>
    <row r="15" spans="1:9" ht="22.05" customHeight="1" x14ac:dyDescent="0.5">
      <c r="B15" s="7" t="s">
        <v>118</v>
      </c>
      <c r="C15" s="8"/>
      <c r="D15" s="8"/>
      <c r="E15" s="8"/>
      <c r="F15" s="8"/>
      <c r="G15" s="8"/>
      <c r="H15" s="8"/>
      <c r="I15" s="8"/>
    </row>
    <row r="16" spans="1:9" ht="18" customHeight="1" x14ac:dyDescent="0.45">
      <c r="B16" s="13" t="s">
        <v>119</v>
      </c>
    </row>
    <row r="17" spans="2:9" ht="18" customHeight="1" x14ac:dyDescent="0.45">
      <c r="B17" s="30" t="s">
        <v>120</v>
      </c>
      <c r="C17" s="31" t="s">
        <v>66</v>
      </c>
      <c r="D17" s="5"/>
      <c r="E17" s="5"/>
      <c r="F17" s="30" t="s">
        <v>121</v>
      </c>
      <c r="G17" s="31" t="s">
        <v>122</v>
      </c>
      <c r="H17" s="5"/>
      <c r="I17" s="5"/>
    </row>
    <row r="18" spans="2:9" x14ac:dyDescent="0.45">
      <c r="B18" s="34">
        <v>2016</v>
      </c>
      <c r="C18" s="35">
        <v>33</v>
      </c>
      <c r="D18" s="28"/>
      <c r="E18" s="28"/>
      <c r="F18" s="26">
        <v>1</v>
      </c>
      <c r="G18" s="35">
        <v>51</v>
      </c>
      <c r="H18" s="28"/>
      <c r="I18" s="28"/>
    </row>
    <row r="19" spans="2:9" x14ac:dyDescent="0.45">
      <c r="B19" s="34">
        <v>2017</v>
      </c>
      <c r="C19" s="35">
        <v>39</v>
      </c>
      <c r="D19" s="28"/>
      <c r="E19" s="28"/>
      <c r="F19" s="26">
        <v>2</v>
      </c>
      <c r="G19" s="35">
        <v>1302</v>
      </c>
      <c r="H19" s="28"/>
      <c r="I19" s="28"/>
    </row>
    <row r="20" spans="2:9" x14ac:dyDescent="0.45">
      <c r="B20" s="34">
        <v>2018</v>
      </c>
      <c r="C20" s="35">
        <v>37</v>
      </c>
      <c r="D20" s="28"/>
      <c r="E20" s="28"/>
      <c r="F20" s="26">
        <v>3</v>
      </c>
      <c r="G20" s="35">
        <v>109</v>
      </c>
      <c r="H20" s="28"/>
      <c r="I20" s="28"/>
    </row>
    <row r="21" spans="2:9" x14ac:dyDescent="0.45">
      <c r="B21" s="34">
        <v>2019</v>
      </c>
      <c r="C21" s="35">
        <v>50</v>
      </c>
      <c r="D21" s="28"/>
      <c r="E21" s="28"/>
      <c r="F21" s="26">
        <v>4</v>
      </c>
      <c r="G21" s="35">
        <v>142</v>
      </c>
      <c r="H21" s="28"/>
      <c r="I21" s="28"/>
    </row>
    <row r="22" spans="2:9" x14ac:dyDescent="0.45">
      <c r="B22" s="34">
        <v>2020</v>
      </c>
      <c r="C22" s="35">
        <v>43</v>
      </c>
      <c r="D22" s="28"/>
      <c r="E22" s="28"/>
      <c r="F22" s="26">
        <v>5</v>
      </c>
      <c r="G22" s="35">
        <v>262</v>
      </c>
      <c r="H22" s="28"/>
      <c r="I22" s="28"/>
    </row>
    <row r="23" spans="2:9" x14ac:dyDescent="0.45">
      <c r="B23" s="34">
        <v>2021</v>
      </c>
      <c r="C23" s="35">
        <v>43</v>
      </c>
      <c r="D23" s="28"/>
      <c r="E23" s="28"/>
      <c r="F23" s="26">
        <v>6</v>
      </c>
      <c r="G23" s="35">
        <v>66</v>
      </c>
      <c r="H23" s="28"/>
      <c r="I23" s="28"/>
    </row>
    <row r="24" spans="2:9" x14ac:dyDescent="0.45">
      <c r="B24" s="34">
        <v>2022</v>
      </c>
      <c r="C24" s="35">
        <v>40</v>
      </c>
      <c r="D24" s="28"/>
      <c r="E24" s="28"/>
      <c r="F24" s="26">
        <v>7</v>
      </c>
      <c r="G24" s="35">
        <v>113</v>
      </c>
      <c r="H24" s="28"/>
      <c r="I24" s="28"/>
    </row>
    <row r="25" spans="2:9" x14ac:dyDescent="0.45">
      <c r="B25" s="34">
        <v>2023</v>
      </c>
      <c r="C25" s="35">
        <v>39</v>
      </c>
      <c r="D25" s="28"/>
      <c r="E25" s="28"/>
      <c r="F25" s="26">
        <v>8</v>
      </c>
      <c r="G25" s="35">
        <v>177</v>
      </c>
      <c r="H25" s="28"/>
      <c r="I25" s="28"/>
    </row>
    <row r="26" spans="2:9" x14ac:dyDescent="0.45">
      <c r="B26" s="34">
        <v>2024</v>
      </c>
      <c r="C26" s="35">
        <v>36</v>
      </c>
      <c r="D26" s="28"/>
      <c r="E26" s="28"/>
      <c r="F26" s="26">
        <v>9</v>
      </c>
      <c r="G26" s="35">
        <v>247</v>
      </c>
      <c r="H26" s="28"/>
      <c r="I26" s="28"/>
    </row>
    <row r="27" spans="2:9" x14ac:dyDescent="0.45">
      <c r="B27" s="34">
        <v>2025</v>
      </c>
      <c r="C27" s="35">
        <v>40</v>
      </c>
      <c r="D27" s="28"/>
      <c r="E27" s="28"/>
      <c r="F27" s="26">
        <v>10</v>
      </c>
      <c r="G27" s="35">
        <v>16</v>
      </c>
      <c r="H27" s="28"/>
      <c r="I27" s="28"/>
    </row>
    <row r="28" spans="2:9" x14ac:dyDescent="0.45">
      <c r="B28" s="28"/>
      <c r="C28" s="28"/>
      <c r="D28" s="28"/>
      <c r="E28" s="28"/>
      <c r="F28" s="26">
        <v>11</v>
      </c>
      <c r="G28" s="35">
        <v>27</v>
      </c>
      <c r="H28" s="28"/>
      <c r="I28" s="28"/>
    </row>
    <row r="29" spans="2:9" x14ac:dyDescent="0.45">
      <c r="B29" s="28"/>
      <c r="C29" s="28"/>
      <c r="D29" s="28"/>
      <c r="E29" s="28"/>
      <c r="F29" s="26">
        <v>12</v>
      </c>
      <c r="G29" s="35">
        <v>64</v>
      </c>
      <c r="H29" s="28"/>
      <c r="I29" s="28"/>
    </row>
    <row r="30" spans="2:9" x14ac:dyDescent="0.45">
      <c r="B30" s="28"/>
      <c r="C30" s="28"/>
      <c r="D30" s="28"/>
      <c r="E30" s="28"/>
      <c r="F30" s="26">
        <v>13</v>
      </c>
      <c r="G30" s="35">
        <v>152</v>
      </c>
      <c r="H30" s="28"/>
      <c r="I30" s="28"/>
    </row>
    <row r="31" spans="2:9" x14ac:dyDescent="0.45">
      <c r="B31" s="28"/>
      <c r="C31" s="28"/>
      <c r="D31" s="28"/>
      <c r="E31" s="28"/>
      <c r="F31" s="26">
        <v>14</v>
      </c>
      <c r="G31" s="35">
        <v>6</v>
      </c>
      <c r="H31" s="28"/>
      <c r="I31" s="28"/>
    </row>
    <row r="32" spans="2:9" x14ac:dyDescent="0.45">
      <c r="B32" s="28"/>
      <c r="C32" s="28"/>
      <c r="D32" s="28"/>
      <c r="E32" s="28"/>
      <c r="F32" s="26">
        <v>15</v>
      </c>
      <c r="G32" s="35">
        <v>74</v>
      </c>
      <c r="H32" s="28"/>
      <c r="I32" s="28"/>
    </row>
    <row r="33" spans="2:9" x14ac:dyDescent="0.45">
      <c r="B33" s="28"/>
      <c r="C33" s="28"/>
      <c r="D33" s="28"/>
      <c r="E33" s="28"/>
      <c r="F33" s="26">
        <v>16</v>
      </c>
      <c r="G33" s="35">
        <v>114</v>
      </c>
      <c r="H33" s="28"/>
      <c r="I33" s="28"/>
    </row>
    <row r="34" spans="2:9" x14ac:dyDescent="0.45">
      <c r="B34" s="28"/>
      <c r="C34" s="28"/>
      <c r="D34" s="28"/>
      <c r="E34" s="28"/>
      <c r="F34" s="26">
        <v>17</v>
      </c>
      <c r="G34" s="35">
        <v>12</v>
      </c>
      <c r="H34" s="28"/>
      <c r="I34" s="28"/>
    </row>
    <row r="35" spans="2:9" x14ac:dyDescent="0.45">
      <c r="B35" s="28"/>
      <c r="C35" s="28"/>
      <c r="D35" s="28"/>
      <c r="E35" s="28"/>
      <c r="F35" s="26">
        <v>18</v>
      </c>
      <c r="G35" s="35">
        <v>165</v>
      </c>
      <c r="H35" s="28"/>
      <c r="I35" s="28"/>
    </row>
    <row r="36" spans="2:9" x14ac:dyDescent="0.45">
      <c r="B36" s="28"/>
      <c r="C36" s="28"/>
      <c r="D36" s="28"/>
      <c r="E36" s="28"/>
      <c r="F36" s="26">
        <v>19</v>
      </c>
      <c r="G36" s="35">
        <v>45</v>
      </c>
      <c r="H36" s="28"/>
      <c r="I36" s="28"/>
    </row>
    <row r="37" spans="2:9" x14ac:dyDescent="0.45">
      <c r="B37" s="28"/>
      <c r="C37" s="28"/>
      <c r="D37" s="28"/>
      <c r="E37" s="28"/>
      <c r="F37" s="26">
        <v>20</v>
      </c>
      <c r="G37" s="35">
        <v>168</v>
      </c>
      <c r="H37" s="28"/>
      <c r="I37" s="28"/>
    </row>
    <row r="38" spans="2:9" x14ac:dyDescent="0.45">
      <c r="B38" s="28"/>
      <c r="C38" s="28"/>
      <c r="D38" s="28"/>
      <c r="E38" s="28"/>
      <c r="F38" s="26">
        <v>21</v>
      </c>
      <c r="G38" s="35">
        <v>203</v>
      </c>
      <c r="H38" s="28"/>
      <c r="I38" s="28"/>
    </row>
    <row r="39" spans="2:9" x14ac:dyDescent="0.45">
      <c r="B39" s="28"/>
      <c r="C39" s="28"/>
      <c r="D39" s="28"/>
      <c r="E39" s="28"/>
      <c r="F39" s="26">
        <v>22</v>
      </c>
      <c r="G39" s="35">
        <v>44</v>
      </c>
      <c r="H39" s="28"/>
      <c r="I39" s="28"/>
    </row>
    <row r="40" spans="2:9" x14ac:dyDescent="0.45">
      <c r="B40" s="28"/>
      <c r="C40" s="28"/>
      <c r="D40" s="28"/>
      <c r="E40" s="28"/>
      <c r="F40" s="26">
        <v>23</v>
      </c>
      <c r="G40" s="35">
        <v>230</v>
      </c>
      <c r="H40" s="28"/>
      <c r="I40" s="28"/>
    </row>
    <row r="41" spans="2:9" x14ac:dyDescent="0.45">
      <c r="B41" s="28"/>
      <c r="C41" s="28"/>
      <c r="D41" s="28"/>
      <c r="E41" s="28"/>
      <c r="F41" s="26">
        <v>24</v>
      </c>
      <c r="G41" s="35">
        <v>94</v>
      </c>
      <c r="H41" s="28"/>
      <c r="I41" s="28"/>
    </row>
    <row r="42" spans="2:9" x14ac:dyDescent="0.45">
      <c r="B42" s="28"/>
      <c r="C42" s="28"/>
      <c r="D42" s="28"/>
      <c r="E42" s="28"/>
      <c r="F42" s="26">
        <v>25</v>
      </c>
      <c r="G42" s="35">
        <v>70</v>
      </c>
      <c r="H42" s="28"/>
      <c r="I42" s="28"/>
    </row>
    <row r="43" spans="2:9" x14ac:dyDescent="0.45">
      <c r="B43" s="28"/>
      <c r="C43" s="28"/>
      <c r="D43" s="28"/>
      <c r="E43" s="28"/>
      <c r="F43" s="26">
        <v>26</v>
      </c>
      <c r="G43" s="35">
        <v>269</v>
      </c>
      <c r="H43" s="28"/>
      <c r="I43" s="28"/>
    </row>
    <row r="44" spans="2:9" x14ac:dyDescent="0.45">
      <c r="B44" s="28"/>
      <c r="C44" s="28"/>
      <c r="D44" s="28"/>
      <c r="E44" s="28"/>
      <c r="F44" s="26">
        <v>27</v>
      </c>
      <c r="G44" s="35">
        <v>38</v>
      </c>
      <c r="H44" s="28"/>
      <c r="I44" s="28"/>
    </row>
    <row r="45" spans="2:9" x14ac:dyDescent="0.45">
      <c r="B45" s="28"/>
      <c r="C45" s="28"/>
      <c r="D45" s="28"/>
      <c r="E45" s="28"/>
      <c r="F45" s="26">
        <v>28</v>
      </c>
      <c r="G45" s="35">
        <v>78</v>
      </c>
      <c r="H45" s="28"/>
      <c r="I45" s="28"/>
    </row>
    <row r="46" spans="2:9" x14ac:dyDescent="0.45">
      <c r="B46" s="28"/>
      <c r="C46" s="28"/>
      <c r="D46" s="28"/>
      <c r="E46" s="28"/>
      <c r="F46" s="26">
        <v>29</v>
      </c>
      <c r="G46" s="35">
        <v>60</v>
      </c>
      <c r="H46" s="28"/>
      <c r="I46" s="28"/>
    </row>
    <row r="47" spans="2:9" x14ac:dyDescent="0.45">
      <c r="B47" s="28"/>
      <c r="C47" s="28"/>
      <c r="D47" s="28"/>
      <c r="E47" s="28"/>
      <c r="F47" s="26">
        <v>30</v>
      </c>
      <c r="G47" s="35">
        <v>139</v>
      </c>
      <c r="H47" s="28"/>
      <c r="I47" s="28"/>
    </row>
    <row r="48" spans="2:9" x14ac:dyDescent="0.45">
      <c r="B48" s="28"/>
      <c r="C48" s="28"/>
      <c r="D48" s="28"/>
      <c r="E48" s="28"/>
      <c r="F48" s="26">
        <v>31</v>
      </c>
      <c r="G48" s="35">
        <v>119</v>
      </c>
      <c r="H48" s="28"/>
      <c r="I48" s="28"/>
    </row>
    <row r="49" spans="2:9" x14ac:dyDescent="0.45">
      <c r="B49" s="28"/>
      <c r="C49" s="28"/>
      <c r="D49" s="28"/>
      <c r="E49" s="28"/>
      <c r="F49" s="26">
        <v>32</v>
      </c>
      <c r="G49" s="35">
        <v>93</v>
      </c>
      <c r="H49" s="28"/>
      <c r="I49" s="28"/>
    </row>
    <row r="50" spans="2:9" x14ac:dyDescent="0.45">
      <c r="B50" s="28"/>
      <c r="C50" s="28"/>
      <c r="D50" s="28"/>
      <c r="E50" s="28"/>
      <c r="F50" s="26">
        <v>33</v>
      </c>
      <c r="G50" s="35">
        <v>101</v>
      </c>
      <c r="H50" s="28"/>
      <c r="I50" s="28"/>
    </row>
    <row r="51" spans="2:9" x14ac:dyDescent="0.45">
      <c r="B51" s="28"/>
      <c r="C51" s="28"/>
      <c r="D51" s="28"/>
      <c r="E51" s="28"/>
      <c r="F51" s="26">
        <v>34</v>
      </c>
      <c r="G51" s="35">
        <v>49</v>
      </c>
      <c r="H51" s="28"/>
      <c r="I51" s="28"/>
    </row>
    <row r="52" spans="2:9" x14ac:dyDescent="0.45">
      <c r="B52" s="28"/>
      <c r="C52" s="28"/>
      <c r="D52" s="28"/>
      <c r="E52" s="28"/>
      <c r="F52" s="26">
        <v>35</v>
      </c>
      <c r="G52" s="35">
        <v>71</v>
      </c>
      <c r="H52" s="28"/>
      <c r="I52" s="28"/>
    </row>
    <row r="53" spans="2:9" x14ac:dyDescent="0.45">
      <c r="B53" s="28"/>
      <c r="C53" s="28"/>
      <c r="D53" s="28"/>
      <c r="E53" s="28"/>
      <c r="F53" s="26">
        <v>36</v>
      </c>
      <c r="G53" s="35">
        <v>120</v>
      </c>
      <c r="H53" s="28"/>
      <c r="I53" s="28"/>
    </row>
    <row r="54" spans="2:9" x14ac:dyDescent="0.45">
      <c r="B54" s="28"/>
      <c r="C54" s="28"/>
      <c r="D54" s="28"/>
      <c r="E54" s="28"/>
      <c r="F54" s="26">
        <v>37</v>
      </c>
      <c r="G54" s="35">
        <v>3109</v>
      </c>
      <c r="H54" s="28"/>
      <c r="I54" s="28"/>
    </row>
    <row r="55" spans="2:9" x14ac:dyDescent="0.45">
      <c r="B55" s="28"/>
      <c r="C55" s="28"/>
      <c r="D55" s="28"/>
      <c r="E55" s="28"/>
      <c r="F55" s="26">
        <v>38</v>
      </c>
      <c r="G55" s="35">
        <v>28</v>
      </c>
      <c r="H55" s="28"/>
      <c r="I55" s="28"/>
    </row>
    <row r="56" spans="2:9" x14ac:dyDescent="0.45">
      <c r="B56" s="28"/>
      <c r="C56" s="28"/>
      <c r="D56" s="28"/>
      <c r="E56" s="28"/>
      <c r="F56" s="26">
        <v>39</v>
      </c>
      <c r="G56" s="35">
        <v>86</v>
      </c>
      <c r="H56" s="28"/>
      <c r="I56" s="28"/>
    </row>
    <row r="57" spans="2:9" x14ac:dyDescent="0.45">
      <c r="B57" s="28"/>
      <c r="C57" s="28"/>
      <c r="D57" s="28"/>
      <c r="E57" s="28"/>
      <c r="F57" s="26">
        <v>40</v>
      </c>
      <c r="G57" s="35">
        <v>161</v>
      </c>
      <c r="H57" s="28"/>
      <c r="I57" s="28"/>
    </row>
    <row r="58" spans="2:9" x14ac:dyDescent="0.45">
      <c r="B58" s="28"/>
      <c r="C58" s="28"/>
      <c r="D58" s="28"/>
      <c r="E58" s="28"/>
      <c r="F58" s="26">
        <v>41</v>
      </c>
      <c r="G58" s="35">
        <v>92</v>
      </c>
      <c r="H58" s="28"/>
      <c r="I58" s="28"/>
    </row>
    <row r="59" spans="2:9" x14ac:dyDescent="0.45">
      <c r="B59" s="28"/>
      <c r="C59" s="28"/>
      <c r="D59" s="28"/>
      <c r="E59" s="28"/>
      <c r="F59" s="26">
        <v>42</v>
      </c>
      <c r="G59" s="35">
        <v>447</v>
      </c>
      <c r="H59" s="28"/>
      <c r="I59" s="28"/>
    </row>
    <row r="60" spans="2:9" x14ac:dyDescent="0.45">
      <c r="B60" s="28"/>
      <c r="C60" s="28"/>
      <c r="D60" s="28"/>
      <c r="E60" s="28"/>
      <c r="F60" s="26">
        <v>43</v>
      </c>
      <c r="G60" s="35">
        <v>12</v>
      </c>
      <c r="H60" s="28"/>
      <c r="I60" s="28"/>
    </row>
    <row r="61" spans="2:9" x14ac:dyDescent="0.45">
      <c r="B61" s="28"/>
      <c r="C61" s="28"/>
      <c r="D61" s="28"/>
      <c r="E61" s="28"/>
      <c r="F61" s="26">
        <v>44</v>
      </c>
      <c r="G61" s="35">
        <v>1</v>
      </c>
      <c r="H61" s="28"/>
      <c r="I61" s="28"/>
    </row>
    <row r="62" spans="2:9" x14ac:dyDescent="0.45">
      <c r="B62" s="28"/>
      <c r="C62" s="28"/>
      <c r="D62" s="28"/>
      <c r="E62" s="28"/>
      <c r="F62" s="26">
        <v>45</v>
      </c>
      <c r="G62" s="35">
        <v>593</v>
      </c>
      <c r="H62" s="28"/>
      <c r="I62" s="28"/>
    </row>
    <row r="63" spans="2:9" x14ac:dyDescent="0.45">
      <c r="B63" s="28"/>
      <c r="C63" s="28"/>
      <c r="D63" s="28"/>
      <c r="E63" s="28"/>
      <c r="F63" s="26">
        <v>46</v>
      </c>
      <c r="G63" s="35">
        <v>145</v>
      </c>
      <c r="H63" s="28"/>
      <c r="I63" s="28"/>
    </row>
    <row r="64" spans="2:9" x14ac:dyDescent="0.45">
      <c r="B64" s="28"/>
      <c r="C64" s="28"/>
      <c r="D64" s="28"/>
      <c r="E64" s="28"/>
      <c r="F64" s="26">
        <v>47</v>
      </c>
      <c r="G64" s="35">
        <v>39</v>
      </c>
      <c r="H64" s="28"/>
      <c r="I64" s="28"/>
    </row>
    <row r="65" spans="2:9" x14ac:dyDescent="0.45">
      <c r="B65" s="28"/>
      <c r="C65" s="28"/>
      <c r="D65" s="28"/>
      <c r="E65" s="28"/>
      <c r="F65" s="26">
        <v>48</v>
      </c>
      <c r="G65" s="35">
        <v>168</v>
      </c>
      <c r="H65" s="28"/>
      <c r="I65" s="28"/>
    </row>
    <row r="66" spans="2:9" x14ac:dyDescent="0.45">
      <c r="B66" s="28"/>
      <c r="C66" s="28"/>
      <c r="D66" s="28"/>
      <c r="E66" s="28"/>
      <c r="F66" s="26">
        <v>49</v>
      </c>
      <c r="G66" s="35">
        <v>73</v>
      </c>
      <c r="H66" s="28"/>
      <c r="I66" s="28"/>
    </row>
    <row r="67" spans="2:9" x14ac:dyDescent="0.45">
      <c r="B67" s="28"/>
      <c r="C67" s="28"/>
      <c r="D67" s="28"/>
      <c r="E67" s="28"/>
      <c r="F67" s="26">
        <v>50</v>
      </c>
      <c r="G67" s="35">
        <v>120</v>
      </c>
      <c r="H67" s="28"/>
      <c r="I67" s="28"/>
    </row>
    <row r="68" spans="2:9" x14ac:dyDescent="0.45">
      <c r="B68" s="28"/>
      <c r="C68" s="28"/>
      <c r="D68" s="28"/>
      <c r="E68" s="28"/>
      <c r="F68" s="26">
        <v>51</v>
      </c>
      <c r="G68" s="35">
        <v>31</v>
      </c>
      <c r="H68" s="28"/>
      <c r="I68" s="28"/>
    </row>
    <row r="69" spans="2:9" x14ac:dyDescent="0.45">
      <c r="B69" s="28"/>
      <c r="C69" s="28"/>
      <c r="D69" s="28"/>
      <c r="E69" s="28"/>
      <c r="F69" s="26">
        <v>52</v>
      </c>
      <c r="G69" s="35">
        <v>5</v>
      </c>
      <c r="H69" s="28"/>
      <c r="I69" s="28"/>
    </row>
    <row r="70" spans="2:9" x14ac:dyDescent="0.45">
      <c r="B70" s="28"/>
      <c r="C70" s="28"/>
      <c r="D70" s="28"/>
      <c r="E70" s="28"/>
      <c r="F70" s="26">
        <v>53</v>
      </c>
      <c r="G70" s="35">
        <v>14</v>
      </c>
      <c r="H70" s="28"/>
      <c r="I70" s="28"/>
    </row>
    <row r="71" spans="2:9" x14ac:dyDescent="0.45">
      <c r="B71" s="28"/>
      <c r="C71" s="28"/>
      <c r="D71" s="28"/>
      <c r="E71" s="28"/>
      <c r="F71" s="26">
        <v>54</v>
      </c>
      <c r="G71" s="35">
        <v>60</v>
      </c>
      <c r="H71" s="28"/>
      <c r="I71" s="28"/>
    </row>
    <row r="72" spans="2:9" x14ac:dyDescent="0.45">
      <c r="B72" s="28"/>
      <c r="C72" s="28"/>
      <c r="D72" s="28"/>
      <c r="E72" s="28"/>
      <c r="F72" s="26">
        <v>55</v>
      </c>
      <c r="G72" s="35">
        <v>307</v>
      </c>
      <c r="H72" s="28"/>
      <c r="I72" s="28"/>
    </row>
    <row r="73" spans="2:9" x14ac:dyDescent="0.45">
      <c r="B73" s="28"/>
      <c r="C73" s="28"/>
      <c r="D73" s="28"/>
      <c r="E73" s="28"/>
      <c r="F73" s="26">
        <v>56</v>
      </c>
      <c r="G73" s="35">
        <v>6</v>
      </c>
      <c r="H73" s="28"/>
      <c r="I73" s="28"/>
    </row>
    <row r="74" spans="2:9" x14ac:dyDescent="0.45">
      <c r="B74" s="28"/>
      <c r="C74" s="28"/>
      <c r="D74" s="28"/>
      <c r="E74" s="28"/>
      <c r="F74" s="26">
        <v>57</v>
      </c>
      <c r="G74" s="35">
        <v>967</v>
      </c>
      <c r="H74" s="28"/>
      <c r="I74" s="28"/>
    </row>
    <row r="75" spans="2:9" x14ac:dyDescent="0.45">
      <c r="B75" s="28"/>
      <c r="C75" s="28"/>
      <c r="D75" s="28"/>
      <c r="E75" s="28"/>
      <c r="F75" s="26">
        <v>58</v>
      </c>
      <c r="G75" s="35">
        <v>178</v>
      </c>
      <c r="H75" s="28"/>
      <c r="I75" s="28"/>
    </row>
    <row r="76" spans="2:9" x14ac:dyDescent="0.45">
      <c r="B76" s="28"/>
      <c r="C76" s="28"/>
      <c r="D76" s="28"/>
      <c r="E76" s="28"/>
      <c r="F76" s="26">
        <v>59</v>
      </c>
      <c r="G76" s="35">
        <v>188</v>
      </c>
      <c r="H76" s="28"/>
      <c r="I76" s="28"/>
    </row>
    <row r="77" spans="2:9" x14ac:dyDescent="0.45">
      <c r="B77" s="28"/>
      <c r="C77" s="28"/>
      <c r="D77" s="28"/>
      <c r="E77" s="28"/>
      <c r="F77" s="26">
        <v>60</v>
      </c>
      <c r="G77" s="35">
        <v>50</v>
      </c>
      <c r="H77" s="28"/>
      <c r="I77" s="28"/>
    </row>
    <row r="78" spans="2:9" x14ac:dyDescent="0.45">
      <c r="B78" s="28"/>
      <c r="C78" s="28"/>
      <c r="D78" s="28"/>
      <c r="E78" s="28"/>
      <c r="F78" s="26">
        <v>61</v>
      </c>
      <c r="G78" s="35">
        <v>96</v>
      </c>
      <c r="H78" s="28"/>
      <c r="I78" s="28"/>
    </row>
    <row r="79" spans="2:9" x14ac:dyDescent="0.45">
      <c r="B79" s="28"/>
      <c r="C79" s="28"/>
      <c r="D79" s="28"/>
      <c r="E79" s="28"/>
      <c r="F79" s="26">
        <v>62</v>
      </c>
      <c r="G79" s="35">
        <v>448</v>
      </c>
      <c r="H79" s="28"/>
      <c r="I79" s="28"/>
    </row>
    <row r="80" spans="2:9" x14ac:dyDescent="0.45">
      <c r="B80" s="28"/>
      <c r="C80" s="28"/>
      <c r="D80" s="28"/>
      <c r="E80" s="28"/>
      <c r="F80" s="26">
        <v>63</v>
      </c>
      <c r="G80" s="35">
        <v>1301</v>
      </c>
      <c r="H80" s="28"/>
      <c r="I80" s="28"/>
    </row>
    <row r="81" spans="2:9" x14ac:dyDescent="0.45">
      <c r="B81" s="28"/>
      <c r="C81" s="28"/>
      <c r="D81" s="28"/>
      <c r="E81" s="28"/>
      <c r="F81" s="26">
        <v>64</v>
      </c>
      <c r="G81" s="35">
        <v>64</v>
      </c>
      <c r="H81" s="28"/>
      <c r="I81" s="28"/>
    </row>
    <row r="82" spans="2:9" x14ac:dyDescent="0.45">
      <c r="B82" s="28"/>
      <c r="C82" s="28"/>
      <c r="D82" s="28"/>
      <c r="E82" s="28"/>
      <c r="F82" s="26">
        <v>65</v>
      </c>
      <c r="G82" s="35">
        <v>94</v>
      </c>
      <c r="H82" s="28"/>
      <c r="I82" s="28"/>
    </row>
    <row r="83" spans="2:9" x14ac:dyDescent="0.45">
      <c r="B83" s="28"/>
      <c r="C83" s="28"/>
      <c r="D83" s="28"/>
      <c r="E83" s="28"/>
      <c r="F83" s="26">
        <v>66</v>
      </c>
      <c r="G83" s="35">
        <v>65</v>
      </c>
      <c r="H83" s="28"/>
      <c r="I83" s="28"/>
    </row>
    <row r="84" spans="2:9" x14ac:dyDescent="0.45">
      <c r="B84" s="28"/>
      <c r="C84" s="28"/>
      <c r="D84" s="28"/>
      <c r="E84" s="28"/>
      <c r="F84" s="26">
        <v>67</v>
      </c>
      <c r="G84" s="35">
        <v>74</v>
      </c>
      <c r="H84" s="28"/>
      <c r="I84" s="28"/>
    </row>
    <row r="85" spans="2:9" x14ac:dyDescent="0.45">
      <c r="B85" s="28"/>
      <c r="C85" s="28"/>
      <c r="D85" s="28"/>
      <c r="E85" s="28"/>
      <c r="F85" s="26">
        <v>68</v>
      </c>
      <c r="G85" s="35">
        <v>14</v>
      </c>
      <c r="H85" s="28"/>
      <c r="I85" s="28"/>
    </row>
    <row r="86" spans="2:9" x14ac:dyDescent="0.45">
      <c r="B86" s="28"/>
      <c r="C86" s="28"/>
      <c r="D86" s="28"/>
      <c r="E86" s="28"/>
      <c r="F86" s="26">
        <v>69</v>
      </c>
      <c r="G86" s="35">
        <v>10</v>
      </c>
      <c r="H86" s="28"/>
      <c r="I86" s="28"/>
    </row>
    <row r="87" spans="2:9" x14ac:dyDescent="0.45">
      <c r="B87" s="28"/>
      <c r="C87" s="28"/>
      <c r="D87" s="28"/>
      <c r="E87" s="28"/>
      <c r="F87" s="26">
        <v>70</v>
      </c>
      <c r="G87" s="35">
        <v>270</v>
      </c>
      <c r="H87" s="28"/>
      <c r="I87" s="28"/>
    </row>
    <row r="88" spans="2:9" x14ac:dyDescent="0.45">
      <c r="B88" s="28"/>
      <c r="C88" s="28"/>
      <c r="D88" s="28"/>
      <c r="E88" s="28"/>
      <c r="F88" s="26">
        <v>71</v>
      </c>
      <c r="G88" s="35">
        <v>7</v>
      </c>
      <c r="H88" s="28"/>
      <c r="I88" s="28"/>
    </row>
    <row r="89" spans="2:9" x14ac:dyDescent="0.45">
      <c r="B89" s="28"/>
      <c r="C89" s="28"/>
      <c r="D89" s="28"/>
      <c r="E89" s="28"/>
      <c r="F89" s="26">
        <v>72</v>
      </c>
      <c r="G89" s="35">
        <v>29</v>
      </c>
      <c r="H89" s="28"/>
      <c r="I89" s="28"/>
    </row>
    <row r="90" spans="2:9" x14ac:dyDescent="0.45">
      <c r="B90" s="28"/>
      <c r="C90" s="28"/>
      <c r="D90" s="28"/>
      <c r="E90" s="28"/>
      <c r="F90" s="26">
        <v>73</v>
      </c>
      <c r="G90" s="35">
        <v>56</v>
      </c>
      <c r="H90" s="28"/>
      <c r="I90" s="28"/>
    </row>
    <row r="91" spans="2:9" x14ac:dyDescent="0.45">
      <c r="B91" s="28"/>
      <c r="C91" s="28"/>
      <c r="D91" s="28"/>
      <c r="E91" s="28"/>
      <c r="F91" s="26">
        <v>74</v>
      </c>
      <c r="G91" s="35">
        <v>52</v>
      </c>
      <c r="H91" s="28"/>
      <c r="I91" s="28"/>
    </row>
    <row r="92" spans="2:9" x14ac:dyDescent="0.45">
      <c r="B92" s="28"/>
      <c r="C92" s="28"/>
      <c r="D92" s="28"/>
      <c r="E92" s="28"/>
      <c r="F92" s="26">
        <v>75</v>
      </c>
      <c r="G92" s="35">
        <v>79</v>
      </c>
      <c r="H92" s="28"/>
      <c r="I92" s="28"/>
    </row>
    <row r="93" spans="2:9" x14ac:dyDescent="0.45">
      <c r="B93" s="28"/>
      <c r="C93" s="28"/>
      <c r="D93" s="28"/>
      <c r="E93" s="28"/>
      <c r="F93" s="26">
        <v>76</v>
      </c>
      <c r="G93" s="35">
        <v>10</v>
      </c>
      <c r="H93" s="28"/>
      <c r="I93" s="28"/>
    </row>
    <row r="94" spans="2:9" x14ac:dyDescent="0.45">
      <c r="B94" s="28"/>
      <c r="C94" s="28"/>
      <c r="D94" s="28"/>
      <c r="E94" s="28"/>
      <c r="F94" s="26">
        <v>77</v>
      </c>
      <c r="G94" s="35">
        <v>225</v>
      </c>
      <c r="H94" s="28"/>
      <c r="I94" s="28"/>
    </row>
    <row r="95" spans="2:9" x14ac:dyDescent="0.45">
      <c r="B95" s="28"/>
      <c r="C95" s="28"/>
      <c r="D95" s="28"/>
      <c r="E95" s="28"/>
      <c r="F95" s="26">
        <v>78</v>
      </c>
      <c r="G95" s="35">
        <v>65</v>
      </c>
      <c r="H95" s="28"/>
      <c r="I95" s="28"/>
    </row>
    <row r="96" spans="2:9" x14ac:dyDescent="0.45">
      <c r="B96" s="28"/>
      <c r="C96" s="28"/>
      <c r="D96" s="28"/>
      <c r="E96" s="28"/>
      <c r="F96" s="26">
        <v>79</v>
      </c>
      <c r="G96" s="35">
        <v>25</v>
      </c>
      <c r="H96" s="28"/>
      <c r="I96" s="28"/>
    </row>
    <row r="97" spans="2:9" x14ac:dyDescent="0.45">
      <c r="B97" s="28"/>
      <c r="C97" s="28"/>
      <c r="D97" s="28"/>
      <c r="E97" s="28"/>
      <c r="F97" s="26">
        <v>80</v>
      </c>
      <c r="G97" s="35">
        <v>348</v>
      </c>
      <c r="H97" s="28"/>
      <c r="I97" s="28"/>
    </row>
    <row r="98" spans="2:9" x14ac:dyDescent="0.45">
      <c r="B98" s="28"/>
      <c r="C98" s="28"/>
      <c r="D98" s="28"/>
      <c r="E98" s="28"/>
      <c r="F98" s="26">
        <v>81</v>
      </c>
      <c r="G98" s="35">
        <v>62</v>
      </c>
      <c r="H98" s="28"/>
      <c r="I98" s="28"/>
    </row>
    <row r="99" spans="2:9" x14ac:dyDescent="0.45">
      <c r="B99" s="28"/>
      <c r="C99" s="28"/>
      <c r="D99" s="28"/>
      <c r="E99" s="28"/>
      <c r="F99" s="26">
        <v>82</v>
      </c>
      <c r="G99" s="35">
        <v>126</v>
      </c>
      <c r="H99" s="28"/>
      <c r="I99" s="28"/>
    </row>
    <row r="100" spans="2:9" x14ac:dyDescent="0.45">
      <c r="B100" s="28"/>
      <c r="C100" s="28"/>
      <c r="D100" s="28"/>
      <c r="E100" s="28"/>
      <c r="F100" s="26">
        <v>83</v>
      </c>
      <c r="G100" s="35">
        <v>32</v>
      </c>
      <c r="H100" s="28"/>
      <c r="I100" s="28"/>
    </row>
    <row r="101" spans="2:9" x14ac:dyDescent="0.45">
      <c r="B101" s="28"/>
      <c r="C101" s="28"/>
      <c r="D101" s="28"/>
      <c r="E101" s="28"/>
      <c r="F101" s="26">
        <v>84</v>
      </c>
      <c r="G101" s="35">
        <v>545</v>
      </c>
      <c r="H101" s="28"/>
      <c r="I101" s="28"/>
    </row>
    <row r="102" spans="2:9" x14ac:dyDescent="0.45">
      <c r="B102" s="28"/>
      <c r="C102" s="28"/>
      <c r="D102" s="28"/>
      <c r="E102" s="28"/>
      <c r="F102" s="26">
        <v>85</v>
      </c>
      <c r="G102" s="35">
        <v>64</v>
      </c>
      <c r="H102" s="28"/>
      <c r="I102" s="28"/>
    </row>
    <row r="103" spans="2:9" x14ac:dyDescent="0.45">
      <c r="B103" s="28"/>
      <c r="C103" s="28"/>
      <c r="D103" s="28"/>
      <c r="E103" s="28"/>
      <c r="F103" s="26">
        <v>86</v>
      </c>
      <c r="G103" s="35">
        <v>18</v>
      </c>
      <c r="H103" s="28"/>
      <c r="I103" s="28"/>
    </row>
    <row r="104" spans="2:9" x14ac:dyDescent="0.45">
      <c r="B104" s="28"/>
      <c r="C104" s="28"/>
      <c r="D104" s="28"/>
      <c r="E104" s="28"/>
      <c r="F104" s="26">
        <v>87</v>
      </c>
      <c r="G104" s="35">
        <v>59</v>
      </c>
      <c r="H104" s="28"/>
      <c r="I104" s="28"/>
    </row>
    <row r="105" spans="2:9" x14ac:dyDescent="0.45">
      <c r="B105" s="28"/>
      <c r="C105" s="28"/>
      <c r="D105" s="28"/>
      <c r="E105" s="28"/>
      <c r="F105" s="26">
        <v>88</v>
      </c>
      <c r="G105" s="35">
        <v>164</v>
      </c>
      <c r="H105" s="28"/>
      <c r="I105" s="28"/>
    </row>
    <row r="106" spans="2:9" x14ac:dyDescent="0.45">
      <c r="B106" s="28"/>
      <c r="C106" s="28"/>
      <c r="D106" s="28"/>
      <c r="E106" s="28"/>
      <c r="F106" s="26">
        <v>89</v>
      </c>
      <c r="G106" s="35">
        <v>53</v>
      </c>
      <c r="H106" s="28"/>
      <c r="I106" s="28"/>
    </row>
    <row r="107" spans="2:9" x14ac:dyDescent="0.45">
      <c r="B107" s="28"/>
      <c r="C107" s="28"/>
      <c r="D107" s="28"/>
      <c r="E107" s="28"/>
      <c r="F107" s="26">
        <v>90</v>
      </c>
      <c r="G107" s="35">
        <v>155</v>
      </c>
      <c r="H107" s="28"/>
      <c r="I107" s="28"/>
    </row>
    <row r="108" spans="2:9" x14ac:dyDescent="0.45">
      <c r="B108" s="28"/>
      <c r="C108" s="28"/>
      <c r="D108" s="28"/>
      <c r="E108" s="28"/>
      <c r="F108" s="26">
        <v>91</v>
      </c>
      <c r="G108" s="35">
        <v>50</v>
      </c>
      <c r="H108" s="28"/>
      <c r="I108" s="28"/>
    </row>
    <row r="109" spans="2:9" x14ac:dyDescent="0.45">
      <c r="B109" s="28"/>
      <c r="C109" s="28"/>
      <c r="D109" s="28"/>
      <c r="E109" s="28"/>
      <c r="F109" s="26">
        <v>92</v>
      </c>
      <c r="G109" s="35">
        <v>361</v>
      </c>
      <c r="H109" s="28"/>
      <c r="I109" s="28"/>
    </row>
    <row r="110" spans="2:9" x14ac:dyDescent="0.45">
      <c r="B110" s="28"/>
      <c r="C110" s="28"/>
      <c r="D110" s="28"/>
      <c r="E110" s="28"/>
      <c r="F110" s="26">
        <v>93</v>
      </c>
      <c r="G110" s="35">
        <v>190</v>
      </c>
      <c r="H110" s="28"/>
      <c r="I110" s="28"/>
    </row>
    <row r="111" spans="2:9" x14ac:dyDescent="0.45">
      <c r="B111" s="28"/>
      <c r="C111" s="28"/>
      <c r="D111" s="28"/>
      <c r="E111" s="28"/>
      <c r="F111" s="26">
        <v>94</v>
      </c>
      <c r="G111" s="35">
        <v>818</v>
      </c>
      <c r="H111" s="28"/>
      <c r="I111" s="28"/>
    </row>
    <row r="112" spans="2:9" x14ac:dyDescent="0.45">
      <c r="B112" s="28"/>
      <c r="C112" s="28"/>
      <c r="D112" s="28"/>
      <c r="E112" s="28"/>
      <c r="F112" s="26">
        <v>95</v>
      </c>
      <c r="G112" s="35">
        <v>478</v>
      </c>
      <c r="H112" s="28"/>
      <c r="I112" s="28"/>
    </row>
    <row r="113" spans="2:9" x14ac:dyDescent="0.45">
      <c r="B113" s="28"/>
      <c r="C113" s="28"/>
      <c r="D113" s="28"/>
      <c r="E113" s="28"/>
      <c r="F113" s="26">
        <v>96</v>
      </c>
      <c r="G113" s="35">
        <v>76</v>
      </c>
      <c r="H113" s="28"/>
      <c r="I113" s="28"/>
    </row>
    <row r="114" spans="2:9" x14ac:dyDescent="0.45">
      <c r="B114" s="28"/>
      <c r="C114" s="28"/>
      <c r="D114" s="28"/>
      <c r="E114" s="28"/>
      <c r="F114" s="26">
        <v>97</v>
      </c>
      <c r="G114" s="35">
        <v>226</v>
      </c>
      <c r="H114" s="28"/>
      <c r="I114" s="28"/>
    </row>
    <row r="115" spans="2:9" x14ac:dyDescent="0.45">
      <c r="B115" s="28"/>
      <c r="C115" s="28"/>
      <c r="D115" s="28"/>
      <c r="E115" s="28"/>
      <c r="F115" s="26">
        <v>98</v>
      </c>
      <c r="G115" s="35">
        <v>87</v>
      </c>
      <c r="H115" s="28"/>
      <c r="I115" s="28"/>
    </row>
    <row r="116" spans="2:9" x14ac:dyDescent="0.45">
      <c r="B116" s="28"/>
      <c r="C116" s="28"/>
      <c r="D116" s="28"/>
      <c r="E116" s="28"/>
      <c r="F116" s="26">
        <v>99</v>
      </c>
      <c r="G116" s="35">
        <v>52</v>
      </c>
      <c r="H116" s="28"/>
      <c r="I116" s="28"/>
    </row>
    <row r="117" spans="2:9" x14ac:dyDescent="0.45">
      <c r="B117" s="28"/>
      <c r="C117" s="28"/>
      <c r="D117" s="28"/>
      <c r="E117" s="28"/>
      <c r="F117" s="26">
        <v>100</v>
      </c>
      <c r="G117" s="35">
        <v>15</v>
      </c>
      <c r="H117" s="28"/>
      <c r="I117" s="28"/>
    </row>
    <row r="118" spans="2:9" x14ac:dyDescent="0.45">
      <c r="B118" s="28"/>
      <c r="C118" s="28"/>
      <c r="D118" s="28"/>
      <c r="E118" s="28"/>
      <c r="F118" s="26">
        <v>101</v>
      </c>
      <c r="G118" s="35">
        <v>147</v>
      </c>
      <c r="H118" s="28"/>
      <c r="I118" s="28"/>
    </row>
    <row r="119" spans="2:9" x14ac:dyDescent="0.45">
      <c r="B119" s="28"/>
      <c r="C119" s="28"/>
      <c r="D119" s="28"/>
      <c r="E119" s="28"/>
      <c r="F119" s="26">
        <v>102</v>
      </c>
      <c r="G119" s="35">
        <v>166</v>
      </c>
      <c r="H119" s="28"/>
      <c r="I119" s="28"/>
    </row>
    <row r="120" spans="2:9" x14ac:dyDescent="0.45">
      <c r="B120" s="28"/>
      <c r="C120" s="28"/>
      <c r="D120" s="28"/>
      <c r="E120" s="28"/>
      <c r="F120" s="26">
        <v>103</v>
      </c>
      <c r="G120" s="35">
        <v>169</v>
      </c>
      <c r="H120" s="28"/>
      <c r="I120" s="28"/>
    </row>
    <row r="121" spans="2:9" x14ac:dyDescent="0.45">
      <c r="B121" s="28"/>
      <c r="C121" s="28"/>
      <c r="D121" s="28"/>
      <c r="E121" s="28"/>
      <c r="F121" s="26">
        <v>104</v>
      </c>
      <c r="G121" s="35">
        <v>383</v>
      </c>
      <c r="H121" s="28"/>
      <c r="I121" s="28"/>
    </row>
    <row r="122" spans="2:9" x14ac:dyDescent="0.45">
      <c r="B122" s="28"/>
      <c r="C122" s="28"/>
      <c r="D122" s="28"/>
      <c r="E122" s="28"/>
      <c r="F122" s="26">
        <v>105</v>
      </c>
      <c r="G122" s="35">
        <v>51</v>
      </c>
      <c r="H122" s="28"/>
      <c r="I122" s="28"/>
    </row>
    <row r="123" spans="2:9" x14ac:dyDescent="0.45">
      <c r="B123" s="28"/>
      <c r="C123" s="28"/>
      <c r="D123" s="28"/>
      <c r="E123" s="28"/>
      <c r="F123" s="26">
        <v>106</v>
      </c>
      <c r="G123" s="35">
        <v>24</v>
      </c>
      <c r="H123" s="28"/>
      <c r="I123" s="28"/>
    </row>
    <row r="124" spans="2:9" x14ac:dyDescent="0.45">
      <c r="B124" s="28"/>
      <c r="C124" s="28"/>
      <c r="D124" s="28"/>
      <c r="E124" s="28"/>
      <c r="F124" s="26">
        <v>107</v>
      </c>
      <c r="G124" s="35">
        <v>100</v>
      </c>
      <c r="H124" s="28"/>
      <c r="I124" s="28"/>
    </row>
    <row r="125" spans="2:9" x14ac:dyDescent="0.45">
      <c r="B125" s="28"/>
      <c r="C125" s="28"/>
      <c r="D125" s="28"/>
      <c r="E125" s="28"/>
      <c r="F125" s="26">
        <v>108</v>
      </c>
      <c r="G125" s="35">
        <v>75</v>
      </c>
      <c r="H125" s="28"/>
      <c r="I125" s="28"/>
    </row>
    <row r="126" spans="2:9" x14ac:dyDescent="0.45">
      <c r="B126" s="28"/>
      <c r="C126" s="28"/>
      <c r="D126" s="28"/>
      <c r="E126" s="28"/>
      <c r="F126" s="26">
        <v>109</v>
      </c>
      <c r="G126" s="35">
        <v>5</v>
      </c>
      <c r="H126" s="28"/>
      <c r="I126" s="28"/>
    </row>
    <row r="127" spans="2:9" x14ac:dyDescent="0.45">
      <c r="B127" s="28"/>
      <c r="C127" s="28"/>
      <c r="D127" s="28"/>
      <c r="E127" s="28"/>
      <c r="F127" s="26">
        <v>110</v>
      </c>
      <c r="G127" s="35">
        <v>44</v>
      </c>
      <c r="H127" s="28"/>
      <c r="I127" s="28"/>
    </row>
    <row r="128" spans="2:9" x14ac:dyDescent="0.45">
      <c r="B128" s="28"/>
      <c r="C128" s="28"/>
      <c r="D128" s="28"/>
      <c r="E128" s="28"/>
      <c r="F128" s="26">
        <v>111</v>
      </c>
      <c r="G128" s="35">
        <v>36</v>
      </c>
      <c r="H128" s="28"/>
      <c r="I128" s="28"/>
    </row>
    <row r="129" spans="2:9" x14ac:dyDescent="0.45">
      <c r="B129" s="28"/>
      <c r="C129" s="28"/>
      <c r="D129" s="28"/>
      <c r="E129" s="28"/>
      <c r="F129" s="26">
        <v>112</v>
      </c>
      <c r="G129" s="35">
        <v>14</v>
      </c>
      <c r="H129" s="28"/>
      <c r="I129" s="28"/>
    </row>
    <row r="130" spans="2:9" x14ac:dyDescent="0.45">
      <c r="B130" s="28"/>
      <c r="C130" s="28"/>
      <c r="D130" s="28"/>
      <c r="E130" s="28"/>
      <c r="F130" s="26">
        <v>113</v>
      </c>
      <c r="G130" s="35">
        <v>241</v>
      </c>
      <c r="H130" s="28"/>
      <c r="I130" s="28"/>
    </row>
    <row r="131" spans="2:9" x14ac:dyDescent="0.45">
      <c r="B131" s="28"/>
      <c r="C131" s="28"/>
      <c r="D131" s="28"/>
      <c r="E131" s="28"/>
      <c r="F131" s="26">
        <v>114</v>
      </c>
      <c r="G131" s="35">
        <v>54</v>
      </c>
      <c r="H131" s="28"/>
      <c r="I131" s="28"/>
    </row>
    <row r="132" spans="2:9" x14ac:dyDescent="0.45">
      <c r="B132" s="28"/>
      <c r="C132" s="28"/>
      <c r="D132" s="28"/>
      <c r="E132" s="28"/>
      <c r="F132" s="26">
        <v>115</v>
      </c>
      <c r="G132" s="35">
        <v>41</v>
      </c>
      <c r="H132" s="28"/>
      <c r="I132" s="28"/>
    </row>
    <row r="133" spans="2:9" x14ac:dyDescent="0.45">
      <c r="B133" s="28"/>
      <c r="C133" s="28"/>
      <c r="D133" s="28"/>
      <c r="E133" s="28"/>
      <c r="F133" s="26">
        <v>116</v>
      </c>
      <c r="G133" s="35">
        <v>20</v>
      </c>
      <c r="H133" s="28"/>
      <c r="I133" s="28"/>
    </row>
    <row r="134" spans="2:9" x14ac:dyDescent="0.45">
      <c r="B134" s="28"/>
      <c r="C134" s="28"/>
      <c r="D134" s="28"/>
      <c r="E134" s="28"/>
      <c r="F134" s="26">
        <v>117</v>
      </c>
      <c r="G134" s="35">
        <v>152</v>
      </c>
      <c r="H134" s="28"/>
      <c r="I134" s="28"/>
    </row>
    <row r="135" spans="2:9" x14ac:dyDescent="0.45">
      <c r="B135" s="28"/>
      <c r="C135" s="28"/>
      <c r="D135" s="28"/>
      <c r="E135" s="28"/>
      <c r="F135" s="26">
        <v>118</v>
      </c>
      <c r="G135" s="35">
        <v>46</v>
      </c>
      <c r="H135" s="28"/>
      <c r="I135" s="28"/>
    </row>
    <row r="136" spans="2:9" x14ac:dyDescent="0.45">
      <c r="B136" s="28"/>
      <c r="C136" s="28"/>
      <c r="D136" s="28"/>
      <c r="E136" s="28"/>
      <c r="F136" s="26">
        <v>119</v>
      </c>
      <c r="G136" s="35">
        <v>64</v>
      </c>
      <c r="H136" s="28"/>
      <c r="I136" s="28"/>
    </row>
    <row r="137" spans="2:9" x14ac:dyDescent="0.45">
      <c r="B137" s="28"/>
      <c r="C137" s="28"/>
      <c r="D137" s="28"/>
      <c r="E137" s="28"/>
      <c r="F137" s="26">
        <v>120</v>
      </c>
      <c r="G137" s="35">
        <v>123</v>
      </c>
      <c r="H137" s="28"/>
      <c r="I137" s="28"/>
    </row>
    <row r="138" spans="2:9" x14ac:dyDescent="0.45">
      <c r="B138" s="28"/>
      <c r="C138" s="28"/>
      <c r="D138" s="28"/>
      <c r="E138" s="28"/>
      <c r="F138" s="26">
        <v>121</v>
      </c>
      <c r="G138" s="35">
        <v>423</v>
      </c>
      <c r="H138" s="28"/>
      <c r="I138" s="28"/>
    </row>
    <row r="139" spans="2:9" x14ac:dyDescent="0.45">
      <c r="B139" s="28"/>
      <c r="C139" s="28"/>
      <c r="D139" s="28"/>
      <c r="E139" s="28"/>
      <c r="F139" s="26">
        <v>122</v>
      </c>
      <c r="G139" s="35">
        <v>148</v>
      </c>
      <c r="H139" s="28"/>
      <c r="I139" s="28"/>
    </row>
    <row r="140" spans="2:9" x14ac:dyDescent="0.45">
      <c r="B140" s="28"/>
      <c r="C140" s="28"/>
      <c r="D140" s="28"/>
      <c r="E140" s="28"/>
      <c r="F140" s="26">
        <v>123</v>
      </c>
      <c r="G140" s="35">
        <v>4</v>
      </c>
      <c r="H140" s="28"/>
      <c r="I140" s="28"/>
    </row>
    <row r="141" spans="2:9" x14ac:dyDescent="0.45">
      <c r="B141" s="28"/>
      <c r="C141" s="28"/>
      <c r="D141" s="28"/>
      <c r="E141" s="28"/>
      <c r="F141" s="26">
        <v>124</v>
      </c>
      <c r="G141" s="35">
        <v>240</v>
      </c>
      <c r="H141" s="28"/>
      <c r="I141" s="28"/>
    </row>
    <row r="142" spans="2:9" x14ac:dyDescent="0.45">
      <c r="B142" s="28"/>
      <c r="C142" s="28"/>
      <c r="D142" s="28"/>
      <c r="E142" s="28"/>
      <c r="F142" s="26">
        <v>125</v>
      </c>
      <c r="G142" s="35">
        <v>392</v>
      </c>
      <c r="H142" s="28"/>
      <c r="I142" s="28"/>
    </row>
    <row r="143" spans="2:9" x14ac:dyDescent="0.45">
      <c r="B143" s="28"/>
      <c r="C143" s="28"/>
      <c r="D143" s="28"/>
      <c r="E143" s="28"/>
      <c r="F143" s="26">
        <v>126</v>
      </c>
      <c r="G143" s="35">
        <v>141</v>
      </c>
      <c r="H143" s="28"/>
      <c r="I143" s="28"/>
    </row>
    <row r="144" spans="2:9" x14ac:dyDescent="0.45">
      <c r="B144" s="28"/>
      <c r="C144" s="28"/>
      <c r="D144" s="28"/>
      <c r="E144" s="28"/>
      <c r="F144" s="26">
        <v>127</v>
      </c>
      <c r="G144" s="35">
        <v>425</v>
      </c>
      <c r="H144" s="28"/>
      <c r="I144" s="28"/>
    </row>
    <row r="145" spans="2:9" x14ac:dyDescent="0.45">
      <c r="B145" s="28"/>
      <c r="C145" s="28"/>
      <c r="D145" s="28"/>
      <c r="E145" s="28"/>
      <c r="F145" s="26">
        <v>128</v>
      </c>
      <c r="G145" s="35">
        <v>198</v>
      </c>
      <c r="H145" s="28"/>
      <c r="I145" s="28"/>
    </row>
    <row r="146" spans="2:9" x14ac:dyDescent="0.45">
      <c r="B146" s="28"/>
      <c r="C146" s="28"/>
      <c r="D146" s="28"/>
      <c r="E146" s="28"/>
      <c r="F146" s="26">
        <v>129</v>
      </c>
      <c r="G146" s="35">
        <v>10</v>
      </c>
      <c r="H146" s="28"/>
      <c r="I146" s="28"/>
    </row>
    <row r="147" spans="2:9" x14ac:dyDescent="0.45">
      <c r="B147" s="28"/>
      <c r="C147" s="28"/>
      <c r="D147" s="28"/>
      <c r="E147" s="28"/>
      <c r="F147" s="26">
        <v>130</v>
      </c>
      <c r="G147" s="35">
        <v>166</v>
      </c>
      <c r="H147" s="28"/>
      <c r="I147" s="28"/>
    </row>
    <row r="148" spans="2:9" x14ac:dyDescent="0.45">
      <c r="B148" s="28"/>
      <c r="C148" s="28"/>
      <c r="D148" s="28"/>
      <c r="E148" s="28"/>
      <c r="F148" s="26">
        <v>131</v>
      </c>
      <c r="G148" s="35">
        <v>68</v>
      </c>
      <c r="H148" s="28"/>
      <c r="I148" s="28"/>
    </row>
    <row r="149" spans="2:9" x14ac:dyDescent="0.45">
      <c r="B149" s="28"/>
      <c r="C149" s="28"/>
      <c r="D149" s="28"/>
      <c r="E149" s="28"/>
      <c r="F149" s="26">
        <v>132</v>
      </c>
      <c r="G149" s="35">
        <v>220</v>
      </c>
      <c r="H149" s="28"/>
      <c r="I149" s="28"/>
    </row>
    <row r="150" spans="2:9" x14ac:dyDescent="0.45">
      <c r="B150" s="28"/>
      <c r="C150" s="28"/>
      <c r="D150" s="28"/>
      <c r="E150" s="28"/>
      <c r="F150" s="26">
        <v>133</v>
      </c>
      <c r="G150" s="35">
        <v>50</v>
      </c>
      <c r="H150" s="28"/>
      <c r="I150" s="28"/>
    </row>
    <row r="151" spans="2:9" x14ac:dyDescent="0.45">
      <c r="B151" s="28"/>
      <c r="C151" s="28"/>
      <c r="D151" s="28"/>
      <c r="E151" s="28"/>
      <c r="F151" s="26">
        <v>134</v>
      </c>
      <c r="G151" s="35">
        <v>362</v>
      </c>
      <c r="H151" s="28"/>
      <c r="I151" s="28"/>
    </row>
    <row r="152" spans="2:9" x14ac:dyDescent="0.45">
      <c r="B152" s="28"/>
      <c r="C152" s="28"/>
      <c r="D152" s="28"/>
      <c r="E152" s="28"/>
      <c r="F152" s="26">
        <v>135</v>
      </c>
      <c r="G152" s="35">
        <v>29</v>
      </c>
      <c r="H152" s="28"/>
      <c r="I152" s="28"/>
    </row>
    <row r="153" spans="2:9" x14ac:dyDescent="0.45">
      <c r="B153" s="28"/>
      <c r="C153" s="28"/>
      <c r="D153" s="28"/>
      <c r="E153" s="28"/>
      <c r="F153" s="26">
        <v>136</v>
      </c>
      <c r="G153" s="35">
        <v>118</v>
      </c>
      <c r="H153" s="28"/>
      <c r="I153" s="28"/>
    </row>
    <row r="154" spans="2:9" x14ac:dyDescent="0.45">
      <c r="B154" s="28"/>
      <c r="C154" s="28"/>
      <c r="D154" s="28"/>
      <c r="E154" s="28"/>
      <c r="F154" s="26">
        <v>137</v>
      </c>
      <c r="G154" s="35">
        <v>276</v>
      </c>
      <c r="H154" s="28"/>
      <c r="I154" s="28"/>
    </row>
    <row r="155" spans="2:9" x14ac:dyDescent="0.45">
      <c r="B155" s="28"/>
      <c r="C155" s="28"/>
      <c r="D155" s="28"/>
      <c r="E155" s="28"/>
      <c r="F155" s="26">
        <v>138</v>
      </c>
      <c r="G155" s="35">
        <v>34</v>
      </c>
      <c r="H155" s="28"/>
      <c r="I155" s="28"/>
    </row>
    <row r="156" spans="2:9" x14ac:dyDescent="0.45">
      <c r="B156" s="28"/>
      <c r="C156" s="28"/>
      <c r="D156" s="28"/>
      <c r="E156" s="28"/>
      <c r="F156" s="26">
        <v>139</v>
      </c>
      <c r="G156" s="35">
        <v>76</v>
      </c>
      <c r="H156" s="28"/>
      <c r="I156" s="28"/>
    </row>
    <row r="157" spans="2:9" x14ac:dyDescent="0.45">
      <c r="B157" s="28"/>
      <c r="C157" s="28"/>
      <c r="D157" s="28"/>
      <c r="E157" s="28"/>
      <c r="F157" s="26">
        <v>140</v>
      </c>
      <c r="G157" s="35">
        <v>112</v>
      </c>
      <c r="H157" s="28"/>
      <c r="I157" s="28"/>
    </row>
    <row r="158" spans="2:9" x14ac:dyDescent="0.45">
      <c r="B158" s="28"/>
      <c r="C158" s="28"/>
      <c r="D158" s="28"/>
      <c r="E158" s="28"/>
      <c r="F158" s="26">
        <v>141</v>
      </c>
      <c r="G158" s="35">
        <v>219</v>
      </c>
      <c r="H158" s="28"/>
      <c r="I158" s="28"/>
    </row>
    <row r="159" spans="2:9" x14ac:dyDescent="0.45">
      <c r="B159" s="28"/>
      <c r="C159" s="28"/>
      <c r="D159" s="28"/>
      <c r="E159" s="28"/>
      <c r="F159" s="26">
        <v>142</v>
      </c>
      <c r="G159" s="35">
        <v>30</v>
      </c>
      <c r="H159" s="28"/>
      <c r="I159" s="28"/>
    </row>
    <row r="160" spans="2:9" x14ac:dyDescent="0.45">
      <c r="B160" s="28"/>
      <c r="C160" s="28"/>
      <c r="D160" s="28"/>
      <c r="E160" s="28"/>
      <c r="F160" s="26">
        <v>143</v>
      </c>
      <c r="G160" s="35">
        <v>142</v>
      </c>
      <c r="H160" s="28"/>
      <c r="I160" s="28"/>
    </row>
    <row r="161" spans="2:9" x14ac:dyDescent="0.45">
      <c r="B161" s="28"/>
      <c r="C161" s="28"/>
      <c r="D161" s="28"/>
      <c r="E161" s="28"/>
      <c r="F161" s="26">
        <v>144</v>
      </c>
      <c r="G161" s="35">
        <v>705</v>
      </c>
      <c r="H161" s="28"/>
      <c r="I161" s="28"/>
    </row>
    <row r="162" spans="2:9" x14ac:dyDescent="0.45">
      <c r="B162" s="28"/>
      <c r="C162" s="28"/>
      <c r="D162" s="28"/>
      <c r="E162" s="28"/>
      <c r="F162" s="26">
        <v>145</v>
      </c>
      <c r="G162" s="35">
        <v>4</v>
      </c>
      <c r="H162" s="28"/>
      <c r="I162" s="28"/>
    </row>
    <row r="163" spans="2:9" x14ac:dyDescent="0.45">
      <c r="B163" s="28"/>
      <c r="C163" s="28"/>
      <c r="D163" s="28"/>
      <c r="E163" s="28"/>
      <c r="F163" s="26">
        <v>146</v>
      </c>
      <c r="G163" s="35">
        <v>849</v>
      </c>
      <c r="H163" s="28"/>
      <c r="I163" s="28"/>
    </row>
    <row r="164" spans="2:9" x14ac:dyDescent="0.45">
      <c r="B164" s="28"/>
      <c r="C164" s="28"/>
      <c r="D164" s="28"/>
      <c r="E164" s="28"/>
      <c r="F164" s="26">
        <v>147</v>
      </c>
      <c r="G164" s="35">
        <v>377</v>
      </c>
      <c r="H164" s="28"/>
      <c r="I164" s="28"/>
    </row>
    <row r="165" spans="2:9" x14ac:dyDescent="0.45">
      <c r="B165" s="28"/>
      <c r="C165" s="28"/>
      <c r="D165" s="28"/>
      <c r="E165" s="28"/>
      <c r="F165" s="26">
        <v>148</v>
      </c>
      <c r="G165" s="35">
        <v>102</v>
      </c>
      <c r="H165" s="28"/>
      <c r="I165" s="28"/>
    </row>
    <row r="166" spans="2:9" x14ac:dyDescent="0.45">
      <c r="B166" s="28"/>
      <c r="C166" s="28"/>
      <c r="D166" s="28"/>
      <c r="E166" s="28"/>
      <c r="F166" s="26">
        <v>149</v>
      </c>
      <c r="G166" s="35">
        <v>249</v>
      </c>
      <c r="H166" s="28"/>
      <c r="I166" s="28"/>
    </row>
    <row r="167" spans="2:9" x14ac:dyDescent="0.45">
      <c r="B167" s="28"/>
      <c r="C167" s="28"/>
      <c r="D167" s="28"/>
      <c r="E167" s="28"/>
      <c r="F167" s="26">
        <v>150</v>
      </c>
      <c r="G167" s="35">
        <v>157</v>
      </c>
      <c r="H167" s="28"/>
      <c r="I167" s="28"/>
    </row>
    <row r="168" spans="2:9" x14ac:dyDescent="0.45">
      <c r="B168" s="28"/>
      <c r="C168" s="28"/>
      <c r="D168" s="28"/>
      <c r="E168" s="28"/>
      <c r="F168" s="26">
        <v>151</v>
      </c>
      <c r="G168" s="35">
        <v>73</v>
      </c>
      <c r="H168" s="28"/>
      <c r="I168" s="28"/>
    </row>
    <row r="169" spans="2:9" x14ac:dyDescent="0.45">
      <c r="B169" s="28"/>
      <c r="C169" s="28"/>
      <c r="D169" s="28"/>
      <c r="E169" s="28"/>
      <c r="F169" s="26">
        <v>152</v>
      </c>
      <c r="G169" s="35">
        <v>5</v>
      </c>
      <c r="H169" s="28"/>
      <c r="I169" s="28"/>
    </row>
    <row r="170" spans="2:9" x14ac:dyDescent="0.45">
      <c r="B170" s="28"/>
      <c r="C170" s="28"/>
      <c r="D170" s="28"/>
      <c r="E170" s="28"/>
      <c r="F170" s="26">
        <v>153</v>
      </c>
      <c r="G170" s="35">
        <v>8</v>
      </c>
      <c r="H170" s="28"/>
      <c r="I170" s="28"/>
    </row>
    <row r="171" spans="2:9" x14ac:dyDescent="0.45">
      <c r="B171" s="28"/>
      <c r="C171" s="28"/>
      <c r="D171" s="28"/>
      <c r="E171" s="28"/>
      <c r="F171" s="26">
        <v>154</v>
      </c>
      <c r="G171" s="35">
        <v>517</v>
      </c>
      <c r="H171" s="28"/>
      <c r="I171" s="28"/>
    </row>
    <row r="172" spans="2:9" x14ac:dyDescent="0.45">
      <c r="B172" s="28"/>
      <c r="C172" s="28"/>
      <c r="D172" s="28"/>
      <c r="E172" s="28"/>
      <c r="F172" s="26">
        <v>155</v>
      </c>
      <c r="G172" s="35">
        <v>19</v>
      </c>
      <c r="H172" s="28"/>
      <c r="I172" s="28"/>
    </row>
    <row r="173" spans="2:9" x14ac:dyDescent="0.45">
      <c r="B173" s="28"/>
      <c r="C173" s="28"/>
      <c r="D173" s="28"/>
      <c r="E173" s="28"/>
      <c r="F173" s="26">
        <v>156</v>
      </c>
      <c r="G173" s="35">
        <v>296</v>
      </c>
      <c r="H173" s="28"/>
      <c r="I173" s="28"/>
    </row>
    <row r="174" spans="2:9" x14ac:dyDescent="0.45">
      <c r="B174" s="28"/>
      <c r="C174" s="28"/>
      <c r="D174" s="28"/>
      <c r="E174" s="28"/>
      <c r="F174" s="26">
        <v>157</v>
      </c>
      <c r="G174" s="35">
        <v>25</v>
      </c>
      <c r="H174" s="28"/>
      <c r="I174" s="28"/>
    </row>
    <row r="175" spans="2:9" x14ac:dyDescent="0.45">
      <c r="B175" s="28"/>
      <c r="C175" s="28"/>
      <c r="D175" s="28"/>
      <c r="E175" s="28"/>
      <c r="F175" s="26">
        <v>158</v>
      </c>
      <c r="G175" s="35">
        <v>179</v>
      </c>
      <c r="H175" s="28"/>
      <c r="I175" s="28"/>
    </row>
    <row r="176" spans="2:9" x14ac:dyDescent="0.45">
      <c r="B176" s="28"/>
      <c r="C176" s="28"/>
      <c r="D176" s="28"/>
      <c r="E176" s="28"/>
      <c r="F176" s="26">
        <v>159</v>
      </c>
      <c r="G176" s="35">
        <v>41</v>
      </c>
      <c r="H176" s="28"/>
      <c r="I176" s="28"/>
    </row>
    <row r="177" spans="2:9" x14ac:dyDescent="0.45">
      <c r="B177" s="28"/>
      <c r="C177" s="28"/>
      <c r="D177" s="28"/>
      <c r="E177" s="28"/>
      <c r="F177" s="26">
        <v>160</v>
      </c>
      <c r="G177" s="35">
        <v>41</v>
      </c>
      <c r="H177" s="28"/>
      <c r="I177" s="28"/>
    </row>
    <row r="178" spans="2:9" x14ac:dyDescent="0.45">
      <c r="B178" s="28"/>
      <c r="C178" s="28"/>
      <c r="D178" s="28"/>
      <c r="E178" s="28"/>
      <c r="F178" s="26">
        <v>161</v>
      </c>
      <c r="G178" s="35">
        <v>19</v>
      </c>
      <c r="H178" s="28"/>
      <c r="I178" s="28"/>
    </row>
    <row r="179" spans="2:9" x14ac:dyDescent="0.45">
      <c r="B179" s="28"/>
      <c r="C179" s="28"/>
      <c r="D179" s="28"/>
      <c r="E179" s="28"/>
      <c r="F179" s="26">
        <v>162</v>
      </c>
      <c r="G179" s="35">
        <v>2</v>
      </c>
      <c r="H179" s="28"/>
      <c r="I179" s="28"/>
    </row>
    <row r="180" spans="2:9" x14ac:dyDescent="0.45">
      <c r="B180" s="28"/>
      <c r="C180" s="28"/>
      <c r="D180" s="28"/>
      <c r="E180" s="28"/>
      <c r="F180" s="26">
        <v>163</v>
      </c>
      <c r="G180" s="35">
        <v>193</v>
      </c>
      <c r="H180" s="28"/>
      <c r="I180" s="28"/>
    </row>
    <row r="181" spans="2:9" x14ac:dyDescent="0.45">
      <c r="B181" s="28"/>
      <c r="C181" s="28"/>
      <c r="D181" s="28"/>
      <c r="E181" s="28"/>
      <c r="F181" s="26">
        <v>164</v>
      </c>
      <c r="G181" s="35">
        <v>59</v>
      </c>
      <c r="H181" s="28"/>
      <c r="I181" s="28"/>
    </row>
    <row r="182" spans="2:9" x14ac:dyDescent="0.45">
      <c r="B182" s="28"/>
      <c r="C182" s="28"/>
      <c r="D182" s="28"/>
      <c r="E182" s="28"/>
      <c r="F182" s="26">
        <v>165</v>
      </c>
      <c r="G182" s="35">
        <v>37</v>
      </c>
      <c r="H182" s="28"/>
      <c r="I182" s="28"/>
    </row>
    <row r="183" spans="2:9" x14ac:dyDescent="0.45">
      <c r="B183" s="28"/>
      <c r="C183" s="28"/>
      <c r="D183" s="28"/>
      <c r="E183" s="28"/>
      <c r="F183" s="26">
        <v>166</v>
      </c>
      <c r="G183" s="35">
        <v>494</v>
      </c>
      <c r="H183" s="28"/>
      <c r="I183" s="28"/>
    </row>
    <row r="184" spans="2:9" x14ac:dyDescent="0.45">
      <c r="B184" s="28"/>
      <c r="C184" s="28"/>
      <c r="D184" s="28"/>
      <c r="E184" s="28"/>
      <c r="F184" s="26">
        <v>167</v>
      </c>
      <c r="G184" s="35">
        <v>51</v>
      </c>
      <c r="H184" s="28"/>
      <c r="I184" s="28"/>
    </row>
    <row r="185" spans="2:9" x14ac:dyDescent="0.45">
      <c r="B185" s="28"/>
      <c r="C185" s="28"/>
      <c r="D185" s="28"/>
      <c r="E185" s="28"/>
      <c r="F185" s="26">
        <v>168</v>
      </c>
      <c r="G185" s="35">
        <v>164</v>
      </c>
      <c r="H185" s="28"/>
      <c r="I185" s="28"/>
    </row>
    <row r="186" spans="2:9" x14ac:dyDescent="0.45">
      <c r="B186" s="28"/>
      <c r="C186" s="28"/>
      <c r="D186" s="28"/>
      <c r="E186" s="28"/>
      <c r="F186" s="26">
        <v>169</v>
      </c>
      <c r="G186" s="35">
        <v>305</v>
      </c>
      <c r="H186" s="28"/>
      <c r="I186" s="28"/>
    </row>
    <row r="187" spans="2:9" x14ac:dyDescent="0.45">
      <c r="B187" s="28"/>
      <c r="C187" s="28"/>
      <c r="D187" s="28"/>
      <c r="E187" s="28"/>
      <c r="F187" s="26">
        <v>170</v>
      </c>
      <c r="G187" s="35">
        <v>78</v>
      </c>
      <c r="H187" s="28"/>
      <c r="I187" s="28"/>
    </row>
    <row r="188" spans="2:9" x14ac:dyDescent="0.45">
      <c r="B188" s="28"/>
      <c r="C188" s="28"/>
      <c r="D188" s="28"/>
      <c r="E188" s="28"/>
      <c r="F188" s="26">
        <v>171</v>
      </c>
      <c r="G188" s="35">
        <v>104</v>
      </c>
      <c r="H188" s="28"/>
      <c r="I188" s="28"/>
    </row>
    <row r="189" spans="2:9" x14ac:dyDescent="0.45">
      <c r="B189" s="28"/>
      <c r="C189" s="28"/>
      <c r="D189" s="28"/>
      <c r="E189" s="28"/>
      <c r="F189" s="26">
        <v>172</v>
      </c>
      <c r="G189" s="35">
        <v>71</v>
      </c>
      <c r="H189" s="28"/>
      <c r="I189" s="28"/>
    </row>
    <row r="190" spans="2:9" x14ac:dyDescent="0.45">
      <c r="B190" s="28"/>
      <c r="C190" s="28"/>
      <c r="D190" s="28"/>
      <c r="E190" s="28"/>
      <c r="F190" s="26">
        <v>173</v>
      </c>
      <c r="G190" s="35">
        <v>56</v>
      </c>
      <c r="H190" s="28"/>
      <c r="I190" s="28"/>
    </row>
    <row r="191" spans="2:9" x14ac:dyDescent="0.45">
      <c r="B191" s="28"/>
      <c r="C191" s="28"/>
      <c r="D191" s="28"/>
      <c r="E191" s="28"/>
      <c r="F191" s="26">
        <v>174</v>
      </c>
      <c r="G191" s="35">
        <v>92</v>
      </c>
      <c r="H191" s="28"/>
      <c r="I191" s="28"/>
    </row>
    <row r="192" spans="2:9" x14ac:dyDescent="0.45">
      <c r="B192" s="28"/>
      <c r="C192" s="28"/>
      <c r="D192" s="28"/>
      <c r="E192" s="28"/>
      <c r="F192" s="26">
        <v>175</v>
      </c>
      <c r="G192" s="35">
        <v>12</v>
      </c>
      <c r="H192" s="28"/>
      <c r="I192" s="28"/>
    </row>
    <row r="193" spans="2:9" x14ac:dyDescent="0.45">
      <c r="B193" s="28"/>
      <c r="C193" s="28"/>
      <c r="D193" s="28"/>
      <c r="E193" s="28"/>
      <c r="F193" s="26">
        <v>176</v>
      </c>
      <c r="G193" s="35">
        <v>283</v>
      </c>
      <c r="H193" s="28"/>
      <c r="I193" s="28"/>
    </row>
    <row r="194" spans="2:9" x14ac:dyDescent="0.45">
      <c r="B194" s="28"/>
      <c r="C194" s="28"/>
      <c r="D194" s="28"/>
      <c r="E194" s="28"/>
      <c r="F194" s="26">
        <v>177</v>
      </c>
      <c r="G194" s="35">
        <v>184</v>
      </c>
      <c r="H194" s="28"/>
      <c r="I194" s="28"/>
    </row>
    <row r="195" spans="2:9" x14ac:dyDescent="0.45">
      <c r="B195" s="28"/>
      <c r="C195" s="28"/>
      <c r="D195" s="28"/>
      <c r="E195" s="28"/>
      <c r="F195" s="26">
        <v>178</v>
      </c>
      <c r="G195" s="35">
        <v>146</v>
      </c>
      <c r="H195" s="28"/>
      <c r="I195" s="28"/>
    </row>
    <row r="196" spans="2:9" x14ac:dyDescent="0.45">
      <c r="B196" s="28"/>
      <c r="C196" s="28"/>
      <c r="D196" s="28"/>
      <c r="E196" s="28"/>
      <c r="F196" s="26">
        <v>179</v>
      </c>
      <c r="G196" s="35">
        <v>31</v>
      </c>
      <c r="H196" s="28"/>
      <c r="I196" s="28"/>
    </row>
    <row r="197" spans="2:9" x14ac:dyDescent="0.45">
      <c r="B197" s="28"/>
      <c r="C197" s="28"/>
      <c r="D197" s="28"/>
      <c r="E197" s="28"/>
      <c r="F197" s="26">
        <v>180</v>
      </c>
      <c r="G197" s="35">
        <v>54</v>
      </c>
      <c r="H197" s="28"/>
      <c r="I197" s="28"/>
    </row>
    <row r="198" spans="2:9" x14ac:dyDescent="0.45">
      <c r="B198" s="28"/>
      <c r="C198" s="28"/>
      <c r="D198" s="28"/>
      <c r="E198" s="28"/>
      <c r="F198" s="26">
        <v>181</v>
      </c>
      <c r="G198" s="35">
        <v>250</v>
      </c>
      <c r="H198" s="28"/>
      <c r="I198" s="28"/>
    </row>
    <row r="199" spans="2:9" x14ac:dyDescent="0.45">
      <c r="B199" s="28"/>
      <c r="C199" s="28"/>
      <c r="D199" s="28"/>
      <c r="E199" s="28"/>
      <c r="F199" s="26">
        <v>182</v>
      </c>
      <c r="G199" s="35">
        <v>36</v>
      </c>
      <c r="H199" s="28"/>
      <c r="I199" s="28"/>
    </row>
    <row r="200" spans="2:9" x14ac:dyDescent="0.45">
      <c r="B200" s="28"/>
      <c r="C200" s="28"/>
      <c r="D200" s="28"/>
      <c r="E200" s="28"/>
      <c r="F200" s="26">
        <v>183</v>
      </c>
      <c r="G200" s="35">
        <v>31</v>
      </c>
      <c r="H200" s="28"/>
      <c r="I200" s="28"/>
    </row>
    <row r="201" spans="2:9" x14ac:dyDescent="0.45">
      <c r="B201" s="28"/>
      <c r="C201" s="28"/>
      <c r="D201" s="28"/>
      <c r="E201" s="28"/>
      <c r="F201" s="26">
        <v>184</v>
      </c>
      <c r="G201" s="35">
        <v>32</v>
      </c>
      <c r="H201" s="28"/>
      <c r="I201" s="28"/>
    </row>
    <row r="202" spans="2:9" x14ac:dyDescent="0.45">
      <c r="B202" s="28"/>
      <c r="C202" s="28"/>
      <c r="D202" s="28"/>
      <c r="E202" s="28"/>
      <c r="F202" s="26">
        <v>185</v>
      </c>
      <c r="G202" s="35">
        <v>499</v>
      </c>
      <c r="H202" s="28"/>
      <c r="I202" s="28"/>
    </row>
    <row r="203" spans="2:9" x14ac:dyDescent="0.45">
      <c r="B203" s="28"/>
      <c r="C203" s="28"/>
      <c r="D203" s="28"/>
      <c r="E203" s="28"/>
      <c r="F203" s="26">
        <v>186</v>
      </c>
      <c r="G203" s="35">
        <v>245</v>
      </c>
      <c r="H203" s="28"/>
      <c r="I203" s="28"/>
    </row>
    <row r="204" spans="2:9" x14ac:dyDescent="0.45">
      <c r="B204" s="28"/>
      <c r="C204" s="28"/>
      <c r="D204" s="28"/>
      <c r="E204" s="28"/>
      <c r="F204" s="26">
        <v>187</v>
      </c>
      <c r="G204" s="35">
        <v>13</v>
      </c>
      <c r="H204" s="28"/>
      <c r="I204" s="28"/>
    </row>
    <row r="205" spans="2:9" x14ac:dyDescent="0.45">
      <c r="B205" s="28"/>
      <c r="C205" s="28"/>
      <c r="D205" s="28"/>
      <c r="E205" s="28"/>
      <c r="F205" s="26">
        <v>188</v>
      </c>
      <c r="G205" s="35">
        <v>15</v>
      </c>
      <c r="H205" s="28"/>
      <c r="I205" s="28"/>
    </row>
    <row r="206" spans="2:9" x14ac:dyDescent="0.45">
      <c r="B206" s="28"/>
      <c r="C206" s="28"/>
      <c r="D206" s="28"/>
      <c r="E206" s="28"/>
      <c r="F206" s="26">
        <v>189</v>
      </c>
      <c r="G206" s="35">
        <v>251</v>
      </c>
      <c r="H206" s="28"/>
      <c r="I206" s="28"/>
    </row>
    <row r="207" spans="2:9" x14ac:dyDescent="0.45">
      <c r="B207" s="28"/>
      <c r="C207" s="28"/>
      <c r="D207" s="28"/>
      <c r="E207" s="28"/>
      <c r="F207" s="26">
        <v>190</v>
      </c>
      <c r="G207" s="35">
        <v>77</v>
      </c>
      <c r="H207" s="28"/>
      <c r="I207" s="28"/>
    </row>
    <row r="208" spans="2:9" x14ac:dyDescent="0.45">
      <c r="B208" s="28"/>
      <c r="C208" s="28"/>
      <c r="D208" s="28"/>
      <c r="E208" s="28"/>
      <c r="F208" s="26">
        <v>191</v>
      </c>
      <c r="G208" s="35">
        <v>202</v>
      </c>
      <c r="H208" s="28"/>
      <c r="I208" s="28"/>
    </row>
    <row r="209" spans="2:9" x14ac:dyDescent="0.45">
      <c r="B209" s="28"/>
      <c r="C209" s="28"/>
      <c r="D209" s="28"/>
      <c r="E209" s="28"/>
      <c r="F209" s="26">
        <v>192</v>
      </c>
      <c r="G209" s="35">
        <v>120</v>
      </c>
      <c r="H209" s="28"/>
      <c r="I209" s="28"/>
    </row>
    <row r="210" spans="2:9" x14ac:dyDescent="0.45">
      <c r="B210" s="28"/>
      <c r="C210" s="28"/>
      <c r="D210" s="28"/>
      <c r="E210" s="28"/>
      <c r="F210" s="26">
        <v>193</v>
      </c>
      <c r="G210" s="35">
        <v>1027</v>
      </c>
      <c r="H210" s="28"/>
      <c r="I210" s="28"/>
    </row>
    <row r="211" spans="2:9" x14ac:dyDescent="0.45">
      <c r="B211" s="28"/>
      <c r="C211" s="28"/>
      <c r="D211" s="28"/>
      <c r="E211" s="28"/>
      <c r="F211" s="26">
        <v>194</v>
      </c>
      <c r="G211" s="35">
        <v>188</v>
      </c>
      <c r="H211" s="28"/>
      <c r="I211" s="28"/>
    </row>
    <row r="212" spans="2:9" x14ac:dyDescent="0.45">
      <c r="B212" s="28"/>
      <c r="C212" s="28"/>
      <c r="D212" s="28"/>
      <c r="E212" s="28"/>
      <c r="F212" s="26">
        <v>195</v>
      </c>
      <c r="G212" s="35">
        <v>196</v>
      </c>
      <c r="H212" s="28"/>
      <c r="I212" s="28"/>
    </row>
    <row r="213" spans="2:9" x14ac:dyDescent="0.45">
      <c r="B213" s="28"/>
      <c r="C213" s="28"/>
      <c r="D213" s="28"/>
      <c r="E213" s="28"/>
      <c r="F213" s="26">
        <v>196</v>
      </c>
      <c r="G213" s="35">
        <v>10</v>
      </c>
      <c r="H213" s="28"/>
      <c r="I213" s="28"/>
    </row>
    <row r="214" spans="2:9" x14ac:dyDescent="0.45">
      <c r="B214" s="28"/>
      <c r="C214" s="28"/>
      <c r="D214" s="28"/>
      <c r="E214" s="28"/>
      <c r="F214" s="26">
        <v>197</v>
      </c>
      <c r="G214" s="35">
        <v>68</v>
      </c>
      <c r="H214" s="28"/>
      <c r="I214" s="28"/>
    </row>
    <row r="215" spans="2:9" x14ac:dyDescent="0.45">
      <c r="B215" s="28"/>
      <c r="C215" s="28"/>
      <c r="D215" s="28"/>
      <c r="E215" s="28"/>
      <c r="F215" s="26">
        <v>198</v>
      </c>
      <c r="G215" s="35">
        <v>283</v>
      </c>
      <c r="H215" s="28"/>
      <c r="I215" s="28"/>
    </row>
    <row r="216" spans="2:9" x14ac:dyDescent="0.45">
      <c r="B216" s="28"/>
      <c r="C216" s="28"/>
      <c r="D216" s="28"/>
      <c r="E216" s="28"/>
      <c r="F216" s="26">
        <v>199</v>
      </c>
      <c r="G216" s="35">
        <v>116</v>
      </c>
      <c r="H216" s="28"/>
      <c r="I216" s="28"/>
    </row>
    <row r="217" spans="2:9" x14ac:dyDescent="0.45">
      <c r="B217" s="28"/>
      <c r="C217" s="28"/>
      <c r="D217" s="28"/>
      <c r="E217" s="28"/>
      <c r="F217" s="26">
        <v>200</v>
      </c>
      <c r="G217" s="35">
        <v>94</v>
      </c>
      <c r="H217" s="28"/>
      <c r="I217" s="28"/>
    </row>
    <row r="218" spans="2:9" x14ac:dyDescent="0.45">
      <c r="B218" s="28"/>
      <c r="C218" s="28"/>
      <c r="D218" s="28"/>
      <c r="E218" s="28"/>
      <c r="F218" s="26">
        <v>201</v>
      </c>
      <c r="G218" s="35">
        <v>57</v>
      </c>
      <c r="H218" s="28"/>
      <c r="I218" s="28"/>
    </row>
    <row r="219" spans="2:9" x14ac:dyDescent="0.45">
      <c r="B219" s="28"/>
      <c r="C219" s="28"/>
      <c r="D219" s="28"/>
      <c r="E219" s="28"/>
      <c r="F219" s="26">
        <v>202</v>
      </c>
      <c r="G219" s="35">
        <v>82</v>
      </c>
      <c r="H219" s="28"/>
      <c r="I219" s="28"/>
    </row>
    <row r="220" spans="2:9" x14ac:dyDescent="0.45">
      <c r="B220" s="28"/>
      <c r="C220" s="28"/>
      <c r="D220" s="28"/>
      <c r="E220" s="28"/>
      <c r="F220" s="26">
        <v>203</v>
      </c>
      <c r="G220" s="35">
        <v>118</v>
      </c>
      <c r="H220" s="28"/>
      <c r="I220" s="28"/>
    </row>
    <row r="221" spans="2:9" x14ac:dyDescent="0.45">
      <c r="B221" s="28"/>
      <c r="C221" s="28"/>
      <c r="D221" s="28"/>
      <c r="E221" s="28"/>
      <c r="F221" s="26">
        <v>204</v>
      </c>
      <c r="G221" s="35">
        <v>170</v>
      </c>
      <c r="H221" s="28"/>
      <c r="I221" s="28"/>
    </row>
    <row r="222" spans="2:9" x14ac:dyDescent="0.45">
      <c r="B222" s="28"/>
      <c r="C222" s="28"/>
      <c r="D222" s="28"/>
      <c r="E222" s="28"/>
      <c r="F222" s="26">
        <v>205</v>
      </c>
      <c r="G222" s="35">
        <v>71</v>
      </c>
      <c r="H222" s="28"/>
      <c r="I222" s="28"/>
    </row>
    <row r="223" spans="2:9" x14ac:dyDescent="0.45">
      <c r="B223" s="28"/>
      <c r="C223" s="28"/>
      <c r="D223" s="28"/>
      <c r="E223" s="28"/>
      <c r="F223" s="26">
        <v>206</v>
      </c>
      <c r="G223" s="35">
        <v>3</v>
      </c>
      <c r="H223" s="28"/>
      <c r="I223" s="28"/>
    </row>
    <row r="224" spans="2:9" x14ac:dyDescent="0.45">
      <c r="B224" s="28"/>
      <c r="C224" s="28"/>
      <c r="D224" s="28"/>
      <c r="E224" s="28"/>
      <c r="F224" s="26">
        <v>207</v>
      </c>
      <c r="G224" s="35">
        <v>77</v>
      </c>
      <c r="H224" s="28"/>
      <c r="I224" s="28"/>
    </row>
    <row r="225" spans="2:9" x14ac:dyDescent="0.45">
      <c r="B225" s="28"/>
      <c r="C225" s="28"/>
      <c r="D225" s="28"/>
      <c r="E225" s="28"/>
      <c r="F225" s="26">
        <v>208</v>
      </c>
      <c r="G225" s="35">
        <v>14</v>
      </c>
      <c r="H225" s="28"/>
      <c r="I225" s="28"/>
    </row>
    <row r="226" spans="2:9" x14ac:dyDescent="0.45">
      <c r="B226" s="28"/>
      <c r="C226" s="28"/>
      <c r="D226" s="28"/>
      <c r="E226" s="28"/>
      <c r="F226" s="26">
        <v>209</v>
      </c>
      <c r="G226" s="35">
        <v>1198</v>
      </c>
      <c r="H226" s="28"/>
      <c r="I226" s="28"/>
    </row>
    <row r="227" spans="2:9" x14ac:dyDescent="0.45">
      <c r="B227" s="28"/>
      <c r="C227" s="28"/>
      <c r="D227" s="28"/>
      <c r="E227" s="28"/>
      <c r="F227" s="26">
        <v>210</v>
      </c>
      <c r="G227" s="35">
        <v>254</v>
      </c>
      <c r="H227" s="28"/>
      <c r="I227" s="28"/>
    </row>
    <row r="228" spans="2:9" x14ac:dyDescent="0.45">
      <c r="B228" s="28"/>
      <c r="C228" s="28"/>
      <c r="D228" s="28"/>
      <c r="E228" s="28"/>
      <c r="F228" s="26">
        <v>211</v>
      </c>
      <c r="G228" s="35">
        <v>17</v>
      </c>
      <c r="H228" s="28"/>
      <c r="I228" s="28"/>
    </row>
    <row r="229" spans="2:9" x14ac:dyDescent="0.45">
      <c r="B229" s="28"/>
      <c r="C229" s="28"/>
      <c r="D229" s="28"/>
      <c r="E229" s="28"/>
      <c r="F229" s="26">
        <v>212</v>
      </c>
      <c r="G229" s="35">
        <v>73</v>
      </c>
      <c r="H229" s="28"/>
      <c r="I229" s="28"/>
    </row>
    <row r="230" spans="2:9" x14ac:dyDescent="0.45">
      <c r="B230" s="28"/>
      <c r="C230" s="28"/>
      <c r="D230" s="28"/>
      <c r="E230" s="28"/>
      <c r="F230" s="26">
        <v>213</v>
      </c>
      <c r="G230" s="35">
        <v>95</v>
      </c>
      <c r="H230" s="28"/>
      <c r="I230" s="28"/>
    </row>
    <row r="231" spans="2:9" x14ac:dyDescent="0.45">
      <c r="B231" s="28"/>
      <c r="C231" s="28"/>
      <c r="D231" s="28"/>
      <c r="E231" s="28"/>
      <c r="F231" s="26">
        <v>214</v>
      </c>
      <c r="G231" s="35">
        <v>140</v>
      </c>
      <c r="H231" s="28"/>
      <c r="I231" s="28"/>
    </row>
    <row r="232" spans="2:9" x14ac:dyDescent="0.45">
      <c r="B232" s="28"/>
      <c r="C232" s="28"/>
      <c r="D232" s="28"/>
      <c r="E232" s="28"/>
      <c r="F232" s="26">
        <v>215</v>
      </c>
      <c r="G232" s="35">
        <v>180</v>
      </c>
      <c r="H232" s="28"/>
      <c r="I232" s="28"/>
    </row>
    <row r="233" spans="2:9" x14ac:dyDescent="0.45">
      <c r="B233" s="28"/>
      <c r="C233" s="28"/>
      <c r="D233" s="28"/>
      <c r="E233" s="28"/>
      <c r="F233" s="26">
        <v>216</v>
      </c>
      <c r="G233" s="35">
        <v>48</v>
      </c>
      <c r="H233" s="28"/>
      <c r="I233" s="28"/>
    </row>
    <row r="234" spans="2:9" x14ac:dyDescent="0.45">
      <c r="B234" s="28"/>
      <c r="C234" s="28"/>
      <c r="D234" s="28"/>
      <c r="E234" s="28"/>
      <c r="F234" s="26">
        <v>217</v>
      </c>
      <c r="G234" s="35">
        <v>142</v>
      </c>
      <c r="H234" s="28"/>
      <c r="I234" s="28"/>
    </row>
    <row r="235" spans="2:9" x14ac:dyDescent="0.45">
      <c r="B235" s="28"/>
      <c r="C235" s="28"/>
      <c r="D235" s="28"/>
      <c r="E235" s="28"/>
      <c r="F235" s="26">
        <v>218</v>
      </c>
      <c r="G235" s="35">
        <v>113</v>
      </c>
      <c r="H235" s="28"/>
      <c r="I235" s="28"/>
    </row>
    <row r="236" spans="2:9" x14ac:dyDescent="0.45">
      <c r="B236" s="28"/>
      <c r="C236" s="28"/>
      <c r="D236" s="28"/>
      <c r="E236" s="28"/>
      <c r="F236" s="26">
        <v>219</v>
      </c>
      <c r="G236" s="35">
        <v>31</v>
      </c>
      <c r="H236" s="28"/>
      <c r="I236" s="28"/>
    </row>
    <row r="237" spans="2:9" x14ac:dyDescent="0.45">
      <c r="B237" s="28"/>
      <c r="C237" s="28"/>
      <c r="D237" s="28"/>
      <c r="E237" s="28"/>
      <c r="F237" s="26">
        <v>220</v>
      </c>
      <c r="G237" s="35">
        <v>6</v>
      </c>
      <c r="H237" s="28"/>
      <c r="I237" s="28"/>
    </row>
    <row r="238" spans="2:9" x14ac:dyDescent="0.45">
      <c r="B238" s="28"/>
      <c r="C238" s="28"/>
      <c r="D238" s="28"/>
      <c r="E238" s="28"/>
      <c r="F238" s="26">
        <v>221</v>
      </c>
      <c r="G238" s="35">
        <v>1</v>
      </c>
      <c r="H238" s="28"/>
      <c r="I238" s="28"/>
    </row>
    <row r="239" spans="2:9" x14ac:dyDescent="0.45">
      <c r="B239" s="28"/>
      <c r="C239" s="28"/>
      <c r="D239" s="28"/>
      <c r="E239" s="28"/>
      <c r="F239" s="26">
        <v>222</v>
      </c>
      <c r="G239" s="35">
        <v>96</v>
      </c>
      <c r="H239" s="28"/>
      <c r="I239" s="28"/>
    </row>
    <row r="240" spans="2:9" x14ac:dyDescent="0.45">
      <c r="B240" s="28"/>
      <c r="C240" s="28"/>
      <c r="D240" s="28"/>
      <c r="E240" s="28"/>
      <c r="F240" s="26">
        <v>223</v>
      </c>
      <c r="G240" s="35">
        <v>342</v>
      </c>
      <c r="H240" s="28"/>
      <c r="I240" s="28"/>
    </row>
    <row r="241" spans="2:9" x14ac:dyDescent="0.45">
      <c r="B241" s="28"/>
      <c r="C241" s="28"/>
      <c r="D241" s="28"/>
      <c r="E241" s="28"/>
      <c r="F241" s="26">
        <v>224</v>
      </c>
      <c r="G241" s="35">
        <v>941</v>
      </c>
      <c r="H241" s="28"/>
      <c r="I241" s="28"/>
    </row>
    <row r="242" spans="2:9" x14ac:dyDescent="0.45">
      <c r="B242" s="28"/>
      <c r="C242" s="28"/>
      <c r="D242" s="28"/>
      <c r="E242" s="28"/>
      <c r="F242" s="26">
        <v>225</v>
      </c>
      <c r="G242" s="35">
        <v>93</v>
      </c>
      <c r="H242" s="28"/>
      <c r="I242" s="28"/>
    </row>
    <row r="243" spans="2:9" x14ac:dyDescent="0.45">
      <c r="B243" s="28"/>
      <c r="C243" s="28"/>
      <c r="D243" s="28"/>
      <c r="E243" s="28"/>
      <c r="F243" s="26">
        <v>226</v>
      </c>
      <c r="G243" s="35">
        <v>507</v>
      </c>
      <c r="H243" s="28"/>
      <c r="I243" s="28"/>
    </row>
    <row r="244" spans="2:9" x14ac:dyDescent="0.45">
      <c r="B244" s="28"/>
      <c r="C244" s="28"/>
      <c r="D244" s="28"/>
      <c r="E244" s="28"/>
      <c r="F244" s="26">
        <v>227</v>
      </c>
      <c r="G244" s="35">
        <v>383</v>
      </c>
      <c r="H244" s="28"/>
      <c r="I244" s="28"/>
    </row>
    <row r="245" spans="2:9" x14ac:dyDescent="0.45">
      <c r="B245" s="28"/>
      <c r="C245" s="28"/>
      <c r="D245" s="28"/>
      <c r="E245" s="28"/>
      <c r="F245" s="26">
        <v>228</v>
      </c>
      <c r="G245" s="35">
        <v>224</v>
      </c>
      <c r="H245" s="28"/>
      <c r="I245" s="28"/>
    </row>
    <row r="246" spans="2:9" x14ac:dyDescent="0.45">
      <c r="B246" s="28"/>
      <c r="C246" s="28"/>
      <c r="D246" s="28"/>
      <c r="E246" s="28"/>
      <c r="F246" s="26">
        <v>229</v>
      </c>
      <c r="G246" s="35">
        <v>1</v>
      </c>
      <c r="H246" s="28"/>
      <c r="I246" s="28"/>
    </row>
    <row r="247" spans="2:9" x14ac:dyDescent="0.45">
      <c r="B247" s="28"/>
      <c r="C247" s="28"/>
      <c r="D247" s="28"/>
      <c r="E247" s="28"/>
      <c r="F247" s="26">
        <v>230</v>
      </c>
      <c r="G247" s="35">
        <v>304</v>
      </c>
      <c r="H247" s="28"/>
      <c r="I247" s="28"/>
    </row>
    <row r="248" spans="2:9" x14ac:dyDescent="0.45">
      <c r="B248" s="28"/>
      <c r="C248" s="28"/>
      <c r="D248" s="28"/>
      <c r="E248" s="28"/>
      <c r="F248" s="26">
        <v>231</v>
      </c>
      <c r="G248" s="35">
        <v>401</v>
      </c>
      <c r="H248" s="28"/>
      <c r="I248" s="28"/>
    </row>
    <row r="249" spans="2:9" x14ac:dyDescent="0.45">
      <c r="B249" s="28"/>
      <c r="C249" s="28"/>
      <c r="D249" s="28"/>
      <c r="E249" s="28"/>
      <c r="F249" s="26">
        <v>232</v>
      </c>
      <c r="G249" s="35">
        <v>10</v>
      </c>
      <c r="H249" s="28"/>
      <c r="I249" s="28"/>
    </row>
    <row r="250" spans="2:9" x14ac:dyDescent="0.45">
      <c r="B250" s="28"/>
      <c r="C250" s="28"/>
      <c r="D250" s="28"/>
      <c r="E250" s="28"/>
      <c r="F250" s="26">
        <v>233</v>
      </c>
      <c r="G250" s="35">
        <v>60</v>
      </c>
      <c r="H250" s="28"/>
      <c r="I250" s="28"/>
    </row>
    <row r="251" spans="2:9" x14ac:dyDescent="0.45">
      <c r="B251" s="28"/>
      <c r="C251" s="28"/>
      <c r="D251" s="28"/>
      <c r="E251" s="28"/>
      <c r="F251" s="26">
        <v>234</v>
      </c>
      <c r="G251" s="35">
        <v>37</v>
      </c>
      <c r="H251" s="28"/>
      <c r="I251" s="28"/>
    </row>
    <row r="252" spans="2:9" x14ac:dyDescent="0.45">
      <c r="B252" s="28"/>
      <c r="C252" s="28"/>
      <c r="D252" s="28"/>
      <c r="E252" s="28"/>
      <c r="F252" s="26">
        <v>235</v>
      </c>
      <c r="G252" s="35">
        <v>147</v>
      </c>
      <c r="H252" s="28"/>
      <c r="I252" s="28"/>
    </row>
    <row r="253" spans="2:9" x14ac:dyDescent="0.45">
      <c r="B253" s="28"/>
      <c r="C253" s="28"/>
      <c r="D253" s="28"/>
      <c r="E253" s="28"/>
      <c r="F253" s="26">
        <v>236</v>
      </c>
      <c r="G253" s="35">
        <v>8</v>
      </c>
      <c r="H253" s="28"/>
      <c r="I253" s="28"/>
    </row>
    <row r="254" spans="2:9" x14ac:dyDescent="0.45">
      <c r="B254" s="28"/>
      <c r="C254" s="28"/>
      <c r="D254" s="28"/>
      <c r="E254" s="28"/>
      <c r="F254" s="26">
        <v>237</v>
      </c>
      <c r="G254" s="35">
        <v>3</v>
      </c>
      <c r="H254" s="28"/>
      <c r="I254" s="28"/>
    </row>
    <row r="255" spans="2:9" x14ac:dyDescent="0.45">
      <c r="B255" s="28"/>
      <c r="C255" s="28"/>
      <c r="D255" s="28"/>
      <c r="E255" s="28"/>
      <c r="F255" s="26">
        <v>238</v>
      </c>
      <c r="G255" s="35">
        <v>75</v>
      </c>
      <c r="H255" s="28"/>
      <c r="I255" s="28"/>
    </row>
    <row r="256" spans="2:9" x14ac:dyDescent="0.45">
      <c r="B256" s="28"/>
      <c r="C256" s="28"/>
      <c r="D256" s="28"/>
      <c r="E256" s="28"/>
      <c r="F256" s="26">
        <v>239</v>
      </c>
      <c r="G256" s="35">
        <v>2</v>
      </c>
      <c r="H256" s="28"/>
      <c r="I256" s="28"/>
    </row>
    <row r="257" spans="2:9" x14ac:dyDescent="0.45">
      <c r="B257" s="28"/>
      <c r="C257" s="28"/>
      <c r="D257" s="28"/>
      <c r="E257" s="28"/>
      <c r="F257" s="26">
        <v>240</v>
      </c>
      <c r="G257" s="35">
        <v>90</v>
      </c>
      <c r="H257" s="28"/>
      <c r="I257" s="28"/>
    </row>
    <row r="258" spans="2:9" x14ac:dyDescent="0.45">
      <c r="B258" s="28"/>
      <c r="C258" s="28"/>
      <c r="D258" s="28"/>
      <c r="E258" s="28"/>
      <c r="F258" s="26">
        <v>241</v>
      </c>
      <c r="G258" s="35">
        <v>111</v>
      </c>
      <c r="H258" s="28"/>
      <c r="I258" s="28"/>
    </row>
    <row r="259" spans="2:9" x14ac:dyDescent="0.45">
      <c r="B259" s="28"/>
      <c r="C259" s="28"/>
      <c r="D259" s="28"/>
      <c r="E259" s="28"/>
      <c r="F259" s="26">
        <v>242</v>
      </c>
      <c r="G259" s="35">
        <v>29</v>
      </c>
      <c r="H259" s="28"/>
      <c r="I259" s="28"/>
    </row>
    <row r="260" spans="2:9" x14ac:dyDescent="0.45">
      <c r="B260" s="28"/>
      <c r="C260" s="28"/>
      <c r="D260" s="28"/>
      <c r="E260" s="28"/>
      <c r="F260" s="26">
        <v>243</v>
      </c>
      <c r="G260" s="35">
        <v>55</v>
      </c>
      <c r="H260" s="28"/>
      <c r="I260" s="28"/>
    </row>
    <row r="261" spans="2:9" x14ac:dyDescent="0.45">
      <c r="B261" s="28"/>
      <c r="C261" s="28"/>
      <c r="D261" s="28"/>
      <c r="E261" s="28"/>
      <c r="F261" s="26">
        <v>244</v>
      </c>
      <c r="G261" s="35">
        <v>257</v>
      </c>
      <c r="H261" s="28"/>
      <c r="I261" s="28"/>
    </row>
    <row r="262" spans="2:9" x14ac:dyDescent="0.45">
      <c r="B262" s="28"/>
      <c r="C262" s="28"/>
      <c r="D262" s="28"/>
      <c r="E262" s="28"/>
      <c r="F262" s="26">
        <v>245</v>
      </c>
      <c r="G262" s="35">
        <v>87</v>
      </c>
      <c r="H262" s="28"/>
      <c r="I262" s="28"/>
    </row>
    <row r="263" spans="2:9" x14ac:dyDescent="0.45">
      <c r="B263" s="28"/>
      <c r="C263" s="28"/>
      <c r="D263" s="28"/>
      <c r="E263" s="28"/>
      <c r="F263" s="26">
        <v>246</v>
      </c>
      <c r="G263" s="35">
        <v>1156</v>
      </c>
      <c r="H263" s="28"/>
      <c r="I263" s="28"/>
    </row>
    <row r="264" spans="2:9" x14ac:dyDescent="0.45">
      <c r="B264" s="28"/>
      <c r="C264" s="28"/>
      <c r="D264" s="28"/>
      <c r="E264" s="28"/>
      <c r="F264" s="26">
        <v>247</v>
      </c>
      <c r="G264" s="35">
        <v>16</v>
      </c>
      <c r="H264" s="28"/>
      <c r="I264" s="28"/>
    </row>
    <row r="265" spans="2:9" x14ac:dyDescent="0.45">
      <c r="B265" s="28"/>
      <c r="C265" s="28"/>
      <c r="D265" s="28"/>
      <c r="E265" s="28"/>
      <c r="F265" s="26">
        <v>248</v>
      </c>
      <c r="G265" s="35">
        <v>80</v>
      </c>
      <c r="H265" s="28"/>
      <c r="I265" s="28"/>
    </row>
    <row r="266" spans="2:9" x14ac:dyDescent="0.45">
      <c r="B266" s="28"/>
      <c r="C266" s="28"/>
      <c r="D266" s="28"/>
      <c r="E266" s="28"/>
      <c r="F266" s="26">
        <v>249</v>
      </c>
      <c r="G266" s="35">
        <v>679</v>
      </c>
      <c r="H266" s="28"/>
      <c r="I266" s="28"/>
    </row>
    <row r="267" spans="2:9" x14ac:dyDescent="0.45">
      <c r="B267" s="28"/>
      <c r="C267" s="28"/>
      <c r="D267" s="28"/>
      <c r="E267" s="28"/>
      <c r="F267" s="26">
        <v>250</v>
      </c>
      <c r="G267" s="35">
        <v>8</v>
      </c>
      <c r="H267" s="28"/>
      <c r="I267" s="28"/>
    </row>
  </sheetData>
  <hyperlinks>
    <hyperlink ref="B4" location="'Inputs'!A1" display="◂  Inputs" xr:uid="{00000000-0004-0000-0200-000000000000}"/>
    <hyperlink ref="I4" location="'Fits'!A1" display="Next:  Fits  ▸" xr:uid="{00000000-0004-0000-0200-000001000000}"/>
  </hyperlinks>
  <printOptions horizontalCentered="1"/>
  <pageMargins left="0.4" right="0.4" top="0.5" bottom="0.6" header="0.25" footer="0.25"/>
  <pageSetup paperSize="9" scale="52" fitToHeight="4"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A0BA"/>
    <pageSetUpPr fitToPage="1"/>
  </sheetPr>
  <dimension ref="A1:K46"/>
  <sheetViews>
    <sheetView showGridLines="0" workbookViewId="0"/>
  </sheetViews>
  <sheetFormatPr defaultRowHeight="14.25" x14ac:dyDescent="0.45"/>
  <cols>
    <col min="1" max="1" width="2" customWidth="1"/>
    <col min="2" max="2" width="34" customWidth="1"/>
    <col min="3" max="3" width="14" customWidth="1"/>
    <col min="4" max="9" width="11" customWidth="1"/>
    <col min="10" max="10" width="2" customWidth="1"/>
    <col min="11" max="11" width="42" customWidth="1"/>
  </cols>
  <sheetData>
    <row r="1" spans="1:11" ht="6" customHeight="1" x14ac:dyDescent="0.45"/>
    <row r="2" spans="1:11" ht="30" customHeight="1" x14ac:dyDescent="0.45">
      <c r="A2" s="1"/>
      <c r="B2" s="21" t="s">
        <v>0</v>
      </c>
      <c r="C2" s="1"/>
      <c r="D2" s="1"/>
      <c r="E2" s="1"/>
      <c r="F2" s="1"/>
      <c r="G2" s="1"/>
      <c r="H2" s="1"/>
      <c r="I2" s="1"/>
      <c r="J2" s="1"/>
      <c r="K2" s="3" t="s">
        <v>1</v>
      </c>
    </row>
    <row r="3" spans="1:11" ht="20" customHeight="1" x14ac:dyDescent="0.45">
      <c r="A3" s="1"/>
      <c r="B3" s="4" t="s">
        <v>123</v>
      </c>
      <c r="C3" s="1"/>
      <c r="D3" s="1"/>
      <c r="E3" s="1"/>
      <c r="F3" s="1"/>
      <c r="G3" s="1"/>
      <c r="H3" s="1"/>
      <c r="I3" s="1"/>
      <c r="J3" s="1"/>
      <c r="K3" s="1"/>
    </row>
    <row r="4" spans="1:11" ht="20" customHeight="1" x14ac:dyDescent="0.45">
      <c r="A4" s="5"/>
      <c r="B4" s="22" t="s">
        <v>124</v>
      </c>
      <c r="C4" s="5"/>
      <c r="D4" s="5"/>
      <c r="E4" s="5"/>
      <c r="F4" s="5"/>
      <c r="G4" s="5"/>
      <c r="H4" s="5"/>
      <c r="I4" s="5"/>
      <c r="J4" s="5"/>
      <c r="K4" s="6" t="s">
        <v>125</v>
      </c>
    </row>
    <row r="5" spans="1:11" ht="8" customHeight="1" x14ac:dyDescent="0.45"/>
    <row r="6" spans="1:11" ht="22.05" customHeight="1" x14ac:dyDescent="0.5">
      <c r="B6" s="7" t="s">
        <v>126</v>
      </c>
      <c r="C6" s="8"/>
      <c r="D6" s="8"/>
      <c r="E6" s="8"/>
      <c r="F6" s="8"/>
      <c r="G6" s="8"/>
      <c r="H6" s="8"/>
      <c r="I6" s="8"/>
      <c r="J6" s="8"/>
      <c r="K6" s="8"/>
    </row>
    <row r="7" spans="1:11" ht="18" customHeight="1" x14ac:dyDescent="0.45">
      <c r="B7" s="13" t="s">
        <v>127</v>
      </c>
    </row>
    <row r="8" spans="1:11" ht="18" customHeight="1" x14ac:dyDescent="0.45">
      <c r="B8" s="30" t="s">
        <v>108</v>
      </c>
      <c r="C8" s="30" t="s">
        <v>95</v>
      </c>
      <c r="D8" s="31" t="s">
        <v>109</v>
      </c>
      <c r="E8" s="30" t="s">
        <v>128</v>
      </c>
      <c r="F8" s="5"/>
      <c r="G8" s="5"/>
      <c r="H8" s="5"/>
      <c r="I8" s="5"/>
      <c r="J8" s="5"/>
      <c r="K8" s="5"/>
    </row>
    <row r="9" spans="1:11" x14ac:dyDescent="0.45">
      <c r="B9" s="25" t="s">
        <v>129</v>
      </c>
      <c r="C9" s="26" t="s">
        <v>130</v>
      </c>
      <c r="D9" s="33" cm="1">
        <f t="array" ref="D9">_xll.VosePoissonFitP(Counts,FALSE)</f>
        <v>39.999999618530275</v>
      </c>
      <c r="E9" s="26" t="s">
        <v>131</v>
      </c>
      <c r="F9" s="28"/>
      <c r="G9" s="28"/>
      <c r="H9" s="28"/>
      <c r="I9" s="28"/>
      <c r="J9" s="28"/>
      <c r="K9" s="28"/>
    </row>
    <row r="10" spans="1:11" x14ac:dyDescent="0.45">
      <c r="B10" s="25" t="s">
        <v>132</v>
      </c>
      <c r="C10" s="26" t="s">
        <v>133</v>
      </c>
      <c r="D10" s="36" t="str" cm="1">
        <f t="array" ref="D10">INDEX(_xll.VosePoissonFitObject(Counts,FALSE),1)</f>
        <v>VosePoisson(39.99999961853027)</v>
      </c>
      <c r="E10" s="26" t="s">
        <v>134</v>
      </c>
      <c r="F10" s="28"/>
      <c r="G10" s="28"/>
      <c r="H10" s="28"/>
      <c r="I10" s="28"/>
      <c r="J10" s="28"/>
      <c r="K10" s="28"/>
    </row>
    <row r="11" spans="1:11" x14ac:dyDescent="0.45">
      <c r="B11" s="25" t="s">
        <v>135</v>
      </c>
      <c r="C11" s="26" t="s">
        <v>130</v>
      </c>
      <c r="D11" s="37" cm="1">
        <f t="array" aca="1" ref="D11" ca="1">_xll.VoseOutput("Claim rate","claims")+_xll.VosePoissonFitP(Counts,TRUE)</f>
        <v>39.499999332427983</v>
      </c>
      <c r="E11" s="26" t="s">
        <v>136</v>
      </c>
      <c r="F11" s="28"/>
      <c r="G11" s="28"/>
      <c r="H11" s="28"/>
      <c r="I11" s="28"/>
      <c r="J11" s="28"/>
      <c r="K11" s="28"/>
    </row>
    <row r="12" spans="1:11" x14ac:dyDescent="0.45">
      <c r="B12" s="25" t="s">
        <v>137</v>
      </c>
      <c r="C12" s="26" t="s">
        <v>133</v>
      </c>
      <c r="D12" s="36" t="str" cm="1">
        <f t="array" aca="1" ref="D12" ca="1">_xll.VosePoissonObject(RateU)</f>
        <v>VosePoisson(39.499999332428)</v>
      </c>
      <c r="E12" s="26" t="s">
        <v>138</v>
      </c>
      <c r="F12" s="28"/>
      <c r="G12" s="28"/>
      <c r="H12" s="28"/>
      <c r="I12" s="28"/>
      <c r="J12" s="28"/>
      <c r="K12" s="28"/>
    </row>
    <row r="13" spans="1:11" ht="8" customHeight="1" x14ac:dyDescent="0.45"/>
    <row r="14" spans="1:11" ht="22.05" customHeight="1" x14ac:dyDescent="0.5">
      <c r="B14" s="7" t="s">
        <v>139</v>
      </c>
      <c r="C14" s="8"/>
      <c r="D14" s="8"/>
      <c r="E14" s="8"/>
      <c r="F14" s="8"/>
      <c r="G14" s="8"/>
      <c r="H14" s="8"/>
      <c r="I14" s="8"/>
      <c r="J14" s="8"/>
      <c r="K14" s="8"/>
    </row>
    <row r="15" spans="1:11" ht="18" customHeight="1" x14ac:dyDescent="0.45">
      <c r="B15" s="13" t="s">
        <v>140</v>
      </c>
    </row>
    <row r="16" spans="1:11" ht="18" customHeight="1" x14ac:dyDescent="0.45">
      <c r="B16" s="38" t="s">
        <v>141</v>
      </c>
      <c r="C16" s="38" t="s">
        <v>142</v>
      </c>
      <c r="D16" s="39" t="s">
        <v>143</v>
      </c>
      <c r="E16" s="39" t="s">
        <v>143</v>
      </c>
      <c r="F16" s="39" t="s">
        <v>61</v>
      </c>
      <c r="G16" s="39" t="s">
        <v>144</v>
      </c>
      <c r="H16" s="39" t="s">
        <v>145</v>
      </c>
      <c r="I16" s="39" t="s">
        <v>146</v>
      </c>
      <c r="J16" s="5"/>
      <c r="K16" s="30" t="s">
        <v>147</v>
      </c>
    </row>
    <row r="17" spans="2:11" x14ac:dyDescent="0.45">
      <c r="B17" s="40"/>
      <c r="C17" s="40"/>
      <c r="D17" s="40" t="s">
        <v>148</v>
      </c>
      <c r="E17" s="40" t="s">
        <v>149</v>
      </c>
      <c r="F17" s="40" t="s">
        <v>150</v>
      </c>
      <c r="G17" s="40" t="s">
        <v>116</v>
      </c>
      <c r="H17" s="40" t="s">
        <v>116</v>
      </c>
      <c r="I17" s="40" t="s">
        <v>116</v>
      </c>
    </row>
    <row r="18" spans="2:11" x14ac:dyDescent="0.45">
      <c r="B18" s="25" t="s">
        <v>151</v>
      </c>
      <c r="C18" s="36" t="str" cm="1">
        <f t="array" ref="C18">INDEX(_xll.VoseLognormalFitObject(Sizes,FALSE),1)</f>
        <v>VoseLognormal(206.200907374825,500.22946700951)</v>
      </c>
      <c r="D18" s="41">
        <f t="array" ref="D18:E18">_xll.VoseLognormalFitP(Sizes,FALSE)</f>
        <v>206.20090737482502</v>
      </c>
      <c r="E18" s="41">
        <v>500.22946700950996</v>
      </c>
      <c r="F18" s="33" cm="1">
        <f t="array" ref="F18">_xll.VoseSIC(C18)</f>
        <v>3066.8939595386641</v>
      </c>
      <c r="G18" s="33" cm="1">
        <f t="array" ref="G18">_xll.VoseMean(C18)</f>
        <v>206.20090737482499</v>
      </c>
      <c r="H18" s="32" cm="1">
        <f t="array" ref="H18">_xll.VosePercentile(C18,0.99)</f>
        <v>1989.2303232427664</v>
      </c>
      <c r="I18" s="32" cm="1">
        <f t="array" ref="I18">_xll.VosePercentile(C18,0.999)</f>
        <v>5747.6772657781366</v>
      </c>
      <c r="J18" s="28"/>
      <c r="K18" s="26" t="s">
        <v>152</v>
      </c>
    </row>
    <row r="19" spans="2:11" x14ac:dyDescent="0.45">
      <c r="B19" s="25" t="s">
        <v>153</v>
      </c>
      <c r="C19" s="36" t="str" cm="1">
        <f t="array" ref="C19">INDEX(_xll.VoseGammaFitObject(Sizes,FALSE),1)</f>
        <v>VoseGamma(0.7489670004601153,233.3774308545757)</v>
      </c>
      <c r="D19" s="41">
        <f t="array" ref="D19:E19">_xll.VoseGammaFitP(Sizes,FALSE)</f>
        <v>0.74896700046011533</v>
      </c>
      <c r="E19" s="41">
        <v>233.37743085457572</v>
      </c>
      <c r="F19" s="33" cm="1">
        <f t="array" ref="F19">_xll.VoseSIC(C19)</f>
        <v>3077.4335686722443</v>
      </c>
      <c r="G19" s="33" cm="1">
        <f t="array" ref="G19">_xll.VoseMean(C19)</f>
        <v>174.79199436223954</v>
      </c>
      <c r="H19" s="32" cm="1">
        <f t="array" ref="H19">_xll.VosePercentile(C19,0.99)</f>
        <v>933.93611371011923</v>
      </c>
      <c r="I19" s="32" cm="1">
        <f t="array" ref="I19">_xll.VosePercentile(C19,0.999)</f>
        <v>1449.2831755515042</v>
      </c>
      <c r="J19" s="28"/>
      <c r="K19" s="26" t="s">
        <v>154</v>
      </c>
    </row>
    <row r="20" spans="2:11" x14ac:dyDescent="0.45">
      <c r="B20" s="25" t="s">
        <v>155</v>
      </c>
      <c r="C20" s="36" t="str" cm="1">
        <f t="array" ref="C20">INDEX(_xll.VosePareto2FitObject(Sizes,FALSE),1)</f>
        <v>VosePareto2(332.3861246770648,2.90790984497781)</v>
      </c>
      <c r="D20" s="41">
        <f t="array" ref="D20:E20">_xll.VosePareto2FitP(Sizes,FALSE)</f>
        <v>332.3861246770648</v>
      </c>
      <c r="E20" s="41">
        <v>2.90790984497781</v>
      </c>
      <c r="F20" s="33" cm="1">
        <f t="array" ref="F20">_xll.VoseSIC(C20)</f>
        <v>3052.4190976715881</v>
      </c>
      <c r="G20" s="33" cm="1">
        <f t="array" ref="G20">_xll.VoseMean(C20)</f>
        <v>174.21479612991391</v>
      </c>
      <c r="H20" s="32" cm="1">
        <f t="array" ref="H20">_xll.VosePercentile(C20,0.99)</f>
        <v>1287.2673911165846</v>
      </c>
      <c r="I20" s="32" cm="1">
        <f t="array" ref="I20">_xll.VosePercentile(C20,0.999)</f>
        <v>3242.907661439272</v>
      </c>
      <c r="J20" s="28"/>
      <c r="K20" s="26" t="s">
        <v>156</v>
      </c>
    </row>
    <row r="21" spans="2:11" x14ac:dyDescent="0.45">
      <c r="B21" s="42" t="s">
        <v>157</v>
      </c>
      <c r="C21" s="28"/>
      <c r="D21" s="28"/>
      <c r="E21" s="28"/>
      <c r="F21" s="28"/>
      <c r="G21" s="33">
        <f>AVERAGE(Sizes)</f>
        <v>174.792</v>
      </c>
      <c r="H21" s="32">
        <f>_xlfn.PERCENTILE.INC(Sizes,0.99)</f>
        <v>1250.5299999999991</v>
      </c>
      <c r="I21" s="28"/>
      <c r="J21" s="28"/>
      <c r="K21" s="26" t="str">
        <f>"Only "&amp;COUNT(Sizes)&amp;" claims: the data cannot show a 1-in-1,000 claim."</f>
        <v>Only 250 claims: the data cannot show a 1-in-1,000 claim.</v>
      </c>
    </row>
    <row r="22" spans="2:11" ht="8" customHeight="1" x14ac:dyDescent="0.45"/>
    <row r="23" spans="2:11" ht="18" customHeight="1" x14ac:dyDescent="0.45">
      <c r="B23" s="30" t="s">
        <v>158</v>
      </c>
      <c r="C23" s="30" t="s">
        <v>142</v>
      </c>
      <c r="D23" s="5"/>
      <c r="E23" s="5"/>
      <c r="F23" s="5"/>
      <c r="G23" s="5"/>
      <c r="H23" s="5"/>
      <c r="I23" s="5"/>
      <c r="J23" s="5"/>
      <c r="K23" s="30" t="s">
        <v>128</v>
      </c>
    </row>
    <row r="24" spans="2:11" x14ac:dyDescent="0.45">
      <c r="B24" s="25" t="s">
        <v>151</v>
      </c>
      <c r="C24" s="36" t="str" cm="1">
        <f t="array" aca="1" ref="C24" ca="1">INDEX(_xll.VoseLognormalFitObject(Sizes,TRUE),1)</f>
        <v>VoseLognormal(193.6534657760134,443.5833928802927)</v>
      </c>
      <c r="D24" s="28"/>
      <c r="E24" s="28"/>
      <c r="F24" s="28"/>
      <c r="G24" s="28"/>
      <c r="H24" s="28"/>
      <c r="I24" s="28"/>
      <c r="J24" s="28"/>
      <c r="K24" s="26" t="s">
        <v>159</v>
      </c>
    </row>
    <row r="25" spans="2:11" x14ac:dyDescent="0.45">
      <c r="B25" s="25" t="s">
        <v>153</v>
      </c>
      <c r="C25" s="36" t="str" cm="1">
        <f t="array" aca="1" ref="C25" ca="1">INDEX(_xll.VoseGammaFitObject(Sizes,TRUE),1)</f>
        <v>VoseGamma(0.6822661234964793,227.3126141367769)</v>
      </c>
      <c r="D25" s="28"/>
      <c r="E25" s="28"/>
      <c r="F25" s="28"/>
      <c r="G25" s="28"/>
      <c r="H25" s="28"/>
      <c r="I25" s="28"/>
      <c r="J25" s="28"/>
      <c r="K25" s="28"/>
    </row>
    <row r="26" spans="2:11" x14ac:dyDescent="0.45">
      <c r="B26" s="25" t="s">
        <v>155</v>
      </c>
      <c r="C26" s="36" t="str" cm="1">
        <f t="array" aca="1" ref="C26" ca="1">INDEX(_xll.VosePareto2FitObject(Sizes,TRUE),1)</f>
        <v>VosePareto2(403.1315159812871,3.347113007161081)</v>
      </c>
      <c r="D26" s="28"/>
      <c r="E26" s="28"/>
      <c r="F26" s="28"/>
      <c r="G26" s="28"/>
      <c r="H26" s="28"/>
      <c r="I26" s="28"/>
      <c r="J26" s="28"/>
      <c r="K26" s="28"/>
    </row>
    <row r="27" spans="2:11" ht="8" customHeight="1" x14ac:dyDescent="0.45"/>
    <row r="28" spans="2:11" ht="18" customHeight="1" x14ac:dyDescent="0.45">
      <c r="B28" s="30" t="s">
        <v>108</v>
      </c>
      <c r="C28" s="30" t="s">
        <v>95</v>
      </c>
      <c r="D28" s="31" t="s">
        <v>109</v>
      </c>
      <c r="E28" s="30" t="s">
        <v>128</v>
      </c>
      <c r="F28" s="5"/>
      <c r="G28" s="5"/>
      <c r="H28" s="5"/>
      <c r="I28" s="5"/>
      <c r="J28" s="5"/>
      <c r="K28" s="5"/>
    </row>
    <row r="29" spans="2:11" x14ac:dyDescent="0.45">
      <c r="B29" s="25" t="s">
        <v>100</v>
      </c>
      <c r="C29" s="26" t="s">
        <v>160</v>
      </c>
      <c r="D29" s="43">
        <f>MATCH(MIN(F18:F20),F18:F20,0)</f>
        <v>3</v>
      </c>
      <c r="E29" s="26" t="s">
        <v>161</v>
      </c>
      <c r="F29" s="28"/>
      <c r="G29" s="28"/>
      <c r="H29" s="28"/>
      <c r="I29" s="28"/>
      <c r="J29" s="28"/>
      <c r="K29" s="28"/>
    </row>
    <row r="30" spans="2:11" x14ac:dyDescent="0.45">
      <c r="B30" s="25" t="s">
        <v>162</v>
      </c>
      <c r="C30" s="26" t="s">
        <v>160</v>
      </c>
      <c r="D30" s="43">
        <f>IF(SevChoice="Best by SIC",BestK,MATCH(SevChoice,FitNames,0))</f>
        <v>3</v>
      </c>
      <c r="E30" s="26" t="s">
        <v>163</v>
      </c>
      <c r="F30" s="28"/>
      <c r="G30" s="28"/>
      <c r="H30" s="28"/>
      <c r="I30" s="28"/>
      <c r="J30" s="28"/>
      <c r="K30" s="28"/>
    </row>
    <row r="31" spans="2:11" x14ac:dyDescent="0.45">
      <c r="B31" s="25" t="s">
        <v>164</v>
      </c>
      <c r="C31" s="26" t="s">
        <v>133</v>
      </c>
      <c r="D31" s="36" t="str" cm="1">
        <f t="array" ref="D31">INDEX(FitObjects,UseK)</f>
        <v>VosePareto2(332.3861246770648,2.90790984497781)</v>
      </c>
      <c r="E31" s="28"/>
      <c r="F31" s="28"/>
      <c r="G31" s="28"/>
      <c r="H31" s="28"/>
      <c r="I31" s="28"/>
      <c r="J31" s="28"/>
      <c r="K31" s="28"/>
    </row>
    <row r="32" spans="2:11" x14ac:dyDescent="0.45">
      <c r="B32" s="25" t="s">
        <v>165</v>
      </c>
      <c r="C32" s="26" t="s">
        <v>133</v>
      </c>
      <c r="D32" s="36" t="str" cm="1">
        <f t="array" aca="1" ref="D32" ca="1">INDEX(FitObjectsU,UseK)</f>
        <v>VosePareto2(403.1315159812871,3.347113007161081)</v>
      </c>
      <c r="E32" s="28"/>
      <c r="F32" s="28"/>
      <c r="G32" s="28"/>
      <c r="H32" s="28"/>
      <c r="I32" s="28"/>
      <c r="J32" s="28"/>
      <c r="K32" s="28"/>
    </row>
    <row r="33" spans="2:11" ht="8" customHeight="1" x14ac:dyDescent="0.45"/>
    <row r="34" spans="2:11" ht="22.05" customHeight="1" x14ac:dyDescent="0.5">
      <c r="B34" s="7" t="s">
        <v>166</v>
      </c>
      <c r="C34" s="8"/>
      <c r="D34" s="8"/>
      <c r="E34" s="8"/>
      <c r="F34" s="8"/>
      <c r="G34" s="8"/>
      <c r="H34" s="8"/>
      <c r="I34" s="8"/>
      <c r="J34" s="8"/>
      <c r="K34" s="8"/>
    </row>
    <row r="35" spans="2:11" ht="18" customHeight="1" x14ac:dyDescent="0.45">
      <c r="B35" s="13" t="s">
        <v>167</v>
      </c>
    </row>
    <row r="36" spans="2:11" ht="22.05" customHeight="1" x14ac:dyDescent="0.5">
      <c r="B36" s="7" t="s">
        <v>168</v>
      </c>
      <c r="C36" s="8"/>
      <c r="D36" s="8"/>
      <c r="E36" s="8"/>
      <c r="F36" s="8"/>
      <c r="G36" s="8"/>
      <c r="H36" s="8"/>
      <c r="I36" s="8"/>
      <c r="J36" s="8"/>
      <c r="K36" s="8"/>
    </row>
    <row r="37" spans="2:11" ht="18" customHeight="1" x14ac:dyDescent="0.45">
      <c r="B37" s="13" t="s">
        <v>169</v>
      </c>
    </row>
    <row r="38" spans="2:11" ht="18" customHeight="1" x14ac:dyDescent="0.45">
      <c r="B38" s="30" t="s">
        <v>170</v>
      </c>
      <c r="C38" s="30" t="s">
        <v>95</v>
      </c>
      <c r="D38" s="31" t="s">
        <v>109</v>
      </c>
      <c r="E38" s="30" t="s">
        <v>171</v>
      </c>
      <c r="F38" s="5"/>
      <c r="G38" s="5"/>
      <c r="H38" s="5"/>
      <c r="I38" s="5"/>
      <c r="J38" s="5"/>
      <c r="K38" s="5"/>
    </row>
    <row r="39" spans="2:11" x14ac:dyDescent="0.45">
      <c r="B39" s="25" t="s">
        <v>172</v>
      </c>
      <c r="C39" s="26" t="s">
        <v>173</v>
      </c>
      <c r="D39" s="44" cm="1">
        <f t="array" aca="1" ref="D39" ca="1">_xll.VoseOutput("Total claims, parameters fixed","US$m")+_xll.VoseAggregateMC(Freq,Sev)/1000</f>
        <v>8.7735341569040788</v>
      </c>
      <c r="E39" s="26" t="s">
        <v>174</v>
      </c>
      <c r="F39" s="28"/>
      <c r="G39" s="28"/>
      <c r="H39" s="28"/>
      <c r="I39" s="28"/>
      <c r="J39" s="28"/>
      <c r="K39" s="28"/>
    </row>
    <row r="40" spans="2:11" x14ac:dyDescent="0.45">
      <c r="B40" s="25" t="s">
        <v>175</v>
      </c>
      <c r="C40" s="26" t="s">
        <v>173</v>
      </c>
      <c r="D40" s="44" cm="1">
        <f t="array" aca="1" ref="D40" ca="1">_xll.VoseOutput("Total claims, parameter uncertainty","US$m")+_xll.VoseAggregateMC(FreqU,SevU)/1000</f>
        <v>10.554437557864091</v>
      </c>
      <c r="E40" s="26" t="s">
        <v>176</v>
      </c>
      <c r="F40" s="28"/>
      <c r="G40" s="28"/>
      <c r="H40" s="28"/>
      <c r="I40" s="28"/>
      <c r="J40" s="28"/>
      <c r="K40" s="28"/>
    </row>
    <row r="41" spans="2:11" ht="8" customHeight="1" x14ac:dyDescent="0.45"/>
    <row r="42" spans="2:11" ht="22.05" customHeight="1" x14ac:dyDescent="0.5">
      <c r="B42" s="7" t="s">
        <v>177</v>
      </c>
      <c r="C42" s="8"/>
      <c r="D42" s="8"/>
      <c r="E42" s="8"/>
      <c r="F42" s="8"/>
      <c r="G42" s="8"/>
      <c r="H42" s="8"/>
      <c r="I42" s="8"/>
      <c r="J42" s="8"/>
      <c r="K42" s="8"/>
    </row>
    <row r="43" spans="2:11" ht="18" customHeight="1" x14ac:dyDescent="0.45">
      <c r="B43" s="13" t="s">
        <v>178</v>
      </c>
    </row>
    <row r="44" spans="2:11" x14ac:dyDescent="0.45">
      <c r="B44" s="25" t="s">
        <v>179</v>
      </c>
      <c r="C44" s="28"/>
      <c r="D44" s="45" t="str">
        <f>IF(AND(COUNT(Counts)&gt;=5,COUNT(Sizes)&gt;=100),"OK","CHECK")</f>
        <v>OK</v>
      </c>
      <c r="E44" s="28"/>
      <c r="F44" s="28"/>
      <c r="G44" s="28"/>
      <c r="H44" s="28"/>
      <c r="I44" s="28"/>
      <c r="J44" s="28"/>
      <c r="K44" s="28"/>
    </row>
    <row r="45" spans="2:11" x14ac:dyDescent="0.45">
      <c r="B45" s="25" t="s">
        <v>180</v>
      </c>
      <c r="C45" s="28"/>
      <c r="D45" s="45" t="str">
        <f>IF(MIN(Sizes)&gt;0,"OK","CHECK")</f>
        <v>OK</v>
      </c>
      <c r="E45" s="28"/>
      <c r="F45" s="28"/>
      <c r="G45" s="28"/>
      <c r="H45" s="28"/>
      <c r="I45" s="28"/>
      <c r="J45" s="28"/>
      <c r="K45" s="28"/>
    </row>
    <row r="46" spans="2:11" ht="14" customHeight="1" x14ac:dyDescent="0.45"/>
  </sheetData>
  <conditionalFormatting sqref="D44:D45">
    <cfRule type="expression" dxfId="4" priority="1">
      <formula>D44="CHECK"</formula>
    </cfRule>
  </conditionalFormatting>
  <hyperlinks>
    <hyperlink ref="B4" location="'Data'!A1" display="◂  Data" xr:uid="{00000000-0004-0000-0300-000000000000}"/>
    <hyperlink ref="K4" location="'Results'!A1" display="Next:  Results  ▸" xr:uid="{00000000-0004-0000-0300-000001000000}"/>
  </hyperlinks>
  <printOptions horizontalCentered="1"/>
  <pageMargins left="0.4" right="0.4" top="0.5" bottom="0.6" header="0.25" footer="0.25"/>
  <pageSetup paperSize="9" scale="82" fitToHeight="0" orientation="landscape" r:id="rId1"/>
  <headerFooter>
    <oddFooter>&amp;L&amp;K3F5876&amp;8&amp;F · &amp;A&amp;R&amp;K3F5876&amp;8Page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5803D"/>
    <outlinePr summaryBelow="0"/>
    <pageSetUpPr fitToPage="1"/>
  </sheetPr>
  <dimension ref="A1:R232"/>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181</v>
      </c>
      <c r="C3" s="1"/>
      <c r="D3" s="1"/>
      <c r="E3" s="1"/>
      <c r="F3" s="1"/>
      <c r="G3" s="1"/>
      <c r="H3" s="1"/>
      <c r="I3" s="1"/>
      <c r="J3" s="1"/>
      <c r="K3" s="1"/>
      <c r="L3" s="1"/>
      <c r="M3" s="1"/>
      <c r="N3" s="1"/>
      <c r="O3" s="1"/>
      <c r="P3" s="1"/>
      <c r="Q3" s="1"/>
      <c r="R3" s="1"/>
    </row>
    <row r="4" spans="1:18" ht="20" customHeight="1" x14ac:dyDescent="0.45">
      <c r="A4" s="5"/>
      <c r="B4" s="22" t="s">
        <v>182</v>
      </c>
      <c r="C4" s="5"/>
      <c r="D4" s="5"/>
      <c r="E4" s="5"/>
      <c r="F4" s="5"/>
      <c r="G4" s="5"/>
      <c r="H4" s="5"/>
      <c r="I4" s="5"/>
      <c r="J4" s="5"/>
      <c r="K4" s="5"/>
      <c r="L4" s="5"/>
      <c r="M4" s="5"/>
      <c r="N4" s="5"/>
      <c r="O4" s="5"/>
      <c r="P4" s="5"/>
      <c r="Q4" s="5"/>
      <c r="R4" s="5"/>
    </row>
    <row r="5" spans="1:18" ht="8" customHeight="1" x14ac:dyDescent="0.45"/>
    <row r="6" spans="1:18" ht="26" customHeight="1" x14ac:dyDescent="0.45">
      <c r="B6" s="46" t="str" cm="1">
        <f t="array" aca="1" ref="B6" ca="1">IF(ISNUMBER(_xll.VoseSimMean(Total_U)),"✔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47"/>
      <c r="D6" s="47"/>
      <c r="E6" s="47"/>
      <c r="F6" s="47"/>
      <c r="G6" s="47"/>
    </row>
    <row r="7" spans="1:18" x14ac:dyDescent="0.45">
      <c r="B7" s="48"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183</v>
      </c>
      <c r="C9" s="8"/>
      <c r="D9" s="8"/>
      <c r="E9" s="8"/>
      <c r="F9" s="8"/>
      <c r="G9" s="8"/>
      <c r="I9" s="49" t="s">
        <v>184</v>
      </c>
      <c r="J9" s="8"/>
      <c r="K9" s="8"/>
      <c r="L9" s="8"/>
      <c r="M9" s="8"/>
      <c r="N9" s="8"/>
      <c r="O9" s="8"/>
      <c r="P9" s="8"/>
      <c r="Q9" s="8"/>
      <c r="R9" s="8"/>
    </row>
    <row r="10" spans="1:18" ht="18" customHeight="1" x14ac:dyDescent="0.45">
      <c r="B10" s="13" t="s">
        <v>185</v>
      </c>
    </row>
    <row r="11" spans="1:18" ht="18" customHeight="1" x14ac:dyDescent="0.45">
      <c r="B11" s="50" t="s">
        <v>141</v>
      </c>
      <c r="C11" s="51" t="s">
        <v>61</v>
      </c>
      <c r="D11" s="51" t="s">
        <v>144</v>
      </c>
      <c r="E11" s="51" t="s">
        <v>145</v>
      </c>
      <c r="F11" s="51" t="s">
        <v>146</v>
      </c>
      <c r="G11" s="51" t="s">
        <v>186</v>
      </c>
    </row>
    <row r="12" spans="1:18" x14ac:dyDescent="0.45">
      <c r="B12" s="40"/>
      <c r="C12" s="40"/>
      <c r="D12" s="40" t="s">
        <v>116</v>
      </c>
      <c r="E12" s="40" t="s">
        <v>116</v>
      </c>
      <c r="F12" s="40" t="s">
        <v>116</v>
      </c>
      <c r="G12" s="40"/>
    </row>
    <row r="13" spans="1:18" x14ac:dyDescent="0.45">
      <c r="B13" s="25" t="s">
        <v>151</v>
      </c>
      <c r="C13" s="33">
        <f>SIC_LN</f>
        <v>3066.8939595386641</v>
      </c>
      <c r="D13" s="33" cm="1">
        <f t="array" ref="D13">_xll.VoseMean(Obj_LN)</f>
        <v>206.20090737482499</v>
      </c>
      <c r="E13" s="32" cm="1">
        <f t="array" ref="E13">_xll.VosePercentile(Obj_LN,0.99)</f>
        <v>1989.2303232427664</v>
      </c>
      <c r="F13" s="32" cm="1">
        <f t="array" ref="F13">_xll.VosePercentile(Obj_LN,0.999)</f>
        <v>5747.6772657781366</v>
      </c>
      <c r="G13" s="52" t="str">
        <f>IF(UseK=1,"✔","")</f>
        <v/>
      </c>
    </row>
    <row r="14" spans="1:18" x14ac:dyDescent="0.45">
      <c r="B14" s="25" t="s">
        <v>153</v>
      </c>
      <c r="C14" s="33">
        <f>SIC_GA</f>
        <v>3077.4335686722443</v>
      </c>
      <c r="D14" s="33" cm="1">
        <f t="array" ref="D14">_xll.VoseMean(Obj_GA)</f>
        <v>174.79199436223954</v>
      </c>
      <c r="E14" s="32" cm="1">
        <f t="array" ref="E14">_xll.VosePercentile(Obj_GA,0.99)</f>
        <v>933.93611371011923</v>
      </c>
      <c r="F14" s="32" cm="1">
        <f t="array" ref="F14">_xll.VosePercentile(Obj_GA,0.999)</f>
        <v>1449.2831755515042</v>
      </c>
      <c r="G14" s="52" t="str">
        <f>IF(UseK=2,"✔","")</f>
        <v/>
      </c>
    </row>
    <row r="15" spans="1:18" x14ac:dyDescent="0.45">
      <c r="B15" s="25" t="s">
        <v>155</v>
      </c>
      <c r="C15" s="33">
        <f>SIC_PA</f>
        <v>3052.4190976715881</v>
      </c>
      <c r="D15" s="33" cm="1">
        <f t="array" ref="D15">_xll.VoseMean(Obj_PA)</f>
        <v>174.21479612991391</v>
      </c>
      <c r="E15" s="32" cm="1">
        <f t="array" ref="E15">_xll.VosePercentile(Obj_PA,0.99)</f>
        <v>1287.2673911165846</v>
      </c>
      <c r="F15" s="32" cm="1">
        <f t="array" ref="F15">_xll.VosePercentile(Obj_PA,0.999)</f>
        <v>3242.907661439272</v>
      </c>
      <c r="G15" s="52" t="str">
        <f>IF(UseK=3,"✔","")</f>
        <v>✔</v>
      </c>
    </row>
    <row r="16" spans="1:18" ht="8" customHeight="1" x14ac:dyDescent="0.45"/>
    <row r="17" spans="2:18" ht="22.05" customHeight="1" x14ac:dyDescent="0.5">
      <c r="B17" s="7" t="s">
        <v>187</v>
      </c>
      <c r="C17" s="8"/>
      <c r="D17" s="8"/>
      <c r="E17" s="8"/>
      <c r="F17" s="8"/>
      <c r="G17" s="8"/>
    </row>
    <row r="18" spans="2:18" ht="18" customHeight="1" x14ac:dyDescent="0.45">
      <c r="B18" s="13" t="s">
        <v>188</v>
      </c>
    </row>
    <row r="19" spans="2:18" ht="18" customHeight="1" x14ac:dyDescent="0.45">
      <c r="B19" s="23" t="s">
        <v>189</v>
      </c>
      <c r="C19" s="23" t="s">
        <v>95</v>
      </c>
      <c r="D19" s="24" t="s">
        <v>190</v>
      </c>
      <c r="E19" s="24" t="s">
        <v>191</v>
      </c>
      <c r="F19" s="24" t="s">
        <v>192</v>
      </c>
      <c r="G19" s="24" t="s">
        <v>193</v>
      </c>
    </row>
    <row r="20" spans="2:18" x14ac:dyDescent="0.45">
      <c r="B20" s="25" t="s">
        <v>172</v>
      </c>
      <c r="C20" s="26" t="s">
        <v>173</v>
      </c>
      <c r="D20" s="53" cm="1">
        <f t="array" aca="1" ref="D20" ca="1">_xll.VoseSimPercentile(Total_F,0.1)</f>
        <v>4.5068182278842919</v>
      </c>
      <c r="E20" s="53" cm="1">
        <f t="array" aca="1" ref="E20" ca="1">_xll.VoseSimPercentile(Total_F,0.5)</f>
        <v>6.6811418354091199</v>
      </c>
      <c r="F20" s="53" cm="1">
        <f t="array" aca="1" ref="F20" ca="1">_xll.VoseSimPercentile(Total_F,0.9)</f>
        <v>9.7801435982602953</v>
      </c>
      <c r="G20" s="53" cm="1">
        <f t="array" aca="1" ref="G20" ca="1">_xll.VoseSimMean(Total_F)</f>
        <v>6.9805899311035757</v>
      </c>
    </row>
    <row r="21" spans="2:18" x14ac:dyDescent="0.45">
      <c r="B21" s="25" t="s">
        <v>175</v>
      </c>
      <c r="C21" s="26" t="s">
        <v>173</v>
      </c>
      <c r="D21" s="53" cm="1">
        <f t="array" aca="1" ref="D21" ca="1">_xll.VoseSimPercentile(Total_U,0.1)</f>
        <v>4.4195804337190268</v>
      </c>
      <c r="E21" s="53" cm="1">
        <f t="array" aca="1" ref="E21" ca="1">_xll.VoseSimPercentile(Total_U,0.5)</f>
        <v>6.6265976563211151</v>
      </c>
      <c r="F21" s="53" cm="1">
        <f t="array" aca="1" ref="F21" ca="1">_xll.VoseSimPercentile(Total_U,0.9)</f>
        <v>9.9372579284269982</v>
      </c>
      <c r="G21" s="53" cm="1">
        <f t="array" aca="1" ref="G21" ca="1">_xll.VoseSimMean(Total_U)</f>
        <v>7.0323363766923883</v>
      </c>
    </row>
    <row r="22" spans="2:18" x14ac:dyDescent="0.45">
      <c r="B22" s="25" t="s">
        <v>135</v>
      </c>
      <c r="C22" s="26" t="s">
        <v>194</v>
      </c>
      <c r="D22" s="54" cm="1">
        <f t="array" aca="1" ref="D22" ca="1">_xll.VoseSimPercentile(RateU,0.1)</f>
        <v>37.400000953674322</v>
      </c>
      <c r="E22" s="54" cm="1">
        <f t="array" aca="1" ref="E22" ca="1">_xll.VoseSimPercentile(RateU,0.5)</f>
        <v>39.999999618530275</v>
      </c>
      <c r="F22" s="54" cm="1">
        <f t="array" aca="1" ref="F22" ca="1">_xll.VoseSimPercentile(RateU,0.9)</f>
        <v>42.599999799579379</v>
      </c>
      <c r="G22" s="54" cm="1">
        <f t="array" aca="1" ref="G22" ca="1">_xll.VoseSimMean(RateU)</f>
        <v>40.004879957556334</v>
      </c>
    </row>
    <row r="23" spans="2:18" ht="18" customHeight="1" x14ac:dyDescent="0.45">
      <c r="B23" s="23" t="s">
        <v>189</v>
      </c>
      <c r="C23" s="23" t="s">
        <v>95</v>
      </c>
      <c r="D23" s="24" t="s">
        <v>109</v>
      </c>
      <c r="E23" s="5"/>
      <c r="F23" s="5"/>
      <c r="G23" s="5"/>
    </row>
    <row r="24" spans="2:18" x14ac:dyDescent="0.45">
      <c r="B24" s="25" t="s">
        <v>195</v>
      </c>
      <c r="C24" s="26" t="s">
        <v>173</v>
      </c>
      <c r="D24" s="53" cm="1">
        <f t="array" aca="1" ref="D24" ca="1">_xll.VoseSimPercentile(Total_F,0.995)</f>
        <v>15.966545014319577</v>
      </c>
      <c r="E24" s="28"/>
      <c r="F24" s="28"/>
      <c r="G24" s="28"/>
    </row>
    <row r="25" spans="2:18" x14ac:dyDescent="0.45">
      <c r="B25" s="55" t="s">
        <v>196</v>
      </c>
      <c r="C25" s="26" t="s">
        <v>173</v>
      </c>
      <c r="D25" s="53" cm="1">
        <f t="array" aca="1" ref="D25" ca="1">_xll.VoseSimPercentile(Total_U,0.995)</f>
        <v>17.385239143269978</v>
      </c>
      <c r="E25" s="28"/>
      <c r="F25" s="28"/>
      <c r="G25" s="28"/>
    </row>
    <row r="26" spans="2:18" x14ac:dyDescent="0.45">
      <c r="B26" s="25" t="s">
        <v>197</v>
      </c>
      <c r="C26" s="26"/>
      <c r="D26" s="56">
        <f ca="1">IFERROR(D25/D24-1,"–")</f>
        <v>8.8854171499096912E-2</v>
      </c>
      <c r="E26" s="28"/>
      <c r="F26" s="28"/>
      <c r="G26" s="28"/>
    </row>
    <row r="27" spans="2:18" ht="8" customHeight="1" x14ac:dyDescent="0.45"/>
    <row r="28" spans="2:18" x14ac:dyDescent="0.45">
      <c r="I28" s="49" t="s">
        <v>198</v>
      </c>
      <c r="J28" s="8"/>
      <c r="K28" s="8"/>
      <c r="L28" s="8"/>
      <c r="M28" s="8"/>
      <c r="N28" s="8"/>
      <c r="O28" s="8"/>
      <c r="P28" s="8"/>
      <c r="Q28" s="8"/>
      <c r="R28" s="8"/>
    </row>
    <row r="43" spans="2:7" ht="22.05" customHeight="1" x14ac:dyDescent="0.5">
      <c r="B43" s="7" t="s">
        <v>199</v>
      </c>
      <c r="C43" s="8"/>
      <c r="D43" s="8"/>
      <c r="E43" s="8"/>
      <c r="F43" s="8"/>
      <c r="G43" s="8"/>
    </row>
    <row r="44" spans="2:7" ht="45" customHeight="1" x14ac:dyDescent="0.45">
      <c r="B44" s="64" t="s">
        <v>200</v>
      </c>
      <c r="C44" s="63"/>
      <c r="D44" s="63"/>
      <c r="E44" s="63"/>
      <c r="F44" s="63"/>
      <c r="G44" s="63"/>
    </row>
    <row r="45" spans="2:7" ht="32" customHeight="1" x14ac:dyDescent="0.45">
      <c r="B45" s="64" t="s">
        <v>201</v>
      </c>
      <c r="C45" s="63"/>
      <c r="D45" s="63"/>
      <c r="E45" s="63"/>
      <c r="F45" s="63"/>
      <c r="G45" s="63"/>
    </row>
    <row r="46" spans="2:7" ht="45" customHeight="1" x14ac:dyDescent="0.45">
      <c r="B46" s="64" t="s">
        <v>202</v>
      </c>
      <c r="C46" s="63"/>
      <c r="D46" s="63"/>
      <c r="E46" s="63"/>
      <c r="F46" s="63"/>
      <c r="G46" s="63"/>
    </row>
    <row r="47" spans="2:7" ht="32" customHeight="1" x14ac:dyDescent="0.45">
      <c r="B47" s="64" t="s">
        <v>203</v>
      </c>
      <c r="C47" s="63"/>
      <c r="D47" s="63"/>
      <c r="E47" s="63"/>
      <c r="F47" s="63"/>
      <c r="G47" s="63"/>
    </row>
    <row r="48" spans="2:7" ht="14" customHeight="1" x14ac:dyDescent="0.45"/>
    <row r="49" spans="2:7" ht="14" customHeight="1" x14ac:dyDescent="0.45"/>
    <row r="50" spans="2:7" ht="22.05" customHeight="1" x14ac:dyDescent="0.5">
      <c r="B50" s="7" t="s">
        <v>204</v>
      </c>
      <c r="C50" s="8"/>
      <c r="D50" s="8"/>
      <c r="E50" s="8"/>
      <c r="F50" s="8"/>
      <c r="G50" s="8"/>
    </row>
    <row r="51" spans="2:7" ht="18" customHeight="1" x14ac:dyDescent="0.45">
      <c r="B51" s="13" t="s">
        <v>205</v>
      </c>
    </row>
    <row r="52" spans="2:7" ht="28.05" hidden="1" customHeight="1" outlineLevel="1" x14ac:dyDescent="0.45">
      <c r="B52" s="24" t="s">
        <v>206</v>
      </c>
      <c r="C52" s="24" t="s">
        <v>207</v>
      </c>
      <c r="D52" s="24" t="s">
        <v>208</v>
      </c>
      <c r="E52" s="24" t="s">
        <v>209</v>
      </c>
      <c r="F52" s="5"/>
      <c r="G52" s="5"/>
    </row>
    <row r="53" spans="2:7" hidden="1" outlineLevel="1" x14ac:dyDescent="0.45">
      <c r="B53" s="57">
        <v>0.01</v>
      </c>
      <c r="C53" s="57">
        <f t="shared" ref="C53:C84" si="0">1-B53</f>
        <v>0.99</v>
      </c>
      <c r="D53" s="58" cm="1">
        <f t="array" aca="1" ref="D53" ca="1">IF(ISNUMBER(_xll.VoseSimPercentile(Total_F,$B53)),_xll.VoseSimPercentile(Total_F,$B53),NA())</f>
        <v>3.0923588789335672</v>
      </c>
      <c r="E53" s="58" cm="1">
        <f t="array" aca="1" ref="E53" ca="1">IF(ISNUMBER(_xll.VoseSimPercentile(Total_U,$B53)),_xll.VoseSimPercentile(Total_U,$B53),NA())</f>
        <v>3.1359328464297822</v>
      </c>
    </row>
    <row r="54" spans="2:7" hidden="1" outlineLevel="1" x14ac:dyDescent="0.45">
      <c r="B54" s="57">
        <v>0.03</v>
      </c>
      <c r="C54" s="57">
        <f t="shared" si="0"/>
        <v>0.97</v>
      </c>
      <c r="D54" s="58" cm="1">
        <f t="array" aca="1" ref="D54" ca="1">IF(ISNUMBER(_xll.VoseSimPercentile(Total_F,$B54)),_xll.VoseSimPercentile(Total_F,$B54),NA())</f>
        <v>3.7167233886314262</v>
      </c>
      <c r="E54" s="58" cm="1">
        <f t="array" aca="1" ref="E54" ca="1">IF(ISNUMBER(_xll.VoseSimPercentile(Total_U,$B54)),_xll.VoseSimPercentile(Total_U,$B54),NA())</f>
        <v>3.6576697508759555</v>
      </c>
    </row>
    <row r="55" spans="2:7" hidden="1" outlineLevel="1" x14ac:dyDescent="0.45">
      <c r="B55" s="57">
        <v>0.05</v>
      </c>
      <c r="C55" s="57">
        <f t="shared" si="0"/>
        <v>0.95</v>
      </c>
      <c r="D55" s="58" cm="1">
        <f t="array" aca="1" ref="D55" ca="1">IF(ISNUMBER(_xll.VoseSimPercentile(Total_F,$B55)),_xll.VoseSimPercentile(Total_F,$B55),NA())</f>
        <v>4.0187405409528685</v>
      </c>
      <c r="E55" s="58" cm="1">
        <f t="array" aca="1" ref="E55" ca="1">IF(ISNUMBER(_xll.VoseSimPercentile(Total_U,$B55)),_xll.VoseSimPercentile(Total_U,$B55),NA())</f>
        <v>3.9341813642031842</v>
      </c>
    </row>
    <row r="56" spans="2:7" hidden="1" outlineLevel="1" x14ac:dyDescent="0.45">
      <c r="B56" s="57">
        <v>7.0000000000000007E-2</v>
      </c>
      <c r="C56" s="57">
        <f t="shared" si="0"/>
        <v>0.92999999999999994</v>
      </c>
      <c r="D56" s="58" cm="1">
        <f t="array" aca="1" ref="D56" ca="1">IF(ISNUMBER(_xll.VoseSimPercentile(Total_F,$B56)),_xll.VoseSimPercentile(Total_F,$B56),NA())</f>
        <v>4.2635108269598572</v>
      </c>
      <c r="E56" s="58" cm="1">
        <f t="array" aca="1" ref="E56" ca="1">IF(ISNUMBER(_xll.VoseSimPercentile(Total_U,$B56)),_xll.VoseSimPercentile(Total_U,$B56),NA())</f>
        <v>4.146233355374326</v>
      </c>
    </row>
    <row r="57" spans="2:7" hidden="1" outlineLevel="1" x14ac:dyDescent="0.45">
      <c r="B57" s="57">
        <v>0.09</v>
      </c>
      <c r="C57" s="57">
        <f t="shared" si="0"/>
        <v>0.91</v>
      </c>
      <c r="D57" s="58" cm="1">
        <f t="array" aca="1" ref="D57" ca="1">IF(ISNUMBER(_xll.VoseSimPercentile(Total_F,$B57)),_xll.VoseSimPercentile(Total_F,$B57),NA())</f>
        <v>4.4298281431965316</v>
      </c>
      <c r="E57" s="58" cm="1">
        <f t="array" aca="1" ref="E57" ca="1">IF(ISNUMBER(_xll.VoseSimPercentile(Total_U,$B57)),_xll.VoseSimPercentile(Total_U,$B57),NA())</f>
        <v>4.337759726178299</v>
      </c>
    </row>
    <row r="58" spans="2:7" hidden="1" outlineLevel="1" x14ac:dyDescent="0.45">
      <c r="B58" s="57">
        <v>0.11</v>
      </c>
      <c r="C58" s="57">
        <f t="shared" si="0"/>
        <v>0.89</v>
      </c>
      <c r="D58" s="58" cm="1">
        <f t="array" aca="1" ref="D58" ca="1">IF(ISNUMBER(_xll.VoseSimPercentile(Total_F,$B58)),_xll.VoseSimPercentile(Total_F,$B58),NA())</f>
        <v>4.5930414349326565</v>
      </c>
      <c r="E58" s="58" cm="1">
        <f t="array" aca="1" ref="E58" ca="1">IF(ISNUMBER(_xll.VoseSimPercentile(Total_U,$B58)),_xll.VoseSimPercentile(Total_U,$B58),NA())</f>
        <v>4.5070684596549251</v>
      </c>
    </row>
    <row r="59" spans="2:7" hidden="1" outlineLevel="1" x14ac:dyDescent="0.45">
      <c r="B59" s="57">
        <v>0.13</v>
      </c>
      <c r="C59" s="57">
        <f t="shared" si="0"/>
        <v>0.87</v>
      </c>
      <c r="D59" s="58" cm="1">
        <f t="array" aca="1" ref="D59" ca="1">IF(ISNUMBER(_xll.VoseSimPercentile(Total_F,$B59)),_xll.VoseSimPercentile(Total_F,$B59),NA())</f>
        <v>4.7385395410630125</v>
      </c>
      <c r="E59" s="58" cm="1">
        <f t="array" aca="1" ref="E59" ca="1">IF(ISNUMBER(_xll.VoseSimPercentile(Total_U,$B59)),_xll.VoseSimPercentile(Total_U,$B59),NA())</f>
        <v>4.6611410387393937</v>
      </c>
    </row>
    <row r="60" spans="2:7" hidden="1" outlineLevel="1" x14ac:dyDescent="0.45">
      <c r="B60" s="57">
        <v>0.15</v>
      </c>
      <c r="C60" s="57">
        <f t="shared" si="0"/>
        <v>0.85</v>
      </c>
      <c r="D60" s="58" cm="1">
        <f t="array" aca="1" ref="D60" ca="1">IF(ISNUMBER(_xll.VoseSimPercentile(Total_F,$B60)),_xll.VoseSimPercentile(Total_F,$B60),NA())</f>
        <v>4.8694315477305494</v>
      </c>
      <c r="E60" s="58" cm="1">
        <f t="array" aca="1" ref="E60" ca="1">IF(ISNUMBER(_xll.VoseSimPercentile(Total_U,$B60)),_xll.VoseSimPercentile(Total_U,$B60),NA())</f>
        <v>4.8157743638775026</v>
      </c>
    </row>
    <row r="61" spans="2:7" hidden="1" outlineLevel="1" x14ac:dyDescent="0.45">
      <c r="B61" s="57">
        <v>0.17</v>
      </c>
      <c r="C61" s="57">
        <f t="shared" si="0"/>
        <v>0.83</v>
      </c>
      <c r="D61" s="58" cm="1">
        <f t="array" aca="1" ref="D61" ca="1">IF(ISNUMBER(_xll.VoseSimPercentile(Total_F,$B61)),_xll.VoseSimPercentile(Total_F,$B61),NA())</f>
        <v>4.9806975880745092</v>
      </c>
      <c r="E61" s="58" cm="1">
        <f t="array" aca="1" ref="E61" ca="1">IF(ISNUMBER(_xll.VoseSimPercentile(Total_U,$B61)),_xll.VoseSimPercentile(Total_U,$B61),NA())</f>
        <v>4.9420826012784751</v>
      </c>
    </row>
    <row r="62" spans="2:7" hidden="1" outlineLevel="1" x14ac:dyDescent="0.45">
      <c r="B62" s="57">
        <v>0.19</v>
      </c>
      <c r="C62" s="57">
        <f t="shared" si="0"/>
        <v>0.81</v>
      </c>
      <c r="D62" s="58" cm="1">
        <f t="array" aca="1" ref="D62" ca="1">IF(ISNUMBER(_xll.VoseSimPercentile(Total_F,$B62)),_xll.VoseSimPercentile(Total_F,$B62),NA())</f>
        <v>5.1021689285740193</v>
      </c>
      <c r="E62" s="58" cm="1">
        <f t="array" aca="1" ref="E62" ca="1">IF(ISNUMBER(_xll.VoseSimPercentile(Total_U,$B62)),_xll.VoseSimPercentile(Total_U,$B62),NA())</f>
        <v>5.059354960772656</v>
      </c>
    </row>
    <row r="63" spans="2:7" hidden="1" outlineLevel="1" x14ac:dyDescent="0.45">
      <c r="B63" s="57">
        <v>0.21</v>
      </c>
      <c r="C63" s="57">
        <f t="shared" si="0"/>
        <v>0.79</v>
      </c>
      <c r="D63" s="58" cm="1">
        <f t="array" aca="1" ref="D63" ca="1">IF(ISNUMBER(_xll.VoseSimPercentile(Total_F,$B63)),_xll.VoseSimPercentile(Total_F,$B63),NA())</f>
        <v>5.2152770136667419</v>
      </c>
      <c r="E63" s="58" cm="1">
        <f t="array" aca="1" ref="E63" ca="1">IF(ISNUMBER(_xll.VoseSimPercentile(Total_U,$B63)),_xll.VoseSimPercentile(Total_U,$B63),NA())</f>
        <v>5.1570854287450123</v>
      </c>
    </row>
    <row r="64" spans="2:7" hidden="1" outlineLevel="1" x14ac:dyDescent="0.45">
      <c r="B64" s="57">
        <v>0.23</v>
      </c>
      <c r="C64" s="57">
        <f t="shared" si="0"/>
        <v>0.77</v>
      </c>
      <c r="D64" s="58" cm="1">
        <f t="array" aca="1" ref="D64" ca="1">IF(ISNUMBER(_xll.VoseSimPercentile(Total_F,$B64)),_xll.VoseSimPercentile(Total_F,$B64),NA())</f>
        <v>5.3236740707967076</v>
      </c>
      <c r="E64" s="58" cm="1">
        <f t="array" aca="1" ref="E64" ca="1">IF(ISNUMBER(_xll.VoseSimPercentile(Total_U,$B64)),_xll.VoseSimPercentile(Total_U,$B64),NA())</f>
        <v>5.2548191802714825</v>
      </c>
    </row>
    <row r="65" spans="2:5" hidden="1" outlineLevel="1" x14ac:dyDescent="0.45">
      <c r="B65" s="57">
        <v>0.25</v>
      </c>
      <c r="C65" s="57">
        <f t="shared" si="0"/>
        <v>0.75</v>
      </c>
      <c r="D65" s="58" cm="1">
        <f t="array" aca="1" ref="D65" ca="1">IF(ISNUMBER(_xll.VoseSimPercentile(Total_F,$B65)),_xll.VoseSimPercentile(Total_F,$B65),NA())</f>
        <v>5.4200679449695279</v>
      </c>
      <c r="E65" s="58" cm="1">
        <f t="array" aca="1" ref="E65" ca="1">IF(ISNUMBER(_xll.VoseSimPercentile(Total_U,$B65)),_xll.VoseSimPercentile(Total_U,$B65),NA())</f>
        <v>5.3716411167212188</v>
      </c>
    </row>
    <row r="66" spans="2:5" hidden="1" outlineLevel="1" x14ac:dyDescent="0.45">
      <c r="B66" s="57">
        <v>0.27</v>
      </c>
      <c r="C66" s="57">
        <f t="shared" si="0"/>
        <v>0.73</v>
      </c>
      <c r="D66" s="58" cm="1">
        <f t="array" aca="1" ref="D66" ca="1">IF(ISNUMBER(_xll.VoseSimPercentile(Total_F,$B66)),_xll.VoseSimPercentile(Total_F,$B66),NA())</f>
        <v>5.5267128391588267</v>
      </c>
      <c r="E66" s="58" cm="1">
        <f t="array" aca="1" ref="E66" ca="1">IF(ISNUMBER(_xll.VoseSimPercentile(Total_U,$B66)),_xll.VoseSimPercentile(Total_U,$B66),NA())</f>
        <v>5.4765513586840902</v>
      </c>
    </row>
    <row r="67" spans="2:5" hidden="1" outlineLevel="1" x14ac:dyDescent="0.45">
      <c r="B67" s="57">
        <v>0.28999999999999998</v>
      </c>
      <c r="C67" s="57">
        <f t="shared" si="0"/>
        <v>0.71</v>
      </c>
      <c r="D67" s="58" cm="1">
        <f t="array" aca="1" ref="D67" ca="1">IF(ISNUMBER(_xll.VoseSimPercentile(Total_F,$B67)),_xll.VoseSimPercentile(Total_F,$B67),NA())</f>
        <v>5.6404047018914225</v>
      </c>
      <c r="E67" s="58" cm="1">
        <f t="array" aca="1" ref="E67" ca="1">IF(ISNUMBER(_xll.VoseSimPercentile(Total_U,$B67)),_xll.VoseSimPercentile(Total_U,$B67),NA())</f>
        <v>5.5756072929965645</v>
      </c>
    </row>
    <row r="68" spans="2:5" hidden="1" outlineLevel="1" x14ac:dyDescent="0.45">
      <c r="B68" s="57">
        <v>0.31</v>
      </c>
      <c r="C68" s="57">
        <f t="shared" si="0"/>
        <v>0.69</v>
      </c>
      <c r="D68" s="58" cm="1">
        <f t="array" aca="1" ref="D68" ca="1">IF(ISNUMBER(_xll.VoseSimPercentile(Total_F,$B68)),_xll.VoseSimPercentile(Total_F,$B68),NA())</f>
        <v>5.7487103873518937</v>
      </c>
      <c r="E68" s="58" cm="1">
        <f t="array" aca="1" ref="E68" ca="1">IF(ISNUMBER(_xll.VoseSimPercentile(Total_U,$B68)),_xll.VoseSimPercentile(Total_U,$B68),NA())</f>
        <v>5.6904191703515812</v>
      </c>
    </row>
    <row r="69" spans="2:5" hidden="1" outlineLevel="1" x14ac:dyDescent="0.45">
      <c r="B69" s="57">
        <v>0.33</v>
      </c>
      <c r="C69" s="57">
        <f t="shared" si="0"/>
        <v>0.66999999999999993</v>
      </c>
      <c r="D69" s="58" cm="1">
        <f t="array" aca="1" ref="D69" ca="1">IF(ISNUMBER(_xll.VoseSimPercentile(Total_F,$B69)),_xll.VoseSimPercentile(Total_F,$B69),NA())</f>
        <v>5.8374136149261231</v>
      </c>
      <c r="E69" s="58" cm="1">
        <f t="array" aca="1" ref="E69" ca="1">IF(ISNUMBER(_xll.VoseSimPercentile(Total_U,$B69)),_xll.VoseSimPercentile(Total_U,$B69),NA())</f>
        <v>5.7851013349975808</v>
      </c>
    </row>
    <row r="70" spans="2:5" hidden="1" outlineLevel="1" x14ac:dyDescent="0.45">
      <c r="B70" s="57">
        <v>0.35</v>
      </c>
      <c r="C70" s="57">
        <f t="shared" si="0"/>
        <v>0.65</v>
      </c>
      <c r="D70" s="58" cm="1">
        <f t="array" aca="1" ref="D70" ca="1">IF(ISNUMBER(_xll.VoseSimPercentile(Total_F,$B70)),_xll.VoseSimPercentile(Total_F,$B70),NA())</f>
        <v>5.9361426161376896</v>
      </c>
      <c r="E70" s="58" cm="1">
        <f t="array" aca="1" ref="E70" ca="1">IF(ISNUMBER(_xll.VoseSimPercentile(Total_U,$B70)),_xll.VoseSimPercentile(Total_U,$B70),NA())</f>
        <v>5.8888167367732498</v>
      </c>
    </row>
    <row r="71" spans="2:5" hidden="1" outlineLevel="1" x14ac:dyDescent="0.45">
      <c r="B71" s="57">
        <v>0.37</v>
      </c>
      <c r="C71" s="57">
        <f t="shared" si="0"/>
        <v>0.63</v>
      </c>
      <c r="D71" s="58" cm="1">
        <f t="array" aca="1" ref="D71" ca="1">IF(ISNUMBER(_xll.VoseSimPercentile(Total_F,$B71)),_xll.VoseSimPercentile(Total_F,$B71),NA())</f>
        <v>6.0343270681308372</v>
      </c>
      <c r="E71" s="58" cm="1">
        <f t="array" aca="1" ref="E71" ca="1">IF(ISNUMBER(_xll.VoseSimPercentile(Total_U,$B71)),_xll.VoseSimPercentile(Total_U,$B71),NA())</f>
        <v>5.9867783818809519</v>
      </c>
    </row>
    <row r="72" spans="2:5" hidden="1" outlineLevel="1" x14ac:dyDescent="0.45">
      <c r="B72" s="57">
        <v>0.39</v>
      </c>
      <c r="C72" s="57">
        <f t="shared" si="0"/>
        <v>0.61</v>
      </c>
      <c r="D72" s="58" cm="1">
        <f t="array" aca="1" ref="D72" ca="1">IF(ISNUMBER(_xll.VoseSimPercentile(Total_F,$B72)),_xll.VoseSimPercentile(Total_F,$B72),NA())</f>
        <v>6.127857926329634</v>
      </c>
      <c r="E72" s="58" cm="1">
        <f t="array" aca="1" ref="E72" ca="1">IF(ISNUMBER(_xll.VoseSimPercentile(Total_U,$B72)),_xll.VoseSimPercentile(Total_U,$B72),NA())</f>
        <v>6.0805653764095853</v>
      </c>
    </row>
    <row r="73" spans="2:5" hidden="1" outlineLevel="1" x14ac:dyDescent="0.45">
      <c r="B73" s="57">
        <v>0.41</v>
      </c>
      <c r="C73" s="57">
        <f t="shared" si="0"/>
        <v>0.59000000000000008</v>
      </c>
      <c r="D73" s="58" cm="1">
        <f t="array" aca="1" ref="D73" ca="1">IF(ISNUMBER(_xll.VoseSimPercentile(Total_F,$B73)),_xll.VoseSimPercentile(Total_F,$B73),NA())</f>
        <v>6.231762638182694</v>
      </c>
      <c r="E73" s="58" cm="1">
        <f t="array" aca="1" ref="E73" ca="1">IF(ISNUMBER(_xll.VoseSimPercentile(Total_U,$B73)),_xll.VoseSimPercentile(Total_U,$B73),NA())</f>
        <v>6.1838773092907315</v>
      </c>
    </row>
    <row r="74" spans="2:5" hidden="1" outlineLevel="1" x14ac:dyDescent="0.45">
      <c r="B74" s="57">
        <v>0.43</v>
      </c>
      <c r="C74" s="57">
        <f t="shared" si="0"/>
        <v>0.57000000000000006</v>
      </c>
      <c r="D74" s="58" cm="1">
        <f t="array" aca="1" ref="D74" ca="1">IF(ISNUMBER(_xll.VoseSimPercentile(Total_F,$B74)),_xll.VoseSimPercentile(Total_F,$B74),NA())</f>
        <v>6.3312724947375312</v>
      </c>
      <c r="E74" s="58" cm="1">
        <f t="array" aca="1" ref="E74" ca="1">IF(ISNUMBER(_xll.VoseSimPercentile(Total_U,$B74)),_xll.VoseSimPercentile(Total_U,$B74),NA())</f>
        <v>6.2772372717769791</v>
      </c>
    </row>
    <row r="75" spans="2:5" hidden="1" outlineLevel="1" x14ac:dyDescent="0.45">
      <c r="B75" s="57">
        <v>0.45</v>
      </c>
      <c r="C75" s="57">
        <f t="shared" si="0"/>
        <v>0.55000000000000004</v>
      </c>
      <c r="D75" s="58" cm="1">
        <f t="array" aca="1" ref="D75" ca="1">IF(ISNUMBER(_xll.VoseSimPercentile(Total_F,$B75)),_xll.VoseSimPercentile(Total_F,$B75),NA())</f>
        <v>6.4445247490499096</v>
      </c>
      <c r="E75" s="58" cm="1">
        <f t="array" aca="1" ref="E75" ca="1">IF(ISNUMBER(_xll.VoseSimPercentile(Total_U,$B75)),_xll.VoseSimPercentile(Total_U,$B75),NA())</f>
        <v>6.373684160514876</v>
      </c>
    </row>
    <row r="76" spans="2:5" hidden="1" outlineLevel="1" x14ac:dyDescent="0.45">
      <c r="B76" s="57">
        <v>0.47</v>
      </c>
      <c r="C76" s="57">
        <f t="shared" si="0"/>
        <v>0.53</v>
      </c>
      <c r="D76" s="58" cm="1">
        <f t="array" aca="1" ref="D76" ca="1">IF(ISNUMBER(_xll.VoseSimPercentile(Total_F,$B76)),_xll.VoseSimPercentile(Total_F,$B76),NA())</f>
        <v>6.5373601204918028</v>
      </c>
      <c r="E76" s="58" cm="1">
        <f t="array" aca="1" ref="E76" ca="1">IF(ISNUMBER(_xll.VoseSimPercentile(Total_U,$B76)),_xll.VoseSimPercentile(Total_U,$B76),NA())</f>
        <v>6.4774828596984442</v>
      </c>
    </row>
    <row r="77" spans="2:5" hidden="1" outlineLevel="1" x14ac:dyDescent="0.45">
      <c r="B77" s="57">
        <v>0.49</v>
      </c>
      <c r="C77" s="57">
        <f t="shared" si="0"/>
        <v>0.51</v>
      </c>
      <c r="D77" s="58" cm="1">
        <f t="array" aca="1" ref="D77" ca="1">IF(ISNUMBER(_xll.VoseSimPercentile(Total_F,$B77)),_xll.VoseSimPercentile(Total_F,$B77),NA())</f>
        <v>6.6303169980820122</v>
      </c>
      <c r="E77" s="58" cm="1">
        <f t="array" aca="1" ref="E77" ca="1">IF(ISNUMBER(_xll.VoseSimPercentile(Total_U,$B77)),_xll.VoseSimPercentile(Total_U,$B77),NA())</f>
        <v>6.5806909682077093</v>
      </c>
    </row>
    <row r="78" spans="2:5" hidden="1" outlineLevel="1" x14ac:dyDescent="0.45">
      <c r="B78" s="57">
        <v>0.51</v>
      </c>
      <c r="C78" s="57">
        <f t="shared" si="0"/>
        <v>0.49</v>
      </c>
      <c r="D78" s="58" cm="1">
        <f t="array" aca="1" ref="D78" ca="1">IF(ISNUMBER(_xll.VoseSimPercentile(Total_F,$B78)),_xll.VoseSimPercentile(Total_F,$B78),NA())</f>
        <v>6.7242061724796836</v>
      </c>
      <c r="E78" s="58" cm="1">
        <f t="array" aca="1" ref="E78" ca="1">IF(ISNUMBER(_xll.VoseSimPercentile(Total_U,$B78)),_xll.VoseSimPercentile(Total_U,$B78),NA())</f>
        <v>6.6752018830500832</v>
      </c>
    </row>
    <row r="79" spans="2:5" hidden="1" outlineLevel="1" x14ac:dyDescent="0.45">
      <c r="B79" s="57">
        <v>0.53</v>
      </c>
      <c r="C79" s="57">
        <f t="shared" si="0"/>
        <v>0.47</v>
      </c>
      <c r="D79" s="58" cm="1">
        <f t="array" aca="1" ref="D79" ca="1">IF(ISNUMBER(_xll.VoseSimPercentile(Total_F,$B79)),_xll.VoseSimPercentile(Total_F,$B79),NA())</f>
        <v>6.8298261538556355</v>
      </c>
      <c r="E79" s="58" cm="1">
        <f t="array" aca="1" ref="E79" ca="1">IF(ISNUMBER(_xll.VoseSimPercentile(Total_U,$B79)),_xll.VoseSimPercentile(Total_U,$B79),NA())</f>
        <v>6.7652012765448495</v>
      </c>
    </row>
    <row r="80" spans="2:5" hidden="1" outlineLevel="1" x14ac:dyDescent="0.45">
      <c r="B80" s="57">
        <v>0.55000000000000004</v>
      </c>
      <c r="C80" s="57">
        <f t="shared" si="0"/>
        <v>0.44999999999999996</v>
      </c>
      <c r="D80" s="58" cm="1">
        <f t="array" aca="1" ref="D80" ca="1">IF(ISNUMBER(_xll.VoseSimPercentile(Total_F,$B80)),_xll.VoseSimPercentile(Total_F,$B80),NA())</f>
        <v>6.9252428015340675</v>
      </c>
      <c r="E80" s="58" cm="1">
        <f t="array" aca="1" ref="E80" ca="1">IF(ISNUMBER(_xll.VoseSimPercentile(Total_U,$B80)),_xll.VoseSimPercentile(Total_U,$B80),NA())</f>
        <v>6.879382436160939</v>
      </c>
    </row>
    <row r="81" spans="2:5" hidden="1" outlineLevel="1" x14ac:dyDescent="0.45">
      <c r="B81" s="57">
        <v>0.56999999999999995</v>
      </c>
      <c r="C81" s="57">
        <f t="shared" si="0"/>
        <v>0.43000000000000005</v>
      </c>
      <c r="D81" s="58" cm="1">
        <f t="array" aca="1" ref="D81" ca="1">IF(ISNUMBER(_xll.VoseSimPercentile(Total_F,$B81)),_xll.VoseSimPercentile(Total_F,$B81),NA())</f>
        <v>7.0254462984561012</v>
      </c>
      <c r="E81" s="58" cm="1">
        <f t="array" aca="1" ref="E81" ca="1">IF(ISNUMBER(_xll.VoseSimPercentile(Total_U,$B81)),_xll.VoseSimPercentile(Total_U,$B81),NA())</f>
        <v>6.9945591775637208</v>
      </c>
    </row>
    <row r="82" spans="2:5" hidden="1" outlineLevel="1" x14ac:dyDescent="0.45">
      <c r="B82" s="57">
        <v>0.59</v>
      </c>
      <c r="C82" s="57">
        <f t="shared" si="0"/>
        <v>0.41000000000000003</v>
      </c>
      <c r="D82" s="58" cm="1">
        <f t="array" aca="1" ref="D82" ca="1">IF(ISNUMBER(_xll.VoseSimPercentile(Total_F,$B82)),_xll.VoseSimPercentile(Total_F,$B82),NA())</f>
        <v>7.1407082391097028</v>
      </c>
      <c r="E82" s="58" cm="1">
        <f t="array" aca="1" ref="E82" ca="1">IF(ISNUMBER(_xll.VoseSimPercentile(Total_U,$B82)),_xll.VoseSimPercentile(Total_U,$B82),NA())</f>
        <v>7.1085845685759264</v>
      </c>
    </row>
    <row r="83" spans="2:5" hidden="1" outlineLevel="1" x14ac:dyDescent="0.45">
      <c r="B83" s="57">
        <v>0.61</v>
      </c>
      <c r="C83" s="57">
        <f t="shared" si="0"/>
        <v>0.39</v>
      </c>
      <c r="D83" s="58" cm="1">
        <f t="array" aca="1" ref="D83" ca="1">IF(ISNUMBER(_xll.VoseSimPercentile(Total_F,$B83)),_xll.VoseSimPercentile(Total_F,$B83),NA())</f>
        <v>7.2457417482928834</v>
      </c>
      <c r="E83" s="58" cm="1">
        <f t="array" aca="1" ref="E83" ca="1">IF(ISNUMBER(_xll.VoseSimPercentile(Total_U,$B83)),_xll.VoseSimPercentile(Total_U,$B83),NA())</f>
        <v>7.2180650016388483</v>
      </c>
    </row>
    <row r="84" spans="2:5" hidden="1" outlineLevel="1" x14ac:dyDescent="0.45">
      <c r="B84" s="57">
        <v>0.63</v>
      </c>
      <c r="C84" s="57">
        <f t="shared" si="0"/>
        <v>0.37</v>
      </c>
      <c r="D84" s="58" cm="1">
        <f t="array" aca="1" ref="D84" ca="1">IF(ISNUMBER(_xll.VoseSimPercentile(Total_F,$B84)),_xll.VoseSimPercentile(Total_F,$B84),NA())</f>
        <v>7.3464006361349936</v>
      </c>
      <c r="E84" s="58" cm="1">
        <f t="array" aca="1" ref="E84" ca="1">IF(ISNUMBER(_xll.VoseSimPercentile(Total_U,$B84)),_xll.VoseSimPercentile(Total_U,$B84),NA())</f>
        <v>7.3276619068896327</v>
      </c>
    </row>
    <row r="85" spans="2:5" hidden="1" outlineLevel="1" x14ac:dyDescent="0.45">
      <c r="B85" s="57">
        <v>0.65</v>
      </c>
      <c r="C85" s="57">
        <f t="shared" ref="C85:C116" si="1">1-B85</f>
        <v>0.35</v>
      </c>
      <c r="D85" s="58" cm="1">
        <f t="array" aca="1" ref="D85" ca="1">IF(ISNUMBER(_xll.VoseSimPercentile(Total_F,$B85)),_xll.VoseSimPercentile(Total_F,$B85),NA())</f>
        <v>7.456259555695655</v>
      </c>
      <c r="E85" s="58" cm="1">
        <f t="array" aca="1" ref="E85" ca="1">IF(ISNUMBER(_xll.VoseSimPercentile(Total_U,$B85)),_xll.VoseSimPercentile(Total_U,$B85),NA())</f>
        <v>7.4577128354201161</v>
      </c>
    </row>
    <row r="86" spans="2:5" hidden="1" outlineLevel="1" x14ac:dyDescent="0.45">
      <c r="B86" s="57">
        <v>0.67</v>
      </c>
      <c r="C86" s="57">
        <f t="shared" si="1"/>
        <v>0.32999999999999996</v>
      </c>
      <c r="D86" s="58" cm="1">
        <f t="array" aca="1" ref="D86" ca="1">IF(ISNUMBER(_xll.VoseSimPercentile(Total_F,$B86)),_xll.VoseSimPercentile(Total_F,$B86),NA())</f>
        <v>7.5895600804388144</v>
      </c>
      <c r="E86" s="58" cm="1">
        <f t="array" aca="1" ref="E86" ca="1">IF(ISNUMBER(_xll.VoseSimPercentile(Total_U,$B86)),_xll.VoseSimPercentile(Total_U,$B86),NA())</f>
        <v>7.5866901995870792</v>
      </c>
    </row>
    <row r="87" spans="2:5" hidden="1" outlineLevel="1" x14ac:dyDescent="0.45">
      <c r="B87" s="57">
        <v>0.69</v>
      </c>
      <c r="C87" s="57">
        <f t="shared" si="1"/>
        <v>0.31000000000000005</v>
      </c>
      <c r="D87" s="58" cm="1">
        <f t="array" aca="1" ref="D87" ca="1">IF(ISNUMBER(_xll.VoseSimPercentile(Total_F,$B87)),_xll.VoseSimPercentile(Total_F,$B87),NA())</f>
        <v>7.7043686596335563</v>
      </c>
      <c r="E87" s="58" cm="1">
        <f t="array" aca="1" ref="E87" ca="1">IF(ISNUMBER(_xll.VoseSimPercentile(Total_U,$B87)),_xll.VoseSimPercentile(Total_U,$B87),NA())</f>
        <v>7.7042226827904212</v>
      </c>
    </row>
    <row r="88" spans="2:5" hidden="1" outlineLevel="1" x14ac:dyDescent="0.45">
      <c r="B88" s="57">
        <v>0.71</v>
      </c>
      <c r="C88" s="57">
        <f t="shared" si="1"/>
        <v>0.29000000000000004</v>
      </c>
      <c r="D88" s="58" cm="1">
        <f t="array" aca="1" ref="D88" ca="1">IF(ISNUMBER(_xll.VoseSimPercentile(Total_F,$B88)),_xll.VoseSimPercentile(Total_F,$B88),NA())</f>
        <v>7.8330992315540007</v>
      </c>
      <c r="E88" s="58" cm="1">
        <f t="array" aca="1" ref="E88" ca="1">IF(ISNUMBER(_xll.VoseSimPercentile(Total_U,$B88)),_xll.VoseSimPercentile(Total_U,$B88),NA())</f>
        <v>7.839522744375012</v>
      </c>
    </row>
    <row r="89" spans="2:5" hidden="1" outlineLevel="1" x14ac:dyDescent="0.45">
      <c r="B89" s="57">
        <v>0.73</v>
      </c>
      <c r="C89" s="57">
        <f t="shared" si="1"/>
        <v>0.27</v>
      </c>
      <c r="D89" s="58" cm="1">
        <f t="array" aca="1" ref="D89" ca="1">IF(ISNUMBER(_xll.VoseSimPercentile(Total_F,$B89)),_xll.VoseSimPercentile(Total_F,$B89),NA())</f>
        <v>7.9513141895220247</v>
      </c>
      <c r="E89" s="58" cm="1">
        <f t="array" aca="1" ref="E89" ca="1">IF(ISNUMBER(_xll.VoseSimPercentile(Total_U,$B89)),_xll.VoseSimPercentile(Total_U,$B89),NA())</f>
        <v>7.9775122176394184</v>
      </c>
    </row>
    <row r="90" spans="2:5" hidden="1" outlineLevel="1" x14ac:dyDescent="0.45">
      <c r="B90" s="57">
        <v>0.75</v>
      </c>
      <c r="C90" s="57">
        <f t="shared" si="1"/>
        <v>0.25</v>
      </c>
      <c r="D90" s="58" cm="1">
        <f t="array" aca="1" ref="D90" ca="1">IF(ISNUMBER(_xll.VoseSimPercentile(Total_F,$B90)),_xll.VoseSimPercentile(Total_F,$B90),NA())</f>
        <v>8.0959273731922572</v>
      </c>
      <c r="E90" s="58" cm="1">
        <f t="array" aca="1" ref="E90" ca="1">IF(ISNUMBER(_xll.VoseSimPercentile(Total_U,$B90)),_xll.VoseSimPercentile(Total_U,$B90),NA())</f>
        <v>8.1354734910713518</v>
      </c>
    </row>
    <row r="91" spans="2:5" hidden="1" outlineLevel="1" x14ac:dyDescent="0.45">
      <c r="B91" s="57">
        <v>0.77</v>
      </c>
      <c r="C91" s="57">
        <f t="shared" si="1"/>
        <v>0.22999999999999998</v>
      </c>
      <c r="D91" s="58" cm="1">
        <f t="array" aca="1" ref="D91" ca="1">IF(ISNUMBER(_xll.VoseSimPercentile(Total_F,$B91)),_xll.VoseSimPercentile(Total_F,$B91),NA())</f>
        <v>8.2512124293131581</v>
      </c>
      <c r="E91" s="58" cm="1">
        <f t="array" aca="1" ref="E91" ca="1">IF(ISNUMBER(_xll.VoseSimPercentile(Total_U,$B91)),_xll.VoseSimPercentile(Total_U,$B91),NA())</f>
        <v>8.301661225312122</v>
      </c>
    </row>
    <row r="92" spans="2:5" hidden="1" outlineLevel="1" x14ac:dyDescent="0.45">
      <c r="B92" s="57">
        <v>0.79</v>
      </c>
      <c r="C92" s="57">
        <f t="shared" si="1"/>
        <v>0.20999999999999996</v>
      </c>
      <c r="D92" s="58" cm="1">
        <f t="array" aca="1" ref="D92" ca="1">IF(ISNUMBER(_xll.VoseSimPercentile(Total_F,$B92)),_xll.VoseSimPercentile(Total_F,$B92),NA())</f>
        <v>8.4347477528510328</v>
      </c>
      <c r="E92" s="58" cm="1">
        <f t="array" aca="1" ref="E92" ca="1">IF(ISNUMBER(_xll.VoseSimPercentile(Total_U,$B92)),_xll.VoseSimPercentile(Total_U,$B92),NA())</f>
        <v>8.4727174054892878</v>
      </c>
    </row>
    <row r="93" spans="2:5" hidden="1" outlineLevel="1" x14ac:dyDescent="0.45">
      <c r="B93" s="57">
        <v>0.81</v>
      </c>
      <c r="C93" s="57">
        <f t="shared" si="1"/>
        <v>0.18999999999999995</v>
      </c>
      <c r="D93" s="58" cm="1">
        <f t="array" aca="1" ref="D93" ca="1">IF(ISNUMBER(_xll.VoseSimPercentile(Total_F,$B93)),_xll.VoseSimPercentile(Total_F,$B93),NA())</f>
        <v>8.6161458730606704</v>
      </c>
      <c r="E93" s="58" cm="1">
        <f t="array" aca="1" ref="E93" ca="1">IF(ISNUMBER(_xll.VoseSimPercentile(Total_U,$B93)),_xll.VoseSimPercentile(Total_U,$B93),NA())</f>
        <v>8.6635036758295332</v>
      </c>
    </row>
    <row r="94" spans="2:5" hidden="1" outlineLevel="1" x14ac:dyDescent="0.45">
      <c r="B94" s="57">
        <v>0.83</v>
      </c>
      <c r="C94" s="57">
        <f t="shared" si="1"/>
        <v>0.17000000000000004</v>
      </c>
      <c r="D94" s="58" cm="1">
        <f t="array" aca="1" ref="D94" ca="1">IF(ISNUMBER(_xll.VoseSimPercentile(Total_F,$B94)),_xll.VoseSimPercentile(Total_F,$B94),NA())</f>
        <v>8.8333911446514204</v>
      </c>
      <c r="E94" s="58" cm="1">
        <f t="array" aca="1" ref="E94" ca="1">IF(ISNUMBER(_xll.VoseSimPercentile(Total_U,$B94)),_xll.VoseSimPercentile(Total_U,$B94),NA())</f>
        <v>8.8964186168659545</v>
      </c>
    </row>
    <row r="95" spans="2:5" hidden="1" outlineLevel="1" x14ac:dyDescent="0.45">
      <c r="B95" s="57">
        <v>0.85</v>
      </c>
      <c r="C95" s="57">
        <f t="shared" si="1"/>
        <v>0.15000000000000002</v>
      </c>
      <c r="D95" s="58" cm="1">
        <f t="array" aca="1" ref="D95" ca="1">IF(ISNUMBER(_xll.VoseSimPercentile(Total_F,$B95)),_xll.VoseSimPercentile(Total_F,$B95),NA())</f>
        <v>9.0782929797619047</v>
      </c>
      <c r="E95" s="58" cm="1">
        <f t="array" aca="1" ref="E95" ca="1">IF(ISNUMBER(_xll.VoseSimPercentile(Total_U,$B95)),_xll.VoseSimPercentile(Total_U,$B95),NA())</f>
        <v>9.150941719573872</v>
      </c>
    </row>
    <row r="96" spans="2:5" hidden="1" outlineLevel="1" x14ac:dyDescent="0.45">
      <c r="B96" s="57">
        <v>0.87</v>
      </c>
      <c r="C96" s="57">
        <f t="shared" si="1"/>
        <v>0.13</v>
      </c>
      <c r="D96" s="58" cm="1">
        <f t="array" aca="1" ref="D96" ca="1">IF(ISNUMBER(_xll.VoseSimPercentile(Total_F,$B96)),_xll.VoseSimPercentile(Total_F,$B96),NA())</f>
        <v>9.3248600553571048</v>
      </c>
      <c r="E96" s="58" cm="1">
        <f t="array" aca="1" ref="E96" ca="1">IF(ISNUMBER(_xll.VoseSimPercentile(Total_U,$B96)),_xll.VoseSimPercentile(Total_U,$B96),NA())</f>
        <v>9.4251835155613364</v>
      </c>
    </row>
    <row r="97" spans="2:7" hidden="1" outlineLevel="1" x14ac:dyDescent="0.45">
      <c r="B97" s="57">
        <v>0.89</v>
      </c>
      <c r="C97" s="57">
        <f t="shared" si="1"/>
        <v>0.10999999999999999</v>
      </c>
      <c r="D97" s="58" cm="1">
        <f t="array" aca="1" ref="D97" ca="1">IF(ISNUMBER(_xll.VoseSimPercentile(Total_F,$B97)),_xll.VoseSimPercentile(Total_F,$B97),NA())</f>
        <v>9.6214465074699955</v>
      </c>
      <c r="E97" s="58" cm="1">
        <f t="array" aca="1" ref="E97" ca="1">IF(ISNUMBER(_xll.VoseSimPercentile(Total_U,$B97)),_xll.VoseSimPercentile(Total_U,$B97),NA())</f>
        <v>9.7354018560105029</v>
      </c>
    </row>
    <row r="98" spans="2:7" hidden="1" outlineLevel="1" x14ac:dyDescent="0.45">
      <c r="B98" s="57">
        <v>0.91</v>
      </c>
      <c r="C98" s="57">
        <f t="shared" si="1"/>
        <v>8.9999999999999969E-2</v>
      </c>
      <c r="D98" s="58" cm="1">
        <f t="array" aca="1" ref="D98" ca="1">IF(ISNUMBER(_xll.VoseSimPercentile(Total_F,$B98)),_xll.VoseSimPercentile(Total_F,$B98),NA())</f>
        <v>9.9720655357982881</v>
      </c>
      <c r="E98" s="58" cm="1">
        <f t="array" aca="1" ref="E98" ca="1">IF(ISNUMBER(_xll.VoseSimPercentile(Total_U,$B98)),_xll.VoseSimPercentile(Total_U,$B98),NA())</f>
        <v>10.178054562859112</v>
      </c>
    </row>
    <row r="99" spans="2:7" hidden="1" outlineLevel="1" x14ac:dyDescent="0.45">
      <c r="B99" s="57">
        <v>0.93</v>
      </c>
      <c r="C99" s="57">
        <f t="shared" si="1"/>
        <v>6.9999999999999951E-2</v>
      </c>
      <c r="D99" s="58" cm="1">
        <f t="array" aca="1" ref="D99" ca="1">IF(ISNUMBER(_xll.VoseSimPercentile(Total_F,$B99)),_xll.VoseSimPercentile(Total_F,$B99),NA())</f>
        <v>10.4580524413263</v>
      </c>
      <c r="E99" s="58" cm="1">
        <f t="array" aca="1" ref="E99" ca="1">IF(ISNUMBER(_xll.VoseSimPercentile(Total_U,$B99)),_xll.VoseSimPercentile(Total_U,$B99),NA())</f>
        <v>10.633885860069977</v>
      </c>
    </row>
    <row r="100" spans="2:7" hidden="1" outlineLevel="1" x14ac:dyDescent="0.45">
      <c r="B100" s="57">
        <v>0.95</v>
      </c>
      <c r="C100" s="57">
        <f t="shared" si="1"/>
        <v>5.0000000000000044E-2</v>
      </c>
      <c r="D100" s="58" cm="1">
        <f t="array" aca="1" ref="D100" ca="1">IF(ISNUMBER(_xll.VoseSimPercentile(Total_F,$B100)),_xll.VoseSimPercentile(Total_F,$B100),NA())</f>
        <v>11.016730963333789</v>
      </c>
      <c r="E100" s="58" cm="1">
        <f t="array" aca="1" ref="E100" ca="1">IF(ISNUMBER(_xll.VoseSimPercentile(Total_U,$B100)),_xll.VoseSimPercentile(Total_U,$B100),NA())</f>
        <v>11.334745442517884</v>
      </c>
    </row>
    <row r="101" spans="2:7" hidden="1" outlineLevel="1" x14ac:dyDescent="0.45">
      <c r="B101" s="57">
        <v>0.97</v>
      </c>
      <c r="C101" s="57">
        <f t="shared" si="1"/>
        <v>3.0000000000000027E-2</v>
      </c>
      <c r="D101" s="58" cm="1">
        <f t="array" aca="1" ref="D101" ca="1">IF(ISNUMBER(_xll.VoseSimPercentile(Total_F,$B101)),_xll.VoseSimPercentile(Total_F,$B101),NA())</f>
        <v>11.846709500757877</v>
      </c>
      <c r="E101" s="58" cm="1">
        <f t="array" aca="1" ref="E101" ca="1">IF(ISNUMBER(_xll.VoseSimPercentile(Total_U,$B101)),_xll.VoseSimPercentile(Total_U,$B101),NA())</f>
        <v>12.424539775885359</v>
      </c>
    </row>
    <row r="102" spans="2:7" hidden="1" outlineLevel="1" x14ac:dyDescent="0.45">
      <c r="B102" s="57">
        <v>0.99</v>
      </c>
      <c r="C102" s="57">
        <f t="shared" si="1"/>
        <v>1.0000000000000009E-2</v>
      </c>
      <c r="D102" s="58" cm="1">
        <f t="array" aca="1" ref="D102" ca="1">IF(ISNUMBER(_xll.VoseSimPercentile(Total_F,$B102)),_xll.VoseSimPercentile(Total_F,$B102),NA())</f>
        <v>14.193939155536718</v>
      </c>
      <c r="E102" s="58" cm="1">
        <f t="array" aca="1" ref="E102" ca="1">IF(ISNUMBER(_xll.VoseSimPercentile(Total_U,$B102)),_xll.VoseSimPercentile(Total_U,$B102),NA())</f>
        <v>15.436861725257611</v>
      </c>
    </row>
    <row r="103" spans="2:7" hidden="1" outlineLevel="1" x14ac:dyDescent="0.45"/>
    <row r="104" spans="2:7" ht="18" hidden="1" customHeight="1" outlineLevel="1" x14ac:dyDescent="0.45">
      <c r="B104" s="23" t="s">
        <v>210</v>
      </c>
      <c r="C104" s="24" t="s">
        <v>109</v>
      </c>
      <c r="D104" s="5"/>
      <c r="E104" s="5"/>
      <c r="F104" s="5"/>
      <c r="G104" s="5"/>
    </row>
    <row r="105" spans="2:7" hidden="1" outlineLevel="1" x14ac:dyDescent="0.45">
      <c r="B105" s="59">
        <v>5.0000000000000001E-3</v>
      </c>
      <c r="C105" s="58" cm="1">
        <f t="array" aca="1" ref="C105" ca="1">IF(ISNUMBER(_xll.VoseSimPercentile(Total_U,0.005)),_xll.VoseSimPercentile(Total_U,0.005),NA())</f>
        <v>2.8555710514925323</v>
      </c>
    </row>
    <row r="106" spans="2:7" hidden="1" outlineLevel="1" x14ac:dyDescent="0.45">
      <c r="B106" s="59">
        <v>0.01</v>
      </c>
      <c r="C106" s="58" cm="1">
        <f t="array" aca="1" ref="C106" ca="1">IF(ISNUMBER(_xll.VoseSimPercentile(Total_U,0.01)),_xll.VoseSimPercentile(Total_U,0.01),NA())</f>
        <v>3.1359328464297822</v>
      </c>
    </row>
    <row r="107" spans="2:7" hidden="1" outlineLevel="1" x14ac:dyDescent="0.45">
      <c r="B107" s="59">
        <v>0.02</v>
      </c>
      <c r="C107" s="58" cm="1">
        <f t="array" aca="1" ref="C107" ca="1">IF(ISNUMBER(_xll.VoseSimPercentile(Total_U,0.02)),_xll.VoseSimPercentile(Total_U,0.02),NA())</f>
        <v>3.4938677444228126</v>
      </c>
    </row>
    <row r="108" spans="2:7" hidden="1" outlineLevel="1" x14ac:dyDescent="0.45">
      <c r="B108" s="59">
        <v>0.03</v>
      </c>
      <c r="C108" s="58" cm="1">
        <f t="array" aca="1" ref="C108" ca="1">IF(ISNUMBER(_xll.VoseSimPercentile(Total_U,0.03)),_xll.VoseSimPercentile(Total_U,0.03),NA())</f>
        <v>3.6576697508759555</v>
      </c>
    </row>
    <row r="109" spans="2:7" hidden="1" outlineLevel="1" x14ac:dyDescent="0.45">
      <c r="B109" s="59">
        <v>0.04</v>
      </c>
      <c r="C109" s="58" cm="1">
        <f t="array" aca="1" ref="C109" ca="1">IF(ISNUMBER(_xll.VoseSimPercentile(Total_U,0.04)),_xll.VoseSimPercentile(Total_U,0.04),NA())</f>
        <v>3.8018545486582664</v>
      </c>
    </row>
    <row r="110" spans="2:7" hidden="1" outlineLevel="1" x14ac:dyDescent="0.45">
      <c r="B110" s="59">
        <v>0.05</v>
      </c>
      <c r="C110" s="58" cm="1">
        <f t="array" aca="1" ref="C110" ca="1">IF(ISNUMBER(_xll.VoseSimPercentile(Total_U,0.05)),_xll.VoseSimPercentile(Total_U,0.05),NA())</f>
        <v>3.9341813642031842</v>
      </c>
    </row>
    <row r="111" spans="2:7" hidden="1" outlineLevel="1" x14ac:dyDescent="0.45">
      <c r="B111" s="59">
        <v>0.06</v>
      </c>
      <c r="C111" s="58" cm="1">
        <f t="array" aca="1" ref="C111" ca="1">IF(ISNUMBER(_xll.VoseSimPercentile(Total_U,0.06)),_xll.VoseSimPercentile(Total_U,0.06),NA())</f>
        <v>4.0360435907797205</v>
      </c>
    </row>
    <row r="112" spans="2:7" hidden="1" outlineLevel="1" x14ac:dyDescent="0.45">
      <c r="B112" s="59">
        <v>7.0000000000000007E-2</v>
      </c>
      <c r="C112" s="58" cm="1">
        <f t="array" aca="1" ref="C112" ca="1">IF(ISNUMBER(_xll.VoseSimPercentile(Total_U,0.07)),_xll.VoseSimPercentile(Total_U,0.07),NA())</f>
        <v>4.146233355374326</v>
      </c>
    </row>
    <row r="113" spans="2:3" hidden="1" outlineLevel="1" x14ac:dyDescent="0.45">
      <c r="B113" s="59">
        <v>0.08</v>
      </c>
      <c r="C113" s="58" cm="1">
        <f t="array" aca="1" ref="C113" ca="1">IF(ISNUMBER(_xll.VoseSimPercentile(Total_U,0.08)),_xll.VoseSimPercentile(Total_U,0.08),NA())</f>
        <v>4.2365961690909515</v>
      </c>
    </row>
    <row r="114" spans="2:3" hidden="1" outlineLevel="1" x14ac:dyDescent="0.45">
      <c r="B114" s="59">
        <v>0.09</v>
      </c>
      <c r="C114" s="58" cm="1">
        <f t="array" aca="1" ref="C114" ca="1">IF(ISNUMBER(_xll.VoseSimPercentile(Total_U,0.09)),_xll.VoseSimPercentile(Total_U,0.09),NA())</f>
        <v>4.337759726178299</v>
      </c>
    </row>
    <row r="115" spans="2:3" hidden="1" outlineLevel="1" x14ac:dyDescent="0.45">
      <c r="B115" s="59">
        <v>0.1</v>
      </c>
      <c r="C115" s="58" cm="1">
        <f t="array" aca="1" ref="C115" ca="1">IF(ISNUMBER(_xll.VoseSimPercentile(Total_U,0.1)),_xll.VoseSimPercentile(Total_U,0.1),NA())</f>
        <v>4.4195804337190268</v>
      </c>
    </row>
    <row r="116" spans="2:3" hidden="1" outlineLevel="1" x14ac:dyDescent="0.45">
      <c r="B116" s="59">
        <v>0.11</v>
      </c>
      <c r="C116" s="58" cm="1">
        <f t="array" aca="1" ref="C116" ca="1">IF(ISNUMBER(_xll.VoseSimPercentile(Total_U,0.11)),_xll.VoseSimPercentile(Total_U,0.11),NA())</f>
        <v>4.5070684596549251</v>
      </c>
    </row>
    <row r="117" spans="2:3" hidden="1" outlineLevel="1" x14ac:dyDescent="0.45">
      <c r="B117" s="59">
        <v>0.12</v>
      </c>
      <c r="C117" s="58" cm="1">
        <f t="array" aca="1" ref="C117" ca="1">IF(ISNUMBER(_xll.VoseSimPercentile(Total_U,0.12)),_xll.VoseSimPercentile(Total_U,0.12),NA())</f>
        <v>4.5808749987895521</v>
      </c>
    </row>
    <row r="118" spans="2:3" hidden="1" outlineLevel="1" x14ac:dyDescent="0.45">
      <c r="B118" s="59">
        <v>0.13</v>
      </c>
      <c r="C118" s="58" cm="1">
        <f t="array" aca="1" ref="C118" ca="1">IF(ISNUMBER(_xll.VoseSimPercentile(Total_U,0.13)),_xll.VoseSimPercentile(Total_U,0.13),NA())</f>
        <v>4.6611410387393937</v>
      </c>
    </row>
    <row r="119" spans="2:3" hidden="1" outlineLevel="1" x14ac:dyDescent="0.45">
      <c r="B119" s="59">
        <v>0.14000000000000001</v>
      </c>
      <c r="C119" s="58" cm="1">
        <f t="array" aca="1" ref="C119" ca="1">IF(ISNUMBER(_xll.VoseSimPercentile(Total_U,0.14)),_xll.VoseSimPercentile(Total_U,0.14),NA())</f>
        <v>4.7391884760019494</v>
      </c>
    </row>
    <row r="120" spans="2:3" hidden="1" outlineLevel="1" x14ac:dyDescent="0.45">
      <c r="B120" s="59">
        <v>0.15</v>
      </c>
      <c r="C120" s="58" cm="1">
        <f t="array" aca="1" ref="C120" ca="1">IF(ISNUMBER(_xll.VoseSimPercentile(Total_U,0.15)),_xll.VoseSimPercentile(Total_U,0.15),NA())</f>
        <v>4.8157743638775026</v>
      </c>
    </row>
    <row r="121" spans="2:3" hidden="1" outlineLevel="1" x14ac:dyDescent="0.45">
      <c r="B121" s="59">
        <v>0.16</v>
      </c>
      <c r="C121" s="58" cm="1">
        <f t="array" aca="1" ref="C121" ca="1">IF(ISNUMBER(_xll.VoseSimPercentile(Total_U,0.16)),_xll.VoseSimPercentile(Total_U,0.16),NA())</f>
        <v>4.8721687080888927</v>
      </c>
    </row>
    <row r="122" spans="2:3" hidden="1" outlineLevel="1" x14ac:dyDescent="0.45">
      <c r="B122" s="59">
        <v>0.17</v>
      </c>
      <c r="C122" s="58" cm="1">
        <f t="array" aca="1" ref="C122" ca="1">IF(ISNUMBER(_xll.VoseSimPercentile(Total_U,0.17)),_xll.VoseSimPercentile(Total_U,0.17),NA())</f>
        <v>4.9420826012784751</v>
      </c>
    </row>
    <row r="123" spans="2:3" hidden="1" outlineLevel="1" x14ac:dyDescent="0.45">
      <c r="B123" s="59">
        <v>0.18</v>
      </c>
      <c r="C123" s="58" cm="1">
        <f t="array" aca="1" ref="C123" ca="1">IF(ISNUMBER(_xll.VoseSimPercentile(Total_U,0.18)),_xll.VoseSimPercentile(Total_U,0.18),NA())</f>
        <v>5.0043016320343918</v>
      </c>
    </row>
    <row r="124" spans="2:3" hidden="1" outlineLevel="1" x14ac:dyDescent="0.45">
      <c r="B124" s="59">
        <v>0.19</v>
      </c>
      <c r="C124" s="58" cm="1">
        <f t="array" aca="1" ref="C124" ca="1">IF(ISNUMBER(_xll.VoseSimPercentile(Total_U,0.19)),_xll.VoseSimPercentile(Total_U,0.19),NA())</f>
        <v>5.059354960772656</v>
      </c>
    </row>
    <row r="125" spans="2:3" hidden="1" outlineLevel="1" x14ac:dyDescent="0.45">
      <c r="B125" s="59">
        <v>0.2</v>
      </c>
      <c r="C125" s="58" cm="1">
        <f t="array" aca="1" ref="C125" ca="1">IF(ISNUMBER(_xll.VoseSimPercentile(Total_U,0.2)),_xll.VoseSimPercentile(Total_U,0.2),NA())</f>
        <v>5.110114259230234</v>
      </c>
    </row>
    <row r="126" spans="2:3" hidden="1" outlineLevel="1" x14ac:dyDescent="0.45">
      <c r="B126" s="59">
        <v>0.21</v>
      </c>
      <c r="C126" s="58" cm="1">
        <f t="array" aca="1" ref="C126" ca="1">IF(ISNUMBER(_xll.VoseSimPercentile(Total_U,0.21)),_xll.VoseSimPercentile(Total_U,0.21),NA())</f>
        <v>5.1570854287450123</v>
      </c>
    </row>
    <row r="127" spans="2:3" hidden="1" outlineLevel="1" x14ac:dyDescent="0.45">
      <c r="B127" s="59">
        <v>0.22</v>
      </c>
      <c r="C127" s="58" cm="1">
        <f t="array" aca="1" ref="C127" ca="1">IF(ISNUMBER(_xll.VoseSimPercentile(Total_U,0.22)),_xll.VoseSimPercentile(Total_U,0.22),NA())</f>
        <v>5.2110360809212608</v>
      </c>
    </row>
    <row r="128" spans="2:3" hidden="1" outlineLevel="1" x14ac:dyDescent="0.45">
      <c r="B128" s="59">
        <v>0.23</v>
      </c>
      <c r="C128" s="58" cm="1">
        <f t="array" aca="1" ref="C128" ca="1">IF(ISNUMBER(_xll.VoseSimPercentile(Total_U,0.23)),_xll.VoseSimPercentile(Total_U,0.23),NA())</f>
        <v>5.2548191802714825</v>
      </c>
    </row>
    <row r="129" spans="2:3" hidden="1" outlineLevel="1" x14ac:dyDescent="0.45">
      <c r="B129" s="59">
        <v>0.24</v>
      </c>
      <c r="C129" s="58" cm="1">
        <f t="array" aca="1" ref="C129" ca="1">IF(ISNUMBER(_xll.VoseSimPercentile(Total_U,0.24)),_xll.VoseSimPercentile(Total_U,0.24),NA())</f>
        <v>5.3064021691702719</v>
      </c>
    </row>
    <row r="130" spans="2:3" hidden="1" outlineLevel="1" x14ac:dyDescent="0.45">
      <c r="B130" s="59">
        <v>0.25</v>
      </c>
      <c r="C130" s="58" cm="1">
        <f t="array" aca="1" ref="C130" ca="1">IF(ISNUMBER(_xll.VoseSimPercentile(Total_U,0.25)),_xll.VoseSimPercentile(Total_U,0.25),NA())</f>
        <v>5.3716411167212188</v>
      </c>
    </row>
    <row r="131" spans="2:3" hidden="1" outlineLevel="1" x14ac:dyDescent="0.45">
      <c r="B131" s="59">
        <v>0.26</v>
      </c>
      <c r="C131" s="58" cm="1">
        <f t="array" aca="1" ref="C131" ca="1">IF(ISNUMBER(_xll.VoseSimPercentile(Total_U,0.26)),_xll.VoseSimPercentile(Total_U,0.26),NA())</f>
        <v>5.4278429642835686</v>
      </c>
    </row>
    <row r="132" spans="2:3" hidden="1" outlineLevel="1" x14ac:dyDescent="0.45">
      <c r="B132" s="59">
        <v>0.27</v>
      </c>
      <c r="C132" s="58" cm="1">
        <f t="array" aca="1" ref="C132" ca="1">IF(ISNUMBER(_xll.VoseSimPercentile(Total_U,0.27)),_xll.VoseSimPercentile(Total_U,0.27),NA())</f>
        <v>5.4765513586840902</v>
      </c>
    </row>
    <row r="133" spans="2:3" hidden="1" outlineLevel="1" x14ac:dyDescent="0.45">
      <c r="B133" s="59">
        <v>0.28000000000000003</v>
      </c>
      <c r="C133" s="58" cm="1">
        <f t="array" aca="1" ref="C133" ca="1">IF(ISNUMBER(_xll.VoseSimPercentile(Total_U,0.28)),_xll.VoseSimPercentile(Total_U,0.28),NA())</f>
        <v>5.5273051188280569</v>
      </c>
    </row>
    <row r="134" spans="2:3" hidden="1" outlineLevel="1" x14ac:dyDescent="0.45">
      <c r="B134" s="59">
        <v>0.28999999999999998</v>
      </c>
      <c r="C134" s="58" cm="1">
        <f t="array" aca="1" ref="C134" ca="1">IF(ISNUMBER(_xll.VoseSimPercentile(Total_U,0.29)),_xll.VoseSimPercentile(Total_U,0.29),NA())</f>
        <v>5.5756072929965645</v>
      </c>
    </row>
    <row r="135" spans="2:3" hidden="1" outlineLevel="1" x14ac:dyDescent="0.45">
      <c r="B135" s="59">
        <v>0.3</v>
      </c>
      <c r="C135" s="58" cm="1">
        <f t="array" aca="1" ref="C135" ca="1">IF(ISNUMBER(_xll.VoseSimPercentile(Total_U,0.3)),_xll.VoseSimPercentile(Total_U,0.3),NA())</f>
        <v>5.6376839768543396</v>
      </c>
    </row>
    <row r="136" spans="2:3" hidden="1" outlineLevel="1" x14ac:dyDescent="0.45">
      <c r="B136" s="59">
        <v>0.31</v>
      </c>
      <c r="C136" s="58" cm="1">
        <f t="array" aca="1" ref="C136" ca="1">IF(ISNUMBER(_xll.VoseSimPercentile(Total_U,0.31)),_xll.VoseSimPercentile(Total_U,0.31),NA())</f>
        <v>5.6904191703515812</v>
      </c>
    </row>
    <row r="137" spans="2:3" hidden="1" outlineLevel="1" x14ac:dyDescent="0.45">
      <c r="B137" s="59">
        <v>0.32</v>
      </c>
      <c r="C137" s="58" cm="1">
        <f t="array" aca="1" ref="C137" ca="1">IF(ISNUMBER(_xll.VoseSimPercentile(Total_U,0.32)),_xll.VoseSimPercentile(Total_U,0.32),NA())</f>
        <v>5.7376880531580303</v>
      </c>
    </row>
    <row r="138" spans="2:3" hidden="1" outlineLevel="1" x14ac:dyDescent="0.45">
      <c r="B138" s="59">
        <v>0.33</v>
      </c>
      <c r="C138" s="58" cm="1">
        <f t="array" aca="1" ref="C138" ca="1">IF(ISNUMBER(_xll.VoseSimPercentile(Total_U,0.33)),_xll.VoseSimPercentile(Total_U,0.33),NA())</f>
        <v>5.7851013349975808</v>
      </c>
    </row>
    <row r="139" spans="2:3" hidden="1" outlineLevel="1" x14ac:dyDescent="0.45">
      <c r="B139" s="59">
        <v>0.34</v>
      </c>
      <c r="C139" s="58" cm="1">
        <f t="array" aca="1" ref="C139" ca="1">IF(ISNUMBER(_xll.VoseSimPercentile(Total_U,0.34)),_xll.VoseSimPercentile(Total_U,0.34),NA())</f>
        <v>5.8330099312389576</v>
      </c>
    </row>
    <row r="140" spans="2:3" hidden="1" outlineLevel="1" x14ac:dyDescent="0.45">
      <c r="B140" s="59">
        <v>0.35</v>
      </c>
      <c r="C140" s="58" cm="1">
        <f t="array" aca="1" ref="C140" ca="1">IF(ISNUMBER(_xll.VoseSimPercentile(Total_U,0.35)),_xll.VoseSimPercentile(Total_U,0.35),NA())</f>
        <v>5.8888167367732498</v>
      </c>
    </row>
    <row r="141" spans="2:3" hidden="1" outlineLevel="1" x14ac:dyDescent="0.45">
      <c r="B141" s="59">
        <v>0.36</v>
      </c>
      <c r="C141" s="58" cm="1">
        <f t="array" aca="1" ref="C141" ca="1">IF(ISNUMBER(_xll.VoseSimPercentile(Total_U,0.36)),_xll.VoseSimPercentile(Total_U,0.36),NA())</f>
        <v>5.9292281463518544</v>
      </c>
    </row>
    <row r="142" spans="2:3" hidden="1" outlineLevel="1" x14ac:dyDescent="0.45">
      <c r="B142" s="59">
        <v>0.37</v>
      </c>
      <c r="C142" s="58" cm="1">
        <f t="array" aca="1" ref="C142" ca="1">IF(ISNUMBER(_xll.VoseSimPercentile(Total_U,0.37)),_xll.VoseSimPercentile(Total_U,0.37),NA())</f>
        <v>5.9867783818809519</v>
      </c>
    </row>
    <row r="143" spans="2:3" hidden="1" outlineLevel="1" x14ac:dyDescent="0.45">
      <c r="B143" s="59">
        <v>0.38</v>
      </c>
      <c r="C143" s="58" cm="1">
        <f t="array" aca="1" ref="C143" ca="1">IF(ISNUMBER(_xll.VoseSimPercentile(Total_U,0.38)),_xll.VoseSimPercentile(Total_U,0.38),NA())</f>
        <v>6.0342125674076836</v>
      </c>
    </row>
    <row r="144" spans="2:3" hidden="1" outlineLevel="1" x14ac:dyDescent="0.45">
      <c r="B144" s="59">
        <v>0.39</v>
      </c>
      <c r="C144" s="58" cm="1">
        <f t="array" aca="1" ref="C144" ca="1">IF(ISNUMBER(_xll.VoseSimPercentile(Total_U,0.39)),_xll.VoseSimPercentile(Total_U,0.39),NA())</f>
        <v>6.0805653764095853</v>
      </c>
    </row>
    <row r="145" spans="2:3" hidden="1" outlineLevel="1" x14ac:dyDescent="0.45">
      <c r="B145" s="59">
        <v>0.4</v>
      </c>
      <c r="C145" s="58" cm="1">
        <f t="array" aca="1" ref="C145" ca="1">IF(ISNUMBER(_xll.VoseSimPercentile(Total_U,0.4)),_xll.VoseSimPercentile(Total_U,0.4),NA())</f>
        <v>6.130925807170903</v>
      </c>
    </row>
    <row r="146" spans="2:3" hidden="1" outlineLevel="1" x14ac:dyDescent="0.45">
      <c r="B146" s="59">
        <v>0.41</v>
      </c>
      <c r="C146" s="58" cm="1">
        <f t="array" aca="1" ref="C146" ca="1">IF(ISNUMBER(_xll.VoseSimPercentile(Total_U,0.41)),_xll.VoseSimPercentile(Total_U,0.41),NA())</f>
        <v>6.1838773092907315</v>
      </c>
    </row>
    <row r="147" spans="2:3" hidden="1" outlineLevel="1" x14ac:dyDescent="0.45">
      <c r="B147" s="59">
        <v>0.42</v>
      </c>
      <c r="C147" s="58" cm="1">
        <f t="array" aca="1" ref="C147" ca="1">IF(ISNUMBER(_xll.VoseSimPercentile(Total_U,0.42)),_xll.VoseSimPercentile(Total_U,0.42),NA())</f>
        <v>6.2332881863731719</v>
      </c>
    </row>
    <row r="148" spans="2:3" hidden="1" outlineLevel="1" x14ac:dyDescent="0.45">
      <c r="B148" s="59">
        <v>0.43</v>
      </c>
      <c r="C148" s="58" cm="1">
        <f t="array" aca="1" ref="C148" ca="1">IF(ISNUMBER(_xll.VoseSimPercentile(Total_U,0.43)),_xll.VoseSimPercentile(Total_U,0.43),NA())</f>
        <v>6.2772372717769791</v>
      </c>
    </row>
    <row r="149" spans="2:3" hidden="1" outlineLevel="1" x14ac:dyDescent="0.45">
      <c r="B149" s="59">
        <v>0.44</v>
      </c>
      <c r="C149" s="58" cm="1">
        <f t="array" aca="1" ref="C149" ca="1">IF(ISNUMBER(_xll.VoseSimPercentile(Total_U,0.44)),_xll.VoseSimPercentile(Total_U,0.44),NA())</f>
        <v>6.3246775348743833</v>
      </c>
    </row>
    <row r="150" spans="2:3" hidden="1" outlineLevel="1" x14ac:dyDescent="0.45">
      <c r="B150" s="59">
        <v>0.45</v>
      </c>
      <c r="C150" s="58" cm="1">
        <f t="array" aca="1" ref="C150" ca="1">IF(ISNUMBER(_xll.VoseSimPercentile(Total_U,0.45)),_xll.VoseSimPercentile(Total_U,0.45),NA())</f>
        <v>6.373684160514876</v>
      </c>
    </row>
    <row r="151" spans="2:3" hidden="1" outlineLevel="1" x14ac:dyDescent="0.45">
      <c r="B151" s="59">
        <v>0.46</v>
      </c>
      <c r="C151" s="58" cm="1">
        <f t="array" aca="1" ref="C151" ca="1">IF(ISNUMBER(_xll.VoseSimPercentile(Total_U,0.46)),_xll.VoseSimPercentile(Total_U,0.46),NA())</f>
        <v>6.4260721864383701</v>
      </c>
    </row>
    <row r="152" spans="2:3" hidden="1" outlineLevel="1" x14ac:dyDescent="0.45">
      <c r="B152" s="59">
        <v>0.47</v>
      </c>
      <c r="C152" s="58" cm="1">
        <f t="array" aca="1" ref="C152" ca="1">IF(ISNUMBER(_xll.VoseSimPercentile(Total_U,0.47)),_xll.VoseSimPercentile(Total_U,0.47),NA())</f>
        <v>6.4774828596984442</v>
      </c>
    </row>
    <row r="153" spans="2:3" hidden="1" outlineLevel="1" x14ac:dyDescent="0.45">
      <c r="B153" s="59">
        <v>0.48</v>
      </c>
      <c r="C153" s="58" cm="1">
        <f t="array" aca="1" ref="C153" ca="1">IF(ISNUMBER(_xll.VoseSimPercentile(Total_U,0.48)),_xll.VoseSimPercentile(Total_U,0.48),NA())</f>
        <v>6.5343197059199252</v>
      </c>
    </row>
    <row r="154" spans="2:3" hidden="1" outlineLevel="1" x14ac:dyDescent="0.45">
      <c r="B154" s="59">
        <v>0.49</v>
      </c>
      <c r="C154" s="58" cm="1">
        <f t="array" aca="1" ref="C154" ca="1">IF(ISNUMBER(_xll.VoseSimPercentile(Total_U,0.49)),_xll.VoseSimPercentile(Total_U,0.49),NA())</f>
        <v>6.5806909682077093</v>
      </c>
    </row>
    <row r="155" spans="2:3" hidden="1" outlineLevel="1" x14ac:dyDescent="0.45">
      <c r="B155" s="59">
        <v>0.5</v>
      </c>
      <c r="C155" s="58" cm="1">
        <f t="array" aca="1" ref="C155" ca="1">IF(ISNUMBER(_xll.VoseSimPercentile(Total_U,0.5)),_xll.VoseSimPercentile(Total_U,0.5),NA())</f>
        <v>6.6265976563211151</v>
      </c>
    </row>
    <row r="156" spans="2:3" hidden="1" outlineLevel="1" x14ac:dyDescent="0.45">
      <c r="B156" s="59">
        <v>0.51</v>
      </c>
      <c r="C156" s="58" cm="1">
        <f t="array" aca="1" ref="C156" ca="1">IF(ISNUMBER(_xll.VoseSimPercentile(Total_U,0.51)),_xll.VoseSimPercentile(Total_U,0.51),NA())</f>
        <v>6.6752018830500832</v>
      </c>
    </row>
    <row r="157" spans="2:3" hidden="1" outlineLevel="1" x14ac:dyDescent="0.45">
      <c r="B157" s="59">
        <v>0.52</v>
      </c>
      <c r="C157" s="58" cm="1">
        <f t="array" aca="1" ref="C157" ca="1">IF(ISNUMBER(_xll.VoseSimPercentile(Total_U,0.52)),_xll.VoseSimPercentile(Total_U,0.52),NA())</f>
        <v>6.7194321935539696</v>
      </c>
    </row>
    <row r="158" spans="2:3" hidden="1" outlineLevel="1" x14ac:dyDescent="0.45">
      <c r="B158" s="59">
        <v>0.53</v>
      </c>
      <c r="C158" s="58" cm="1">
        <f t="array" aca="1" ref="C158" ca="1">IF(ISNUMBER(_xll.VoseSimPercentile(Total_U,0.53)),_xll.VoseSimPercentile(Total_U,0.53),NA())</f>
        <v>6.7652012765448495</v>
      </c>
    </row>
    <row r="159" spans="2:3" hidden="1" outlineLevel="1" x14ac:dyDescent="0.45">
      <c r="B159" s="59">
        <v>0.54</v>
      </c>
      <c r="C159" s="58" cm="1">
        <f t="array" aca="1" ref="C159" ca="1">IF(ISNUMBER(_xll.VoseSimPercentile(Total_U,0.54)),_xll.VoseSimPercentile(Total_U,0.54),NA())</f>
        <v>6.8213946698230794</v>
      </c>
    </row>
    <row r="160" spans="2:3" hidden="1" outlineLevel="1" x14ac:dyDescent="0.45">
      <c r="B160" s="59">
        <v>0.55000000000000004</v>
      </c>
      <c r="C160" s="58" cm="1">
        <f t="array" aca="1" ref="C160" ca="1">IF(ISNUMBER(_xll.VoseSimPercentile(Total_U,0.55)),_xll.VoseSimPercentile(Total_U,0.55),NA())</f>
        <v>6.879382436160939</v>
      </c>
    </row>
    <row r="161" spans="2:3" hidden="1" outlineLevel="1" x14ac:dyDescent="0.45">
      <c r="B161" s="59">
        <v>0.56000000000000005</v>
      </c>
      <c r="C161" s="58" cm="1">
        <f t="array" aca="1" ref="C161" ca="1">IF(ISNUMBER(_xll.VoseSimPercentile(Total_U,0.56)),_xll.VoseSimPercentile(Total_U,0.56),NA())</f>
        <v>6.9390058381131077</v>
      </c>
    </row>
    <row r="162" spans="2:3" hidden="1" outlineLevel="1" x14ac:dyDescent="0.45">
      <c r="B162" s="59">
        <v>0.56999999999999995</v>
      </c>
      <c r="C162" s="58" cm="1">
        <f t="array" aca="1" ref="C162" ca="1">IF(ISNUMBER(_xll.VoseSimPercentile(Total_U,0.57)),_xll.VoseSimPercentile(Total_U,0.57),NA())</f>
        <v>6.9945591775637208</v>
      </c>
    </row>
    <row r="163" spans="2:3" hidden="1" outlineLevel="1" x14ac:dyDescent="0.45">
      <c r="B163" s="59">
        <v>0.57999999999999996</v>
      </c>
      <c r="C163" s="58" cm="1">
        <f t="array" aca="1" ref="C163" ca="1">IF(ISNUMBER(_xll.VoseSimPercentile(Total_U,0.58)),_xll.VoseSimPercentile(Total_U,0.58),NA())</f>
        <v>7.0481969295388582</v>
      </c>
    </row>
    <row r="164" spans="2:3" hidden="1" outlineLevel="1" x14ac:dyDescent="0.45">
      <c r="B164" s="59">
        <v>0.59</v>
      </c>
      <c r="C164" s="58" cm="1">
        <f t="array" aca="1" ref="C164" ca="1">IF(ISNUMBER(_xll.VoseSimPercentile(Total_U,0.59)),_xll.VoseSimPercentile(Total_U,0.59),NA())</f>
        <v>7.1085845685759264</v>
      </c>
    </row>
    <row r="165" spans="2:3" hidden="1" outlineLevel="1" x14ac:dyDescent="0.45">
      <c r="B165" s="59">
        <v>0.6</v>
      </c>
      <c r="C165" s="58" cm="1">
        <f t="array" aca="1" ref="C165" ca="1">IF(ISNUMBER(_xll.VoseSimPercentile(Total_U,0.6)),_xll.VoseSimPercentile(Total_U,0.6),NA())</f>
        <v>7.1612571813367243</v>
      </c>
    </row>
    <row r="166" spans="2:3" hidden="1" outlineLevel="1" x14ac:dyDescent="0.45">
      <c r="B166" s="59">
        <v>0.61</v>
      </c>
      <c r="C166" s="58" cm="1">
        <f t="array" aca="1" ref="C166" ca="1">IF(ISNUMBER(_xll.VoseSimPercentile(Total_U,0.61)),_xll.VoseSimPercentile(Total_U,0.61),NA())</f>
        <v>7.2180650016388483</v>
      </c>
    </row>
    <row r="167" spans="2:3" hidden="1" outlineLevel="1" x14ac:dyDescent="0.45">
      <c r="B167" s="59">
        <v>0.62</v>
      </c>
      <c r="C167" s="58" cm="1">
        <f t="array" aca="1" ref="C167" ca="1">IF(ISNUMBER(_xll.VoseSimPercentile(Total_U,0.62)),_xll.VoseSimPercentile(Total_U,0.62),NA())</f>
        <v>7.2747322685995508</v>
      </c>
    </row>
    <row r="168" spans="2:3" hidden="1" outlineLevel="1" x14ac:dyDescent="0.45">
      <c r="B168" s="59">
        <v>0.63</v>
      </c>
      <c r="C168" s="58" cm="1">
        <f t="array" aca="1" ref="C168" ca="1">IF(ISNUMBER(_xll.VoseSimPercentile(Total_U,0.63)),_xll.VoseSimPercentile(Total_U,0.63),NA())</f>
        <v>7.3276619068896327</v>
      </c>
    </row>
    <row r="169" spans="2:3" hidden="1" outlineLevel="1" x14ac:dyDescent="0.45">
      <c r="B169" s="59">
        <v>0.64</v>
      </c>
      <c r="C169" s="58" cm="1">
        <f t="array" aca="1" ref="C169" ca="1">IF(ISNUMBER(_xll.VoseSimPercentile(Total_U,0.64)),_xll.VoseSimPercentile(Total_U,0.64),NA())</f>
        <v>7.3886663350897468</v>
      </c>
    </row>
    <row r="170" spans="2:3" hidden="1" outlineLevel="1" x14ac:dyDescent="0.45">
      <c r="B170" s="59">
        <v>0.65</v>
      </c>
      <c r="C170" s="58" cm="1">
        <f t="array" aca="1" ref="C170" ca="1">IF(ISNUMBER(_xll.VoseSimPercentile(Total_U,0.65)),_xll.VoseSimPercentile(Total_U,0.65),NA())</f>
        <v>7.4577128354201161</v>
      </c>
    </row>
    <row r="171" spans="2:3" hidden="1" outlineLevel="1" x14ac:dyDescent="0.45">
      <c r="B171" s="59">
        <v>0.66</v>
      </c>
      <c r="C171" s="58" cm="1">
        <f t="array" aca="1" ref="C171" ca="1">IF(ISNUMBER(_xll.VoseSimPercentile(Total_U,0.66)),_xll.VoseSimPercentile(Total_U,0.66),NA())</f>
        <v>7.5257746835423847</v>
      </c>
    </row>
    <row r="172" spans="2:3" hidden="1" outlineLevel="1" x14ac:dyDescent="0.45">
      <c r="B172" s="59">
        <v>0.67</v>
      </c>
      <c r="C172" s="58" cm="1">
        <f t="array" aca="1" ref="C172" ca="1">IF(ISNUMBER(_xll.VoseSimPercentile(Total_U,0.67)),_xll.VoseSimPercentile(Total_U,0.67),NA())</f>
        <v>7.5866901995870792</v>
      </c>
    </row>
    <row r="173" spans="2:3" hidden="1" outlineLevel="1" x14ac:dyDescent="0.45">
      <c r="B173" s="59">
        <v>0.68</v>
      </c>
      <c r="C173" s="58" cm="1">
        <f t="array" aca="1" ref="C173" ca="1">IF(ISNUMBER(_xll.VoseSimPercentile(Total_U,0.68)),_xll.VoseSimPercentile(Total_U,0.68),NA())</f>
        <v>7.6466255991619034</v>
      </c>
    </row>
    <row r="174" spans="2:3" hidden="1" outlineLevel="1" x14ac:dyDescent="0.45">
      <c r="B174" s="59">
        <v>0.69</v>
      </c>
      <c r="C174" s="58" cm="1">
        <f t="array" aca="1" ref="C174" ca="1">IF(ISNUMBER(_xll.VoseSimPercentile(Total_U,0.69)),_xll.VoseSimPercentile(Total_U,0.69),NA())</f>
        <v>7.7042226827904212</v>
      </c>
    </row>
    <row r="175" spans="2:3" hidden="1" outlineLevel="1" x14ac:dyDescent="0.45">
      <c r="B175" s="59">
        <v>0.7</v>
      </c>
      <c r="C175" s="58" cm="1">
        <f t="array" aca="1" ref="C175" ca="1">IF(ISNUMBER(_xll.VoseSimPercentile(Total_U,0.7)),_xll.VoseSimPercentile(Total_U,0.7),NA())</f>
        <v>7.773753352030881</v>
      </c>
    </row>
    <row r="176" spans="2:3" hidden="1" outlineLevel="1" x14ac:dyDescent="0.45">
      <c r="B176" s="59">
        <v>0.71</v>
      </c>
      <c r="C176" s="58" cm="1">
        <f t="array" aca="1" ref="C176" ca="1">IF(ISNUMBER(_xll.VoseSimPercentile(Total_U,0.71)),_xll.VoseSimPercentile(Total_U,0.71),NA())</f>
        <v>7.839522744375012</v>
      </c>
    </row>
    <row r="177" spans="2:3" hidden="1" outlineLevel="1" x14ac:dyDescent="0.45">
      <c r="B177" s="59">
        <v>0.72</v>
      </c>
      <c r="C177" s="58" cm="1">
        <f t="array" aca="1" ref="C177" ca="1">IF(ISNUMBER(_xll.VoseSimPercentile(Total_U,0.72)),_xll.VoseSimPercentile(Total_U,0.72),NA())</f>
        <v>7.9081080538848312</v>
      </c>
    </row>
    <row r="178" spans="2:3" hidden="1" outlineLevel="1" x14ac:dyDescent="0.45">
      <c r="B178" s="59">
        <v>0.73</v>
      </c>
      <c r="C178" s="58" cm="1">
        <f t="array" aca="1" ref="C178" ca="1">IF(ISNUMBER(_xll.VoseSimPercentile(Total_U,0.73)),_xll.VoseSimPercentile(Total_U,0.73),NA())</f>
        <v>7.9775122176394184</v>
      </c>
    </row>
    <row r="179" spans="2:3" hidden="1" outlineLevel="1" x14ac:dyDescent="0.45">
      <c r="B179" s="59">
        <v>0.74</v>
      </c>
      <c r="C179" s="58" cm="1">
        <f t="array" aca="1" ref="C179" ca="1">IF(ISNUMBER(_xll.VoseSimPercentile(Total_U,0.74)),_xll.VoseSimPercentile(Total_U,0.74),NA())</f>
        <v>8.05140934567061</v>
      </c>
    </row>
    <row r="180" spans="2:3" hidden="1" outlineLevel="1" x14ac:dyDescent="0.45">
      <c r="B180" s="59">
        <v>0.75</v>
      </c>
      <c r="C180" s="58" cm="1">
        <f t="array" aca="1" ref="C180" ca="1">IF(ISNUMBER(_xll.VoseSimPercentile(Total_U,0.75)),_xll.VoseSimPercentile(Total_U,0.75),NA())</f>
        <v>8.1354734910713518</v>
      </c>
    </row>
    <row r="181" spans="2:3" hidden="1" outlineLevel="1" x14ac:dyDescent="0.45">
      <c r="B181" s="59">
        <v>0.76</v>
      </c>
      <c r="C181" s="58" cm="1">
        <f t="array" aca="1" ref="C181" ca="1">IF(ISNUMBER(_xll.VoseSimPercentile(Total_U,0.76)),_xll.VoseSimPercentile(Total_U,0.76),NA())</f>
        <v>8.2280530220543486</v>
      </c>
    </row>
    <row r="182" spans="2:3" hidden="1" outlineLevel="1" x14ac:dyDescent="0.45">
      <c r="B182" s="59">
        <v>0.77</v>
      </c>
      <c r="C182" s="58" cm="1">
        <f t="array" aca="1" ref="C182" ca="1">IF(ISNUMBER(_xll.VoseSimPercentile(Total_U,0.77)),_xll.VoseSimPercentile(Total_U,0.77),NA())</f>
        <v>8.301661225312122</v>
      </c>
    </row>
    <row r="183" spans="2:3" hidden="1" outlineLevel="1" x14ac:dyDescent="0.45">
      <c r="B183" s="59">
        <v>0.78</v>
      </c>
      <c r="C183" s="58" cm="1">
        <f t="array" aca="1" ref="C183" ca="1">IF(ISNUMBER(_xll.VoseSimPercentile(Total_U,0.78)),_xll.VoseSimPercentile(Total_U,0.78),NA())</f>
        <v>8.377479003902728</v>
      </c>
    </row>
    <row r="184" spans="2:3" hidden="1" outlineLevel="1" x14ac:dyDescent="0.45">
      <c r="B184" s="59">
        <v>0.79</v>
      </c>
      <c r="C184" s="58" cm="1">
        <f t="array" aca="1" ref="C184" ca="1">IF(ISNUMBER(_xll.VoseSimPercentile(Total_U,0.79)),_xll.VoseSimPercentile(Total_U,0.79),NA())</f>
        <v>8.4727174054892878</v>
      </c>
    </row>
    <row r="185" spans="2:3" hidden="1" outlineLevel="1" x14ac:dyDescent="0.45">
      <c r="B185" s="59">
        <v>0.8</v>
      </c>
      <c r="C185" s="58" cm="1">
        <f t="array" aca="1" ref="C185" ca="1">IF(ISNUMBER(_xll.VoseSimPercentile(Total_U,0.8)),_xll.VoseSimPercentile(Total_U,0.8),NA())</f>
        <v>8.5772418504196626</v>
      </c>
    </row>
    <row r="186" spans="2:3" hidden="1" outlineLevel="1" x14ac:dyDescent="0.45">
      <c r="B186" s="59">
        <v>0.81</v>
      </c>
      <c r="C186" s="58" cm="1">
        <f t="array" aca="1" ref="C186" ca="1">IF(ISNUMBER(_xll.VoseSimPercentile(Total_U,0.81)),_xll.VoseSimPercentile(Total_U,0.81),NA())</f>
        <v>8.6635036758295332</v>
      </c>
    </row>
    <row r="187" spans="2:3" hidden="1" outlineLevel="1" x14ac:dyDescent="0.45">
      <c r="B187" s="59">
        <v>0.82</v>
      </c>
      <c r="C187" s="58" cm="1">
        <f t="array" aca="1" ref="C187" ca="1">IF(ISNUMBER(_xll.VoseSimPercentile(Total_U,0.82)),_xll.VoseSimPercentile(Total_U,0.82),NA())</f>
        <v>8.776245668676685</v>
      </c>
    </row>
    <row r="188" spans="2:3" hidden="1" outlineLevel="1" x14ac:dyDescent="0.45">
      <c r="B188" s="59">
        <v>0.83</v>
      </c>
      <c r="C188" s="58" cm="1">
        <f t="array" aca="1" ref="C188" ca="1">IF(ISNUMBER(_xll.VoseSimPercentile(Total_U,0.83)),_xll.VoseSimPercentile(Total_U,0.83),NA())</f>
        <v>8.8964186168659545</v>
      </c>
    </row>
    <row r="189" spans="2:3" hidden="1" outlineLevel="1" x14ac:dyDescent="0.45">
      <c r="B189" s="59">
        <v>0.84</v>
      </c>
      <c r="C189" s="58" cm="1">
        <f t="array" aca="1" ref="C189" ca="1">IF(ISNUMBER(_xll.VoseSimPercentile(Total_U,0.84)),_xll.VoseSimPercentile(Total_U,0.84),NA())</f>
        <v>9.0196976592852884</v>
      </c>
    </row>
    <row r="190" spans="2:3" hidden="1" outlineLevel="1" x14ac:dyDescent="0.45">
      <c r="B190" s="59">
        <v>0.85</v>
      </c>
      <c r="C190" s="58" cm="1">
        <f t="array" aca="1" ref="C190" ca="1">IF(ISNUMBER(_xll.VoseSimPercentile(Total_U,0.85)),_xll.VoseSimPercentile(Total_U,0.85),NA())</f>
        <v>9.150941719573872</v>
      </c>
    </row>
    <row r="191" spans="2:3" hidden="1" outlineLevel="1" x14ac:dyDescent="0.45">
      <c r="B191" s="59">
        <v>0.86</v>
      </c>
      <c r="C191" s="58" cm="1">
        <f t="array" aca="1" ref="C191" ca="1">IF(ISNUMBER(_xll.VoseSimPercentile(Total_U,0.86)),_xll.VoseSimPercentile(Total_U,0.86),NA())</f>
        <v>9.2702276354152566</v>
      </c>
    </row>
    <row r="192" spans="2:3" hidden="1" outlineLevel="1" x14ac:dyDescent="0.45">
      <c r="B192" s="59">
        <v>0.87</v>
      </c>
      <c r="C192" s="58" cm="1">
        <f t="array" aca="1" ref="C192" ca="1">IF(ISNUMBER(_xll.VoseSimPercentile(Total_U,0.87)),_xll.VoseSimPercentile(Total_U,0.87),NA())</f>
        <v>9.4251835155613364</v>
      </c>
    </row>
    <row r="193" spans="2:7" hidden="1" outlineLevel="1" x14ac:dyDescent="0.45">
      <c r="B193" s="59">
        <v>0.88</v>
      </c>
      <c r="C193" s="58" cm="1">
        <f t="array" aca="1" ref="C193" ca="1">IF(ISNUMBER(_xll.VoseSimPercentile(Total_U,0.88)),_xll.VoseSimPercentile(Total_U,0.88),NA())</f>
        <v>9.5799528122452333</v>
      </c>
    </row>
    <row r="194" spans="2:7" hidden="1" outlineLevel="1" x14ac:dyDescent="0.45">
      <c r="B194" s="59">
        <v>0.89</v>
      </c>
      <c r="C194" s="58" cm="1">
        <f t="array" aca="1" ref="C194" ca="1">IF(ISNUMBER(_xll.VoseSimPercentile(Total_U,0.89)),_xll.VoseSimPercentile(Total_U,0.89),NA())</f>
        <v>9.7354018560105029</v>
      </c>
    </row>
    <row r="195" spans="2:7" hidden="1" outlineLevel="1" x14ac:dyDescent="0.45">
      <c r="B195" s="59">
        <v>0.9</v>
      </c>
      <c r="C195" s="58" cm="1">
        <f t="array" aca="1" ref="C195" ca="1">IF(ISNUMBER(_xll.VoseSimPercentile(Total_U,0.9)),_xll.VoseSimPercentile(Total_U,0.9),NA())</f>
        <v>9.9372579284269982</v>
      </c>
    </row>
    <row r="196" spans="2:7" hidden="1" outlineLevel="1" x14ac:dyDescent="0.45">
      <c r="B196" s="59">
        <v>0.91</v>
      </c>
      <c r="C196" s="58" cm="1">
        <f t="array" aca="1" ref="C196" ca="1">IF(ISNUMBER(_xll.VoseSimPercentile(Total_U,0.91)),_xll.VoseSimPercentile(Total_U,0.91),NA())</f>
        <v>10.178054562859112</v>
      </c>
    </row>
    <row r="197" spans="2:7" hidden="1" outlineLevel="1" x14ac:dyDescent="0.45">
      <c r="B197" s="59">
        <v>0.92</v>
      </c>
      <c r="C197" s="58" cm="1">
        <f t="array" aca="1" ref="C197" ca="1">IF(ISNUMBER(_xll.VoseSimPercentile(Total_U,0.92)),_xll.VoseSimPercentile(Total_U,0.92),NA())</f>
        <v>10.401230514373546</v>
      </c>
    </row>
    <row r="198" spans="2:7" hidden="1" outlineLevel="1" x14ac:dyDescent="0.45">
      <c r="B198" s="59">
        <v>0.93</v>
      </c>
      <c r="C198" s="58" cm="1">
        <f t="array" aca="1" ref="C198" ca="1">IF(ISNUMBER(_xll.VoseSimPercentile(Total_U,0.93)),_xll.VoseSimPercentile(Total_U,0.93),NA())</f>
        <v>10.633885860069977</v>
      </c>
    </row>
    <row r="199" spans="2:7" hidden="1" outlineLevel="1" x14ac:dyDescent="0.45">
      <c r="B199" s="59">
        <v>0.94</v>
      </c>
      <c r="C199" s="58" cm="1">
        <f t="array" aca="1" ref="C199" ca="1">IF(ISNUMBER(_xll.VoseSimPercentile(Total_U,0.94)),_xll.VoseSimPercentile(Total_U,0.94),NA())</f>
        <v>10.953057409932503</v>
      </c>
    </row>
    <row r="200" spans="2:7" hidden="1" outlineLevel="1" x14ac:dyDescent="0.45">
      <c r="B200" s="59">
        <v>0.95</v>
      </c>
      <c r="C200" s="58" cm="1">
        <f t="array" aca="1" ref="C200" ca="1">IF(ISNUMBER(_xll.VoseSimPercentile(Total_U,0.95)),_xll.VoseSimPercentile(Total_U,0.95),NA())</f>
        <v>11.334745442517884</v>
      </c>
    </row>
    <row r="201" spans="2:7" hidden="1" outlineLevel="1" x14ac:dyDescent="0.45">
      <c r="B201" s="59">
        <v>0.96</v>
      </c>
      <c r="C201" s="58" cm="1">
        <f t="array" aca="1" ref="C201" ca="1">IF(ISNUMBER(_xll.VoseSimPercentile(Total_U,0.96)),_xll.VoseSimPercentile(Total_U,0.96),NA())</f>
        <v>11.755542074197201</v>
      </c>
    </row>
    <row r="202" spans="2:7" hidden="1" outlineLevel="1" x14ac:dyDescent="0.45">
      <c r="B202" s="59">
        <v>0.97</v>
      </c>
      <c r="C202" s="58" cm="1">
        <f t="array" aca="1" ref="C202" ca="1">IF(ISNUMBER(_xll.VoseSimPercentile(Total_U,0.97)),_xll.VoseSimPercentile(Total_U,0.97),NA())</f>
        <v>12.424539775885359</v>
      </c>
    </row>
    <row r="203" spans="2:7" hidden="1" outlineLevel="1" x14ac:dyDescent="0.45">
      <c r="B203" s="59">
        <v>0.98</v>
      </c>
      <c r="C203" s="58" cm="1">
        <f t="array" aca="1" ref="C203" ca="1">IF(ISNUMBER(_xll.VoseSimPercentile(Total_U,0.98)),_xll.VoseSimPercentile(Total_U,0.98),NA())</f>
        <v>13.41692349682824</v>
      </c>
    </row>
    <row r="204" spans="2:7" hidden="1" outlineLevel="1" x14ac:dyDescent="0.45">
      <c r="B204" s="59">
        <v>0.99</v>
      </c>
      <c r="C204" s="58" cm="1">
        <f t="array" aca="1" ref="C204" ca="1">IF(ISNUMBER(_xll.VoseSimPercentile(Total_U,0.99)),_xll.VoseSimPercentile(Total_U,0.99),NA())</f>
        <v>15.436861725257611</v>
      </c>
    </row>
    <row r="205" spans="2:7" hidden="1" outlineLevel="1" x14ac:dyDescent="0.45">
      <c r="B205" s="59">
        <v>0.995</v>
      </c>
      <c r="C205" s="58" cm="1">
        <f t="array" aca="1" ref="C205" ca="1">IF(ISNUMBER(_xll.VoseSimPercentile(Total_U,0.995)),_xll.VoseSimPercentile(Total_U,0.995),NA())</f>
        <v>17.385239143269978</v>
      </c>
    </row>
    <row r="206" spans="2:7" hidden="1" outlineLevel="1" x14ac:dyDescent="0.45"/>
    <row r="207" spans="2:7" ht="18" hidden="1" customHeight="1" outlineLevel="1" x14ac:dyDescent="0.45">
      <c r="B207" s="23" t="s">
        <v>211</v>
      </c>
      <c r="C207" s="24" t="s">
        <v>212</v>
      </c>
      <c r="D207" s="24" t="s">
        <v>213</v>
      </c>
      <c r="E207" s="24" t="s">
        <v>214</v>
      </c>
      <c r="F207" s="24" t="s">
        <v>215</v>
      </c>
      <c r="G207" s="24" t="s">
        <v>216</v>
      </c>
    </row>
    <row r="208" spans="2:7" hidden="1" outlineLevel="1" x14ac:dyDescent="0.45">
      <c r="B208" s="60">
        <v>0</v>
      </c>
      <c r="C208" s="58">
        <f ca="1">IF(ISNUMBER($C$105),$C$105+($C$205-$C$105)*0/24,NA())</f>
        <v>2.8555710514925323</v>
      </c>
      <c r="D208" s="61">
        <f t="shared" ref="D208:D232" ca="1" si="2">IF(ISNUMBER(C208),MATCH(C208,$C$105:$C$205,1),NA())</f>
        <v>1</v>
      </c>
      <c r="E208" s="58">
        <f t="shared" ref="E208:E231" ca="1" si="3">IF(ISNUMBER(C208),(C208+C209)/2,NA())</f>
        <v>3.1582724700712292</v>
      </c>
      <c r="F208" s="59">
        <f t="shared" ref="F208:F231" ca="1" si="4">IF(ISNUMBER(G209),G209-G208,NA())</f>
        <v>1.408101009548593E-2</v>
      </c>
      <c r="G208" s="59" cm="1">
        <f t="array" aca="1" ref="G208" ca="1">IF(ISNUMBER(D208),IF(D208&gt;=101,INDEX($B$105:$B$205,101),INDEX($B$105:$B$205,D208)+(C208-INDEX($C$105:$C$205,D208))/MAX(0.000000000001,INDEX($C$105:$C$205,D208+1)-INDEX($C$105:$C$205,D208))*(INDEX($B$105:$B$205,D208+1)-INDEX($B$105:$B$205,D208))),NA())</f>
        <v>5.0000000000000001E-3</v>
      </c>
    </row>
    <row r="209" spans="2:7" hidden="1" outlineLevel="1" x14ac:dyDescent="0.45">
      <c r="B209" s="60">
        <v>1</v>
      </c>
      <c r="C209" s="58">
        <f ca="1">IF(ISNUMBER($C$105),$C$105+($C$205-$C$105)*1/24,NA())</f>
        <v>3.4609738886499257</v>
      </c>
      <c r="D209" s="61">
        <f t="shared" ca="1" si="2"/>
        <v>2</v>
      </c>
      <c r="E209" s="58">
        <f t="shared" ca="1" si="3"/>
        <v>3.7636753072286222</v>
      </c>
      <c r="F209" s="59">
        <f t="shared" ca="1" si="4"/>
        <v>4.3671798673930715E-2</v>
      </c>
      <c r="G209" s="59" cm="1">
        <f t="array" aca="1" ref="G209" ca="1">IF(ISNUMBER(D209),IF(D209&gt;=101,INDEX($B$105:$B$205,101),INDEX($B$105:$B$205,D209)+(C209-INDEX($C$105:$C$205,D209))/MAX(0.000000000001,INDEX($C$105:$C$205,D209+1)-INDEX($C$105:$C$205,D209))*(INDEX($B$105:$B$205,D209+1)-INDEX($B$105:$B$205,D209))),NA())</f>
        <v>1.9081010095485931E-2</v>
      </c>
    </row>
    <row r="210" spans="2:7" hidden="1" outlineLevel="1" x14ac:dyDescent="0.45">
      <c r="B210" s="60">
        <v>2</v>
      </c>
      <c r="C210" s="58">
        <f ca="1">IF(ISNUMBER($C$105),$C$105+($C$205-$C$105)*2/24,NA())</f>
        <v>4.0663767258073191</v>
      </c>
      <c r="D210" s="61">
        <f t="shared" ca="1" si="2"/>
        <v>7</v>
      </c>
      <c r="E210" s="58">
        <f t="shared" ca="1" si="3"/>
        <v>4.369078144386016</v>
      </c>
      <c r="F210" s="59">
        <f t="shared" ca="1" si="4"/>
        <v>6.8610275605734669E-2</v>
      </c>
      <c r="G210" s="59" cm="1">
        <f t="array" aca="1" ref="G210" ca="1">IF(ISNUMBER(D210),IF(D210&gt;=101,INDEX($B$105:$B$205,101),INDEX($B$105:$B$205,D210)+(C210-INDEX($C$105:$C$205,D210))/MAX(0.000000000001,INDEX($C$105:$C$205,D210+1)-INDEX($C$105:$C$205,D210))*(INDEX($B$105:$B$205,D210+1)-INDEX($B$105:$B$205,D210))),NA())</f>
        <v>6.2752808769416649E-2</v>
      </c>
    </row>
    <row r="211" spans="2:7" hidden="1" outlineLevel="1" x14ac:dyDescent="0.45">
      <c r="B211" s="60">
        <v>3</v>
      </c>
      <c r="C211" s="58">
        <f ca="1">IF(ISNUMBER($C$105),$C$105+($C$205-$C$105)*3/24,NA())</f>
        <v>4.671779562964713</v>
      </c>
      <c r="D211" s="61">
        <f t="shared" ca="1" si="2"/>
        <v>14</v>
      </c>
      <c r="E211" s="58">
        <f t="shared" ca="1" si="3"/>
        <v>4.9744809815434099</v>
      </c>
      <c r="F211" s="59">
        <f t="shared" ca="1" si="4"/>
        <v>0.10297230221799514</v>
      </c>
      <c r="G211" s="59" cm="1">
        <f t="array" aca="1" ref="G211" ca="1">IF(ISNUMBER(D211),IF(D211&gt;=101,INDEX($B$105:$B$205,101),INDEX($B$105:$B$205,D211)+(C211-INDEX($C$105:$C$205,D211))/MAX(0.000000000001,INDEX($C$105:$C$205,D211+1)-INDEX($C$105:$C$205,D211))*(INDEX($B$105:$B$205,D211+1)-INDEX($B$105:$B$205,D211))),NA())</f>
        <v>0.13136308437515132</v>
      </c>
    </row>
    <row r="212" spans="2:7" hidden="1" outlineLevel="1" x14ac:dyDescent="0.45">
      <c r="B212" s="60">
        <v>4</v>
      </c>
      <c r="C212" s="58">
        <f ca="1">IF(ISNUMBER($C$105),$C$105+($C$205-$C$105)*4/24,NA())</f>
        <v>5.2771824001221059</v>
      </c>
      <c r="D212" s="61">
        <f t="shared" ca="1" si="2"/>
        <v>24</v>
      </c>
      <c r="E212" s="58">
        <f t="shared" ca="1" si="3"/>
        <v>5.5798838187008029</v>
      </c>
      <c r="F212" s="59">
        <f t="shared" ca="1" si="4"/>
        <v>0.11454799341148025</v>
      </c>
      <c r="G212" s="59" cm="1">
        <f t="array" aca="1" ref="G212" ca="1">IF(ISNUMBER(D212),IF(D212&gt;=101,INDEX($B$105:$B$205,101),INDEX($B$105:$B$205,D212)+(C212-INDEX($C$105:$C$205,D212))/MAX(0.000000000001,INDEX($C$105:$C$205,D212+1)-INDEX($C$105:$C$205,D212))*(INDEX($B$105:$B$205,D212+1)-INDEX($B$105:$B$205,D212))),NA())</f>
        <v>0.23433538659314646</v>
      </c>
    </row>
    <row r="213" spans="2:7" hidden="1" outlineLevel="1" x14ac:dyDescent="0.45">
      <c r="B213" s="60">
        <v>5</v>
      </c>
      <c r="C213" s="58">
        <f ca="1">IF(ISNUMBER($C$105),$C$105+($C$205-$C$105)*5/24,NA())</f>
        <v>5.8825852372794998</v>
      </c>
      <c r="D213" s="61">
        <f t="shared" ca="1" si="2"/>
        <v>35</v>
      </c>
      <c r="E213" s="58">
        <f t="shared" ca="1" si="3"/>
        <v>6.1852866558581967</v>
      </c>
      <c r="F213" s="59">
        <f t="shared" ca="1" si="4"/>
        <v>0.12296493063131408</v>
      </c>
      <c r="G213" s="59" cm="1">
        <f t="array" aca="1" ref="G213" ca="1">IF(ISNUMBER(D213),IF(D213&gt;=101,INDEX($B$105:$B$205,101),INDEX($B$105:$B$205,D213)+(C213-INDEX($C$105:$C$205,D213))/MAX(0.000000000001,INDEX($C$105:$C$205,D213+1)-INDEX($C$105:$C$205,D213))*(INDEX($B$105:$B$205,D213+1)-INDEX($B$105:$B$205,D213))),NA())</f>
        <v>0.34888338000462671</v>
      </c>
    </row>
    <row r="214" spans="2:7" hidden="1" outlineLevel="1" x14ac:dyDescent="0.45">
      <c r="B214" s="60">
        <v>6</v>
      </c>
      <c r="C214" s="58">
        <f ca="1">IF(ISNUMBER($C$105),$C$105+($C$205-$C$105)*6/24,NA())</f>
        <v>6.4879880744368936</v>
      </c>
      <c r="D214" s="61">
        <f t="shared" ca="1" si="2"/>
        <v>48</v>
      </c>
      <c r="E214" s="58">
        <f t="shared" ca="1" si="3"/>
        <v>6.7906894930155905</v>
      </c>
      <c r="F214" s="59">
        <f t="shared" ca="1" si="4"/>
        <v>0.11563566833327965</v>
      </c>
      <c r="G214" s="59" cm="1">
        <f t="array" aca="1" ref="G214" ca="1">IF(ISNUMBER(D214),IF(D214&gt;=101,INDEX($B$105:$B$205,101),INDEX($B$105:$B$205,D214)+(C214-INDEX($C$105:$C$205,D214))/MAX(0.000000000001,INDEX($C$105:$C$205,D214+1)-INDEX($C$105:$C$205,D214))*(INDEX($B$105:$B$205,D214+1)-INDEX($B$105:$B$205,D214))),NA())</f>
        <v>0.47184831063594079</v>
      </c>
    </row>
    <row r="215" spans="2:7" hidden="1" outlineLevel="1" x14ac:dyDescent="0.45">
      <c r="B215" s="60">
        <v>7</v>
      </c>
      <c r="C215" s="58">
        <f ca="1">IF(ISNUMBER($C$105),$C$105+($C$205-$C$105)*7/24,NA())</f>
        <v>7.0933909115942875</v>
      </c>
      <c r="D215" s="61">
        <f t="shared" ca="1" si="2"/>
        <v>59</v>
      </c>
      <c r="E215" s="58">
        <f t="shared" ca="1" si="3"/>
        <v>7.3960923301729835</v>
      </c>
      <c r="F215" s="59">
        <f t="shared" ca="1" si="4"/>
        <v>0.10157345003642926</v>
      </c>
      <c r="G215" s="59" cm="1">
        <f t="array" aca="1" ref="G215" ca="1">IF(ISNUMBER(D215),IF(D215&gt;=101,INDEX($B$105:$B$205,101),INDEX($B$105:$B$205,D215)+(C215-INDEX($C$105:$C$205,D215))/MAX(0.000000000001,INDEX($C$105:$C$205,D215+1)-INDEX($C$105:$C$205,D215))*(INDEX($B$105:$B$205,D215+1)-INDEX($B$105:$B$205,D215))),NA())</f>
        <v>0.58748397896922044</v>
      </c>
    </row>
    <row r="216" spans="2:7" hidden="1" outlineLevel="1" x14ac:dyDescent="0.45">
      <c r="B216" s="60">
        <v>8</v>
      </c>
      <c r="C216" s="58">
        <f ca="1">IF(ISNUMBER($C$105),$C$105+($C$205-$C$105)*8/24,NA())</f>
        <v>7.6987937487516804</v>
      </c>
      <c r="D216" s="61">
        <f t="shared" ca="1" si="2"/>
        <v>69</v>
      </c>
      <c r="E216" s="58">
        <f t="shared" ca="1" si="3"/>
        <v>8.0014951673303774</v>
      </c>
      <c r="F216" s="59">
        <f t="shared" ca="1" si="4"/>
        <v>8.1276972851550999E-2</v>
      </c>
      <c r="G216" s="59" cm="1">
        <f t="array" aca="1" ref="G216" ca="1">IF(ISNUMBER(D216),IF(D216&gt;=101,INDEX($B$105:$B$205,101),INDEX($B$105:$B$205,D216)+(C216-INDEX($C$105:$C$205,D216))/MAX(0.000000000001,INDEX($C$105:$C$205,D216+1)-INDEX($C$105:$C$205,D216))*(INDEX($B$105:$B$205,D216+1)-INDEX($B$105:$B$205,D216))),NA())</f>
        <v>0.6890574290056497</v>
      </c>
    </row>
    <row r="217" spans="2:7" hidden="1" outlineLevel="1" x14ac:dyDescent="0.45">
      <c r="B217" s="60">
        <v>9</v>
      </c>
      <c r="C217" s="58">
        <f ca="1">IF(ISNUMBER($C$105),$C$105+($C$205-$C$105)*9/24,NA())</f>
        <v>8.3041965859090752</v>
      </c>
      <c r="D217" s="61">
        <f t="shared" ca="1" si="2"/>
        <v>78</v>
      </c>
      <c r="E217" s="58">
        <f t="shared" ca="1" si="3"/>
        <v>8.6068980044877712</v>
      </c>
      <c r="F217" s="59">
        <f t="shared" ca="1" si="4"/>
        <v>6.0734782810512589E-2</v>
      </c>
      <c r="G217" s="59" cm="1">
        <f t="array" aca="1" ref="G217" ca="1">IF(ISNUMBER(D217),IF(D217&gt;=101,INDEX($B$105:$B$205,101),INDEX($B$105:$B$205,D217)+(C217-INDEX($C$105:$C$205,D217))/MAX(0.000000000001,INDEX($C$105:$C$205,D217+1)-INDEX($C$105:$C$205,D217))*(INDEX($B$105:$B$205,D217+1)-INDEX($B$105:$B$205,D217))),NA())</f>
        <v>0.7703344018572007</v>
      </c>
    </row>
    <row r="218" spans="2:7" hidden="1" outlineLevel="1" x14ac:dyDescent="0.45">
      <c r="B218" s="60">
        <v>10</v>
      </c>
      <c r="C218" s="58">
        <f ca="1">IF(ISNUMBER($C$105),$C$105+($C$205-$C$105)*10/24,NA())</f>
        <v>8.9095994230664672</v>
      </c>
      <c r="D218" s="61">
        <f t="shared" ca="1" si="2"/>
        <v>84</v>
      </c>
      <c r="E218" s="58">
        <f t="shared" ca="1" si="3"/>
        <v>9.2123008416451651</v>
      </c>
      <c r="F218" s="59">
        <f t="shared" ca="1" si="4"/>
        <v>4.4734210875652991E-2</v>
      </c>
      <c r="G218" s="59" cm="1">
        <f t="array" aca="1" ref="G218" ca="1">IF(ISNUMBER(D218),IF(D218&gt;=101,INDEX($B$105:$B$205,101),INDEX($B$105:$B$205,D218)+(C218-INDEX($C$105:$C$205,D218))/MAX(0.000000000001,INDEX($C$105:$C$205,D218+1)-INDEX($C$105:$C$205,D218))*(INDEX($B$105:$B$205,D218+1)-INDEX($B$105:$B$205,D218))),NA())</f>
        <v>0.83106918466771329</v>
      </c>
    </row>
    <row r="219" spans="2:7" hidden="1" outlineLevel="1" x14ac:dyDescent="0.45">
      <c r="B219" s="60">
        <v>11</v>
      </c>
      <c r="C219" s="58">
        <f ca="1">IF(ISNUMBER($C$105),$C$105+($C$205-$C$105)*11/24,NA())</f>
        <v>9.5150022602238629</v>
      </c>
      <c r="D219" s="61">
        <f t="shared" ca="1" si="2"/>
        <v>88</v>
      </c>
      <c r="E219" s="58">
        <f t="shared" ca="1" si="3"/>
        <v>9.8177036788025589</v>
      </c>
      <c r="F219" s="59">
        <f t="shared" ca="1" si="4"/>
        <v>3.1802490202760714E-2</v>
      </c>
      <c r="G219" s="59" cm="1">
        <f t="array" aca="1" ref="G219" ca="1">IF(ISNUMBER(D219),IF(D219&gt;=101,INDEX($B$105:$B$205,101),INDEX($B$105:$B$205,D219)+(C219-INDEX($C$105:$C$205,D219))/MAX(0.000000000001,INDEX($C$105:$C$205,D219+1)-INDEX($C$105:$C$205,D219))*(INDEX($B$105:$B$205,D219+1)-INDEX($B$105:$B$205,D219))),NA())</f>
        <v>0.87580339554336628</v>
      </c>
    </row>
    <row r="220" spans="2:7" hidden="1" outlineLevel="1" x14ac:dyDescent="0.45">
      <c r="B220" s="60">
        <v>12</v>
      </c>
      <c r="C220" s="58">
        <f ca="1">IF(ISNUMBER($C$105),$C$105+($C$205-$C$105)*12/24,NA())</f>
        <v>10.120405097381255</v>
      </c>
      <c r="D220" s="61">
        <f t="shared" ca="1" si="2"/>
        <v>91</v>
      </c>
      <c r="E220" s="58">
        <f t="shared" ca="1" si="3"/>
        <v>10.423106515959951</v>
      </c>
      <c r="F220" s="59">
        <f t="shared" ca="1" si="4"/>
        <v>2.5274135186448721E-2</v>
      </c>
      <c r="G220" s="59" cm="1">
        <f t="array" aca="1" ref="G220" ca="1">IF(ISNUMBER(D220),IF(D220&gt;=101,INDEX($B$105:$B$205,101),INDEX($B$105:$B$205,D220)+(C220-INDEX($C$105:$C$205,D220))/MAX(0.000000000001,INDEX($C$105:$C$205,D220+1)-INDEX($C$105:$C$205,D220))*(INDEX($B$105:$B$205,D220+1)-INDEX($B$105:$B$205,D220))),NA())</f>
        <v>0.90760588574612699</v>
      </c>
    </row>
    <row r="221" spans="2:7" hidden="1" outlineLevel="1" x14ac:dyDescent="0.45">
      <c r="B221" s="60">
        <v>13</v>
      </c>
      <c r="C221" s="58">
        <f ca="1">IF(ISNUMBER($C$105),$C$105+($C$205-$C$105)*13/24,NA())</f>
        <v>10.725807934538647</v>
      </c>
      <c r="D221" s="61">
        <f t="shared" ca="1" si="2"/>
        <v>94</v>
      </c>
      <c r="E221" s="58">
        <f t="shared" ca="1" si="3"/>
        <v>11.028509353117345</v>
      </c>
      <c r="F221" s="59">
        <f t="shared" ca="1" si="4"/>
        <v>1.7027372788995798E-2</v>
      </c>
      <c r="G221" s="59" cm="1">
        <f t="array" aca="1" ref="G221" ca="1">IF(ISNUMBER(D221),IF(D221&gt;=101,INDEX($B$105:$B$205,101),INDEX($B$105:$B$205,D221)+(C221-INDEX($C$105:$C$205,D221))/MAX(0.000000000001,INDEX($C$105:$C$205,D221+1)-INDEX($C$105:$C$205,D221))*(INDEX($B$105:$B$205,D221+1)-INDEX($B$105:$B$205,D221))),NA())</f>
        <v>0.93288002093257572</v>
      </c>
    </row>
    <row r="222" spans="2:7" hidden="1" outlineLevel="1" x14ac:dyDescent="0.45">
      <c r="B222" s="60">
        <v>14</v>
      </c>
      <c r="C222" s="58">
        <f ca="1">IF(ISNUMBER($C$105),$C$105+($C$205-$C$105)*14/24,NA())</f>
        <v>11.331210771696043</v>
      </c>
      <c r="D222" s="61">
        <f t="shared" ca="1" si="2"/>
        <v>95</v>
      </c>
      <c r="E222" s="58">
        <f t="shared" ca="1" si="3"/>
        <v>11.633912190274739</v>
      </c>
      <c r="F222" s="59">
        <f t="shared" ca="1" si="4"/>
        <v>1.2799215496955174E-2</v>
      </c>
      <c r="G222" s="59" cm="1">
        <f t="array" aca="1" ref="G222" ca="1">IF(ISNUMBER(D222),IF(D222&gt;=101,INDEX($B$105:$B$205,101),INDEX($B$105:$B$205,D222)+(C222-INDEX($C$105:$C$205,D222))/MAX(0.000000000001,INDEX($C$105:$C$205,D222+1)-INDEX($C$105:$C$205,D222))*(INDEX($B$105:$B$205,D222+1)-INDEX($B$105:$B$205,D222))),NA())</f>
        <v>0.94990739372157151</v>
      </c>
    </row>
    <row r="223" spans="2:7" hidden="1" outlineLevel="1" x14ac:dyDescent="0.45">
      <c r="B223" s="60">
        <v>15</v>
      </c>
      <c r="C223" s="58">
        <f ca="1">IF(ISNUMBER($C$105),$C$105+($C$205-$C$105)*15/24,NA())</f>
        <v>11.936613608853436</v>
      </c>
      <c r="D223" s="61">
        <f t="shared" ca="1" si="2"/>
        <v>97</v>
      </c>
      <c r="E223" s="58">
        <f t="shared" ca="1" si="3"/>
        <v>12.239315027432133</v>
      </c>
      <c r="F223" s="59">
        <f t="shared" ca="1" si="4"/>
        <v>8.4771735022726169E-3</v>
      </c>
      <c r="G223" s="59" cm="1">
        <f t="array" aca="1" ref="G223" ca="1">IF(ISNUMBER(D223),IF(D223&gt;=101,INDEX($B$105:$B$205,101),INDEX($B$105:$B$205,D223)+(C223-INDEX($C$105:$C$205,D223))/MAX(0.000000000001,INDEX($C$105:$C$205,D223+1)-INDEX($C$105:$C$205,D223))*(INDEX($B$105:$B$205,D223+1)-INDEX($B$105:$B$205,D223))),NA())</f>
        <v>0.96270660921852669</v>
      </c>
    </row>
    <row r="224" spans="2:7" hidden="1" outlineLevel="1" x14ac:dyDescent="0.45">
      <c r="B224" s="60">
        <v>16</v>
      </c>
      <c r="C224" s="58">
        <f ca="1">IF(ISNUMBER($C$105),$C$105+($C$205-$C$105)*16/24,NA())</f>
        <v>12.542016446010829</v>
      </c>
      <c r="D224" s="61">
        <f t="shared" ca="1" si="2"/>
        <v>98</v>
      </c>
      <c r="E224" s="58">
        <f t="shared" ca="1" si="3"/>
        <v>12.844717864589526</v>
      </c>
      <c r="F224" s="59">
        <f t="shared" ca="1" si="4"/>
        <v>6.100491416588194E-3</v>
      </c>
      <c r="G224" s="59" cm="1">
        <f t="array" aca="1" ref="G224" ca="1">IF(ISNUMBER(D224),IF(D224&gt;=101,INDEX($B$105:$B$205,101),INDEX($B$105:$B$205,D224)+(C224-INDEX($C$105:$C$205,D224))/MAX(0.000000000001,INDEX($C$105:$C$205,D224+1)-INDEX($C$105:$C$205,D224))*(INDEX($B$105:$B$205,D224+1)-INDEX($B$105:$B$205,D224))),NA())</f>
        <v>0.9711837827207993</v>
      </c>
    </row>
    <row r="225" spans="2:7" hidden="1" outlineLevel="1" x14ac:dyDescent="0.45">
      <c r="B225" s="60">
        <v>17</v>
      </c>
      <c r="C225" s="58">
        <f ca="1">IF(ISNUMBER($C$105),$C$105+($C$205-$C$105)*17/24,NA())</f>
        <v>13.147419283168222</v>
      </c>
      <c r="D225" s="61">
        <f t="shared" ca="1" si="2"/>
        <v>98</v>
      </c>
      <c r="E225" s="58">
        <f t="shared" ca="1" si="3"/>
        <v>13.450120701746918</v>
      </c>
      <c r="F225" s="59">
        <f t="shared" ca="1" si="4"/>
        <v>4.3786411872982489E-3</v>
      </c>
      <c r="G225" s="59" cm="1">
        <f t="array" aca="1" ref="G225" ca="1">IF(ISNUMBER(D225),IF(D225&gt;=101,INDEX($B$105:$B$205,101),INDEX($B$105:$B$205,D225)+(C225-INDEX($C$105:$C$205,D225))/MAX(0.000000000001,INDEX($C$105:$C$205,D225+1)-INDEX($C$105:$C$205,D225))*(INDEX($B$105:$B$205,D225+1)-INDEX($B$105:$B$205,D225))),NA())</f>
        <v>0.9772842741373875</v>
      </c>
    </row>
    <row r="226" spans="2:7" hidden="1" outlineLevel="1" x14ac:dyDescent="0.45">
      <c r="B226" s="60">
        <v>18</v>
      </c>
      <c r="C226" s="58">
        <f ca="1">IF(ISNUMBER($C$105),$C$105+($C$205-$C$105)*18/24,NA())</f>
        <v>13.752822120325616</v>
      </c>
      <c r="D226" s="61">
        <f t="shared" ca="1" si="2"/>
        <v>99</v>
      </c>
      <c r="E226" s="58">
        <f t="shared" ca="1" si="3"/>
        <v>14.055523538904314</v>
      </c>
      <c r="F226" s="59">
        <f t="shared" ca="1" si="4"/>
        <v>2.997135400660933E-3</v>
      </c>
      <c r="G226" s="59" cm="1">
        <f t="array" aca="1" ref="G226" ca="1">IF(ISNUMBER(D226),IF(D226&gt;=101,INDEX($B$105:$B$205,101),INDEX($B$105:$B$205,D226)+(C226-INDEX($C$105:$C$205,D226))/MAX(0.000000000001,INDEX($C$105:$C$205,D226+1)-INDEX($C$105:$C$205,D226))*(INDEX($B$105:$B$205,D226+1)-INDEX($B$105:$B$205,D226))),NA())</f>
        <v>0.98166291532468575</v>
      </c>
    </row>
    <row r="227" spans="2:7" hidden="1" outlineLevel="1" x14ac:dyDescent="0.45">
      <c r="B227" s="60">
        <v>19</v>
      </c>
      <c r="C227" s="58">
        <f ca="1">IF(ISNUMBER($C$105),$C$105+($C$205-$C$105)*19/24,NA())</f>
        <v>14.35822495748301</v>
      </c>
      <c r="D227" s="61">
        <f t="shared" ca="1" si="2"/>
        <v>99</v>
      </c>
      <c r="E227" s="58">
        <f t="shared" ca="1" si="3"/>
        <v>14.660926376061706</v>
      </c>
      <c r="F227" s="59">
        <f t="shared" ca="1" si="4"/>
        <v>2.997135400660822E-3</v>
      </c>
      <c r="G227" s="59" cm="1">
        <f t="array" aca="1" ref="G227" ca="1">IF(ISNUMBER(D227),IF(D227&gt;=101,INDEX($B$105:$B$205,101),INDEX($B$105:$B$205,D227)+(C227-INDEX($C$105:$C$205,D227))/MAX(0.000000000001,INDEX($C$105:$C$205,D227+1)-INDEX($C$105:$C$205,D227))*(INDEX($B$105:$B$205,D227+1)-INDEX($B$105:$B$205,D227))),NA())</f>
        <v>0.98466005072534668</v>
      </c>
    </row>
    <row r="228" spans="2:7" hidden="1" outlineLevel="1" x14ac:dyDescent="0.45">
      <c r="B228" s="60">
        <v>20</v>
      </c>
      <c r="C228" s="58">
        <f ca="1">IF(ISNUMBER($C$105),$C$105+($C$205-$C$105)*20/24,NA())</f>
        <v>14.963627794640402</v>
      </c>
      <c r="D228" s="61">
        <f t="shared" ca="1" si="2"/>
        <v>99</v>
      </c>
      <c r="E228" s="58">
        <f t="shared" ca="1" si="3"/>
        <v>15.266329213219098</v>
      </c>
      <c r="F228" s="59">
        <f t="shared" ca="1" si="4"/>
        <v>2.6819907329478365E-3</v>
      </c>
      <c r="G228" s="59" cm="1">
        <f t="array" aca="1" ref="G228" ca="1">IF(ISNUMBER(D228),IF(D228&gt;=101,INDEX($B$105:$B$205,101),INDEX($B$105:$B$205,D228)+(C228-INDEX($C$105:$C$205,D228))/MAX(0.000000000001,INDEX($C$105:$C$205,D228+1)-INDEX($C$105:$C$205,D228))*(INDEX($B$105:$B$205,D228+1)-INDEX($B$105:$B$205,D228))),NA())</f>
        <v>0.9876571861260075</v>
      </c>
    </row>
    <row r="229" spans="2:7" hidden="1" outlineLevel="1" x14ac:dyDescent="0.45">
      <c r="B229" s="60">
        <v>21</v>
      </c>
      <c r="C229" s="58">
        <f ca="1">IF(ISNUMBER($C$105),$C$105+($C$205-$C$105)*21/24,NA())</f>
        <v>15.569030631797796</v>
      </c>
      <c r="D229" s="61">
        <f t="shared" ca="1" si="2"/>
        <v>100</v>
      </c>
      <c r="E229" s="58">
        <f t="shared" ca="1" si="3"/>
        <v>15.871732050376494</v>
      </c>
      <c r="F229" s="59">
        <f t="shared" ca="1" si="4"/>
        <v>1.5536077136815152E-3</v>
      </c>
      <c r="G229" s="59" cm="1">
        <f t="array" aca="1" ref="G229" ca="1">IF(ISNUMBER(D229),IF(D229&gt;=101,INDEX($B$105:$B$205,101),INDEX($B$105:$B$205,D229)+(C229-INDEX($C$105:$C$205,D229))/MAX(0.000000000001,INDEX($C$105:$C$205,D229+1)-INDEX($C$105:$C$205,D229))*(INDEX($B$105:$B$205,D229+1)-INDEX($B$105:$B$205,D229))),NA())</f>
        <v>0.99033917685895534</v>
      </c>
    </row>
    <row r="230" spans="2:7" hidden="1" outlineLevel="1" x14ac:dyDescent="0.45">
      <c r="B230" s="60">
        <v>22</v>
      </c>
      <c r="C230" s="58">
        <f ca="1">IF(ISNUMBER($C$105),$C$105+($C$205-$C$105)*22/24,NA())</f>
        <v>16.174433468955193</v>
      </c>
      <c r="D230" s="61">
        <f t="shared" ca="1" si="2"/>
        <v>100</v>
      </c>
      <c r="E230" s="58">
        <f t="shared" ca="1" si="3"/>
        <v>16.477134887533889</v>
      </c>
      <c r="F230" s="59">
        <f t="shared" ca="1" si="4"/>
        <v>1.5536077136816262E-3</v>
      </c>
      <c r="G230" s="59" cm="1">
        <f t="array" aca="1" ref="G230" ca="1">IF(ISNUMBER(D230),IF(D230&gt;=101,INDEX($B$105:$B$205,101),INDEX($B$105:$B$205,D230)+(C230-INDEX($C$105:$C$205,D230))/MAX(0.000000000001,INDEX($C$105:$C$205,D230+1)-INDEX($C$105:$C$205,D230))*(INDEX($B$105:$B$205,D230+1)-INDEX($B$105:$B$205,D230))),NA())</f>
        <v>0.99189278457263685</v>
      </c>
    </row>
    <row r="231" spans="2:7" hidden="1" outlineLevel="1" x14ac:dyDescent="0.45">
      <c r="B231" s="60">
        <v>23</v>
      </c>
      <c r="C231" s="58">
        <f ca="1">IF(ISNUMBER($C$105),$C$105+($C$205-$C$105)*23/24,NA())</f>
        <v>16.779836306112585</v>
      </c>
      <c r="D231" s="61">
        <f t="shared" ca="1" si="2"/>
        <v>100</v>
      </c>
      <c r="E231" s="58">
        <f t="shared" ca="1" si="3"/>
        <v>17.082537724691282</v>
      </c>
      <c r="F231" s="59">
        <f t="shared" ca="1" si="4"/>
        <v>1.5536077136815152E-3</v>
      </c>
      <c r="G231" s="59" cm="1">
        <f t="array" aca="1" ref="G231" ca="1">IF(ISNUMBER(D231),IF(D231&gt;=101,INDEX($B$105:$B$205,101),INDEX($B$105:$B$205,D231)+(C231-INDEX($C$105:$C$205,D231))/MAX(0.000000000001,INDEX($C$105:$C$205,D231+1)-INDEX($C$105:$C$205,D231))*(INDEX($B$105:$B$205,D231+1)-INDEX($B$105:$B$205,D231))),NA())</f>
        <v>0.99344639228631848</v>
      </c>
    </row>
    <row r="232" spans="2:7" hidden="1" outlineLevel="1" x14ac:dyDescent="0.45">
      <c r="B232" s="60">
        <v>24</v>
      </c>
      <c r="C232" s="58">
        <f ca="1">IF(ISNUMBER($C$105),$C$105+($C$205-$C$105)*24/24,NA())</f>
        <v>17.385239143269978</v>
      </c>
      <c r="D232" s="61">
        <f t="shared" ca="1" si="2"/>
        <v>101</v>
      </c>
      <c r="G232" s="59" cm="1">
        <f t="array" aca="1" ref="G232" ca="1">IF(ISNUMBER(D232),IF(D232&gt;=101,INDEX($B$105:$B$205,101),INDEX($B$105:$B$205,D232)+(C232-INDEX($C$105:$C$205,D232))/MAX(0.000000000001,INDEX($C$105:$C$205,D232+1)-INDEX($C$105:$C$205,D232))*(INDEX($B$105:$B$205,D232+1)-INDEX($B$105:$B$205,D232))),NA())</f>
        <v>0.995</v>
      </c>
    </row>
  </sheetData>
  <mergeCells count="4">
    <mergeCell ref="B47:G47"/>
    <mergeCell ref="B44:G44"/>
    <mergeCell ref="B45:G45"/>
    <mergeCell ref="B46:G46"/>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C105:G232">
    <cfRule type="expression" dxfId="1" priority="4">
      <formula>ISNA($C$105)</formula>
    </cfRule>
  </conditionalFormatting>
  <conditionalFormatting sqref="D53:E102">
    <cfRule type="expression" dxfId="0" priority="3">
      <formula>ISNA(D53)</formula>
    </cfRule>
  </conditionalFormatting>
  <hyperlinks>
    <hyperlink ref="B4" location="'Fits'!A1" display="◂  Fits" xr:uid="{00000000-0004-0000-04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2"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02729-841E-4713-A249-777A19F9AD6F}">
  <dimension ref="A1:B1"/>
  <sheetViews>
    <sheetView workbookViewId="0"/>
  </sheetViews>
  <sheetFormatPr defaultRowHeight="14.25" x14ac:dyDescent="0.45"/>
  <sheetData>
    <row r="1" spans="1:2" x14ac:dyDescent="0.45">
      <c r="A1" s="66" t="s">
        <v>217</v>
      </c>
      <c r="B1">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3A257-7F3B-4AB8-9E0E-F46E5A8CBD32}">
  <dimension ref="A1"/>
  <sheetViews>
    <sheetView workbookViewId="0"/>
  </sheetViews>
  <sheetFormatPr defaultRowHeight="14.25" x14ac:dyDescent="0.4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34644-6303-4E49-B011-23DC1360B2C8}">
  <dimension ref="B3:B32"/>
  <sheetViews>
    <sheetView workbookViewId="0"/>
  </sheetViews>
  <sheetFormatPr defaultRowHeight="14.25" x14ac:dyDescent="0.45"/>
  <sheetData>
    <row r="3" spans="2:2" x14ac:dyDescent="0.45">
      <c r="B3">
        <v>15</v>
      </c>
    </row>
    <row r="4" spans="2:2" x14ac:dyDescent="0.45">
      <c r="B4">
        <v>66</v>
      </c>
    </row>
    <row r="5" spans="2:2" x14ac:dyDescent="0.45">
      <c r="B5">
        <v>189</v>
      </c>
    </row>
    <row r="6" spans="2:2" x14ac:dyDescent="0.45">
      <c r="B6">
        <v>374</v>
      </c>
    </row>
    <row r="7" spans="2:2" x14ac:dyDescent="0.45">
      <c r="B7">
        <v>502</v>
      </c>
    </row>
    <row r="8" spans="2:2" x14ac:dyDescent="0.45">
      <c r="B8">
        <v>451</v>
      </c>
    </row>
    <row r="9" spans="2:2" x14ac:dyDescent="0.45">
      <c r="B9">
        <v>248</v>
      </c>
    </row>
    <row r="10" spans="2:2" x14ac:dyDescent="0.45">
      <c r="B10">
        <v>115</v>
      </c>
    </row>
    <row r="11" spans="2:2" x14ac:dyDescent="0.45">
      <c r="B11">
        <v>33</v>
      </c>
    </row>
    <row r="12" spans="2:2" x14ac:dyDescent="0.45">
      <c r="B12">
        <v>7</v>
      </c>
    </row>
    <row r="13" spans="2:2" x14ac:dyDescent="0.45">
      <c r="B13">
        <v>147</v>
      </c>
    </row>
    <row r="14" spans="2:2" x14ac:dyDescent="0.45">
      <c r="B14">
        <v>761</v>
      </c>
    </row>
    <row r="15" spans="2:2" x14ac:dyDescent="0.45">
      <c r="B15">
        <v>703</v>
      </c>
    </row>
    <row r="16" spans="2:2" x14ac:dyDescent="0.45">
      <c r="B16">
        <v>269</v>
      </c>
    </row>
    <row r="17" spans="2:2" x14ac:dyDescent="0.45">
      <c r="B17">
        <v>86</v>
      </c>
    </row>
    <row r="18" spans="2:2" x14ac:dyDescent="0.45">
      <c r="B18">
        <v>19</v>
      </c>
    </row>
    <row r="19" spans="2:2" x14ac:dyDescent="0.45">
      <c r="B19">
        <v>7</v>
      </c>
    </row>
    <row r="20" spans="2:2" x14ac:dyDescent="0.45">
      <c r="B20">
        <v>5</v>
      </c>
    </row>
    <row r="21" spans="2:2" x14ac:dyDescent="0.45">
      <c r="B21">
        <v>2</v>
      </c>
    </row>
    <row r="22" spans="2:2" x14ac:dyDescent="0.45">
      <c r="B22">
        <v>1</v>
      </c>
    </row>
    <row r="23" spans="2:2" x14ac:dyDescent="0.45">
      <c r="B23">
        <v>1025</v>
      </c>
    </row>
    <row r="24" spans="2:2" x14ac:dyDescent="0.45">
      <c r="B24">
        <v>901</v>
      </c>
    </row>
    <row r="25" spans="2:2" x14ac:dyDescent="0.45">
      <c r="B25">
        <v>57</v>
      </c>
    </row>
    <row r="26" spans="2:2" x14ac:dyDescent="0.45">
      <c r="B26">
        <v>10</v>
      </c>
    </row>
    <row r="27" spans="2:2" x14ac:dyDescent="0.45">
      <c r="B27">
        <v>2</v>
      </c>
    </row>
    <row r="28" spans="2:2" x14ac:dyDescent="0.45">
      <c r="B28">
        <v>2</v>
      </c>
    </row>
    <row r="29" spans="2:2" x14ac:dyDescent="0.45">
      <c r="B29">
        <v>1</v>
      </c>
    </row>
    <row r="30" spans="2:2" x14ac:dyDescent="0.45">
      <c r="B30">
        <v>1</v>
      </c>
    </row>
    <row r="31" spans="2:2" x14ac:dyDescent="0.45">
      <c r="B31">
        <v>0</v>
      </c>
    </row>
    <row r="32" spans="2:2" x14ac:dyDescent="0.45">
      <c r="B32">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884">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BOADoAMwANAAoAVABZAFAARQA6ADIADQAKAE4ATQA6AEgAaQBzAHQAbwBnAHIAYQBtADMADQAKAFMASQBNAEkARAA6ADAADQAKAFMARQBMAFMAOgAwAA0ACgBDAFUAUgBTAEUATAA6ADAADQAKADwATwBQAFQASQBPAE4AUwA+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mr:Charts>
</mr:ModelRisk>
</file>

<file path=customXml/itemProps1.xml><?xml version="1.0" encoding="utf-8"?>
<ds:datastoreItem xmlns:ds="http://schemas.openxmlformats.org/officeDocument/2006/customXml" ds:itemID="{1A83138B-E7AD-4C76-A014-3EB7EA9A5F42}">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24</vt:i4>
      </vt:variant>
    </vt:vector>
  </HeadingPairs>
  <TitlesOfParts>
    <vt:vector size="32" baseType="lpstr">
      <vt:lpstr>About</vt:lpstr>
      <vt:lpstr>Inputs</vt:lpstr>
      <vt:lpstr>Data</vt:lpstr>
      <vt:lpstr>Fits</vt:lpstr>
      <vt:lpstr>Results</vt:lpstr>
      <vt:lpstr>ModelRiskDSN</vt:lpstr>
      <vt:lpstr>ModelRiskSYS1</vt:lpstr>
      <vt:lpstr>ModelRiskCharts</vt:lpstr>
      <vt:lpstr>BestK</vt:lpstr>
      <vt:lpstr>Checks</vt:lpstr>
      <vt:lpstr>FitNames</vt:lpstr>
      <vt:lpstr>FitObjects</vt:lpstr>
      <vt:lpstr>FitObjectsU</vt:lpstr>
      <vt:lpstr>Freq</vt:lpstr>
      <vt:lpstr>FreqU</vt:lpstr>
      <vt:lpstr>Lambda</vt:lpstr>
      <vt:lpstr>Obj_GA</vt:lpstr>
      <vt:lpstr>Obj_LN</vt:lpstr>
      <vt:lpstr>Obj_PA</vt:lpstr>
      <vt:lpstr>Results!Print_Area</vt:lpstr>
      <vt:lpstr>Inputs!Print_Titles</vt:lpstr>
      <vt:lpstr>Results!Print_Titles</vt:lpstr>
      <vt:lpstr>RateU</vt:lpstr>
      <vt:lpstr>Sev</vt:lpstr>
      <vt:lpstr>SevChoice</vt:lpstr>
      <vt:lpstr>SevU</vt:lpstr>
      <vt:lpstr>SIC_GA</vt:lpstr>
      <vt:lpstr>SIC_LN</vt:lpstr>
      <vt:lpstr>SIC_PA</vt:lpstr>
      <vt:lpstr>Total_F</vt:lpstr>
      <vt:lpstr>Total_U</vt:lpstr>
      <vt:lpstr>UseK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IN-02 Fitting Claim Frequency and Severity to Data</dc:title>
  <dc:subject>ModelRisk industry example library — Insurance</dc:subject>
  <dc:creator>Vose Software</dc:creator>
  <cp:keywords>ModelRisk; Monte Carlo; Insurance</cp:keywords>
  <dc:description>Fitting claim counts and claim sizes to data, choosing a severity model by SIC, and the effect of parameter uncertainty.</dc:description>
  <cp:lastModifiedBy>Timour Koupeev</cp:lastModifiedBy>
  <cp:lastPrinted>2026-10-05T14:13:50Z</cp:lastPrinted>
  <dcterms:created xsi:type="dcterms:W3CDTF">2026-10-05T14:09:13Z</dcterms:created>
  <dcterms:modified xsi:type="dcterms:W3CDTF">2026-10-05T14:13:51Z</dcterms:modified>
</cp:coreProperties>
</file>