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14B23186-0E78-407C-8C04-2940B1AD84CB}" xr6:coauthVersionLast="47" xr6:coauthVersionMax="47" xr10:uidLastSave="{00000000-0000-0000-0000-000000000000}"/>
  <bookViews>
    <workbookView xWindow="-98" yWindow="-98" windowWidth="21795" windowHeight="12975" firstSheet="2" activeTab="2" xr2:uid="{502C41BB-2D39-4C56-958B-54CD576459B4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_MC_Calc!$A$1:$AQ$1</definedName>
    <definedName name="CostSharePct">MC_Tree_1!$C$15</definedName>
    <definedName name="DowntimeCostDay">MC_Tree_1!$C$17</definedName>
    <definedName name="LeaseAnnualCost">MC_Tree_1!$C$12</definedName>
    <definedName name="MC_BD_D_root_C_lease" localSheetId="3">MC_Tree_1!$C$40</definedName>
    <definedName name="MC_BD_D_root_C_premium" localSheetId="3">MC_Tree_1!$C$22</definedName>
    <definedName name="MC_BD_D_root_C_share" localSheetId="3">MC_Tree_1!$C$48</definedName>
    <definedName name="MC_BD_D_root_C_standard" localSheetId="3">MC_Tree_1!$C$32</definedName>
    <definedName name="MC_BD_D_share_breakdown_T_share_buyown" localSheetId="3">MC_Tree_1!$E$52</definedName>
    <definedName name="MC_BD_D_share_breakdown_T_share_continue" localSheetId="3">MC_Tree_1!$E$56</definedName>
    <definedName name="MC_BP_C_lease_T_lease_issues" localSheetId="3">MC_Tree_1!$D$44</definedName>
    <definedName name="MC_BP_C_lease_T_lease_standard" localSheetId="3">MC_Tree_1!$D$42</definedName>
    <definedName name="MC_BP_C_lease_T_lease_upgrade" localSheetId="3">MC_Tree_1!$D$38</definedName>
    <definedName name="MC_BP_C_premium_T_prem_breakdown" localSheetId="3">MC_Tree_1!$D$26</definedName>
    <definedName name="MC_BP_C_premium_T_prem_high" localSheetId="3">MC_Tree_1!$D$20</definedName>
    <definedName name="MC_BP_C_premium_T_prem_normal" localSheetId="3">MC_Tree_1!$D$24</definedName>
    <definedName name="MC_BP_C_share_D_share_breakdown" localSheetId="3">MC_Tree_1!$D$54</definedName>
    <definedName name="MC_BP_C_share_T_share_conflict" localSheetId="3">MC_Tree_1!$D$50</definedName>
    <definedName name="MC_BP_C_share_T_share_smooth" localSheetId="3">MC_Tree_1!$D$46</definedName>
    <definedName name="MC_BP_C_standard_T_std_breakdown" localSheetId="3">MC_Tree_1!$D$36</definedName>
    <definedName name="MC_BP_C_standard_T_std_high" localSheetId="3">MC_Tree_1!$D$30</definedName>
    <definedName name="MC_BP_C_standard_T_std_normal" localSheetId="3">MC_Tree_1!$D$34</definedName>
    <definedName name="MC_BV_C_lease_T_lease_issues" localSheetId="3">MC_Tree_1!$D$45</definedName>
    <definedName name="MC_BV_C_lease_T_lease_standard" localSheetId="3">MC_Tree_1!$D$43</definedName>
    <definedName name="MC_BV_C_lease_T_lease_upgrade" localSheetId="3">MC_Tree_1!$D$39</definedName>
    <definedName name="MC_BV_C_premium_T_prem_breakdown" localSheetId="3">MC_Tree_1!$D$27</definedName>
    <definedName name="MC_BV_C_premium_T_prem_high" localSheetId="3">MC_Tree_1!$D$21</definedName>
    <definedName name="MC_BV_C_premium_T_prem_normal" localSheetId="3">MC_Tree_1!$D$25</definedName>
    <definedName name="MC_BV_C_share_D_share_breakdown" localSheetId="3">MC_Tree_1!$D$55</definedName>
    <definedName name="MC_BV_C_share_T_share_conflict" localSheetId="3">MC_Tree_1!$D$51</definedName>
    <definedName name="MC_BV_C_share_T_share_smooth" localSheetId="3">MC_Tree_1!$D$47</definedName>
    <definedName name="MC_BV_C_standard_T_std_breakdown" localSheetId="3">MC_Tree_1!$D$37</definedName>
    <definedName name="MC_BV_C_standard_T_std_high" localSheetId="3">MC_Tree_1!$D$31</definedName>
    <definedName name="MC_BV_C_standard_T_std_normal" localSheetId="3">MC_Tree_1!$D$35</definedName>
    <definedName name="MC_BV_D_root_C_lease" localSheetId="3">MC_Tree_1!$C$41</definedName>
    <definedName name="MC_BV_D_root_C_premium" localSheetId="3">MC_Tree_1!$C$23</definedName>
    <definedName name="MC_BV_D_root_C_share" localSheetId="3">MC_Tree_1!$C$49</definedName>
    <definedName name="MC_BV_D_root_C_standard" localSheetId="3">MC_Tree_1!$C$33</definedName>
    <definedName name="MC_BV_D_share_breakdown_T_share_buyown" localSheetId="3">MC_Tree_1!$E$53</definedName>
    <definedName name="MC_BV_D_share_breakdown_T_share_continue" localSheetId="3">MC_Tree_1!$E$57</definedName>
    <definedName name="MC_N_C_lease" localSheetId="3">MC_Tree_1!$D$40</definedName>
    <definedName name="MC_N_C_premium" localSheetId="3">MC_Tree_1!$D$22</definedName>
    <definedName name="MC_N_C_share" localSheetId="3">MC_Tree_1!$D$48</definedName>
    <definedName name="MC_N_C_standard" localSheetId="3">MC_Tree_1!$D$32</definedName>
    <definedName name="MC_N_D_root" localSheetId="3">MC_Tree_1!$C$28</definedName>
    <definedName name="MC_N_D_share_breakdown" localSheetId="3">MC_Tree_1!$E$54</definedName>
    <definedName name="MC_NP_T_lease_issues" localSheetId="3">MC_Tree_1!$E$44</definedName>
    <definedName name="MC_NP_T_lease_standard" localSheetId="3">MC_Tree_1!$E$42</definedName>
    <definedName name="MC_NP_T_lease_upgrade" localSheetId="3">MC_Tree_1!$E$38</definedName>
    <definedName name="MC_NP_T_prem_breakdown" localSheetId="3">MC_Tree_1!$E$26</definedName>
    <definedName name="MC_NP_T_prem_high" localSheetId="3">MC_Tree_1!$E$20</definedName>
    <definedName name="MC_NP_T_prem_normal" localSheetId="3">MC_Tree_1!$E$24</definedName>
    <definedName name="MC_NP_T_share_buyown" localSheetId="3">MC_Tree_1!$F$52</definedName>
    <definedName name="MC_NP_T_share_conflict" localSheetId="3">MC_Tree_1!$E$50</definedName>
    <definedName name="MC_NP_T_share_continue" localSheetId="3">MC_Tree_1!$F$56</definedName>
    <definedName name="MC_NP_T_share_smooth" localSheetId="3">MC_Tree_1!$E$46</definedName>
    <definedName name="MC_NP_T_std_breakdown" localSheetId="3">MC_Tree_1!$E$36</definedName>
    <definedName name="MC_NP_T_std_high" localSheetId="3">MC_Tree_1!$E$30</definedName>
    <definedName name="MC_NP_T_std_normal" localSheetId="3">MC_Tree_1!$E$34</definedName>
    <definedName name="MC_V_C_lease" localSheetId="3">MC_Tree_1!$D$41</definedName>
    <definedName name="MC_V_C_premium" localSheetId="3">MC_Tree_1!$D$23</definedName>
    <definedName name="MC_V_C_share" localSheetId="3">MC_Tree_1!$D$49</definedName>
    <definedName name="MC_V_C_standard" localSheetId="3">MC_Tree_1!$D$33</definedName>
    <definedName name="MC_V_D_root" localSheetId="3">MC_Tree_1!$C$29</definedName>
    <definedName name="MC_V_D_share_breakdown" localSheetId="3">MC_Tree_1!$E$55</definedName>
    <definedName name="MC_V_T_lease_issues" localSheetId="3">MC_Tree_1!$E$45</definedName>
    <definedName name="MC_V_T_lease_standard" localSheetId="3">MC_Tree_1!$E$43</definedName>
    <definedName name="MC_V_T_lease_upgrade" localSheetId="3">MC_Tree_1!$E$39</definedName>
    <definedName name="MC_V_T_prem_breakdown" localSheetId="3">MC_Tree_1!$E$27</definedName>
    <definedName name="MC_V_T_prem_high" localSheetId="3">MC_Tree_1!$E$21</definedName>
    <definedName name="MC_V_T_prem_normal" localSheetId="3">MC_Tree_1!$E$25</definedName>
    <definedName name="MC_V_T_share_buyown" localSheetId="3">MC_Tree_1!$F$53</definedName>
    <definedName name="MC_V_T_share_conflict" localSheetId="3">MC_Tree_1!$E$51</definedName>
    <definedName name="MC_V_T_share_continue" localSheetId="3">MC_Tree_1!$F$57</definedName>
    <definedName name="MC_V_T_share_smooth" localSheetId="3">MC_Tree_1!$E$47</definedName>
    <definedName name="MC_V_T_std_breakdown" localSheetId="3">MC_Tree_1!$E$37</definedName>
    <definedName name="MC_V_T_std_high" localSheetId="3">MC_Tree_1!$E$31</definedName>
    <definedName name="MC_V_T_std_normal" localSheetId="3">MC_Tree_1!$E$35</definedName>
    <definedName name="PatientVolume">MC_Tree_1!$C$10</definedName>
    <definedName name="PremiumBonus">MC_Tree_1!$C$14</definedName>
    <definedName name="PremiumMaintCost">MC_Tree_1!$C$8</definedName>
    <definedName name="PremiumPrice">MC_Tree_1!$C$6</definedName>
    <definedName name="RevenuePerProc">MC_Tree_1!$C$11</definedName>
    <definedName name="SharedUtilization">MC_Tree_1!$C$16</definedName>
    <definedName name="StandardMaintCost">MC_Tree_1!$C$9</definedName>
    <definedName name="StandardPrice">MC_Tree_1!$C$7</definedName>
    <definedName name="UsefulLife">MC_Tree_1!$C$13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3" l="1"/>
  <c r="D39" i="3"/>
  <c r="D31" i="3"/>
  <c r="C49" i="3"/>
  <c r="AB1" i="4" s="1"/>
  <c r="D51" i="3"/>
  <c r="D43" i="3"/>
  <c r="D1" i="4" s="1"/>
  <c r="D37" i="3"/>
  <c r="D35" i="3"/>
  <c r="V1" i="4" s="1"/>
  <c r="D27" i="3"/>
  <c r="D45" i="3"/>
  <c r="D47" i="3"/>
  <c r="N1" i="4" s="1"/>
  <c r="E57" i="3"/>
  <c r="AD1" i="4" s="1"/>
  <c r="C33" i="3"/>
  <c r="E53" i="3"/>
  <c r="AC1" i="4" s="1"/>
  <c r="D21" i="3"/>
  <c r="C23" i="3"/>
  <c r="Y1" i="4" s="1"/>
  <c r="AA1" i="4"/>
  <c r="Z1" i="4"/>
  <c r="X1" i="4"/>
  <c r="W1" i="4"/>
  <c r="U1" i="4"/>
  <c r="T1" i="4"/>
  <c r="S1" i="4"/>
  <c r="R1" i="4"/>
  <c r="Q1" i="4"/>
  <c r="P1" i="4"/>
  <c r="O1" i="4"/>
  <c r="M1" i="4"/>
  <c r="L1" i="4"/>
  <c r="K1" i="4"/>
  <c r="J1" i="4"/>
  <c r="I1" i="4"/>
  <c r="H1" i="4"/>
  <c r="G1" i="4"/>
  <c r="F1" i="4"/>
  <c r="E1" i="4"/>
  <c r="C1" i="4"/>
  <c r="B1" i="4"/>
  <c r="A1" i="4"/>
  <c r="F57" i="3"/>
  <c r="E47" i="3"/>
  <c r="E38" i="3"/>
  <c r="C29" i="3"/>
  <c r="C48" i="3"/>
  <c r="E44" i="3"/>
  <c r="F52" i="3"/>
  <c r="E24" i="3"/>
  <c r="E51" i="3"/>
  <c r="D33" i="3"/>
  <c r="D41" i="3"/>
  <c r="E31" i="3"/>
  <c r="E56" i="3"/>
  <c r="E52" i="3"/>
  <c r="F56" i="3"/>
  <c r="E46" i="3"/>
  <c r="E37" i="3"/>
  <c r="E27" i="3"/>
  <c r="C40" i="3"/>
  <c r="E35" i="3"/>
  <c r="E25" i="3"/>
  <c r="E43" i="3"/>
  <c r="E42" i="3"/>
  <c r="D23" i="3"/>
  <c r="D49" i="3"/>
  <c r="E30" i="3"/>
  <c r="E20" i="3"/>
  <c r="E55" i="3"/>
  <c r="E45" i="3"/>
  <c r="E36" i="3"/>
  <c r="E26" i="3"/>
  <c r="C32" i="3"/>
  <c r="F53" i="3"/>
  <c r="C22" i="3"/>
  <c r="E34" i="3"/>
  <c r="E50" i="3"/>
  <c r="E21" i="3"/>
  <c r="E39" i="3"/>
</calcChain>
</file>

<file path=xl/sharedStrings.xml><?xml version="1.0" encoding="utf-8"?>
<sst xmlns="http://schemas.openxmlformats.org/spreadsheetml/2006/main" count="76" uniqueCount="68">
  <si>
    <t>{"_v":2,"trees":{"MC_Tree_1":"{\n  \"RootId\": \"D_root\",\n  \"Nodes\": {\n    \"D_root\": {\n      \"type\": \"decision\",\n      \"id\": \"D_root\",\n      \"name\": \"Equipment Acquisition\",\n      \"options\": [\n        {\n          \"name\": \"Buy Premium Equipment\",\n          \"childId\": \"C_premium\",\n          \"value\": -2500000\n        },\n        {\n          \"name\": \"Buy Standard Equipment\",\n          \"childId\": \"C_standard\",\n          \"value\": -1200000\n        },\n        {\n          \"name\": \"Lease Equipment\",\n          \"childId\": \"C_lease\"\n        },\n        {\n          \"name\": \"Share with Partner Hospital\",\n          \"childId\": \"C_share\",\n          \"value\": -1250000\n        }\n      ]\n    },\n    \"C_premium\": {\n      \"type\": \"chance\",\n      \"id\": \"C_premium\",\n      \"name\": \"Premium Equipment Reliability\",\n      \"branches\": [\n        {\n          \"name\": \"High Reliability\",\n          \"probability\": 0.6,\n          \"childId\": \"T_prem_high\",\n          \"value\": 50250000\n        },\n        {\n          \"name\": \"Normal Reliability\",\n          \"probability\": 0.3,\n          \"childId\": \"T_prem_normal\",\n          \"value\": 43500000\n        },\n        {\n          \"name\": \"Frequent Breakdowns\",\n          \"probability\": 0.1,\n          \"childId\": \"T_prem_breakdown\",\n          \"value\": 35100000\n        }\n      ]\n    },\n    \"T_prem_high\": {\n      \"type\": \"terminal\",\n      \"id\": \"T_prem_high\",\n      \"name\": \"Premium High Reliability\",\n      \"value\": 0\n    },\n    \"T_prem_normal\": {\n      \"type\": \"terminal\",\n      \"id\": \"T_prem_normal\",\n      \"name\": \"Premium Normal Reliability\",\n      \"value\": 0\n    },\n    \"T_prem_breakdown\": {\n      \"type\": \"terminal\",\n      \"id\": \"T_prem_breakdown\",\n      \"name\": \"Premium Breakdowns\",\n      \"value\": 0\n    },\n    \"C_standard\": {\n      \"type\": \"chance\",\n      \"id\": \"C_standard\",\n      \"name\": \"Standard Equipment Reliability\",\n      \"branches\": [\n        {\n          \"name\": \"High Reliability\",\n          \"probability\": 0.4,\n          \"childId\": \"T_std_high\",\n          \"value\": 44000000\n        },\n        {\n          \"name\": \"Normal Reliability\",\n          \"probability\": 0.4,\n          \"childId\": \"T_std_normal\",\n          \"value\": 43500000\n        },\n        {\n          \"name\": \"Frequent Breakdowns\",\n          \"probability\": 0.2,\n          \"childId\": \"T_std_breakdown\",\n          \"value\": 33100000\n        }\n      ]\n    },\n    \"T_std_high\": {\n      \"type\": \"terminal\",\n      \"id\": \"T_std_high\",\n      \"name\": \"Standard High Reliability\",\n      \"value\": 0\n    },\n    \"T_std_normal\": {\n      \"type\": \"terminal\",\n      \"id\": \"T_std_normal\",\n      \"name\": \"Standard Normal Reliability\",\n      \"value\": 0\n    },\n    \"T_std_breakdown\": {\n      \"type\": \"terminal\",\n      \"id\": \"T_std_breakdown\",\n      \"name\": \"Standard Breakdowns\",\n      \"value\": 0\n    },\n    \"C_lease\": {\n      \"type\": \"chance\",\n      \"id\": \"C_lease\",\n      \"name\": \"Lease Equipment Performance\",\n      \"branches\": [\n        {\n          \"name\": \"Upgrade Available\",\n          \"probability\": 0.35,\n          \"childId\": \"T_lease_upgrade\",\n          \"value\": 44500000\n        },\n        {\n          \"name\": \"Standard Performance\",\n          \"probability\": 0.5,\n          \"childId\": \"T_lease_standard\",\n          \"value\": 41000000\n        },\n        {\n          \"name\": \"Vendor Issues\",\n          \"probability\": 0.15,\n          \"childId\": \"T_lease_issues\",\n          \"value\": 30500000\n        }\n      ]\n    },\n    \"T_lease_upgrade\": {\n      \"type\": \"terminal\",\n      \"id\": \"T_lease_upgrade\",\n      \"name\": \"Lease with Upgrades\",\n      \"value\": 0\n    },\n    \"T_lease_standard\": {\n      \"type\": \"terminal\",\n      \"id\": \"T_lease_standard\",\n      \"name\": \"Lease Standard\",\n      \"value\": 0\n    },\n    \"T_lease_issues\": {\n      \"type\": \"terminal\",\n      \"id\": \"T_lease_issues\",\n      \"name\": \"Lease Vendor Issues\",\n      \"value\": 0\n    },\n    \"C_share\": {\n      \"type\": \"chance\",\n      \"id\": \"C_share\",\n      \"name\": \"Sharing Arrangement Outcome\",\n      \"branches\": [\n        {\n          \"name\": \"Smooth Coordination\",\n          \"probability\": 0.3,\n          \"childId\": \"T_share_smooth\",\n          \"value\": 38250000\n        },\n        {\n          \"name\": \"Scheduling Conflicts\",\n          \"probability\": 0.45,\n          \"childId\": \"T_share_conflict\",\n          \"value\": 29750000\n        },\n        {\n          \"name\": \"Partnership Breakdown\",\n          \"probability\": 0.25,\n          \"childId\": \"D_share_breakdown\"\n        }\n      ]\n    },\n    \"T_share_smooth\": {\n      \"type\": \"terminal\",\n      \"id\": \"T_share_smooth\",\n      \"name\": \"Sharing Works Well\",\n      \"value\": 0\n    },\n    \"T_share_conflict\": {\n      \"type\": \"terminal\",\n      \"id\": \"T_share_conflict\",\n      \"name\": \"Sharing With Conflicts\",\n      \"value\": 0\n    },\n    \"D_share_breakdown\": {\n      \"type\": \"decision\",\n      \"id\": \"D_share_breakdown\",\n      \"name\": \"Partnership Failed\",\n      \"options\": [\n        {\n          \"name\": \"Buy Own Standard Equipment\",\n          \"childId\": \"T_share_buyown\",\n          \"value\": 32550000\n        },\n        {\n          \"name\": \"Continue Sharing (Reduced)\",\n          \"childId\": \"T_share_continue\",\n          \"value\": 21000000\n        }\n      ]\n    },\n    \"T_share_buyown\": {\n      \"type\": \"terminal\",\n      \"id\": \"T_share_buyown\",\n      \"name\": \"Buy After Failed Share\",\n      \"value\": 0\n    },\n    \"T_share_continue\": {\n      \"type\": \"terminal\",\n      \"id\": \"T_share_continue\",\n      \"name\": \"Continue Reduced Sharing\",\n      \"value\": 0\n    }\n  },\n  \"Settings\": {\n    \"ModelName\": \"Hospital Equipment Decision\",\n    \"CalculationMethod\": 0,\n    \"Maximize\": true,\n    \"UtilityConfig\": null,\n    \"Display\": {\n      \"DecimalPlaces\": 0,\n      \"ShowExpectedValues\": true,\n      \"ShowOptimalLabels\": true,\n      \"ShowRollbackValues\": true,\n      \"CalculatedValueFormat\": \"\\\"$\\\"#,##0\",\n      \"CalculatedProbabilityFormat\": \"0.0%\",\n      \"InputValueFormat\": \"\\\"$\\\"#,##0\",\n      \"InputProbabilityFormat\": \"0.0%\",\n      \"CalculatedValuesLabel\": \"\",\n      \"TreeStartRow\": 20\n    },\n    \"ChanceProbabilities\": 1,\n    \"ProbabilityTolerance\": 0.001,\n    \"Simulation\": {\n      \"CalculationMode\": 0,\n      \"DecisionMode\": 0\n    }\n  },\n  \"NodeMetadata\": {},\n  \"UserFormulas\": {\n    \"MC_BV_D_root_C_premium\": \"=-PremiumPrice\",\n    \"MC_BV_D_root_C_standard\": \"=-StandardPrice\",\n    \"MC_BV_D_root_C_share\": \"=-PremiumPrice*CostSharePct\",\n    \"MC_BV_D_share_breakdown_T_share_buyown\": \"=-StandardPrice+PatientVolume*RevenuePerProc*(UsefulLife-2)-StandardMaintCost*(UsefulLife-2)\",\n    \"MC_BV_C_premium_T_prem_high\": \"=PatientVolume*(1+PremiumBonus)*RevenuePerProc*UsefulLife-PremiumMaintCost*UsefulLife\",\n    \"MC_BV_C_premium_T_prem_normal\": \"=PatientVolume*RevenuePerProc*UsefulLife-PremiumMaintCost*UsefulLife\",\n    \"MC_BV_C_premium_T_prem_breakdown\": \"=PatientVolume*RevenuePerProc*UsefulLife-PremiumMaintCost*UsefulLife-DowntimeCostDay*30*UsefulLife\",\n    \"MC_BV_C_standard_T_std_high\": \"=PatientVolume*RevenuePerProc*UsefulLife-StandardMaintCost*UsefulLife\",\n    \"MC_BV_C_standard_T_std_normal\": \"=PatientVolume*RevenuePerProc*UsefulLife-StandardMaintCost*UsefulLife\",\n    \"MC_BV_C_standard_T_std_breakdown\": \"=PatientVolume*RevenuePerProc*UsefulLife-StandardMaintCost*UsefulLife-DowntimeCostDay*45*UsefulLife\",\n    \"MC_BV_C_lease_T_lease_upgrade\": \"=PatientVolume*(1+PremiumBonus)*RevenuePerProc*UsefulLife-LeaseAnnualCost*UsefulLife\",\n    \"MC_BV_C_lease_T_lease_standard\": \"=PatientVolume*RevenuePerProc*UsefulLife-LeaseAnnualCost*UsefulLife\",\n    \"MC_BV_C_lease_T_lease_issues\": \"=PatientVolume*RevenuePerProc*UsefulLife-LeaseAnnualCost*UsefulLife-DowntimeCostDay*60*UsefulLife\",\n    \"MC_BV_C_share_T_share_smooth\": \"=PatientVolume*SharedUtilization*RevenuePerProc*UsefulLife-PremiumMaintCost*CostSharePct*UsefulLife\",\n    \"MC_BV_C_share_T_share_conflict\": \"=PatientVolume*SharedUtilization*0.7*RevenuePerProc*UsefulLife-PremiumMaintCost*CostSharePct*UsefulLife\",\n    \"MC_BV_D_share_breakdown_T_share_continue\": \"=PatientVolume*SharedUtilization*0.5*RevenuePerProc*UsefulLife-PremiumMaintCost*CostSharePct*UsefulLife\"\n  }\n}"}}</t>
  </si>
  <si>
    <t>Premium Equipment Reliability</t>
  </si>
  <si>
    <t>Equipment Acquisition</t>
  </si>
  <si>
    <t>Standard Equipment Reliability</t>
  </si>
  <si>
    <t>Lease Equipment Performance</t>
  </si>
  <si>
    <t>Sharing Arrangement Outcome</t>
  </si>
  <si>
    <t>Partnership Failed</t>
  </si>
  <si>
    <t>Hospital Equipment Decision — Control Panel</t>
  </si>
  <si>
    <t>Adjust parameters below to update the decision tree instantly</t>
  </si>
  <si>
    <t>Parameter</t>
  </si>
  <si>
    <t>Value</t>
  </si>
  <si>
    <t>Units</t>
  </si>
  <si>
    <t>Notes</t>
  </si>
  <si>
    <t>Equipment Purchase Price (Premium)</t>
  </si>
  <si>
    <t>$</t>
  </si>
  <si>
    <t>High-end equipment with latest features</t>
  </si>
  <si>
    <t>Equipment Purchase Price (Standard)</t>
  </si>
  <si>
    <t>Reliable mid-range equipment</t>
  </si>
  <si>
    <t>Annual Maintenance Cost (Premium)</t>
  </si>
  <si>
    <t>Preventive maintenance contract</t>
  </si>
  <si>
    <t>Annual Maintenance Cost (Standard)</t>
  </si>
  <si>
    <t>Basic maintenance contract</t>
  </si>
  <si>
    <t>Patient Volume per Year</t>
  </si>
  <si>
    <t>#</t>
  </si>
  <si>
    <t>Expected annual procedures</t>
  </si>
  <si>
    <t>Revenue per Procedure</t>
  </si>
  <si>
    <t>Average reimbursement per procedure</t>
  </si>
  <si>
    <t>Lease Annual Cost</t>
  </si>
  <si>
    <t>Annual equipment lease payment</t>
  </si>
  <si>
    <t>Useful Life (Years)</t>
  </si>
  <si>
    <t>years</t>
  </si>
  <si>
    <t>Equipment operational lifetime</t>
  </si>
  <si>
    <t>Premium Efficiency Bonus</t>
  </si>
  <si>
    <t>%</t>
  </si>
  <si>
    <t>Extra throughput from premium equipment</t>
  </si>
  <si>
    <t>Shared Equipment Cost Share</t>
  </si>
  <si>
    <t>Our share of shared equipment costs</t>
  </si>
  <si>
    <t>Shared Utilization Factor</t>
  </si>
  <si>
    <t>Available capacity when sharing equipment</t>
  </si>
  <si>
    <t>Downtime Cost per Day</t>
  </si>
  <si>
    <t>Lost revenue during equipment downtime</t>
  </si>
  <si>
    <t>Hospital Equipment Decision</t>
  </si>
  <si>
    <t>ModelChoice Example Model — Control Panel Demo</t>
  </si>
  <si>
    <t>Background</t>
  </si>
  <si>
    <t>A hospital needs to acquire specialized medical imaging equipment for its</t>
  </si>
  <si>
    <t>radiology department. The equipment will serve a growing patient population</t>
  </si>
  <si>
    <t>over the next decade. Management must weigh capital cost, maintenance,</t>
  </si>
  <si>
    <t>reliability, and patient throughput. The options are:</t>
  </si>
  <si>
    <t xml:space="preserve">  1. Buy Premium Equipment — highest capability, best reliability, highest cost</t>
  </si>
  <si>
    <t xml:space="preserve">  2. Buy Standard Equipment — proven technology, lower cost, more breakdown risk</t>
  </si>
  <si>
    <t xml:space="preserve">  3. Lease Equipment — no capital outlay, includes maintenance, upgrade options</t>
  </si>
  <si>
    <t xml:space="preserve">  4. Share with Partner Hospital — split costs but accept scheduling constraints</t>
  </si>
  <si>
    <t>Control Panel Feature</t>
  </si>
  <si>
    <t>This example demonstrates the Control Panel feature. Patient Volume, Revenue</t>
  </si>
  <si>
    <t>per Procedure, and Maintenance Costs are defined ONCE and referenced by</t>
  </si>
  <si>
    <t>MULTIPLE branches. Changing clinical volumes instantly updates all paths.</t>
  </si>
  <si>
    <t>Key reused parameters:</t>
  </si>
  <si>
    <t xml:space="preserve">  • Revenue per Procedure × Patient Volume — drives revenue across all four paths</t>
  </si>
  <si>
    <t xml:space="preserve">  • Maintenance Costs — applied in premium, standard, and shared paths</t>
  </si>
  <si>
    <t xml:space="preserve">  • Patient Volume — throughput multiplier used in every revenue calculation</t>
  </si>
  <si>
    <t xml:space="preserve">  • Useful Life — time horizon for all revenue and cost projections</t>
  </si>
  <si>
    <t xml:space="preserve">  • Downtime Cost per Day — penalty applied in breakdown scenarios across paths</t>
  </si>
  <si>
    <t xml:space="preserve">  • Standard Price — used in buy standard and as fallback in failed sharing</t>
  </si>
  <si>
    <t>Try This</t>
  </si>
  <si>
    <t xml:space="preserve">  ▶ Increase Patient Volume — watch all revenue terminals scale up together</t>
  </si>
  <si>
    <t xml:space="preserve">  ▶ Raise Revenue per Procedure — see how reimbursement rates shift the decision</t>
  </si>
  <si>
    <t xml:space="preserve">  ▶ Increase Downtime Cost — reliability becomes more valuable</t>
  </si>
  <si>
    <t xml:space="preserve">  ▶ Run Sensitivity Analysis — find which clinical parameter matters most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</si>
</sst>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6" formatCode="&quot;$&quot;#,##0"/>
    <numFmt numFmtId="167" formatCode="\$#,##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3" fontId="1" fillId="3" borderId="1" xfId="0" applyNumberFormat="1" applyFont="1" applyFill="1" applyBorder="1"/>
    <xf numFmtId="164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28</xdr:row>
      <xdr:rowOff>0</xdr:rowOff>
    </xdr:from>
    <xdr:to>
      <xdr:col>2</xdr:col>
      <xdr:colOff>9525</xdr:colOff>
      <xdr:row>28</xdr:row>
      <xdr:rowOff>0</xdr:rowOff>
    </xdr:to>
    <xdr:cxnSp macro="">
      <xdr:nvCxnSpPr>
        <xdr:cNvPr id="17" name="MC_Entry">
          <a:extLst>
            <a:ext uri="{FF2B5EF4-FFF2-40B4-BE49-F238E27FC236}">
              <a16:creationId xmlns:a16="http://schemas.microsoft.com/office/drawing/2014/main" id="{36C0C599-6510-7E3E-1968-61A8B61FB50E}"/>
            </a:ext>
          </a:extLst>
        </xdr:cNvPr>
        <xdr:cNvCxnSpPr/>
      </xdr:nvCxnSpPr>
      <xdr:spPr>
        <a:xfrm>
          <a:off x="665163" y="5276850"/>
          <a:ext cx="2068512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27</xdr:row>
      <xdr:rowOff>99251</xdr:rowOff>
    </xdr:from>
    <xdr:ext cx="1388522" cy="182550"/>
    <xdr:sp macro="_xll.MC_OnTreeNameClick" textlink="">
      <xdr:nvSpPr>
        <xdr:cNvPr id="18" name="MC_TreeName">
          <a:extLst>
            <a:ext uri="{FF2B5EF4-FFF2-40B4-BE49-F238E27FC236}">
              <a16:creationId xmlns:a16="http://schemas.microsoft.com/office/drawing/2014/main" id="{AF7C01E5-B0AC-4922-2881-CC21D71D9B9B}"/>
            </a:ext>
          </a:extLst>
        </xdr:cNvPr>
        <xdr:cNvSpPr txBox="1"/>
      </xdr:nvSpPr>
      <xdr:spPr>
        <a:xfrm>
          <a:off x="665163" y="5185601"/>
          <a:ext cx="138852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Hospital Equipment Decision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74842</xdr:colOff>
      <xdr:row>21</xdr:row>
      <xdr:rowOff>174625</xdr:rowOff>
    </xdr:from>
    <xdr:to>
      <xdr:col>3</xdr:col>
      <xdr:colOff>47626</xdr:colOff>
      <xdr:row>28</xdr:row>
      <xdr:rowOff>2291</xdr:rowOff>
    </xdr:to>
    <xdr:sp macro="" textlink="">
      <xdr:nvSpPr>
        <xdr:cNvPr id="19" name="MC_BR_D_root_C_premium">
          <a:extLst>
            <a:ext uri="{FF2B5EF4-FFF2-40B4-BE49-F238E27FC236}">
              <a16:creationId xmlns:a16="http://schemas.microsoft.com/office/drawing/2014/main" id="{D9DB1467-61F4-47E1-9D4A-D2EDE422073B}"/>
            </a:ext>
          </a:extLst>
        </xdr:cNvPr>
        <xdr:cNvSpPr/>
      </xdr:nvSpPr>
      <xdr:spPr>
        <a:xfrm>
          <a:off x="2798992" y="4117975"/>
          <a:ext cx="2611209" cy="1161166"/>
        </a:xfrm>
        <a:custGeom>
          <a:avLst/>
          <a:gdLst/>
          <a:ahLst/>
          <a:cxnLst/>
          <a:rect l="0" t="0" r="0" b="0"/>
          <a:pathLst>
            <a:path w="2611209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611208" y="0"/>
              </a:lnTo>
              <a:lnTo>
                <a:pt x="2611208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1190198" cy="182550"/>
    <xdr:sp macro="_xll.MC_OnBranchLabelClick" textlink="">
      <xdr:nvSpPr>
        <xdr:cNvPr id="20" name="MC_BN_D_root_C_premium">
          <a:extLst>
            <a:ext uri="{FF2B5EF4-FFF2-40B4-BE49-F238E27FC236}">
              <a16:creationId xmlns:a16="http://schemas.microsoft.com/office/drawing/2014/main" id="{BB1C79E2-BEC1-C9C4-618D-9CB154AB764E}"/>
            </a:ext>
          </a:extLst>
        </xdr:cNvPr>
        <xdr:cNvSpPr txBox="1"/>
      </xdr:nvSpPr>
      <xdr:spPr>
        <a:xfrm>
          <a:off x="3010535" y="4042601"/>
          <a:ext cx="11901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Buy Premium Equipment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84348</xdr:colOff>
      <xdr:row>27</xdr:row>
      <xdr:rowOff>189143</xdr:rowOff>
    </xdr:from>
    <xdr:to>
      <xdr:col>3</xdr:col>
      <xdr:colOff>47626</xdr:colOff>
      <xdr:row>32</xdr:row>
      <xdr:rowOff>6351</xdr:rowOff>
    </xdr:to>
    <xdr:sp macro="" textlink="">
      <xdr:nvSpPr>
        <xdr:cNvPr id="21" name="MC_BR_D_root_C_standard">
          <a:extLst>
            <a:ext uri="{FF2B5EF4-FFF2-40B4-BE49-F238E27FC236}">
              <a16:creationId xmlns:a16="http://schemas.microsoft.com/office/drawing/2014/main" id="{EC8B286F-5B0A-217F-9DD0-80E500BECF5E}"/>
            </a:ext>
          </a:extLst>
        </xdr:cNvPr>
        <xdr:cNvSpPr/>
      </xdr:nvSpPr>
      <xdr:spPr>
        <a:xfrm>
          <a:off x="2808498" y="5275493"/>
          <a:ext cx="2601703" cy="769708"/>
        </a:xfrm>
        <a:custGeom>
          <a:avLst/>
          <a:gdLst/>
          <a:ahLst/>
          <a:cxnLst/>
          <a:rect l="0" t="0" r="0" b="0"/>
          <a:pathLst>
            <a:path w="2601703" h="769708">
              <a:moveTo>
                <a:pt x="12406" y="0"/>
              </a:moveTo>
              <a:lnTo>
                <a:pt x="179030" y="762000"/>
              </a:lnTo>
              <a:lnTo>
                <a:pt x="172827" y="757007"/>
              </a:lnTo>
              <a:lnTo>
                <a:pt x="2601702" y="757007"/>
              </a:lnTo>
              <a:lnTo>
                <a:pt x="2601702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31</xdr:row>
      <xdr:rowOff>99251</xdr:rowOff>
    </xdr:from>
    <xdr:ext cx="1196225" cy="182550"/>
    <xdr:sp macro="_xll.MC_OnBranchLabelClick" textlink="">
      <xdr:nvSpPr>
        <xdr:cNvPr id="22" name="MC_BN_D_root_C_standard">
          <a:extLst>
            <a:ext uri="{FF2B5EF4-FFF2-40B4-BE49-F238E27FC236}">
              <a16:creationId xmlns:a16="http://schemas.microsoft.com/office/drawing/2014/main" id="{6F707B6F-187A-E444-F2E9-0F74709D403D}"/>
            </a:ext>
          </a:extLst>
        </xdr:cNvPr>
        <xdr:cNvSpPr txBox="1"/>
      </xdr:nvSpPr>
      <xdr:spPr>
        <a:xfrm>
          <a:off x="3010535" y="5947601"/>
          <a:ext cx="119622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Buy Standard Equipment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84218</xdr:colOff>
      <xdr:row>27</xdr:row>
      <xdr:rowOff>190038</xdr:rowOff>
    </xdr:from>
    <xdr:to>
      <xdr:col>3</xdr:col>
      <xdr:colOff>47626</xdr:colOff>
      <xdr:row>40</xdr:row>
      <xdr:rowOff>6351</xdr:rowOff>
    </xdr:to>
    <xdr:sp macro="" textlink="">
      <xdr:nvSpPr>
        <xdr:cNvPr id="23" name="MC_BR_D_root_C_lease">
          <a:extLst>
            <a:ext uri="{FF2B5EF4-FFF2-40B4-BE49-F238E27FC236}">
              <a16:creationId xmlns:a16="http://schemas.microsoft.com/office/drawing/2014/main" id="{8736DF9C-5E2F-E27C-FA0A-1E897DAADDE3}"/>
            </a:ext>
          </a:extLst>
        </xdr:cNvPr>
        <xdr:cNvSpPr/>
      </xdr:nvSpPr>
      <xdr:spPr>
        <a:xfrm>
          <a:off x="2808368" y="5276388"/>
          <a:ext cx="2601833" cy="2292813"/>
        </a:xfrm>
        <a:custGeom>
          <a:avLst/>
          <a:gdLst/>
          <a:ahLst/>
          <a:cxnLst/>
          <a:rect l="0" t="0" r="0" b="0"/>
          <a:pathLst>
            <a:path w="2601833" h="2292813">
              <a:moveTo>
                <a:pt x="12666" y="0"/>
              </a:moveTo>
              <a:lnTo>
                <a:pt x="179290" y="2286000"/>
              </a:lnTo>
              <a:lnTo>
                <a:pt x="172957" y="2280112"/>
              </a:lnTo>
              <a:lnTo>
                <a:pt x="2601832" y="2280112"/>
              </a:lnTo>
              <a:lnTo>
                <a:pt x="2601832" y="2292812"/>
              </a:lnTo>
              <a:lnTo>
                <a:pt x="172957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39</xdr:row>
      <xdr:rowOff>99251</xdr:rowOff>
    </xdr:from>
    <xdr:ext cx="854016" cy="182550"/>
    <xdr:sp macro="_xll.MC_OnBranchLabelClick" textlink="">
      <xdr:nvSpPr>
        <xdr:cNvPr id="24" name="MC_BN_D_root_C_lease">
          <a:extLst>
            <a:ext uri="{FF2B5EF4-FFF2-40B4-BE49-F238E27FC236}">
              <a16:creationId xmlns:a16="http://schemas.microsoft.com/office/drawing/2014/main" id="{BEAA12E9-56FE-E51A-9D14-D590586F6703}"/>
            </a:ext>
          </a:extLst>
        </xdr:cNvPr>
        <xdr:cNvSpPr txBox="1"/>
      </xdr:nvSpPr>
      <xdr:spPr>
        <a:xfrm>
          <a:off x="3010535" y="7471601"/>
          <a:ext cx="8540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Lease Equipment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84207</xdr:colOff>
      <xdr:row>27</xdr:row>
      <xdr:rowOff>190222</xdr:rowOff>
    </xdr:from>
    <xdr:to>
      <xdr:col>3</xdr:col>
      <xdr:colOff>47626</xdr:colOff>
      <xdr:row>48</xdr:row>
      <xdr:rowOff>6351</xdr:rowOff>
    </xdr:to>
    <xdr:sp macro="" textlink="">
      <xdr:nvSpPr>
        <xdr:cNvPr id="25" name="MC_BR_D_root_C_share">
          <a:extLst>
            <a:ext uri="{FF2B5EF4-FFF2-40B4-BE49-F238E27FC236}">
              <a16:creationId xmlns:a16="http://schemas.microsoft.com/office/drawing/2014/main" id="{F3FB870C-3532-1E90-13BB-AD91C66FB93D}"/>
            </a:ext>
          </a:extLst>
        </xdr:cNvPr>
        <xdr:cNvSpPr/>
      </xdr:nvSpPr>
      <xdr:spPr>
        <a:xfrm>
          <a:off x="2808357" y="5276572"/>
          <a:ext cx="2601844" cy="3816629"/>
        </a:xfrm>
        <a:custGeom>
          <a:avLst/>
          <a:gdLst/>
          <a:ahLst/>
          <a:cxnLst/>
          <a:rect l="0" t="0" r="0" b="0"/>
          <a:pathLst>
            <a:path w="2601844" h="3816629">
              <a:moveTo>
                <a:pt x="12688" y="0"/>
              </a:moveTo>
              <a:lnTo>
                <a:pt x="179312" y="3810000"/>
              </a:lnTo>
              <a:lnTo>
                <a:pt x="172968" y="3803928"/>
              </a:lnTo>
              <a:lnTo>
                <a:pt x="2601843" y="3803928"/>
              </a:lnTo>
              <a:lnTo>
                <a:pt x="2601843" y="3816628"/>
              </a:lnTo>
              <a:lnTo>
                <a:pt x="172968" y="3816628"/>
              </a:lnTo>
              <a:lnTo>
                <a:pt x="166624" y="3810556"/>
              </a:lnTo>
              <a:lnTo>
                <a:pt x="0" y="55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47</xdr:row>
      <xdr:rowOff>99251</xdr:rowOff>
    </xdr:from>
    <xdr:ext cx="1304331" cy="182550"/>
    <xdr:sp macro="_xll.MC_OnBranchLabelClick" textlink="">
      <xdr:nvSpPr>
        <xdr:cNvPr id="26" name="MC_BN_D_root_C_share">
          <a:extLst>
            <a:ext uri="{FF2B5EF4-FFF2-40B4-BE49-F238E27FC236}">
              <a16:creationId xmlns:a16="http://schemas.microsoft.com/office/drawing/2014/main" id="{D8FF6A58-73D0-959B-2D6D-2336F56DBBB7}"/>
            </a:ext>
          </a:extLst>
        </xdr:cNvPr>
        <xdr:cNvSpPr txBox="1"/>
      </xdr:nvSpPr>
      <xdr:spPr>
        <a:xfrm>
          <a:off x="3010535" y="8995601"/>
          <a:ext cx="13043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Share with Partner Hospital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19</xdr:row>
      <xdr:rowOff>174625</xdr:rowOff>
    </xdr:from>
    <xdr:to>
      <xdr:col>4</xdr:col>
      <xdr:colOff>47626</xdr:colOff>
      <xdr:row>22</xdr:row>
      <xdr:rowOff>6362</xdr:rowOff>
    </xdr:to>
    <xdr:sp macro="" textlink="">
      <xdr:nvSpPr>
        <xdr:cNvPr id="27" name="MC_BR_C_premium_T_prem_high">
          <a:extLst>
            <a:ext uri="{FF2B5EF4-FFF2-40B4-BE49-F238E27FC236}">
              <a16:creationId xmlns:a16="http://schemas.microsoft.com/office/drawing/2014/main" id="{D3AB384B-48D7-21F6-0045-1BD4E982952F}"/>
            </a:ext>
          </a:extLst>
        </xdr:cNvPr>
        <xdr:cNvSpPr/>
      </xdr:nvSpPr>
      <xdr:spPr>
        <a:xfrm>
          <a:off x="5438581" y="3736975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871982" y="0"/>
              </a:lnTo>
              <a:lnTo>
                <a:pt x="287198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19</xdr:row>
      <xdr:rowOff>99251</xdr:rowOff>
    </xdr:from>
    <xdr:ext cx="733791" cy="182550"/>
    <xdr:sp macro="_xll.MC_OnBranchLabelClick" textlink="">
      <xdr:nvSpPr>
        <xdr:cNvPr id="28" name="MC_BN_C_premium_T_prem_high">
          <a:extLst>
            <a:ext uri="{FF2B5EF4-FFF2-40B4-BE49-F238E27FC236}">
              <a16:creationId xmlns:a16="http://schemas.microsoft.com/office/drawing/2014/main" id="{68ACCBEA-6AE1-E341-E3B6-0340268CCA1F}"/>
            </a:ext>
          </a:extLst>
        </xdr:cNvPr>
        <xdr:cNvSpPr txBox="1"/>
      </xdr:nvSpPr>
      <xdr:spPr>
        <a:xfrm>
          <a:off x="5648960" y="3661601"/>
          <a:ext cx="7337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Reliability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21</xdr:row>
      <xdr:rowOff>184139</xdr:rowOff>
    </xdr:from>
    <xdr:to>
      <xdr:col>4</xdr:col>
      <xdr:colOff>47626</xdr:colOff>
      <xdr:row>24</xdr:row>
      <xdr:rowOff>15876</xdr:rowOff>
    </xdr:to>
    <xdr:sp macro="" textlink="">
      <xdr:nvSpPr>
        <xdr:cNvPr id="29" name="MC_BR_C_premium_T_prem_normal">
          <a:extLst>
            <a:ext uri="{FF2B5EF4-FFF2-40B4-BE49-F238E27FC236}">
              <a16:creationId xmlns:a16="http://schemas.microsoft.com/office/drawing/2014/main" id="{1722A2F8-C94F-F8D9-BFC7-6D052C2624EA}"/>
            </a:ext>
          </a:extLst>
        </xdr:cNvPr>
        <xdr:cNvSpPr/>
      </xdr:nvSpPr>
      <xdr:spPr>
        <a:xfrm>
          <a:off x="5438581" y="4127489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871982" y="371486"/>
              </a:lnTo>
              <a:lnTo>
                <a:pt x="28719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23</xdr:row>
      <xdr:rowOff>99251</xdr:rowOff>
    </xdr:from>
    <xdr:ext cx="853439" cy="182550"/>
    <xdr:sp macro="_xll.MC_OnBranchLabelClick" textlink="">
      <xdr:nvSpPr>
        <xdr:cNvPr id="30" name="MC_BN_C_premium_T_prem_normal">
          <a:extLst>
            <a:ext uri="{FF2B5EF4-FFF2-40B4-BE49-F238E27FC236}">
              <a16:creationId xmlns:a16="http://schemas.microsoft.com/office/drawing/2014/main" id="{B4568FC7-ABA1-DD5B-5E65-81E2D1938369}"/>
            </a:ext>
          </a:extLst>
        </xdr:cNvPr>
        <xdr:cNvSpPr txBox="1"/>
      </xdr:nvSpPr>
      <xdr:spPr>
        <a:xfrm>
          <a:off x="5648960" y="4423601"/>
          <a:ext cx="8534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Normal Reliability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21</xdr:row>
      <xdr:rowOff>187109</xdr:rowOff>
    </xdr:from>
    <xdr:to>
      <xdr:col>4</xdr:col>
      <xdr:colOff>47626</xdr:colOff>
      <xdr:row>26</xdr:row>
      <xdr:rowOff>15876</xdr:rowOff>
    </xdr:to>
    <xdr:sp macro="" textlink="">
      <xdr:nvSpPr>
        <xdr:cNvPr id="31" name="MC_BR_C_premium_T_prem_breakdown">
          <a:extLst>
            <a:ext uri="{FF2B5EF4-FFF2-40B4-BE49-F238E27FC236}">
              <a16:creationId xmlns:a16="http://schemas.microsoft.com/office/drawing/2014/main" id="{094457AF-8C02-FE0D-6052-4C23173E92EA}"/>
            </a:ext>
          </a:extLst>
        </xdr:cNvPr>
        <xdr:cNvSpPr/>
      </xdr:nvSpPr>
      <xdr:spPr>
        <a:xfrm>
          <a:off x="5437617" y="4130459"/>
          <a:ext cx="2872947" cy="781267"/>
        </a:xfrm>
        <a:custGeom>
          <a:avLst/>
          <a:gdLst/>
          <a:ahLst/>
          <a:cxnLst/>
          <a:rect l="0" t="0" r="0" b="0"/>
          <a:pathLst>
            <a:path w="2872947" h="781267">
              <a:moveTo>
                <a:pt x="31017" y="0"/>
              </a:moveTo>
              <a:lnTo>
                <a:pt x="197642" y="762000"/>
              </a:lnTo>
              <a:lnTo>
                <a:pt x="182133" y="749516"/>
              </a:lnTo>
              <a:lnTo>
                <a:pt x="2872946" y="749516"/>
              </a:lnTo>
              <a:lnTo>
                <a:pt x="2872946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25</xdr:row>
      <xdr:rowOff>99251</xdr:rowOff>
    </xdr:from>
    <xdr:ext cx="1059201" cy="182550"/>
    <xdr:sp macro="_xll.MC_OnBranchLabelClick" textlink="">
      <xdr:nvSpPr>
        <xdr:cNvPr id="32" name="MC_BN_C_premium_T_prem_breakdown">
          <a:extLst>
            <a:ext uri="{FF2B5EF4-FFF2-40B4-BE49-F238E27FC236}">
              <a16:creationId xmlns:a16="http://schemas.microsoft.com/office/drawing/2014/main" id="{7ACE9BD8-ECA9-3F3A-DB5D-A2B2478BAD86}"/>
            </a:ext>
          </a:extLst>
        </xdr:cNvPr>
        <xdr:cNvSpPr txBox="1"/>
      </xdr:nvSpPr>
      <xdr:spPr>
        <a:xfrm>
          <a:off x="5648960" y="4804601"/>
          <a:ext cx="10592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Frequent Breakdowns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29</xdr:row>
      <xdr:rowOff>184150</xdr:rowOff>
    </xdr:from>
    <xdr:to>
      <xdr:col>4</xdr:col>
      <xdr:colOff>47626</xdr:colOff>
      <xdr:row>32</xdr:row>
      <xdr:rowOff>2545</xdr:rowOff>
    </xdr:to>
    <xdr:sp macro="" textlink="">
      <xdr:nvSpPr>
        <xdr:cNvPr id="33" name="MC_BR_C_standard_T_std_high">
          <a:extLst>
            <a:ext uri="{FF2B5EF4-FFF2-40B4-BE49-F238E27FC236}">
              <a16:creationId xmlns:a16="http://schemas.microsoft.com/office/drawing/2014/main" id="{DBF286B0-8B80-11DD-66F8-CA805DDAF021}"/>
            </a:ext>
          </a:extLst>
        </xdr:cNvPr>
        <xdr:cNvSpPr/>
      </xdr:nvSpPr>
      <xdr:spPr>
        <a:xfrm>
          <a:off x="5447308" y="5651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863255" y="0"/>
              </a:lnTo>
              <a:lnTo>
                <a:pt x="28632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29</xdr:row>
      <xdr:rowOff>99251</xdr:rowOff>
    </xdr:from>
    <xdr:ext cx="733791" cy="182550"/>
    <xdr:sp macro="_xll.MC_OnBranchLabelClick" textlink="">
      <xdr:nvSpPr>
        <xdr:cNvPr id="34" name="MC_BN_C_standard_T_std_high">
          <a:extLst>
            <a:ext uri="{FF2B5EF4-FFF2-40B4-BE49-F238E27FC236}">
              <a16:creationId xmlns:a16="http://schemas.microsoft.com/office/drawing/2014/main" id="{B3531103-EB45-5A65-B48E-7D3B226723E5}"/>
            </a:ext>
          </a:extLst>
        </xdr:cNvPr>
        <xdr:cNvSpPr txBox="1"/>
      </xdr:nvSpPr>
      <xdr:spPr>
        <a:xfrm>
          <a:off x="5648960" y="5566601"/>
          <a:ext cx="7337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Reliability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31</xdr:row>
      <xdr:rowOff>187956</xdr:rowOff>
    </xdr:from>
    <xdr:to>
      <xdr:col>4</xdr:col>
      <xdr:colOff>47626</xdr:colOff>
      <xdr:row>34</xdr:row>
      <xdr:rowOff>6351</xdr:rowOff>
    </xdr:to>
    <xdr:sp macro="" textlink="">
      <xdr:nvSpPr>
        <xdr:cNvPr id="35" name="MC_BR_C_standard_T_std_normal">
          <a:extLst>
            <a:ext uri="{FF2B5EF4-FFF2-40B4-BE49-F238E27FC236}">
              <a16:creationId xmlns:a16="http://schemas.microsoft.com/office/drawing/2014/main" id="{254CB3AB-01A6-78E0-5648-05F130CDCAA6}"/>
            </a:ext>
          </a:extLst>
        </xdr:cNvPr>
        <xdr:cNvSpPr/>
      </xdr:nvSpPr>
      <xdr:spPr>
        <a:xfrm>
          <a:off x="5447308" y="6036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33</xdr:row>
      <xdr:rowOff>99251</xdr:rowOff>
    </xdr:from>
    <xdr:ext cx="853439" cy="182550"/>
    <xdr:sp macro="_xll.MC_OnBranchLabelClick" textlink="">
      <xdr:nvSpPr>
        <xdr:cNvPr id="36" name="MC_BN_C_standard_T_std_normal">
          <a:extLst>
            <a:ext uri="{FF2B5EF4-FFF2-40B4-BE49-F238E27FC236}">
              <a16:creationId xmlns:a16="http://schemas.microsoft.com/office/drawing/2014/main" id="{781F59A3-69FA-9209-AD8C-02A3CA3EA338}"/>
            </a:ext>
          </a:extLst>
        </xdr:cNvPr>
        <xdr:cNvSpPr txBox="1"/>
      </xdr:nvSpPr>
      <xdr:spPr>
        <a:xfrm>
          <a:off x="5648960" y="6328601"/>
          <a:ext cx="8534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Reliability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31</xdr:row>
      <xdr:rowOff>189143</xdr:rowOff>
    </xdr:from>
    <xdr:to>
      <xdr:col>4</xdr:col>
      <xdr:colOff>47626</xdr:colOff>
      <xdr:row>36</xdr:row>
      <xdr:rowOff>6351</xdr:rowOff>
    </xdr:to>
    <xdr:sp macro="" textlink="">
      <xdr:nvSpPr>
        <xdr:cNvPr id="37" name="MC_BR_C_standard_T_std_breakdown">
          <a:extLst>
            <a:ext uri="{FF2B5EF4-FFF2-40B4-BE49-F238E27FC236}">
              <a16:creationId xmlns:a16="http://schemas.microsoft.com/office/drawing/2014/main" id="{41345FCB-1D1F-1B3F-B60C-E4B11E218AAD}"/>
            </a:ext>
          </a:extLst>
        </xdr:cNvPr>
        <xdr:cNvSpPr/>
      </xdr:nvSpPr>
      <xdr:spPr>
        <a:xfrm>
          <a:off x="5446923" y="6037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35</xdr:row>
      <xdr:rowOff>99251</xdr:rowOff>
    </xdr:from>
    <xdr:ext cx="1059201" cy="182550"/>
    <xdr:sp macro="_xll.MC_OnBranchLabelClick" textlink="">
      <xdr:nvSpPr>
        <xdr:cNvPr id="38" name="MC_BN_C_standard_T_std_breakdown">
          <a:extLst>
            <a:ext uri="{FF2B5EF4-FFF2-40B4-BE49-F238E27FC236}">
              <a16:creationId xmlns:a16="http://schemas.microsoft.com/office/drawing/2014/main" id="{090D8400-24FE-02A8-C050-1E882B31E909}"/>
            </a:ext>
          </a:extLst>
        </xdr:cNvPr>
        <xdr:cNvSpPr txBox="1"/>
      </xdr:nvSpPr>
      <xdr:spPr>
        <a:xfrm>
          <a:off x="5648960" y="6709601"/>
          <a:ext cx="10592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Frequent Breakdowns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37</xdr:row>
      <xdr:rowOff>184150</xdr:rowOff>
    </xdr:from>
    <xdr:to>
      <xdr:col>4</xdr:col>
      <xdr:colOff>47626</xdr:colOff>
      <xdr:row>40</xdr:row>
      <xdr:rowOff>2545</xdr:rowOff>
    </xdr:to>
    <xdr:sp macro="" textlink="">
      <xdr:nvSpPr>
        <xdr:cNvPr id="39" name="MC_BR_C_lease_T_lease_upgrade">
          <a:extLst>
            <a:ext uri="{FF2B5EF4-FFF2-40B4-BE49-F238E27FC236}">
              <a16:creationId xmlns:a16="http://schemas.microsoft.com/office/drawing/2014/main" id="{3E10A540-7FF5-F813-BF8C-32DB2612F21A}"/>
            </a:ext>
          </a:extLst>
        </xdr:cNvPr>
        <xdr:cNvSpPr/>
      </xdr:nvSpPr>
      <xdr:spPr>
        <a:xfrm>
          <a:off x="5447308" y="7175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863255" y="0"/>
              </a:lnTo>
              <a:lnTo>
                <a:pt x="28632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37</xdr:row>
      <xdr:rowOff>99251</xdr:rowOff>
    </xdr:from>
    <xdr:ext cx="893771" cy="182550"/>
    <xdr:sp macro="_xll.MC_OnBranchLabelClick" textlink="">
      <xdr:nvSpPr>
        <xdr:cNvPr id="40" name="MC_BN_C_lease_T_lease_upgrade">
          <a:extLst>
            <a:ext uri="{FF2B5EF4-FFF2-40B4-BE49-F238E27FC236}">
              <a16:creationId xmlns:a16="http://schemas.microsoft.com/office/drawing/2014/main" id="{3E774F79-5D4D-DFAA-F009-CB97018D2E5C}"/>
            </a:ext>
          </a:extLst>
        </xdr:cNvPr>
        <xdr:cNvSpPr txBox="1"/>
      </xdr:nvSpPr>
      <xdr:spPr>
        <a:xfrm>
          <a:off x="5648960" y="7090601"/>
          <a:ext cx="8937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Upgrade Available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39</xdr:row>
      <xdr:rowOff>187956</xdr:rowOff>
    </xdr:from>
    <xdr:to>
      <xdr:col>4</xdr:col>
      <xdr:colOff>47626</xdr:colOff>
      <xdr:row>42</xdr:row>
      <xdr:rowOff>6351</xdr:rowOff>
    </xdr:to>
    <xdr:sp macro="" textlink="">
      <xdr:nvSpPr>
        <xdr:cNvPr id="41" name="MC_BR_C_lease_T_lease_standard">
          <a:extLst>
            <a:ext uri="{FF2B5EF4-FFF2-40B4-BE49-F238E27FC236}">
              <a16:creationId xmlns:a16="http://schemas.microsoft.com/office/drawing/2014/main" id="{9C67A95D-BDAC-DC5C-57EE-8F8C946ACECA}"/>
            </a:ext>
          </a:extLst>
        </xdr:cNvPr>
        <xdr:cNvSpPr/>
      </xdr:nvSpPr>
      <xdr:spPr>
        <a:xfrm>
          <a:off x="5447308" y="7560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41</xdr:row>
      <xdr:rowOff>99251</xdr:rowOff>
    </xdr:from>
    <xdr:ext cx="1087798" cy="182550"/>
    <xdr:sp macro="_xll.MC_OnBranchLabelClick" textlink="">
      <xdr:nvSpPr>
        <xdr:cNvPr id="42" name="MC_BN_C_lease_T_lease_standard">
          <a:extLst>
            <a:ext uri="{FF2B5EF4-FFF2-40B4-BE49-F238E27FC236}">
              <a16:creationId xmlns:a16="http://schemas.microsoft.com/office/drawing/2014/main" id="{56AE5C06-2104-EC2F-96D9-1E4CBDBF5B9B}"/>
            </a:ext>
          </a:extLst>
        </xdr:cNvPr>
        <xdr:cNvSpPr txBox="1"/>
      </xdr:nvSpPr>
      <xdr:spPr>
        <a:xfrm>
          <a:off x="5648960" y="7852601"/>
          <a:ext cx="10877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Standard Performance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39</xdr:row>
      <xdr:rowOff>189143</xdr:rowOff>
    </xdr:from>
    <xdr:to>
      <xdr:col>4</xdr:col>
      <xdr:colOff>47626</xdr:colOff>
      <xdr:row>44</xdr:row>
      <xdr:rowOff>6351</xdr:rowOff>
    </xdr:to>
    <xdr:sp macro="" textlink="">
      <xdr:nvSpPr>
        <xdr:cNvPr id="43" name="MC_BR_C_lease_T_lease_issues">
          <a:extLst>
            <a:ext uri="{FF2B5EF4-FFF2-40B4-BE49-F238E27FC236}">
              <a16:creationId xmlns:a16="http://schemas.microsoft.com/office/drawing/2014/main" id="{50178012-65E3-7367-56DA-7BD0E1443BD3}"/>
            </a:ext>
          </a:extLst>
        </xdr:cNvPr>
        <xdr:cNvSpPr/>
      </xdr:nvSpPr>
      <xdr:spPr>
        <a:xfrm>
          <a:off x="5446923" y="7561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43</xdr:row>
      <xdr:rowOff>99251</xdr:rowOff>
    </xdr:from>
    <xdr:ext cx="711349" cy="182550"/>
    <xdr:sp macro="_xll.MC_OnBranchLabelClick" textlink="">
      <xdr:nvSpPr>
        <xdr:cNvPr id="44" name="MC_BN_C_lease_T_lease_issues">
          <a:extLst>
            <a:ext uri="{FF2B5EF4-FFF2-40B4-BE49-F238E27FC236}">
              <a16:creationId xmlns:a16="http://schemas.microsoft.com/office/drawing/2014/main" id="{311E7DDA-01D3-409C-2C15-7FA999290768}"/>
            </a:ext>
          </a:extLst>
        </xdr:cNvPr>
        <xdr:cNvSpPr txBox="1"/>
      </xdr:nvSpPr>
      <xdr:spPr>
        <a:xfrm>
          <a:off x="5648960" y="8233601"/>
          <a:ext cx="7113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Vendor Issues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45</xdr:row>
      <xdr:rowOff>184150</xdr:rowOff>
    </xdr:from>
    <xdr:to>
      <xdr:col>4</xdr:col>
      <xdr:colOff>47626</xdr:colOff>
      <xdr:row>48</xdr:row>
      <xdr:rowOff>2545</xdr:rowOff>
    </xdr:to>
    <xdr:sp macro="" textlink="">
      <xdr:nvSpPr>
        <xdr:cNvPr id="45" name="MC_BR_C_share_T_share_smooth">
          <a:extLst>
            <a:ext uri="{FF2B5EF4-FFF2-40B4-BE49-F238E27FC236}">
              <a16:creationId xmlns:a16="http://schemas.microsoft.com/office/drawing/2014/main" id="{08CD660E-790F-6207-483C-213C49935189}"/>
            </a:ext>
          </a:extLst>
        </xdr:cNvPr>
        <xdr:cNvSpPr/>
      </xdr:nvSpPr>
      <xdr:spPr>
        <a:xfrm>
          <a:off x="5447308" y="8699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863255" y="0"/>
              </a:lnTo>
              <a:lnTo>
                <a:pt x="28632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45</xdr:row>
      <xdr:rowOff>99251</xdr:rowOff>
    </xdr:from>
    <xdr:ext cx="1019318" cy="182550"/>
    <xdr:sp macro="_xll.MC_OnBranchLabelClick" textlink="">
      <xdr:nvSpPr>
        <xdr:cNvPr id="46" name="MC_BN_C_share_T_share_smooth">
          <a:extLst>
            <a:ext uri="{FF2B5EF4-FFF2-40B4-BE49-F238E27FC236}">
              <a16:creationId xmlns:a16="http://schemas.microsoft.com/office/drawing/2014/main" id="{5EB0A584-B9EB-2B0D-0929-F120336C1603}"/>
            </a:ext>
          </a:extLst>
        </xdr:cNvPr>
        <xdr:cNvSpPr txBox="1"/>
      </xdr:nvSpPr>
      <xdr:spPr>
        <a:xfrm>
          <a:off x="5648960" y="8614601"/>
          <a:ext cx="10193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Smooth Coordination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47</xdr:row>
      <xdr:rowOff>187956</xdr:rowOff>
    </xdr:from>
    <xdr:to>
      <xdr:col>4</xdr:col>
      <xdr:colOff>47626</xdr:colOff>
      <xdr:row>50</xdr:row>
      <xdr:rowOff>6351</xdr:rowOff>
    </xdr:to>
    <xdr:sp macro="" textlink="">
      <xdr:nvSpPr>
        <xdr:cNvPr id="47" name="MC_BR_C_share_T_share_conflict">
          <a:extLst>
            <a:ext uri="{FF2B5EF4-FFF2-40B4-BE49-F238E27FC236}">
              <a16:creationId xmlns:a16="http://schemas.microsoft.com/office/drawing/2014/main" id="{11C8235D-80A1-D2DC-0C64-F57141905E77}"/>
            </a:ext>
          </a:extLst>
        </xdr:cNvPr>
        <xdr:cNvSpPr/>
      </xdr:nvSpPr>
      <xdr:spPr>
        <a:xfrm>
          <a:off x="5447308" y="9084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49</xdr:row>
      <xdr:rowOff>99251</xdr:rowOff>
    </xdr:from>
    <xdr:ext cx="984950" cy="182550"/>
    <xdr:sp macro="_xll.MC_OnBranchLabelClick" textlink="">
      <xdr:nvSpPr>
        <xdr:cNvPr id="48" name="MC_BN_C_share_T_share_conflict">
          <a:extLst>
            <a:ext uri="{FF2B5EF4-FFF2-40B4-BE49-F238E27FC236}">
              <a16:creationId xmlns:a16="http://schemas.microsoft.com/office/drawing/2014/main" id="{15CA7789-E16C-85AE-58B6-7A55EB4114CB}"/>
            </a:ext>
          </a:extLst>
        </xdr:cNvPr>
        <xdr:cNvSpPr txBox="1"/>
      </xdr:nvSpPr>
      <xdr:spPr>
        <a:xfrm>
          <a:off x="5648960" y="9376601"/>
          <a:ext cx="9849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Scheduling Conflicts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47</xdr:row>
      <xdr:rowOff>189584</xdr:rowOff>
    </xdr:from>
    <xdr:to>
      <xdr:col>4</xdr:col>
      <xdr:colOff>47626</xdr:colOff>
      <xdr:row>54</xdr:row>
      <xdr:rowOff>6351</xdr:rowOff>
    </xdr:to>
    <xdr:sp macro="" textlink="">
      <xdr:nvSpPr>
        <xdr:cNvPr id="49" name="MC_BR_C_share_D_share_breakdown">
          <a:extLst>
            <a:ext uri="{FF2B5EF4-FFF2-40B4-BE49-F238E27FC236}">
              <a16:creationId xmlns:a16="http://schemas.microsoft.com/office/drawing/2014/main" id="{C82A30FA-9367-9DEE-7D4C-5D45D9F138D0}"/>
            </a:ext>
          </a:extLst>
        </xdr:cNvPr>
        <xdr:cNvSpPr/>
      </xdr:nvSpPr>
      <xdr:spPr>
        <a:xfrm>
          <a:off x="5446842" y="9085934"/>
          <a:ext cx="2863722" cy="1150267"/>
        </a:xfrm>
        <a:custGeom>
          <a:avLst/>
          <a:gdLst/>
          <a:ahLst/>
          <a:cxnLst/>
          <a:rect l="0" t="0" r="0" b="0"/>
          <a:pathLst>
            <a:path w="2863722" h="1150267">
              <a:moveTo>
                <a:pt x="12567" y="0"/>
              </a:moveTo>
              <a:lnTo>
                <a:pt x="179192" y="1143000"/>
              </a:lnTo>
              <a:lnTo>
                <a:pt x="172908" y="1137566"/>
              </a:lnTo>
              <a:lnTo>
                <a:pt x="2863721" y="1137566"/>
              </a:lnTo>
              <a:lnTo>
                <a:pt x="2863721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53</xdr:row>
      <xdr:rowOff>99251</xdr:rowOff>
    </xdr:from>
    <xdr:ext cx="1121910" cy="182550"/>
    <xdr:sp macro="_xll.MC_OnBranchLabelClick" textlink="">
      <xdr:nvSpPr>
        <xdr:cNvPr id="50" name="MC_BN_C_share_D_share_breakdown">
          <a:extLst>
            <a:ext uri="{FF2B5EF4-FFF2-40B4-BE49-F238E27FC236}">
              <a16:creationId xmlns:a16="http://schemas.microsoft.com/office/drawing/2014/main" id="{88CAB28E-4A30-EC11-8552-2B401CF8BD96}"/>
            </a:ext>
          </a:extLst>
        </xdr:cNvPr>
        <xdr:cNvSpPr txBox="1"/>
      </xdr:nvSpPr>
      <xdr:spPr>
        <a:xfrm>
          <a:off x="5648960" y="10138601"/>
          <a:ext cx="112191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Partnership Breakdown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51</xdr:row>
      <xdr:rowOff>184150</xdr:rowOff>
    </xdr:from>
    <xdr:to>
      <xdr:col>5</xdr:col>
      <xdr:colOff>47626</xdr:colOff>
      <xdr:row>54</xdr:row>
      <xdr:rowOff>2545</xdr:rowOff>
    </xdr:to>
    <xdr:sp macro="" textlink="">
      <xdr:nvSpPr>
        <xdr:cNvPr id="51" name="MC_BR_D_share_breakdown_T_share_buyown">
          <a:extLst>
            <a:ext uri="{FF2B5EF4-FFF2-40B4-BE49-F238E27FC236}">
              <a16:creationId xmlns:a16="http://schemas.microsoft.com/office/drawing/2014/main" id="{5CD19847-C051-3D20-4D52-F116321C04F3}"/>
            </a:ext>
          </a:extLst>
        </xdr:cNvPr>
        <xdr:cNvSpPr/>
      </xdr:nvSpPr>
      <xdr:spPr>
        <a:xfrm>
          <a:off x="8347670" y="9842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51</xdr:row>
      <xdr:rowOff>99251</xdr:rowOff>
    </xdr:from>
    <xdr:ext cx="1435714" cy="182550"/>
    <xdr:sp macro="_xll.MC_OnBranchLabelClick" textlink="">
      <xdr:nvSpPr>
        <xdr:cNvPr id="52" name="MC_BN_D_share_breakdown_T_share_buyown">
          <a:extLst>
            <a:ext uri="{FF2B5EF4-FFF2-40B4-BE49-F238E27FC236}">
              <a16:creationId xmlns:a16="http://schemas.microsoft.com/office/drawing/2014/main" id="{1886F7E9-B45E-0087-D83E-167D4A8F6581}"/>
            </a:ext>
          </a:extLst>
        </xdr:cNvPr>
        <xdr:cNvSpPr txBox="1"/>
      </xdr:nvSpPr>
      <xdr:spPr>
        <a:xfrm>
          <a:off x="8549322" y="9757601"/>
          <a:ext cx="143571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Buy Own Standard Equipment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53</xdr:row>
      <xdr:rowOff>187956</xdr:rowOff>
    </xdr:from>
    <xdr:to>
      <xdr:col>5</xdr:col>
      <xdr:colOff>47626</xdr:colOff>
      <xdr:row>56</xdr:row>
      <xdr:rowOff>6351</xdr:rowOff>
    </xdr:to>
    <xdr:sp macro="" textlink="">
      <xdr:nvSpPr>
        <xdr:cNvPr id="53" name="MC_BR_D_share_breakdown_T_share_continue">
          <a:extLst>
            <a:ext uri="{FF2B5EF4-FFF2-40B4-BE49-F238E27FC236}">
              <a16:creationId xmlns:a16="http://schemas.microsoft.com/office/drawing/2014/main" id="{5AA96EDF-36AD-F294-3106-AFB680DF0C6D}"/>
            </a:ext>
          </a:extLst>
        </xdr:cNvPr>
        <xdr:cNvSpPr/>
      </xdr:nvSpPr>
      <xdr:spPr>
        <a:xfrm>
          <a:off x="8347670" y="10227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55</xdr:row>
      <xdr:rowOff>99251</xdr:rowOff>
    </xdr:from>
    <xdr:ext cx="1355820" cy="182550"/>
    <xdr:sp macro="_xll.MC_OnBranchLabelClick" textlink="">
      <xdr:nvSpPr>
        <xdr:cNvPr id="54" name="MC_BN_D_share_breakdown_T_share_continue">
          <a:extLst>
            <a:ext uri="{FF2B5EF4-FFF2-40B4-BE49-F238E27FC236}">
              <a16:creationId xmlns:a16="http://schemas.microsoft.com/office/drawing/2014/main" id="{0BBD94C3-8BCF-32AE-A9A6-0429AF15A564}"/>
            </a:ext>
          </a:extLst>
        </xdr:cNvPr>
        <xdr:cNvSpPr txBox="1"/>
      </xdr:nvSpPr>
      <xdr:spPr>
        <a:xfrm>
          <a:off x="8549322" y="10519601"/>
          <a:ext cx="13558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Continue Sharing (Reduced)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55" name="MC_T_prem_high">
          <a:extLst>
            <a:ext uri="{FF2B5EF4-FFF2-40B4-BE49-F238E27FC236}">
              <a16:creationId xmlns:a16="http://schemas.microsoft.com/office/drawing/2014/main" id="{2919F851-0241-4ECA-EF0C-709FA0F77835}"/>
            </a:ext>
          </a:extLst>
        </xdr:cNvPr>
        <xdr:cNvSpPr/>
      </xdr:nvSpPr>
      <xdr:spPr>
        <a:xfrm rot="16200000">
          <a:off x="8272463" y="366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56" name="MC_C_premium">
          <a:extLst>
            <a:ext uri="{FF2B5EF4-FFF2-40B4-BE49-F238E27FC236}">
              <a16:creationId xmlns:a16="http://schemas.microsoft.com/office/drawing/2014/main" id="{2CBDF7CA-40A2-F0C4-A021-C8FB7D8D47D3}"/>
            </a:ext>
          </a:extLst>
        </xdr:cNvPr>
        <xdr:cNvSpPr/>
      </xdr:nvSpPr>
      <xdr:spPr>
        <a:xfrm>
          <a:off x="5372100" y="405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57" name="MC_T_prem_normal">
          <a:extLst>
            <a:ext uri="{FF2B5EF4-FFF2-40B4-BE49-F238E27FC236}">
              <a16:creationId xmlns:a16="http://schemas.microsoft.com/office/drawing/2014/main" id="{CDB0B8CE-004A-CBD4-3677-D32248BEA021}"/>
            </a:ext>
          </a:extLst>
        </xdr:cNvPr>
        <xdr:cNvSpPr/>
      </xdr:nvSpPr>
      <xdr:spPr>
        <a:xfrm rot="16200000">
          <a:off x="8272463" y="442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25</xdr:row>
      <xdr:rowOff>109537</xdr:rowOff>
    </xdr:from>
    <xdr:to>
      <xdr:col>4</xdr:col>
      <xdr:colOff>176213</xdr:colOff>
      <xdr:row>26</xdr:row>
      <xdr:rowOff>80962</xdr:rowOff>
    </xdr:to>
    <xdr:sp macro="_xll.MC_OnNodeClick" textlink="">
      <xdr:nvSpPr>
        <xdr:cNvPr id="58" name="MC_T_prem_breakdown">
          <a:extLst>
            <a:ext uri="{FF2B5EF4-FFF2-40B4-BE49-F238E27FC236}">
              <a16:creationId xmlns:a16="http://schemas.microsoft.com/office/drawing/2014/main" id="{319F2A9E-2E1C-8685-72C0-8E25616A6F91}"/>
            </a:ext>
          </a:extLst>
        </xdr:cNvPr>
        <xdr:cNvSpPr/>
      </xdr:nvSpPr>
      <xdr:spPr>
        <a:xfrm rot="16200000">
          <a:off x="8272463" y="481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27</xdr:row>
      <xdr:rowOff>109538</xdr:rowOff>
    </xdr:from>
    <xdr:to>
      <xdr:col>2</xdr:col>
      <xdr:colOff>180975</xdr:colOff>
      <xdr:row>28</xdr:row>
      <xdr:rowOff>80963</xdr:rowOff>
    </xdr:to>
    <xdr:sp macro="_xll.MC_OnNodeClick" textlink="">
      <xdr:nvSpPr>
        <xdr:cNvPr id="59" name="MC_D_root">
          <a:extLst>
            <a:ext uri="{FF2B5EF4-FFF2-40B4-BE49-F238E27FC236}">
              <a16:creationId xmlns:a16="http://schemas.microsoft.com/office/drawing/2014/main" id="{A6A0EB1C-CEB3-9575-2D4B-55B7E8512C2C}"/>
            </a:ext>
          </a:extLst>
        </xdr:cNvPr>
        <xdr:cNvSpPr/>
      </xdr:nvSpPr>
      <xdr:spPr>
        <a:xfrm>
          <a:off x="2733675" y="519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29</xdr:row>
      <xdr:rowOff>109537</xdr:rowOff>
    </xdr:from>
    <xdr:to>
      <xdr:col>4</xdr:col>
      <xdr:colOff>176213</xdr:colOff>
      <xdr:row>30</xdr:row>
      <xdr:rowOff>80962</xdr:rowOff>
    </xdr:to>
    <xdr:sp macro="_xll.MC_OnNodeClick" textlink="">
      <xdr:nvSpPr>
        <xdr:cNvPr id="60" name="MC_T_std_high">
          <a:extLst>
            <a:ext uri="{FF2B5EF4-FFF2-40B4-BE49-F238E27FC236}">
              <a16:creationId xmlns:a16="http://schemas.microsoft.com/office/drawing/2014/main" id="{A6DBB885-F35F-30D4-83A9-D7896248E8EF}"/>
            </a:ext>
          </a:extLst>
        </xdr:cNvPr>
        <xdr:cNvSpPr/>
      </xdr:nvSpPr>
      <xdr:spPr>
        <a:xfrm rot="16200000">
          <a:off x="8272463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31</xdr:row>
      <xdr:rowOff>109538</xdr:rowOff>
    </xdr:from>
    <xdr:to>
      <xdr:col>3</xdr:col>
      <xdr:colOff>180975</xdr:colOff>
      <xdr:row>32</xdr:row>
      <xdr:rowOff>80963</xdr:rowOff>
    </xdr:to>
    <xdr:sp macro="_xll.MC_OnNodeClick" textlink="">
      <xdr:nvSpPr>
        <xdr:cNvPr id="61" name="MC_C_standard">
          <a:extLst>
            <a:ext uri="{FF2B5EF4-FFF2-40B4-BE49-F238E27FC236}">
              <a16:creationId xmlns:a16="http://schemas.microsoft.com/office/drawing/2014/main" id="{85FC5C21-6AB4-82B5-2DE7-4876A17B6A7F}"/>
            </a:ext>
          </a:extLst>
        </xdr:cNvPr>
        <xdr:cNvSpPr/>
      </xdr:nvSpPr>
      <xdr:spPr>
        <a:xfrm>
          <a:off x="5372100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33</xdr:row>
      <xdr:rowOff>109537</xdr:rowOff>
    </xdr:from>
    <xdr:to>
      <xdr:col>4</xdr:col>
      <xdr:colOff>176213</xdr:colOff>
      <xdr:row>34</xdr:row>
      <xdr:rowOff>80962</xdr:rowOff>
    </xdr:to>
    <xdr:sp macro="_xll.MC_OnNodeClick" textlink="">
      <xdr:nvSpPr>
        <xdr:cNvPr id="62" name="MC_T_std_normal">
          <a:extLst>
            <a:ext uri="{FF2B5EF4-FFF2-40B4-BE49-F238E27FC236}">
              <a16:creationId xmlns:a16="http://schemas.microsoft.com/office/drawing/2014/main" id="{447EBEA6-426E-F84C-18C1-5D6A2E525CED}"/>
            </a:ext>
          </a:extLst>
        </xdr:cNvPr>
        <xdr:cNvSpPr/>
      </xdr:nvSpPr>
      <xdr:spPr>
        <a:xfrm rot="16200000">
          <a:off x="8272463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35</xdr:row>
      <xdr:rowOff>109537</xdr:rowOff>
    </xdr:from>
    <xdr:to>
      <xdr:col>4</xdr:col>
      <xdr:colOff>176213</xdr:colOff>
      <xdr:row>36</xdr:row>
      <xdr:rowOff>80962</xdr:rowOff>
    </xdr:to>
    <xdr:sp macro="_xll.MC_OnNodeClick" textlink="">
      <xdr:nvSpPr>
        <xdr:cNvPr id="63" name="MC_T_std_breakdown">
          <a:extLst>
            <a:ext uri="{FF2B5EF4-FFF2-40B4-BE49-F238E27FC236}">
              <a16:creationId xmlns:a16="http://schemas.microsoft.com/office/drawing/2014/main" id="{63068DAF-D0D8-C5AC-53C4-FAD863964413}"/>
            </a:ext>
          </a:extLst>
        </xdr:cNvPr>
        <xdr:cNvSpPr/>
      </xdr:nvSpPr>
      <xdr:spPr>
        <a:xfrm rot="16200000">
          <a:off x="8272463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37</xdr:row>
      <xdr:rowOff>109537</xdr:rowOff>
    </xdr:from>
    <xdr:to>
      <xdr:col>4</xdr:col>
      <xdr:colOff>176213</xdr:colOff>
      <xdr:row>38</xdr:row>
      <xdr:rowOff>80962</xdr:rowOff>
    </xdr:to>
    <xdr:sp macro="_xll.MC_OnNodeClick" textlink="">
      <xdr:nvSpPr>
        <xdr:cNvPr id="64" name="MC_T_lease_upgrade">
          <a:extLst>
            <a:ext uri="{FF2B5EF4-FFF2-40B4-BE49-F238E27FC236}">
              <a16:creationId xmlns:a16="http://schemas.microsoft.com/office/drawing/2014/main" id="{A2EBB227-57C7-3482-E0AB-3ACDE23FFF54}"/>
            </a:ext>
          </a:extLst>
        </xdr:cNvPr>
        <xdr:cNvSpPr/>
      </xdr:nvSpPr>
      <xdr:spPr>
        <a:xfrm rot="16200000">
          <a:off x="8272463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39</xdr:row>
      <xdr:rowOff>109538</xdr:rowOff>
    </xdr:from>
    <xdr:to>
      <xdr:col>3</xdr:col>
      <xdr:colOff>180975</xdr:colOff>
      <xdr:row>40</xdr:row>
      <xdr:rowOff>80963</xdr:rowOff>
    </xdr:to>
    <xdr:sp macro="_xll.MC_OnNodeClick" textlink="">
      <xdr:nvSpPr>
        <xdr:cNvPr id="65" name="MC_C_lease">
          <a:extLst>
            <a:ext uri="{FF2B5EF4-FFF2-40B4-BE49-F238E27FC236}">
              <a16:creationId xmlns:a16="http://schemas.microsoft.com/office/drawing/2014/main" id="{E13D8DDB-B7A4-EBF8-EA5B-88D1587045B2}"/>
            </a:ext>
          </a:extLst>
        </xdr:cNvPr>
        <xdr:cNvSpPr/>
      </xdr:nvSpPr>
      <xdr:spPr>
        <a:xfrm>
          <a:off x="5372100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41</xdr:row>
      <xdr:rowOff>109537</xdr:rowOff>
    </xdr:from>
    <xdr:to>
      <xdr:col>4</xdr:col>
      <xdr:colOff>176213</xdr:colOff>
      <xdr:row>42</xdr:row>
      <xdr:rowOff>80962</xdr:rowOff>
    </xdr:to>
    <xdr:sp macro="_xll.MC_OnNodeClick" textlink="">
      <xdr:nvSpPr>
        <xdr:cNvPr id="66" name="MC_T_lease_standard">
          <a:extLst>
            <a:ext uri="{FF2B5EF4-FFF2-40B4-BE49-F238E27FC236}">
              <a16:creationId xmlns:a16="http://schemas.microsoft.com/office/drawing/2014/main" id="{2B714566-8479-DE36-1EB7-6BF9E3CFAD46}"/>
            </a:ext>
          </a:extLst>
        </xdr:cNvPr>
        <xdr:cNvSpPr/>
      </xdr:nvSpPr>
      <xdr:spPr>
        <a:xfrm rot="16200000">
          <a:off x="8272463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43</xdr:row>
      <xdr:rowOff>109537</xdr:rowOff>
    </xdr:from>
    <xdr:to>
      <xdr:col>4</xdr:col>
      <xdr:colOff>176213</xdr:colOff>
      <xdr:row>44</xdr:row>
      <xdr:rowOff>80962</xdr:rowOff>
    </xdr:to>
    <xdr:sp macro="_xll.MC_OnNodeClick" textlink="">
      <xdr:nvSpPr>
        <xdr:cNvPr id="67" name="MC_T_lease_issues">
          <a:extLst>
            <a:ext uri="{FF2B5EF4-FFF2-40B4-BE49-F238E27FC236}">
              <a16:creationId xmlns:a16="http://schemas.microsoft.com/office/drawing/2014/main" id="{0C7143D6-2BDC-6787-0E5E-33006863CA30}"/>
            </a:ext>
          </a:extLst>
        </xdr:cNvPr>
        <xdr:cNvSpPr/>
      </xdr:nvSpPr>
      <xdr:spPr>
        <a:xfrm rot="16200000">
          <a:off x="8272463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45</xdr:row>
      <xdr:rowOff>109537</xdr:rowOff>
    </xdr:from>
    <xdr:to>
      <xdr:col>4</xdr:col>
      <xdr:colOff>176213</xdr:colOff>
      <xdr:row>46</xdr:row>
      <xdr:rowOff>80962</xdr:rowOff>
    </xdr:to>
    <xdr:sp macro="_xll.MC_OnNodeClick" textlink="">
      <xdr:nvSpPr>
        <xdr:cNvPr id="68" name="MC_T_share_smooth">
          <a:extLst>
            <a:ext uri="{FF2B5EF4-FFF2-40B4-BE49-F238E27FC236}">
              <a16:creationId xmlns:a16="http://schemas.microsoft.com/office/drawing/2014/main" id="{F191EAF8-B8C1-683C-5501-F89BFF91501D}"/>
            </a:ext>
          </a:extLst>
        </xdr:cNvPr>
        <xdr:cNvSpPr/>
      </xdr:nvSpPr>
      <xdr:spPr>
        <a:xfrm rot="16200000">
          <a:off x="8272463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47</xdr:row>
      <xdr:rowOff>109538</xdr:rowOff>
    </xdr:from>
    <xdr:to>
      <xdr:col>3</xdr:col>
      <xdr:colOff>180975</xdr:colOff>
      <xdr:row>48</xdr:row>
      <xdr:rowOff>80963</xdr:rowOff>
    </xdr:to>
    <xdr:sp macro="_xll.MC_OnNodeClick" textlink="">
      <xdr:nvSpPr>
        <xdr:cNvPr id="69" name="MC_C_share">
          <a:extLst>
            <a:ext uri="{FF2B5EF4-FFF2-40B4-BE49-F238E27FC236}">
              <a16:creationId xmlns:a16="http://schemas.microsoft.com/office/drawing/2014/main" id="{FAEC801B-47D7-6D39-1B58-CFB906FC565E}"/>
            </a:ext>
          </a:extLst>
        </xdr:cNvPr>
        <xdr:cNvSpPr/>
      </xdr:nvSpPr>
      <xdr:spPr>
        <a:xfrm>
          <a:off x="5372100" y="900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49</xdr:row>
      <xdr:rowOff>109537</xdr:rowOff>
    </xdr:from>
    <xdr:to>
      <xdr:col>4</xdr:col>
      <xdr:colOff>176213</xdr:colOff>
      <xdr:row>50</xdr:row>
      <xdr:rowOff>80962</xdr:rowOff>
    </xdr:to>
    <xdr:sp macro="_xll.MC_OnNodeClick" textlink="">
      <xdr:nvSpPr>
        <xdr:cNvPr id="70" name="MC_T_share_conflict">
          <a:extLst>
            <a:ext uri="{FF2B5EF4-FFF2-40B4-BE49-F238E27FC236}">
              <a16:creationId xmlns:a16="http://schemas.microsoft.com/office/drawing/2014/main" id="{E9FD4B05-F584-42D3-D854-8D0C4B9813A9}"/>
            </a:ext>
          </a:extLst>
        </xdr:cNvPr>
        <xdr:cNvSpPr/>
      </xdr:nvSpPr>
      <xdr:spPr>
        <a:xfrm rot="16200000">
          <a:off x="8272463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51</xdr:row>
      <xdr:rowOff>109537</xdr:rowOff>
    </xdr:from>
    <xdr:to>
      <xdr:col>5</xdr:col>
      <xdr:colOff>176213</xdr:colOff>
      <xdr:row>52</xdr:row>
      <xdr:rowOff>80962</xdr:rowOff>
    </xdr:to>
    <xdr:sp macro="_xll.MC_OnNodeClick" textlink="">
      <xdr:nvSpPr>
        <xdr:cNvPr id="71" name="MC_T_share_buyown">
          <a:extLst>
            <a:ext uri="{FF2B5EF4-FFF2-40B4-BE49-F238E27FC236}">
              <a16:creationId xmlns:a16="http://schemas.microsoft.com/office/drawing/2014/main" id="{B2A8EA44-69F4-7EAA-E916-25DF3E4D1C66}"/>
            </a:ext>
          </a:extLst>
        </xdr:cNvPr>
        <xdr:cNvSpPr/>
      </xdr:nvSpPr>
      <xdr:spPr>
        <a:xfrm rot="16200000">
          <a:off x="10915650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53</xdr:row>
      <xdr:rowOff>109538</xdr:rowOff>
    </xdr:from>
    <xdr:to>
      <xdr:col>4</xdr:col>
      <xdr:colOff>180975</xdr:colOff>
      <xdr:row>54</xdr:row>
      <xdr:rowOff>80963</xdr:rowOff>
    </xdr:to>
    <xdr:sp macro="_xll.MC_OnNodeClick" textlink="">
      <xdr:nvSpPr>
        <xdr:cNvPr id="72" name="MC_D_share_breakdown">
          <a:extLst>
            <a:ext uri="{FF2B5EF4-FFF2-40B4-BE49-F238E27FC236}">
              <a16:creationId xmlns:a16="http://schemas.microsoft.com/office/drawing/2014/main" id="{053F2C45-443D-BB2D-EDC4-C11E450323E6}"/>
            </a:ext>
          </a:extLst>
        </xdr:cNvPr>
        <xdr:cNvSpPr/>
      </xdr:nvSpPr>
      <xdr:spPr>
        <a:xfrm>
          <a:off x="8272463" y="10148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55</xdr:row>
      <xdr:rowOff>109537</xdr:rowOff>
    </xdr:from>
    <xdr:to>
      <xdr:col>5</xdr:col>
      <xdr:colOff>176213</xdr:colOff>
      <xdr:row>56</xdr:row>
      <xdr:rowOff>80962</xdr:rowOff>
    </xdr:to>
    <xdr:sp macro="_xll.MC_OnNodeClick" textlink="">
      <xdr:nvSpPr>
        <xdr:cNvPr id="73" name="MC_T_share_continue">
          <a:extLst>
            <a:ext uri="{FF2B5EF4-FFF2-40B4-BE49-F238E27FC236}">
              <a16:creationId xmlns:a16="http://schemas.microsoft.com/office/drawing/2014/main" id="{E4D61D46-CDFB-CCB9-6826-C3E67BD609F6}"/>
            </a:ext>
          </a:extLst>
        </xdr:cNvPr>
        <xdr:cNvSpPr/>
      </xdr:nvSpPr>
      <xdr:spPr>
        <a:xfrm rot="16200000">
          <a:off x="10915650" y="1052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C2DE-3AEB-483E-9D19-76E8817E6D2A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6AD22-0AAD-4EE7-BCBC-7CD0A009AE6C}">
  <dimension ref="A1:AQ1"/>
  <sheetViews>
    <sheetView workbookViewId="0"/>
  </sheetViews>
  <sheetFormatPr defaultRowHeight="14.25" x14ac:dyDescent="0.45"/>
  <sheetData>
    <row r="1" spans="1:43" x14ac:dyDescent="0.45">
      <c r="A1">
        <f>MC_Tree_1!MC_BP_C_lease_T_lease_upgrade</f>
        <v>0.35</v>
      </c>
      <c r="B1">
        <f>MC_Tree_1!MC_BV_C_lease_T_lease_upgrade</f>
        <v>47749999.999999993</v>
      </c>
      <c r="C1">
        <f>MC_Tree_1!MC_BP_C_lease_T_lease_standard</f>
        <v>0.5</v>
      </c>
      <c r="D1">
        <f>MC_Tree_1!MC_BV_C_lease_T_lease_standard</f>
        <v>41000000</v>
      </c>
      <c r="E1">
        <f>MC_Tree_1!MC_BP_C_lease_T_lease_issues</f>
        <v>0.15</v>
      </c>
      <c r="F1">
        <f>MC_Tree_1!MC_BV_C_lease_T_lease_issues</f>
        <v>36200000</v>
      </c>
      <c r="G1">
        <f>MC_Tree_1!MC_BP_C_premium_T_prem_high</f>
        <v>0.6</v>
      </c>
      <c r="H1">
        <f>MC_Tree_1!MC_BV_C_premium_T_prem_high</f>
        <v>50249999.999999993</v>
      </c>
      <c r="I1">
        <f>MC_Tree_1!MC_BP_C_premium_T_prem_normal</f>
        <v>0.3</v>
      </c>
      <c r="J1">
        <f>MC_Tree_1!MC_BV_C_premium_T_prem_normal</f>
        <v>43500000</v>
      </c>
      <c r="K1">
        <f>MC_Tree_1!MC_BP_C_premium_T_prem_breakdown</f>
        <v>0.1</v>
      </c>
      <c r="L1">
        <f>MC_Tree_1!MC_BV_C_premium_T_prem_breakdown</f>
        <v>41100000</v>
      </c>
      <c r="M1">
        <f>MC_Tree_1!MC_BP_C_share_T_share_smooth</f>
        <v>0.3</v>
      </c>
      <c r="N1">
        <f>MC_Tree_1!MC_BV_C_share_T_share_smooth</f>
        <v>30750000</v>
      </c>
      <c r="O1">
        <f>MC_Tree_1!MC_BP_C_share_T_share_conflict</f>
        <v>0.45</v>
      </c>
      <c r="P1">
        <f>MC_Tree_1!MC_BV_C_share_T_share_conflict</f>
        <v>21300000</v>
      </c>
      <c r="Q1">
        <f>MC_Tree_1!MC_BP_C_share_D_share_breakdown</f>
        <v>0.25</v>
      </c>
      <c r="R1">
        <f>MC_Tree_1!MC_BV_C_share_D_share_breakdown</f>
        <v>0</v>
      </c>
      <c r="S1">
        <f>MC_Tree_1!MC_BP_C_standard_T_std_high</f>
        <v>0.4</v>
      </c>
      <c r="T1">
        <f>MC_Tree_1!MC_BV_C_standard_T_std_high</f>
        <v>44000000</v>
      </c>
      <c r="U1">
        <f>MC_Tree_1!MC_BP_C_standard_T_std_normal</f>
        <v>0.4</v>
      </c>
      <c r="V1">
        <f>MC_Tree_1!MC_BV_C_standard_T_std_normal</f>
        <v>44000000</v>
      </c>
      <c r="W1">
        <f>MC_Tree_1!MC_BP_C_standard_T_std_breakdown</f>
        <v>0.2</v>
      </c>
      <c r="X1">
        <f>MC_Tree_1!MC_BV_C_standard_T_std_breakdown</f>
        <v>40400000</v>
      </c>
      <c r="Y1">
        <f>MC_Tree_1!MC_BV_D_root_C_premium</f>
        <v>-2500000</v>
      </c>
      <c r="Z1">
        <f>MC_Tree_1!MC_BV_D_root_C_standard</f>
        <v>-1200000</v>
      </c>
      <c r="AA1">
        <f>MC_Tree_1!MC_BV_D_root_C_lease</f>
        <v>0</v>
      </c>
      <c r="AB1">
        <f>MC_Tree_1!MC_BV_D_root_C_share</f>
        <v>-1250000</v>
      </c>
      <c r="AC1">
        <f>MC_Tree_1!MC_BV_D_share_breakdown_T_share_buyown</f>
        <v>34000000</v>
      </c>
      <c r="AD1">
        <f>MC_Tree_1!MC_BV_D_share_breakdown_T_share_continue</f>
        <v>15000000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ECE8-444C-477F-B056-30896ECAA76D}">
  <dimension ref="B2:B36"/>
  <sheetViews>
    <sheetView tabSelected="1" workbookViewId="0"/>
  </sheetViews>
  <sheetFormatPr defaultRowHeight="14.25" x14ac:dyDescent="0.45"/>
  <cols>
    <col min="1" max="1" width="3.59765625" customWidth="1"/>
    <col min="2" max="2" width="75.59765625" customWidth="1"/>
    <col min="3" max="3" width="16.59765625" customWidth="1"/>
    <col min="4" max="4" width="45.59765625" customWidth="1"/>
  </cols>
  <sheetData>
    <row r="2" spans="2:2" ht="21" x14ac:dyDescent="0.65">
      <c r="B2" s="17" t="s">
        <v>41</v>
      </c>
    </row>
    <row r="3" spans="2:2" x14ac:dyDescent="0.45">
      <c r="B3" s="11" t="s">
        <v>42</v>
      </c>
    </row>
    <row r="5" spans="2:2" ht="15.75" x14ac:dyDescent="0.5">
      <c r="B5" s="18" t="s">
        <v>43</v>
      </c>
    </row>
    <row r="7" spans="2:2" x14ac:dyDescent="0.45">
      <c r="B7" t="s">
        <v>44</v>
      </c>
    </row>
    <row r="8" spans="2:2" x14ac:dyDescent="0.45">
      <c r="B8" t="s">
        <v>45</v>
      </c>
    </row>
    <row r="9" spans="2:2" x14ac:dyDescent="0.45">
      <c r="B9" t="s">
        <v>46</v>
      </c>
    </row>
    <row r="10" spans="2:2" x14ac:dyDescent="0.45">
      <c r="B10" t="s">
        <v>47</v>
      </c>
    </row>
    <row r="12" spans="2:2" x14ac:dyDescent="0.45">
      <c r="B12" s="10" t="s">
        <v>48</v>
      </c>
    </row>
    <row r="13" spans="2:2" x14ac:dyDescent="0.45">
      <c r="B13" s="10" t="s">
        <v>49</v>
      </c>
    </row>
    <row r="14" spans="2:2" x14ac:dyDescent="0.45">
      <c r="B14" s="10" t="s">
        <v>50</v>
      </c>
    </row>
    <row r="15" spans="2:2" x14ac:dyDescent="0.45">
      <c r="B15" s="10" t="s">
        <v>51</v>
      </c>
    </row>
    <row r="17" spans="2:2" ht="15.75" x14ac:dyDescent="0.5">
      <c r="B17" s="18" t="s">
        <v>52</v>
      </c>
    </row>
    <row r="19" spans="2:2" x14ac:dyDescent="0.45">
      <c r="B19" t="s">
        <v>53</v>
      </c>
    </row>
    <row r="20" spans="2:2" x14ac:dyDescent="0.45">
      <c r="B20" t="s">
        <v>54</v>
      </c>
    </row>
    <row r="21" spans="2:2" x14ac:dyDescent="0.45">
      <c r="B21" t="s">
        <v>55</v>
      </c>
    </row>
    <row r="23" spans="2:2" x14ac:dyDescent="0.45">
      <c r="B23" s="8" t="s">
        <v>56</v>
      </c>
    </row>
    <row r="24" spans="2:2" x14ac:dyDescent="0.45">
      <c r="B24" s="10" t="s">
        <v>57</v>
      </c>
    </row>
    <row r="25" spans="2:2" x14ac:dyDescent="0.45">
      <c r="B25" s="10" t="s">
        <v>58</v>
      </c>
    </row>
    <row r="26" spans="2:2" x14ac:dyDescent="0.45">
      <c r="B26" s="10" t="s">
        <v>59</v>
      </c>
    </row>
    <row r="27" spans="2:2" x14ac:dyDescent="0.45">
      <c r="B27" s="10" t="s">
        <v>60</v>
      </c>
    </row>
    <row r="28" spans="2:2" x14ac:dyDescent="0.45">
      <c r="B28" s="10" t="s">
        <v>61</v>
      </c>
    </row>
    <row r="29" spans="2:2" x14ac:dyDescent="0.45">
      <c r="B29" s="10" t="s">
        <v>62</v>
      </c>
    </row>
    <row r="31" spans="2:2" ht="15.75" x14ac:dyDescent="0.5">
      <c r="B31" s="18" t="s">
        <v>63</v>
      </c>
    </row>
    <row r="33" spans="2:2" x14ac:dyDescent="0.45">
      <c r="B33" t="s">
        <v>64</v>
      </c>
    </row>
    <row r="34" spans="2:2" x14ac:dyDescent="0.45">
      <c r="B34" t="s">
        <v>65</v>
      </c>
    </row>
    <row r="35" spans="2:2" x14ac:dyDescent="0.45">
      <c r="B35" t="s">
        <v>66</v>
      </c>
    </row>
    <row r="36" spans="2:2" x14ac:dyDescent="0.45">
      <c r="B36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EBABF-9A45-4534-A392-4D3BA087BB42}">
  <dimension ref="B2:F60"/>
  <sheetViews>
    <sheetView showGridLines="0" workbookViewId="0"/>
  </sheetViews>
  <sheetFormatPr defaultRowHeight="14.25" x14ac:dyDescent="0.45"/>
  <cols>
    <col min="1" max="1" width="8.59765625" customWidth="1"/>
    <col min="2" max="2" width="29.53125" customWidth="1"/>
    <col min="3" max="3" width="36.9296875" customWidth="1"/>
    <col min="4" max="4" width="40.59765625" customWidth="1"/>
    <col min="5" max="5" width="37" customWidth="1"/>
    <col min="6" max="6" width="33.3984375" customWidth="1"/>
  </cols>
  <sheetData>
    <row r="2" spans="2:5" ht="15" customHeight="1" x14ac:dyDescent="0.55000000000000004">
      <c r="B2" s="9" t="s">
        <v>7</v>
      </c>
    </row>
    <row r="3" spans="2:5" ht="15" customHeight="1" x14ac:dyDescent="0.45">
      <c r="B3" s="11" t="s">
        <v>8</v>
      </c>
    </row>
    <row r="4" spans="2:5" ht="15" customHeight="1" x14ac:dyDescent="0.45"/>
    <row r="5" spans="2:5" ht="15" customHeight="1" x14ac:dyDescent="0.45">
      <c r="B5" s="12" t="s">
        <v>9</v>
      </c>
      <c r="C5" s="12" t="s">
        <v>10</v>
      </c>
      <c r="D5" s="12" t="s">
        <v>11</v>
      </c>
      <c r="E5" s="12" t="s">
        <v>12</v>
      </c>
    </row>
    <row r="6" spans="2:5" ht="15" customHeight="1" x14ac:dyDescent="0.45">
      <c r="B6" s="13" t="s">
        <v>13</v>
      </c>
      <c r="C6" s="14">
        <v>2500000</v>
      </c>
      <c r="D6" s="13" t="s">
        <v>14</v>
      </c>
      <c r="E6" s="13" t="s">
        <v>15</v>
      </c>
    </row>
    <row r="7" spans="2:5" ht="15" customHeight="1" x14ac:dyDescent="0.45">
      <c r="B7" s="13" t="s">
        <v>16</v>
      </c>
      <c r="C7" s="14">
        <v>1200000</v>
      </c>
      <c r="D7" s="13" t="s">
        <v>14</v>
      </c>
      <c r="E7" s="13" t="s">
        <v>17</v>
      </c>
    </row>
    <row r="8" spans="2:5" ht="15" customHeight="1" x14ac:dyDescent="0.45">
      <c r="B8" s="13" t="s">
        <v>18</v>
      </c>
      <c r="C8" s="14">
        <v>150000</v>
      </c>
      <c r="D8" s="13" t="s">
        <v>14</v>
      </c>
      <c r="E8" s="13" t="s">
        <v>19</v>
      </c>
    </row>
    <row r="9" spans="2:5" ht="15" customHeight="1" x14ac:dyDescent="0.45">
      <c r="B9" s="13" t="s">
        <v>20</v>
      </c>
      <c r="C9" s="14">
        <v>100000</v>
      </c>
      <c r="D9" s="13" t="s">
        <v>14</v>
      </c>
      <c r="E9" s="13" t="s">
        <v>21</v>
      </c>
    </row>
    <row r="10" spans="2:5" ht="15" customHeight="1" x14ac:dyDescent="0.45">
      <c r="B10" s="13" t="s">
        <v>22</v>
      </c>
      <c r="C10" s="15">
        <v>3000</v>
      </c>
      <c r="D10" s="13" t="s">
        <v>23</v>
      </c>
      <c r="E10" s="13" t="s">
        <v>24</v>
      </c>
    </row>
    <row r="11" spans="2:5" ht="15" customHeight="1" x14ac:dyDescent="0.45">
      <c r="B11" s="13" t="s">
        <v>25</v>
      </c>
      <c r="C11" s="14">
        <v>1500</v>
      </c>
      <c r="D11" s="13" t="s">
        <v>14</v>
      </c>
      <c r="E11" s="13" t="s">
        <v>26</v>
      </c>
    </row>
    <row r="12" spans="2:5" ht="15" customHeight="1" x14ac:dyDescent="0.45">
      <c r="B12" s="13" t="s">
        <v>27</v>
      </c>
      <c r="C12" s="14">
        <v>400000</v>
      </c>
      <c r="D12" s="13" t="s">
        <v>14</v>
      </c>
      <c r="E12" s="13" t="s">
        <v>28</v>
      </c>
    </row>
    <row r="13" spans="2:5" ht="15" customHeight="1" x14ac:dyDescent="0.45">
      <c r="B13" s="13" t="s">
        <v>29</v>
      </c>
      <c r="C13" s="15">
        <v>10</v>
      </c>
      <c r="D13" s="13" t="s">
        <v>30</v>
      </c>
      <c r="E13" s="13" t="s">
        <v>31</v>
      </c>
    </row>
    <row r="14" spans="2:5" ht="15" customHeight="1" x14ac:dyDescent="0.45">
      <c r="B14" s="13" t="s">
        <v>32</v>
      </c>
      <c r="C14" s="16">
        <v>0.15</v>
      </c>
      <c r="D14" s="13" t="s">
        <v>33</v>
      </c>
      <c r="E14" s="13" t="s">
        <v>34</v>
      </c>
    </row>
    <row r="15" spans="2:5" x14ac:dyDescent="0.45">
      <c r="B15" s="13" t="s">
        <v>35</v>
      </c>
      <c r="C15" s="16">
        <v>0.5</v>
      </c>
      <c r="D15" s="13" t="s">
        <v>33</v>
      </c>
      <c r="E15" s="13" t="s">
        <v>36</v>
      </c>
    </row>
    <row r="16" spans="2:5" x14ac:dyDescent="0.45">
      <c r="B16" s="13" t="s">
        <v>37</v>
      </c>
      <c r="C16" s="16">
        <v>0.7</v>
      </c>
      <c r="D16" s="13" t="s">
        <v>33</v>
      </c>
      <c r="E16" s="13" t="s">
        <v>38</v>
      </c>
    </row>
    <row r="17" spans="2:5" x14ac:dyDescent="0.45">
      <c r="B17" s="13" t="s">
        <v>39</v>
      </c>
      <c r="C17" s="14">
        <v>8000</v>
      </c>
      <c r="D17" s="13" t="s">
        <v>14</v>
      </c>
      <c r="E17" s="13" t="s">
        <v>40</v>
      </c>
    </row>
    <row r="20" spans="2:5" ht="15" customHeight="1" x14ac:dyDescent="0.45">
      <c r="D20" s="5">
        <v>0.6</v>
      </c>
      <c r="E20" s="1">
        <f>_xll.MC_NodeProbability(_MC_Calc_1,"T_prem_high")</f>
        <v>0.6</v>
      </c>
    </row>
    <row r="21" spans="2:5" ht="15" customHeight="1" x14ac:dyDescent="0.45">
      <c r="D21" s="7">
        <f>PatientVolume*(1+PremiumBonus)*RevenuePerProc*UsefulLife-PremiumMaintCost*UsefulLife</f>
        <v>50249999.999999993</v>
      </c>
      <c r="E21" s="6">
        <f>_xll.MC_NodeValue(_MC_Calc_1,"T_prem_high")</f>
        <v>47749999.999999993</v>
      </c>
    </row>
    <row r="22" spans="2:5" ht="15" customHeight="1" x14ac:dyDescent="0.45">
      <c r="C22" s="4" t="str">
        <f>_xll.MC_NodeDecision(_MC_Calc_1,"C_premium")</f>
        <v>optimal</v>
      </c>
      <c r="D22" s="2" t="s">
        <v>1</v>
      </c>
    </row>
    <row r="23" spans="2:5" ht="15" customHeight="1" x14ac:dyDescent="0.45">
      <c r="C23" s="7">
        <f>-PremiumPrice</f>
        <v>-2500000</v>
      </c>
      <c r="D23" s="6">
        <f>_xll.MC_NodeValue(_MC_Calc_1,"C_premium")</f>
        <v>44810000</v>
      </c>
    </row>
    <row r="24" spans="2:5" ht="15" customHeight="1" x14ac:dyDescent="0.45">
      <c r="D24" s="5">
        <v>0.3</v>
      </c>
      <c r="E24" s="1">
        <f>_xll.MC_NodeProbability(_MC_Calc_1,"T_prem_normal")</f>
        <v>0.3</v>
      </c>
    </row>
    <row r="25" spans="2:5" ht="15" customHeight="1" x14ac:dyDescent="0.45">
      <c r="D25" s="7">
        <f>PatientVolume*RevenuePerProc*UsefulLife-PremiumMaintCost*UsefulLife</f>
        <v>43500000</v>
      </c>
      <c r="E25" s="6">
        <f>_xll.MC_NodeValue(_MC_Calc_1,"T_prem_normal")</f>
        <v>41000000</v>
      </c>
    </row>
    <row r="26" spans="2:5" ht="15" customHeight="1" x14ac:dyDescent="0.45">
      <c r="D26" s="5">
        <v>0.1</v>
      </c>
      <c r="E26" s="1">
        <f>_xll.MC_NodeProbability(_MC_Calc_1,"T_prem_breakdown")</f>
        <v>0.1</v>
      </c>
    </row>
    <row r="27" spans="2:5" ht="15" customHeight="1" x14ac:dyDescent="0.45">
      <c r="D27" s="7">
        <f>PatientVolume*RevenuePerProc*UsefulLife-PremiumMaintCost*UsefulLife-DowntimeCostDay*30*UsefulLife</f>
        <v>41100000</v>
      </c>
      <c r="E27" s="6">
        <f>_xll.MC_NodeValue(_MC_Calc_1,"T_prem_breakdown")</f>
        <v>38600000</v>
      </c>
    </row>
    <row r="28" spans="2:5" ht="15" customHeight="1" x14ac:dyDescent="0.45">
      <c r="C28" s="3" t="s">
        <v>2</v>
      </c>
    </row>
    <row r="29" spans="2:5" ht="15" customHeight="1" x14ac:dyDescent="0.45">
      <c r="C29" s="6">
        <f>_xll.MC_NodeValue(_MC_Calc_1,"D_root")</f>
        <v>44810000</v>
      </c>
    </row>
    <row r="30" spans="2:5" ht="15" customHeight="1" x14ac:dyDescent="0.45">
      <c r="D30" s="5">
        <v>0.4</v>
      </c>
      <c r="E30" s="1">
        <f>_xll.MC_NodeProbability(_MC_Calc_1,"T_std_high")</f>
        <v>0.4</v>
      </c>
    </row>
    <row r="31" spans="2:5" ht="15" customHeight="1" x14ac:dyDescent="0.45">
      <c r="D31" s="7">
        <f>PatientVolume*RevenuePerProc*UsefulLife-StandardMaintCost*UsefulLife</f>
        <v>44000000</v>
      </c>
      <c r="E31" s="6">
        <f>_xll.MC_NodeValue(_MC_Calc_1,"T_std_high")</f>
        <v>42800000</v>
      </c>
    </row>
    <row r="32" spans="2:5" ht="15" customHeight="1" x14ac:dyDescent="0.45">
      <c r="C32" s="4" t="str">
        <f>_xll.MC_NodeDecision(_MC_Calc_1,"C_standard")</f>
        <v/>
      </c>
      <c r="D32" s="2" t="s">
        <v>3</v>
      </c>
    </row>
    <row r="33" spans="3:5" ht="15" customHeight="1" x14ac:dyDescent="0.45">
      <c r="C33" s="7">
        <f>-StandardPrice</f>
        <v>-1200000</v>
      </c>
      <c r="D33" s="6">
        <f>_xll.MC_NodeValue(_MC_Calc_1,"C_standard")</f>
        <v>42080000</v>
      </c>
    </row>
    <row r="34" spans="3:5" ht="15" customHeight="1" x14ac:dyDescent="0.45">
      <c r="D34" s="5">
        <v>0.4</v>
      </c>
      <c r="E34" s="1">
        <f>_xll.MC_NodeProbability(_MC_Calc_1,"T_std_normal")</f>
        <v>0.4</v>
      </c>
    </row>
    <row r="35" spans="3:5" ht="15" customHeight="1" x14ac:dyDescent="0.45">
      <c r="D35" s="7">
        <f>PatientVolume*RevenuePerProc*UsefulLife-StandardMaintCost*UsefulLife</f>
        <v>44000000</v>
      </c>
      <c r="E35" s="6">
        <f>_xll.MC_NodeValue(_MC_Calc_1,"T_std_normal")</f>
        <v>42800000</v>
      </c>
    </row>
    <row r="36" spans="3:5" ht="15" customHeight="1" x14ac:dyDescent="0.45">
      <c r="D36" s="5">
        <v>0.2</v>
      </c>
      <c r="E36" s="1">
        <f>_xll.MC_NodeProbability(_MC_Calc_1,"T_std_breakdown")</f>
        <v>0.2</v>
      </c>
    </row>
    <row r="37" spans="3:5" ht="15" customHeight="1" x14ac:dyDescent="0.45">
      <c r="D37" s="7">
        <f>PatientVolume*RevenuePerProc*UsefulLife-StandardMaintCost*UsefulLife-DowntimeCostDay*45*UsefulLife</f>
        <v>40400000</v>
      </c>
      <c r="E37" s="6">
        <f>_xll.MC_NodeValue(_MC_Calc_1,"T_std_breakdown")</f>
        <v>39200000</v>
      </c>
    </row>
    <row r="38" spans="3:5" ht="15" customHeight="1" x14ac:dyDescent="0.45">
      <c r="D38" s="5">
        <v>0.35</v>
      </c>
      <c r="E38" s="1">
        <f>_xll.MC_NodeProbability(_MC_Calc_1,"T_lease_upgrade")</f>
        <v>0.35</v>
      </c>
    </row>
    <row r="39" spans="3:5" ht="15" customHeight="1" x14ac:dyDescent="0.45">
      <c r="D39" s="7">
        <f>PatientVolume*(1+PremiumBonus)*RevenuePerProc*UsefulLife-LeaseAnnualCost*UsefulLife</f>
        <v>47749999.999999993</v>
      </c>
      <c r="E39" s="6">
        <f>_xll.MC_NodeValue(_MC_Calc_1,"T_lease_upgrade")</f>
        <v>47749999.999999993</v>
      </c>
    </row>
    <row r="40" spans="3:5" ht="15" customHeight="1" x14ac:dyDescent="0.45">
      <c r="C40" s="4" t="str">
        <f>_xll.MC_NodeDecision(_MC_Calc_1,"C_lease")</f>
        <v/>
      </c>
      <c r="D40" s="2" t="s">
        <v>4</v>
      </c>
    </row>
    <row r="41" spans="3:5" ht="15" customHeight="1" x14ac:dyDescent="0.45">
      <c r="C41" s="7">
        <v>0</v>
      </c>
      <c r="D41" s="6">
        <f>_xll.MC_NodeValue(_MC_Calc_1,"C_lease")</f>
        <v>42642500</v>
      </c>
    </row>
    <row r="42" spans="3:5" ht="15" customHeight="1" x14ac:dyDescent="0.45">
      <c r="D42" s="5">
        <v>0.5</v>
      </c>
      <c r="E42" s="1">
        <f>_xll.MC_NodeProbability(_MC_Calc_1,"T_lease_standard")</f>
        <v>0.5</v>
      </c>
    </row>
    <row r="43" spans="3:5" ht="15" customHeight="1" x14ac:dyDescent="0.45">
      <c r="D43" s="7">
        <f>PatientVolume*RevenuePerProc*UsefulLife-LeaseAnnualCost*UsefulLife</f>
        <v>41000000</v>
      </c>
      <c r="E43" s="6">
        <f>_xll.MC_NodeValue(_MC_Calc_1,"T_lease_standard")</f>
        <v>41000000</v>
      </c>
    </row>
    <row r="44" spans="3:5" ht="15" customHeight="1" x14ac:dyDescent="0.45">
      <c r="D44" s="5">
        <v>0.15</v>
      </c>
      <c r="E44" s="1">
        <f>_xll.MC_NodeProbability(_MC_Calc_1,"T_lease_issues")</f>
        <v>0.15</v>
      </c>
    </row>
    <row r="45" spans="3:5" ht="15" customHeight="1" x14ac:dyDescent="0.45">
      <c r="D45" s="7">
        <f>PatientVolume*RevenuePerProc*UsefulLife-LeaseAnnualCost*UsefulLife-DowntimeCostDay*60*UsefulLife</f>
        <v>36200000</v>
      </c>
      <c r="E45" s="6">
        <f>_xll.MC_NodeValue(_MC_Calc_1,"T_lease_issues")</f>
        <v>36200000</v>
      </c>
    </row>
    <row r="46" spans="3:5" ht="15" customHeight="1" x14ac:dyDescent="0.45">
      <c r="D46" s="5">
        <v>0.3</v>
      </c>
      <c r="E46" s="1">
        <f>_xll.MC_NodeProbability(_MC_Calc_1,"T_share_smooth")</f>
        <v>0.3</v>
      </c>
    </row>
    <row r="47" spans="3:5" ht="15" customHeight="1" x14ac:dyDescent="0.45">
      <c r="D47" s="7">
        <f>PatientVolume*SharedUtilization*RevenuePerProc*UsefulLife-PremiumMaintCost*CostSharePct*UsefulLife</f>
        <v>30750000</v>
      </c>
      <c r="E47" s="6">
        <f>_xll.MC_NodeValue(_MC_Calc_1,"T_share_smooth")</f>
        <v>29500000</v>
      </c>
    </row>
    <row r="48" spans="3:5" ht="15" customHeight="1" x14ac:dyDescent="0.45">
      <c r="C48" s="4" t="str">
        <f>_xll.MC_NodeDecision(_MC_Calc_1,"C_share")</f>
        <v/>
      </c>
      <c r="D48" s="2" t="s">
        <v>5</v>
      </c>
    </row>
    <row r="49" spans="3:6" ht="15" customHeight="1" x14ac:dyDescent="0.45">
      <c r="C49" s="7">
        <f>-PremiumPrice*CostSharePct</f>
        <v>-1250000</v>
      </c>
      <c r="D49" s="6">
        <f>_xll.MC_NodeValue(_MC_Calc_1,"C_share")</f>
        <v>26060000</v>
      </c>
    </row>
    <row r="50" spans="3:6" ht="15" customHeight="1" x14ac:dyDescent="0.45">
      <c r="D50" s="5">
        <v>0.45</v>
      </c>
      <c r="E50" s="1">
        <f>_xll.MC_NodeProbability(_MC_Calc_1,"T_share_conflict")</f>
        <v>0.45</v>
      </c>
    </row>
    <row r="51" spans="3:6" ht="15" customHeight="1" x14ac:dyDescent="0.45">
      <c r="D51" s="7">
        <f>PatientVolume*SharedUtilization*0.7*RevenuePerProc*UsefulLife-PremiumMaintCost*CostSharePct*UsefulLife</f>
        <v>21300000</v>
      </c>
      <c r="E51" s="6">
        <f>_xll.MC_NodeValue(_MC_Calc_1,"T_share_conflict")</f>
        <v>20050000</v>
      </c>
    </row>
    <row r="52" spans="3:6" ht="15" customHeight="1" x14ac:dyDescent="0.45">
      <c r="E52" s="4" t="str">
        <f>_xll.MC_NodeDecision(_MC_Calc_1,"T_share_buyown")</f>
        <v>optimal</v>
      </c>
      <c r="F52" s="1">
        <f>_xll.MC_NodeProbability(_MC_Calc_1,"T_share_buyown")</f>
        <v>0.25</v>
      </c>
    </row>
    <row r="53" spans="3:6" ht="15" customHeight="1" x14ac:dyDescent="0.45">
      <c r="E53" s="7">
        <f>-StandardPrice+PatientVolume*RevenuePerProc*(UsefulLife-2)-StandardMaintCost*(UsefulLife-2)</f>
        <v>34000000</v>
      </c>
      <c r="F53" s="6">
        <f>_xll.MC_NodeValue(_MC_Calc_1,"T_share_buyown")</f>
        <v>32750000</v>
      </c>
    </row>
    <row r="54" spans="3:6" ht="15" customHeight="1" x14ac:dyDescent="0.45">
      <c r="D54" s="5">
        <v>0.25</v>
      </c>
      <c r="E54" s="3" t="s">
        <v>6</v>
      </c>
    </row>
    <row r="55" spans="3:6" ht="15" customHeight="1" x14ac:dyDescent="0.45">
      <c r="D55" s="7">
        <v>0</v>
      </c>
      <c r="E55" s="6">
        <f>_xll.MC_NodeValue(_MC_Calc_1,"D_share_breakdown")</f>
        <v>32750000</v>
      </c>
    </row>
    <row r="56" spans="3:6" ht="15" customHeight="1" x14ac:dyDescent="0.45">
      <c r="E56" s="4" t="str">
        <f>_xll.MC_NodeDecision(_MC_Calc_1,"T_share_continue")</f>
        <v/>
      </c>
      <c r="F56" s="1">
        <f>_xll.MC_NodeProbability(_MC_Calc_1,"T_share_continue")</f>
        <v>0.25</v>
      </c>
    </row>
    <row r="57" spans="3:6" ht="15" customHeight="1" x14ac:dyDescent="0.45">
      <c r="E57" s="7">
        <f>PatientVolume*SharedUtilization*0.5*RevenuePerProc*UsefulLife-PremiumMaintCost*CostSharePct*UsefulLife</f>
        <v>15000000</v>
      </c>
      <c r="F57" s="6">
        <f>_xll.MC_NodeValue(_MC_Calc_1,"T_share_continue")</f>
        <v>13750000</v>
      </c>
    </row>
    <row r="58" spans="3:6" ht="15" customHeight="1" x14ac:dyDescent="0.45"/>
    <row r="59" spans="3:6" ht="15" customHeight="1" x14ac:dyDescent="0.45"/>
    <row r="60" spans="3:6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87</vt:i4>
      </vt:variant>
    </vt:vector>
  </HeadingPairs>
  <TitlesOfParts>
    <vt:vector size="89" baseType="lpstr">
      <vt:lpstr>Problem</vt:lpstr>
      <vt:lpstr>MC_Tree_1</vt:lpstr>
      <vt:lpstr>_MC_Calc_1</vt:lpstr>
      <vt:lpstr>CostSharePct</vt:lpstr>
      <vt:lpstr>DowntimeCostDay</vt:lpstr>
      <vt:lpstr>LeaseAnnualCost</vt:lpstr>
      <vt:lpstr>MC_Tree_1!MC_BD_D_root_C_lease</vt:lpstr>
      <vt:lpstr>MC_Tree_1!MC_BD_D_root_C_premium</vt:lpstr>
      <vt:lpstr>MC_Tree_1!MC_BD_D_root_C_share</vt:lpstr>
      <vt:lpstr>MC_Tree_1!MC_BD_D_root_C_standard</vt:lpstr>
      <vt:lpstr>MC_Tree_1!MC_BD_D_share_breakdown_T_share_buyown</vt:lpstr>
      <vt:lpstr>MC_Tree_1!MC_BD_D_share_breakdown_T_share_continue</vt:lpstr>
      <vt:lpstr>MC_Tree_1!MC_BP_C_lease_T_lease_issues</vt:lpstr>
      <vt:lpstr>MC_Tree_1!MC_BP_C_lease_T_lease_standard</vt:lpstr>
      <vt:lpstr>MC_Tree_1!MC_BP_C_lease_T_lease_upgrade</vt:lpstr>
      <vt:lpstr>MC_Tree_1!MC_BP_C_premium_T_prem_breakdown</vt:lpstr>
      <vt:lpstr>MC_Tree_1!MC_BP_C_premium_T_prem_high</vt:lpstr>
      <vt:lpstr>MC_Tree_1!MC_BP_C_premium_T_prem_normal</vt:lpstr>
      <vt:lpstr>MC_Tree_1!MC_BP_C_share_D_share_breakdown</vt:lpstr>
      <vt:lpstr>MC_Tree_1!MC_BP_C_share_T_share_conflict</vt:lpstr>
      <vt:lpstr>MC_Tree_1!MC_BP_C_share_T_share_smooth</vt:lpstr>
      <vt:lpstr>MC_Tree_1!MC_BP_C_standard_T_std_breakdown</vt:lpstr>
      <vt:lpstr>MC_Tree_1!MC_BP_C_standard_T_std_high</vt:lpstr>
      <vt:lpstr>MC_Tree_1!MC_BP_C_standard_T_std_normal</vt:lpstr>
      <vt:lpstr>MC_Tree_1!MC_BV_C_lease_T_lease_issues</vt:lpstr>
      <vt:lpstr>MC_Tree_1!MC_BV_C_lease_T_lease_standard</vt:lpstr>
      <vt:lpstr>MC_Tree_1!MC_BV_C_lease_T_lease_upgrade</vt:lpstr>
      <vt:lpstr>MC_Tree_1!MC_BV_C_premium_T_prem_breakdown</vt:lpstr>
      <vt:lpstr>MC_Tree_1!MC_BV_C_premium_T_prem_high</vt:lpstr>
      <vt:lpstr>MC_Tree_1!MC_BV_C_premium_T_prem_normal</vt:lpstr>
      <vt:lpstr>MC_Tree_1!MC_BV_C_share_D_share_breakdown</vt:lpstr>
      <vt:lpstr>MC_Tree_1!MC_BV_C_share_T_share_conflict</vt:lpstr>
      <vt:lpstr>MC_Tree_1!MC_BV_C_share_T_share_smooth</vt:lpstr>
      <vt:lpstr>MC_Tree_1!MC_BV_C_standard_T_std_breakdown</vt:lpstr>
      <vt:lpstr>MC_Tree_1!MC_BV_C_standard_T_std_high</vt:lpstr>
      <vt:lpstr>MC_Tree_1!MC_BV_C_standard_T_std_normal</vt:lpstr>
      <vt:lpstr>MC_Tree_1!MC_BV_D_root_C_lease</vt:lpstr>
      <vt:lpstr>MC_Tree_1!MC_BV_D_root_C_premium</vt:lpstr>
      <vt:lpstr>MC_Tree_1!MC_BV_D_root_C_share</vt:lpstr>
      <vt:lpstr>MC_Tree_1!MC_BV_D_root_C_standard</vt:lpstr>
      <vt:lpstr>MC_Tree_1!MC_BV_D_share_breakdown_T_share_buyown</vt:lpstr>
      <vt:lpstr>MC_Tree_1!MC_BV_D_share_breakdown_T_share_continue</vt:lpstr>
      <vt:lpstr>MC_Tree_1!MC_N_C_lease</vt:lpstr>
      <vt:lpstr>MC_Tree_1!MC_N_C_premium</vt:lpstr>
      <vt:lpstr>MC_Tree_1!MC_N_C_share</vt:lpstr>
      <vt:lpstr>MC_Tree_1!MC_N_C_standard</vt:lpstr>
      <vt:lpstr>MC_Tree_1!MC_N_D_root</vt:lpstr>
      <vt:lpstr>MC_Tree_1!MC_N_D_share_breakdown</vt:lpstr>
      <vt:lpstr>MC_Tree_1!MC_NP_T_lease_issues</vt:lpstr>
      <vt:lpstr>MC_Tree_1!MC_NP_T_lease_standard</vt:lpstr>
      <vt:lpstr>MC_Tree_1!MC_NP_T_lease_upgrade</vt:lpstr>
      <vt:lpstr>MC_Tree_1!MC_NP_T_prem_breakdown</vt:lpstr>
      <vt:lpstr>MC_Tree_1!MC_NP_T_prem_high</vt:lpstr>
      <vt:lpstr>MC_Tree_1!MC_NP_T_prem_normal</vt:lpstr>
      <vt:lpstr>MC_Tree_1!MC_NP_T_share_buyown</vt:lpstr>
      <vt:lpstr>MC_Tree_1!MC_NP_T_share_conflict</vt:lpstr>
      <vt:lpstr>MC_Tree_1!MC_NP_T_share_continue</vt:lpstr>
      <vt:lpstr>MC_Tree_1!MC_NP_T_share_smooth</vt:lpstr>
      <vt:lpstr>MC_Tree_1!MC_NP_T_std_breakdown</vt:lpstr>
      <vt:lpstr>MC_Tree_1!MC_NP_T_std_high</vt:lpstr>
      <vt:lpstr>MC_Tree_1!MC_NP_T_std_normal</vt:lpstr>
      <vt:lpstr>MC_Tree_1!MC_V_C_lease</vt:lpstr>
      <vt:lpstr>MC_Tree_1!MC_V_C_premium</vt:lpstr>
      <vt:lpstr>MC_Tree_1!MC_V_C_share</vt:lpstr>
      <vt:lpstr>MC_Tree_1!MC_V_C_standard</vt:lpstr>
      <vt:lpstr>MC_Tree_1!MC_V_D_root</vt:lpstr>
      <vt:lpstr>MC_Tree_1!MC_V_D_share_breakdown</vt:lpstr>
      <vt:lpstr>MC_Tree_1!MC_V_T_lease_issues</vt:lpstr>
      <vt:lpstr>MC_Tree_1!MC_V_T_lease_standard</vt:lpstr>
      <vt:lpstr>MC_Tree_1!MC_V_T_lease_upgrade</vt:lpstr>
      <vt:lpstr>MC_Tree_1!MC_V_T_prem_breakdown</vt:lpstr>
      <vt:lpstr>MC_Tree_1!MC_V_T_prem_high</vt:lpstr>
      <vt:lpstr>MC_Tree_1!MC_V_T_prem_normal</vt:lpstr>
      <vt:lpstr>MC_Tree_1!MC_V_T_share_buyown</vt:lpstr>
      <vt:lpstr>MC_Tree_1!MC_V_T_share_conflict</vt:lpstr>
      <vt:lpstr>MC_Tree_1!MC_V_T_share_continue</vt:lpstr>
      <vt:lpstr>MC_Tree_1!MC_V_T_share_smooth</vt:lpstr>
      <vt:lpstr>MC_Tree_1!MC_V_T_std_breakdown</vt:lpstr>
      <vt:lpstr>MC_Tree_1!MC_V_T_std_high</vt:lpstr>
      <vt:lpstr>MC_Tree_1!MC_V_T_std_normal</vt:lpstr>
      <vt:lpstr>PatientVolume</vt:lpstr>
      <vt:lpstr>PremiumBonus</vt:lpstr>
      <vt:lpstr>PremiumMaintCost</vt:lpstr>
      <vt:lpstr>PremiumPrice</vt:lpstr>
      <vt:lpstr>RevenuePerProc</vt:lpstr>
      <vt:lpstr>SharedUtilization</vt:lpstr>
      <vt:lpstr>StandardMaintCost</vt:lpstr>
      <vt:lpstr>StandardPrice</vt:lpstr>
      <vt:lpstr>UsefulLife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2026-03-27T15:00:33Z</dcterms:created>
  <dcterms:modified xsi:type="dcterms:W3CDTF">2026-03-27T15:00:45Z</dcterms:modified>
</cp:coreProperties>
</file>