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2CCD46E0-D4D2-4C47-A1E4-C9E86D79C459}" xr6:coauthVersionLast="47" xr6:coauthVersionMax="47" xr10:uidLastSave="{00000000-0000-0000-0000-000000000000}"/>
  <bookViews>
    <workbookView xWindow="-98" yWindow="-98" windowWidth="21795" windowHeight="12975" firstSheet="2" activeTab="2" xr2:uid="{1F2B5255-7E5B-4B97-A6A0-7C2A2240D66C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_MC_Calc!$A$1:$DN$1</definedName>
    <definedName name="AbandonProgramValue">MC_Tree_1!$C$11</definedName>
    <definedName name="ExvivoCellTherapyCost">MC_Tree_1!$C$7</definedName>
    <definedName name="InvivoAavGeneTherapyCost">MC_Tree_1!$C$6</definedName>
    <definedName name="LicenseToBigPharmaCost">MC_Tree_1!$C$8</definedName>
    <definedName name="MC_BD_D_aav_fund_C_aav_mfg" localSheetId="3">MC_Tree_1!$E$34</definedName>
    <definedName name="MC_BD_D_aav_fund_C_aav_partner" localSheetId="3">MC_Tree_1!$E$50</definedName>
    <definedName name="MC_BD_D_aav_fund_mod_C_aav_mod_clinical" localSheetId="3">MC_Tree_1!$E$60</definedName>
    <definedName name="MC_BD_D_aav_fund_mod_C_aav_mod_partner" localSheetId="3">MC_Tree_1!$E$70</definedName>
    <definedName name="MC_BD_D_aav_fund_mod_T_aav_mod_abandon" localSheetId="3">MC_Tree_1!$E$74</definedName>
    <definedName name="MC_BD_D_exvivo_fund_C_exvivo_clinical" localSheetId="3">MC_Tree_1!$E$82</definedName>
    <definedName name="MC_BD_D_exvivo_fund_C_exvivo_partner" localSheetId="3">MC_Tree_1!$E$94</definedName>
    <definedName name="MC_BD_D_root_C_license_deal" localSheetId="3">MC_Tree_1!$C$108</definedName>
    <definedName name="MC_BD_D_root_C_preclinical_aav" localSheetId="3">MC_Tree_1!$C$56</definedName>
    <definedName name="MC_BD_D_root_C_preclinical_exvivo" localSheetId="3">MC_Tree_1!$C$100</definedName>
    <definedName name="MC_BD_D_root_T_shelve" localSheetId="3">MC_Tree_1!$C$116</definedName>
    <definedName name="MC_BP_C_aav_clinical_C_fda_aav" localSheetId="3">MC_Tree_1!$G$22</definedName>
    <definedName name="MC_BP_C_aav_clinical_delay_T_aav_delay_fail" localSheetId="3">MC_Tree_1!$G$42</definedName>
    <definedName name="MC_BP_C_aav_clinical_delay_T_aav_delay_good" localSheetId="3">MC_Tree_1!$G$36</definedName>
    <definedName name="MC_BP_C_aav_clinical_delay_T_aav_delay_partial" localSheetId="3">MC_Tree_1!$G$40</definedName>
    <definedName name="MC_BP_C_aav_clinical_T_aav_no_eff" localSheetId="3">MC_Tree_1!$G$32</definedName>
    <definedName name="MC_BP_C_aav_clinical_T_aav_partial" localSheetId="3">MC_Tree_1!$G$30</definedName>
    <definedName name="MC_BP_C_aav_mfg_C_aav_clinical" localSheetId="3">MC_Tree_1!$F$28</definedName>
    <definedName name="MC_BP_C_aav_mfg_C_aav_clinical_delay" localSheetId="3">MC_Tree_1!$F$38</definedName>
    <definedName name="MC_BP_C_aav_mfg_T_aav_mfg_fail" localSheetId="3">MC_Tree_1!$F$44</definedName>
    <definedName name="MC_BP_C_aav_mod_clinical_T_aav_mod_fail" localSheetId="3">MC_Tree_1!$F$64</definedName>
    <definedName name="MC_BP_C_aav_mod_clinical_T_aav_mod_marginal" localSheetId="3">MC_Tree_1!$F$62</definedName>
    <definedName name="MC_BP_C_aav_mod_clinical_T_aav_mod_surprise" localSheetId="3">MC_Tree_1!$F$58</definedName>
    <definedName name="MC_BP_C_aav_mod_partner_T_aav_mod_part_no" localSheetId="3">MC_Tree_1!$F$72</definedName>
    <definedName name="MC_BP_C_aav_mod_partner_T_aav_mod_part_yes" localSheetId="3">MC_Tree_1!$F$68</definedName>
    <definedName name="MC_BP_C_aav_partner_T_aav_no_partner" localSheetId="3">MC_Tree_1!$F$54</definedName>
    <definedName name="MC_BP_C_aav_partner_T_aav_partner_good" localSheetId="3">MC_Tree_1!$F$48</definedName>
    <definedName name="MC_BP_C_aav_partner_T_aav_partner_ok" localSheetId="3">MC_Tree_1!$F$52</definedName>
    <definedName name="MC_BP_C_exvivo_clinical_T_exvivo_cure" localSheetId="3">MC_Tree_1!$F$80</definedName>
    <definedName name="MC_BP_C_exvivo_clinical_T_exvivo_improve" localSheetId="3">MC_Tree_1!$F$84</definedName>
    <definedName name="MC_BP_C_exvivo_clinical_T_exvivo_minimal" localSheetId="3">MC_Tree_1!$F$86</definedName>
    <definedName name="MC_BP_C_exvivo_clinical_T_exvivo_safety" localSheetId="3">MC_Tree_1!$F$88</definedName>
    <definedName name="MC_BP_C_exvivo_partner_T_exvivo_bio_partner" localSheetId="3">MC_Tree_1!$F$96</definedName>
    <definedName name="MC_BP_C_exvivo_partner_T_exvivo_major_partner" localSheetId="3">MC_Tree_1!$F$92</definedName>
    <definedName name="MC_BP_C_exvivo_partner_T_exvivo_no_partner" localSheetId="3">MC_Tree_1!$F$98</definedName>
    <definedName name="MC_BP_C_fda_aav_T_aav_accel" localSheetId="3">MC_Tree_1!$H$20</definedName>
    <definedName name="MC_BP_C_fda_aav_T_aav_crl" localSheetId="3">MC_Tree_1!$H$26</definedName>
    <definedName name="MC_BP_C_fda_aav_T_aav_standard" localSheetId="3">MC_Tree_1!$H$24</definedName>
    <definedName name="MC_BP_C_license_deal_T_license_abandon" localSheetId="3">MC_Tree_1!$D$114</definedName>
    <definedName name="MC_BP_C_license_deal_T_license_clinic_fail" localSheetId="3">MC_Tree_1!$D$112</definedName>
    <definedName name="MC_BP_C_license_deal_T_license_phase2" localSheetId="3">MC_Tree_1!$D$110</definedName>
    <definedName name="MC_BP_C_license_deal_T_license_success" localSheetId="3">MC_Tree_1!$D$106</definedName>
    <definedName name="MC_BP_C_preclinical_aav_D_aav_fund" localSheetId="3">MC_Tree_1!$D$46</definedName>
    <definedName name="MC_BP_C_preclinical_aav_D_aav_fund_mod" localSheetId="3">MC_Tree_1!$D$66</definedName>
    <definedName name="MC_BP_C_preclinical_aav_T_aav_preclin_fail" localSheetId="3">MC_Tree_1!$D$76</definedName>
    <definedName name="MC_BP_C_preclinical_exvivo_D_exvivo_fund" localSheetId="3">MC_Tree_1!$D$90</definedName>
    <definedName name="MC_BP_C_preclinical_exvivo_T_exvivo_partial_preclin" localSheetId="3">MC_Tree_1!$D$102</definedName>
    <definedName name="MC_BP_C_preclinical_exvivo_T_exvivo_preclin_fail" localSheetId="3">MC_Tree_1!$D$104</definedName>
    <definedName name="MC_BV_C_aav_clinical_C_fda_aav" localSheetId="3">MC_Tree_1!$G$23</definedName>
    <definedName name="MC_BV_C_aav_clinical_delay_T_aav_delay_fail" localSheetId="3">MC_Tree_1!$G$43</definedName>
    <definedName name="MC_BV_C_aav_clinical_delay_T_aav_delay_good" localSheetId="3">MC_Tree_1!$G$37</definedName>
    <definedName name="MC_BV_C_aav_clinical_delay_T_aav_delay_partial" localSheetId="3">MC_Tree_1!$G$41</definedName>
    <definedName name="MC_BV_C_aav_clinical_T_aav_no_eff" localSheetId="3">MC_Tree_1!$G$33</definedName>
    <definedName name="MC_BV_C_aav_clinical_T_aav_partial" localSheetId="3">MC_Tree_1!$G$31</definedName>
    <definedName name="MC_BV_C_aav_mfg_C_aav_clinical" localSheetId="3">MC_Tree_1!$F$29</definedName>
    <definedName name="MC_BV_C_aav_mfg_C_aav_clinical_delay" localSheetId="3">MC_Tree_1!$F$39</definedName>
    <definedName name="MC_BV_C_aav_mfg_T_aav_mfg_fail" localSheetId="3">MC_Tree_1!$F$45</definedName>
    <definedName name="MC_BV_C_aav_mod_clinical_T_aav_mod_fail" localSheetId="3">MC_Tree_1!$F$65</definedName>
    <definedName name="MC_BV_C_aav_mod_clinical_T_aav_mod_marginal" localSheetId="3">MC_Tree_1!$F$63</definedName>
    <definedName name="MC_BV_C_aav_mod_clinical_T_aav_mod_surprise" localSheetId="3">MC_Tree_1!$F$59</definedName>
    <definedName name="MC_BV_C_aav_mod_partner_T_aav_mod_part_no" localSheetId="3">MC_Tree_1!$F$73</definedName>
    <definedName name="MC_BV_C_aav_mod_partner_T_aav_mod_part_yes" localSheetId="3">MC_Tree_1!$F$69</definedName>
    <definedName name="MC_BV_C_aav_partner_T_aav_no_partner" localSheetId="3">MC_Tree_1!$F$55</definedName>
    <definedName name="MC_BV_C_aav_partner_T_aav_partner_good" localSheetId="3">MC_Tree_1!$F$49</definedName>
    <definedName name="MC_BV_C_aav_partner_T_aav_partner_ok" localSheetId="3">MC_Tree_1!$F$53</definedName>
    <definedName name="MC_BV_C_exvivo_clinical_T_exvivo_cure" localSheetId="3">MC_Tree_1!$F$81</definedName>
    <definedName name="MC_BV_C_exvivo_clinical_T_exvivo_improve" localSheetId="3">MC_Tree_1!$F$85</definedName>
    <definedName name="MC_BV_C_exvivo_clinical_T_exvivo_minimal" localSheetId="3">MC_Tree_1!$F$87</definedName>
    <definedName name="MC_BV_C_exvivo_clinical_T_exvivo_safety" localSheetId="3">MC_Tree_1!$F$89</definedName>
    <definedName name="MC_BV_C_exvivo_partner_T_exvivo_bio_partner" localSheetId="3">MC_Tree_1!$F$97</definedName>
    <definedName name="MC_BV_C_exvivo_partner_T_exvivo_major_partner" localSheetId="3">MC_Tree_1!$F$93</definedName>
    <definedName name="MC_BV_C_exvivo_partner_T_exvivo_no_partner" localSheetId="3">MC_Tree_1!$F$99</definedName>
    <definedName name="MC_BV_C_fda_aav_T_aav_accel" localSheetId="3">MC_Tree_1!$H$21</definedName>
    <definedName name="MC_BV_C_fda_aav_T_aav_crl" localSheetId="3">MC_Tree_1!$H$27</definedName>
    <definedName name="MC_BV_C_fda_aav_T_aav_standard" localSheetId="3">MC_Tree_1!$H$25</definedName>
    <definedName name="MC_BV_C_license_deal_T_license_abandon" localSheetId="3">MC_Tree_1!$D$115</definedName>
    <definedName name="MC_BV_C_license_deal_T_license_clinic_fail" localSheetId="3">MC_Tree_1!$D$113</definedName>
    <definedName name="MC_BV_C_license_deal_T_license_phase2" localSheetId="3">MC_Tree_1!$D$111</definedName>
    <definedName name="MC_BV_C_license_deal_T_license_success" localSheetId="3">MC_Tree_1!$D$107</definedName>
    <definedName name="MC_BV_C_preclinical_aav_D_aav_fund" localSheetId="3">MC_Tree_1!$D$47</definedName>
    <definedName name="MC_BV_C_preclinical_aav_D_aav_fund_mod" localSheetId="3">MC_Tree_1!$D$67</definedName>
    <definedName name="MC_BV_C_preclinical_aav_T_aav_preclin_fail" localSheetId="3">MC_Tree_1!$D$77</definedName>
    <definedName name="MC_BV_C_preclinical_exvivo_D_exvivo_fund" localSheetId="3">MC_Tree_1!$D$91</definedName>
    <definedName name="MC_BV_C_preclinical_exvivo_T_exvivo_partial_preclin" localSheetId="3">MC_Tree_1!$D$103</definedName>
    <definedName name="MC_BV_C_preclinical_exvivo_T_exvivo_preclin_fail" localSheetId="3">MC_Tree_1!$D$105</definedName>
    <definedName name="MC_BV_D_aav_fund_C_aav_mfg" localSheetId="3">MC_Tree_1!$E$35</definedName>
    <definedName name="MC_BV_D_aav_fund_C_aav_partner" localSheetId="3">MC_Tree_1!$E$51</definedName>
    <definedName name="MC_BV_D_aav_fund_mod_C_aav_mod_clinical" localSheetId="3">MC_Tree_1!$E$61</definedName>
    <definedName name="MC_BV_D_aav_fund_mod_C_aav_mod_partner" localSheetId="3">MC_Tree_1!$E$71</definedName>
    <definedName name="MC_BV_D_aav_fund_mod_T_aav_mod_abandon" localSheetId="3">MC_Tree_1!$E$75</definedName>
    <definedName name="MC_BV_D_exvivo_fund_C_exvivo_clinical" localSheetId="3">MC_Tree_1!$E$83</definedName>
    <definedName name="MC_BV_D_exvivo_fund_C_exvivo_partner" localSheetId="3">MC_Tree_1!$E$95</definedName>
    <definedName name="MC_BV_D_root_C_license_deal" localSheetId="3">MC_Tree_1!$C$109</definedName>
    <definedName name="MC_BV_D_root_C_preclinical_aav" localSheetId="3">MC_Tree_1!$C$57</definedName>
    <definedName name="MC_BV_D_root_C_preclinical_exvivo" localSheetId="3">MC_Tree_1!$C$101</definedName>
    <definedName name="MC_BV_D_root_T_shelve" localSheetId="3">MC_Tree_1!$C$117</definedName>
    <definedName name="MC_N_C_aav_clinical" localSheetId="3">MC_Tree_1!$G$28</definedName>
    <definedName name="MC_N_C_aav_clinical_delay" localSheetId="3">MC_Tree_1!$G$38</definedName>
    <definedName name="MC_N_C_aav_mfg" localSheetId="3">MC_Tree_1!$F$34</definedName>
    <definedName name="MC_N_C_aav_mod_clinical" localSheetId="3">MC_Tree_1!$F$60</definedName>
    <definedName name="MC_N_C_aav_mod_partner" localSheetId="3">MC_Tree_1!$F$70</definedName>
    <definedName name="MC_N_C_aav_partner" localSheetId="3">MC_Tree_1!$F$50</definedName>
    <definedName name="MC_N_C_exvivo_clinical" localSheetId="3">MC_Tree_1!$F$82</definedName>
    <definedName name="MC_N_C_exvivo_partner" localSheetId="3">MC_Tree_1!$F$94</definedName>
    <definedName name="MC_N_C_fda_aav" localSheetId="3">MC_Tree_1!$H$22</definedName>
    <definedName name="MC_N_C_license_deal" localSheetId="3">MC_Tree_1!$D$108</definedName>
    <definedName name="MC_N_C_preclinical_aav" localSheetId="3">MC_Tree_1!$D$56</definedName>
    <definedName name="MC_N_C_preclinical_exvivo" localSheetId="3">MC_Tree_1!$D$100</definedName>
    <definedName name="MC_N_D_aav_fund" localSheetId="3">MC_Tree_1!$E$46</definedName>
    <definedName name="MC_N_D_aav_fund_mod" localSheetId="3">MC_Tree_1!$E$66</definedName>
    <definedName name="MC_N_D_exvivo_fund" localSheetId="3">MC_Tree_1!$E$90</definedName>
    <definedName name="MC_N_D_root" localSheetId="3">MC_Tree_1!$C$78</definedName>
    <definedName name="MC_NP_T_aav_accel" localSheetId="3">MC_Tree_1!$I$20</definedName>
    <definedName name="MC_NP_T_aav_crl" localSheetId="3">MC_Tree_1!$I$26</definedName>
    <definedName name="MC_NP_T_aav_delay_fail" localSheetId="3">MC_Tree_1!$H$42</definedName>
    <definedName name="MC_NP_T_aav_delay_good" localSheetId="3">MC_Tree_1!$H$36</definedName>
    <definedName name="MC_NP_T_aav_delay_partial" localSheetId="3">MC_Tree_1!$H$40</definedName>
    <definedName name="MC_NP_T_aav_mfg_fail" localSheetId="3">MC_Tree_1!$G$44</definedName>
    <definedName name="MC_NP_T_aav_mod_abandon" localSheetId="3">MC_Tree_1!$F$74</definedName>
    <definedName name="MC_NP_T_aav_mod_fail" localSheetId="3">MC_Tree_1!$G$64</definedName>
    <definedName name="MC_NP_T_aav_mod_marginal" localSheetId="3">MC_Tree_1!$G$62</definedName>
    <definedName name="MC_NP_T_aav_mod_part_no" localSheetId="3">MC_Tree_1!$G$72</definedName>
    <definedName name="MC_NP_T_aav_mod_part_yes" localSheetId="3">MC_Tree_1!$G$68</definedName>
    <definedName name="MC_NP_T_aav_mod_surprise" localSheetId="3">MC_Tree_1!$G$58</definedName>
    <definedName name="MC_NP_T_aav_no_eff" localSheetId="3">MC_Tree_1!$H$32</definedName>
    <definedName name="MC_NP_T_aav_no_partner" localSheetId="3">MC_Tree_1!$G$54</definedName>
    <definedName name="MC_NP_T_aav_partial" localSheetId="3">MC_Tree_1!$H$30</definedName>
    <definedName name="MC_NP_T_aav_partner_good" localSheetId="3">MC_Tree_1!$G$48</definedName>
    <definedName name="MC_NP_T_aav_partner_ok" localSheetId="3">MC_Tree_1!$G$52</definedName>
    <definedName name="MC_NP_T_aav_preclin_fail" localSheetId="3">MC_Tree_1!$E$76</definedName>
    <definedName name="MC_NP_T_aav_standard" localSheetId="3">MC_Tree_1!$I$24</definedName>
    <definedName name="MC_NP_T_exvivo_bio_partner" localSheetId="3">MC_Tree_1!$G$96</definedName>
    <definedName name="MC_NP_T_exvivo_cure" localSheetId="3">MC_Tree_1!$G$80</definedName>
    <definedName name="MC_NP_T_exvivo_improve" localSheetId="3">MC_Tree_1!$G$84</definedName>
    <definedName name="MC_NP_T_exvivo_major_partner" localSheetId="3">MC_Tree_1!$G$92</definedName>
    <definedName name="MC_NP_T_exvivo_minimal" localSheetId="3">MC_Tree_1!$G$86</definedName>
    <definedName name="MC_NP_T_exvivo_no_partner" localSheetId="3">MC_Tree_1!$G$98</definedName>
    <definedName name="MC_NP_T_exvivo_partial_preclin" localSheetId="3">MC_Tree_1!$E$102</definedName>
    <definedName name="MC_NP_T_exvivo_preclin_fail" localSheetId="3">MC_Tree_1!$E$104</definedName>
    <definedName name="MC_NP_T_exvivo_safety" localSheetId="3">MC_Tree_1!$G$88</definedName>
    <definedName name="MC_NP_T_license_abandon" localSheetId="3">MC_Tree_1!$E$114</definedName>
    <definedName name="MC_NP_T_license_clinic_fail" localSheetId="3">MC_Tree_1!$E$112</definedName>
    <definedName name="MC_NP_T_license_phase2" localSheetId="3">MC_Tree_1!$E$110</definedName>
    <definedName name="MC_NP_T_license_success" localSheetId="3">MC_Tree_1!$E$106</definedName>
    <definedName name="MC_NP_T_shelve" localSheetId="3">MC_Tree_1!$D$116</definedName>
    <definedName name="MC_V_C_aav_clinical" localSheetId="3">MC_Tree_1!$G$29</definedName>
    <definedName name="MC_V_C_aav_clinical_delay" localSheetId="3">MC_Tree_1!$G$39</definedName>
    <definedName name="MC_V_C_aav_mfg" localSheetId="3">MC_Tree_1!$F$35</definedName>
    <definedName name="MC_V_C_aav_mod_clinical" localSheetId="3">MC_Tree_1!$F$61</definedName>
    <definedName name="MC_V_C_aav_mod_partner" localSheetId="3">MC_Tree_1!$F$71</definedName>
    <definedName name="MC_V_C_aav_partner" localSheetId="3">MC_Tree_1!$F$51</definedName>
    <definedName name="MC_V_C_exvivo_clinical" localSheetId="3">MC_Tree_1!$F$83</definedName>
    <definedName name="MC_V_C_exvivo_partner" localSheetId="3">MC_Tree_1!$F$95</definedName>
    <definedName name="MC_V_C_fda_aav" localSheetId="3">MC_Tree_1!$H$23</definedName>
    <definedName name="MC_V_C_license_deal" localSheetId="3">MC_Tree_1!$D$109</definedName>
    <definedName name="MC_V_C_preclinical_aav" localSheetId="3">MC_Tree_1!$D$57</definedName>
    <definedName name="MC_V_C_preclinical_exvivo" localSheetId="3">MC_Tree_1!$D$101</definedName>
    <definedName name="MC_V_D_aav_fund" localSheetId="3">MC_Tree_1!$E$47</definedName>
    <definedName name="MC_V_D_aav_fund_mod" localSheetId="3">MC_Tree_1!$E$67</definedName>
    <definedName name="MC_V_D_exvivo_fund" localSheetId="3">MC_Tree_1!$E$91</definedName>
    <definedName name="MC_V_D_root" localSheetId="3">MC_Tree_1!$C$79</definedName>
    <definedName name="MC_V_T_aav_accel" localSheetId="3">MC_Tree_1!$I$21</definedName>
    <definedName name="MC_V_T_aav_crl" localSheetId="3">MC_Tree_1!$I$27</definedName>
    <definedName name="MC_V_T_aav_delay_fail" localSheetId="3">MC_Tree_1!$H$43</definedName>
    <definedName name="MC_V_T_aav_delay_good" localSheetId="3">MC_Tree_1!$H$37</definedName>
    <definedName name="MC_V_T_aav_delay_partial" localSheetId="3">MC_Tree_1!$H$41</definedName>
    <definedName name="MC_V_T_aav_mfg_fail" localSheetId="3">MC_Tree_1!$G$45</definedName>
    <definedName name="MC_V_T_aav_mod_abandon" localSheetId="3">MC_Tree_1!$F$75</definedName>
    <definedName name="MC_V_T_aav_mod_fail" localSheetId="3">MC_Tree_1!$G$65</definedName>
    <definedName name="MC_V_T_aav_mod_marginal" localSheetId="3">MC_Tree_1!$G$63</definedName>
    <definedName name="MC_V_T_aav_mod_part_no" localSheetId="3">MC_Tree_1!$G$73</definedName>
    <definedName name="MC_V_T_aav_mod_part_yes" localSheetId="3">MC_Tree_1!$G$69</definedName>
    <definedName name="MC_V_T_aav_mod_surprise" localSheetId="3">MC_Tree_1!$G$59</definedName>
    <definedName name="MC_V_T_aav_no_eff" localSheetId="3">MC_Tree_1!$H$33</definedName>
    <definedName name="MC_V_T_aav_no_partner" localSheetId="3">MC_Tree_1!$G$55</definedName>
    <definedName name="MC_V_T_aav_partial" localSheetId="3">MC_Tree_1!$H$31</definedName>
    <definedName name="MC_V_T_aav_partner_good" localSheetId="3">MC_Tree_1!$G$49</definedName>
    <definedName name="MC_V_T_aav_partner_ok" localSheetId="3">MC_Tree_1!$G$53</definedName>
    <definedName name="MC_V_T_aav_preclin_fail" localSheetId="3">MC_Tree_1!$E$77</definedName>
    <definedName name="MC_V_T_aav_standard" localSheetId="3">MC_Tree_1!$I$25</definedName>
    <definedName name="MC_V_T_exvivo_bio_partner" localSheetId="3">MC_Tree_1!$G$97</definedName>
    <definedName name="MC_V_T_exvivo_cure" localSheetId="3">MC_Tree_1!$G$81</definedName>
    <definedName name="MC_V_T_exvivo_improve" localSheetId="3">MC_Tree_1!$G$85</definedName>
    <definedName name="MC_V_T_exvivo_major_partner" localSheetId="3">MC_Tree_1!$G$93</definedName>
    <definedName name="MC_V_T_exvivo_minimal" localSheetId="3">MC_Tree_1!$G$87</definedName>
    <definedName name="MC_V_T_exvivo_no_partner" localSheetId="3">MC_Tree_1!$G$99</definedName>
    <definedName name="MC_V_T_exvivo_partial_preclin" localSheetId="3">MC_Tree_1!$E$103</definedName>
    <definedName name="MC_V_T_exvivo_preclin_fail" localSheetId="3">MC_Tree_1!$E$105</definedName>
    <definedName name="MC_V_T_exvivo_safety" localSheetId="3">MC_Tree_1!$G$89</definedName>
    <definedName name="MC_V_T_license_abandon" localSheetId="3">MC_Tree_1!$E$115</definedName>
    <definedName name="MC_V_T_license_clinic_fail" localSheetId="3">MC_Tree_1!$E$113</definedName>
    <definedName name="MC_V_T_license_phase2" localSheetId="3">MC_Tree_1!$E$111</definedName>
    <definedName name="MC_V_T_license_success" localSheetId="3">MC_Tree_1!$E$107</definedName>
    <definedName name="MC_V_T_shelve" localSheetId="3">MC_Tree_1!$D$117</definedName>
    <definedName name="SelffundPhase12Cost">MC_Tree_1!$C$9</definedName>
    <definedName name="SelffundPhase12Cost2">MC_Tree_1!$C$10</definedName>
    <definedName name="SelffundPhase12Cost3">MC_Tree_1!$C$12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3" l="1"/>
  <c r="C57" i="3"/>
  <c r="C109" i="3"/>
  <c r="E83" i="3"/>
  <c r="E75" i="3"/>
  <c r="E61" i="3"/>
  <c r="BY1" i="4" s="1"/>
  <c r="E35" i="3"/>
  <c r="BW1" i="4" s="1"/>
  <c r="CG1" i="4"/>
  <c r="CF1" i="4"/>
  <c r="CE1" i="4"/>
  <c r="CD1" i="4"/>
  <c r="CC1" i="4"/>
  <c r="CB1" i="4"/>
  <c r="CA1" i="4"/>
  <c r="BZ1" i="4"/>
  <c r="BX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16" i="3"/>
  <c r="E107" i="3"/>
  <c r="G98" i="3"/>
  <c r="G88" i="3"/>
  <c r="C79" i="3"/>
  <c r="G69" i="3"/>
  <c r="G59" i="3"/>
  <c r="G49" i="3"/>
  <c r="H40" i="3"/>
  <c r="H30" i="3"/>
  <c r="I20" i="3"/>
  <c r="E74" i="3"/>
  <c r="C56" i="3"/>
  <c r="E94" i="3"/>
  <c r="E115" i="3"/>
  <c r="E106" i="3"/>
  <c r="G97" i="3"/>
  <c r="G87" i="3"/>
  <c r="E77" i="3"/>
  <c r="G68" i="3"/>
  <c r="G58" i="3"/>
  <c r="G48" i="3"/>
  <c r="G39" i="3"/>
  <c r="G29" i="3"/>
  <c r="E70" i="3"/>
  <c r="C116" i="3"/>
  <c r="G81" i="3"/>
  <c r="G62" i="3"/>
  <c r="G52" i="3"/>
  <c r="C108" i="3"/>
  <c r="E114" i="3"/>
  <c r="E105" i="3"/>
  <c r="G96" i="3"/>
  <c r="G86" i="3"/>
  <c r="E76" i="3"/>
  <c r="E67" i="3"/>
  <c r="D57" i="3"/>
  <c r="E47" i="3"/>
  <c r="H37" i="3"/>
  <c r="I27" i="3"/>
  <c r="E60" i="3"/>
  <c r="D101" i="3"/>
  <c r="H42" i="3"/>
  <c r="H23" i="3"/>
  <c r="E113" i="3"/>
  <c r="E104" i="3"/>
  <c r="F95" i="3"/>
  <c r="G85" i="3"/>
  <c r="F75" i="3"/>
  <c r="G65" i="3"/>
  <c r="G55" i="3"/>
  <c r="G45" i="3"/>
  <c r="H36" i="3"/>
  <c r="I26" i="3"/>
  <c r="E50" i="3"/>
  <c r="G72" i="3"/>
  <c r="C100" i="3"/>
  <c r="E112" i="3"/>
  <c r="E103" i="3"/>
  <c r="G93" i="3"/>
  <c r="G84" i="3"/>
  <c r="F74" i="3"/>
  <c r="G64" i="3"/>
  <c r="G54" i="3"/>
  <c r="G44" i="3"/>
  <c r="F35" i="3"/>
  <c r="I25" i="3"/>
  <c r="E34" i="3"/>
  <c r="E91" i="3"/>
  <c r="H32" i="3"/>
  <c r="E111" i="3"/>
  <c r="E102" i="3"/>
  <c r="G92" i="3"/>
  <c r="F83" i="3"/>
  <c r="G73" i="3"/>
  <c r="G63" i="3"/>
  <c r="G53" i="3"/>
  <c r="H43" i="3"/>
  <c r="H33" i="3"/>
  <c r="I24" i="3"/>
  <c r="E110" i="3"/>
  <c r="D117" i="3"/>
  <c r="D109" i="3"/>
  <c r="G99" i="3"/>
  <c r="G89" i="3"/>
  <c r="G80" i="3"/>
  <c r="F71" i="3"/>
  <c r="F61" i="3"/>
  <c r="F51" i="3"/>
  <c r="H41" i="3"/>
  <c r="H31" i="3"/>
  <c r="I21" i="3"/>
  <c r="E82" i="3"/>
</calcChain>
</file>

<file path=xl/sharedStrings.xml><?xml version="1.0" encoding="utf-8"?>
<sst xmlns="http://schemas.openxmlformats.org/spreadsheetml/2006/main" count="101" uniqueCount="90">
  <si>
    <t>{"_v":2,"trees":{"MC_Tree_1":"{\r\n  \"RootId\": \"D_root\",\r\n  \"Nodes\": {\r\n    \"D_root\": {\r\n      \"type\": \"decision\",\r\n      \"id\": \"D_root\",\r\n      \"name\": \"Gene Therapy Strategy\",\r\n      \"options\": [\r\n        {\r\n          \"name\": \"In-vivo AAV Gene Therapy\",\r\n          \"childId\": \"C_preclinical_aav\",\r\n          \"value\": -80000000\r\n        },\r\n        {\r\n          \"name\": \"Ex-vivo Cell Therapy\",\r\n          \"childId\": \"C_preclinical_exvivo\",\r\n          \"value\": -60000000\r\n        },\r\n        {\r\n          \"name\": \"License to Big Pharma\",\r\n          \"childId\": \"C_license_deal\",\r\n          \"value\": -5000000\r\n        },\r\n        {\r\n          \"name\": \"Shelve Program\",\r\n          \"childId\": \"T_shelve\"\r\n        }\r\n      ]\r\n    },\r\n    \"C_preclinical_aav\": {\r\n      \"type\": \"chance\",\r\n      \"id\": \"C_preclinical_aav\",\r\n      \"name\": \"AAV Preclinical Results\",\r\n      \"branches\": [\r\n        {\r\n          \"name\": \"Strong Efficacy + Safety\",\r\n          \"probability\": 0.3,\r\n          \"childId\": \"D_aav_fund\"\r\n        },\r\n        {\r\n          \"name\": \"Moderate Efficacy\",\r\n          \"probability\": 0.35,\r\n          \"childId\": \"D_aav_fund_mod\"\r\n        },\r\n        {\r\n          \"name\": \"Preclinical Failure\",\r\n          \"probability\": 0.35,\r\n          \"childId\": \"T_aav_preclin_fail\"\r\n        }\r\n      ]\r\n    },\r\n    \"D_aav_fund\": {\r\n      \"type\": \"decision\",\r\n      \"id\": \"D_aav_fund\",\r\n      \"name\": \"Fund AAV Phase 1/2?\",\r\n      \"options\": [\r\n        {\r\n          \"name\": \"Self-Fund Phase 1/2\",\r\n          \"childId\": \"C_aav_mfg\",\r\n          \"value\": -120000000\r\n        },\r\n        {\r\n          \"name\": \"Partner for Phase 1/2\",\r\n          \"childId\": \"C_aav_partner\"\r\n        }\r\n      ]\r\n    },\r\n    \"C_aav_mfg\": {\r\n      \"type\": \"chance\",\r\n      \"id\": \"C_aav_mfg\",\r\n      \"name\": \"Manufacturing Scale-Up\",\r\n      \"branches\": [\r\n        {\r\n          \"name\": \"Scale-Up Succeeds\",\r\n          \"probability\": 0.55,\r\n          \"childId\": \"C_aav_clinical\"\r\n        },\r\n        {\r\n          \"name\": \"Scale-Up Partial\",\r\n          \"probability\": 0.3,\r\n          \"childId\": \"C_aav_clinical_delay\",\r\n          \"value\": -40000000\r\n        },\r\n        {\r\n          \"name\": \"Scale-Up Fails\",\r\n          \"probability\": 0.15,\r\n          \"childId\": \"T_aav_mfg_fail\"\r\n        }\r\n      ]\r\n    },\r\n    \"C_aav_clinical\": {\r\n      \"type\": \"chance\",\r\n      \"id\": \"C_aav_clinical\",\r\n      \"name\": \"Phase 1/2 Clinical Efficacy\",\r\n      \"branches\": [\r\n        {\r\n          \"name\": \"Durable Response\",\r\n          \"probability\": 0.35,\r\n          \"childId\": \"C_fda_aav\"\r\n        },\r\n        {\r\n          \"name\": \"Partial Response\",\r\n          \"probability\": 0.4,\r\n          \"childId\": \"T_aav_partial\",\r\n          \"value\": 350000000\r\n        },\r\n        {\r\n          \"name\": \"No Efficacy\",\r\n          \"probability\": 0.25,\r\n          \"childId\": \"T_aav_no_eff\"\r\n        }\r\n      ]\r\n    },\r\n    \"C_fda_aav\": {\r\n      \"type\": \"chance\",\r\n      \"id\": \"C_fda_aav\",\r\n      \"name\": \"FDA Pathway\",\r\n      \"branches\": [\r\n        {\r\n          \"name\": \"Accelerated Approval\",\r\n          \"probability\": 0.45,\r\n          \"childId\": \"T_aav_accel\",\r\n          \"value\": 2000000000\r\n        },\r\n        {\r\n          \"name\": \"Standard Approval\",\r\n          \"probability\": 0.4,\r\n          \"childId\": \"T_aav_standard\",\r\n          \"value\": 1340000000\r\n        },\r\n        {\r\n          \"name\": \"Complete Response Letter\",\r\n          \"probability\": 0.15,\r\n          \"childId\": \"T_aav_crl\",\r\n          \"value\": 200000000\r\n        }\r\n      ]\r\n    },\r\n    \"T_aav_accel\": {\r\n      \"type\": \"terminal\",\r\n      \"id\": \"T_aav_accel\",\r\n      \"name\": \"AAV: Accelerated Approval\",\r\n      \"value\": 0\r\n    },\r\n    \"T_aav_standard\": {\r\n      \"type\": \"terminal\",\r\n      \"id\": \"T_aav_standard\",\r\n      \"name\": \"AAV: Standard Approval\",\r\n      \"value\": 0\r\n    },\r\n    \"T_aav_crl\": {\r\n      \"type\": \"terminal\",\r\n      \"id\": \"T_aav_crl\",\r\n      \"name\": \"AAV: CRL (Delayed)\",\r\n      \"value\": 0\r\n    },\r\n    \"T_aav_partial\": {\r\n      \"type\": \"terminal\",\r\n      \"id\": \"T_aav_partial\",\r\n      \"name\": \"AAV: Partial Response\",\r\n      \"value\": 0\r\n    },\r\n    \"T_aav_no_eff\": {\r\n      \"type\": \"terminal\",\r\n      \"id\": \"T_aav_no_eff\",\r\n      \"name\": \"AAV: No Efficacy\",\r\n      \"value\": 0\r\n    },\r\n    \"C_aav_clinical_delay\": {\r\n      \"type\": \"chance\",\r\n      \"id\": \"C_aav_clinical_delay\",\r\n      \"name\": \"Delayed Clinical Results\",\r\n      \"branches\": [\r\n        {\r\n          \"name\": \"Durable Response\",\r\n          \"probability\": 0.25,\r\n          \"childId\": \"T_aav_delay_good\",\r\n          \"value\": 1200000000\r\n        },\r\n        {\r\n          \"name\": \"Partial Response\",\r\n          \"probability\": 0.4,\r\n          \"childId\": \"T_aav_delay_partial\",\r\n          \"value\": 250000000\r\n        },\r\n        {\r\n          \"name\": \"No Efficacy\",\r\n          \"probability\": 0.35,\r\n          \"childId\": \"T_aav_delay_fail\"\r\n        }\r\n      ]\r\n    },\r\n    \"T_aav_delay_good\": {\r\n      \"type\": \"terminal\",\r\n      \"id\": \"T_aav_delay_good\",\r\n      \"name\": \"Delayed: Durable Response\",\r\n      \"value\": 0\r\n    },\r\n    \"T_aav_delay_partial\": {\r\n      \"type\": \"terminal\",\r\n      \"id\": \"T_aav_delay_partial\",\r\n      \"name\": \"Delayed: Partial Response\",\r\n      \"value\": 0\r\n    },\r\n    \"T_aav_delay_fail\": {\r\n      \"type\": \"terminal\",\r\n      \"id\": \"T_aav_delay_fail\",\r\n      \"name\": \"Delayed: No Efficacy\",\r\n      \"value\": 0\r\n    },\r\n    \"T_aav_mfg_fail\": {\r\n      \"type\": \"terminal\",\r\n      \"id\": \"T_aav_mfg_fail\",\r\n      \"name\": \"AAV: Mfg Failure\",\r\n      \"value\": 0\r\n    },\r\n    \"C_aav_partner\": {\r\n      \"type\": \"chance\",\r\n      \"id\": \"C_aav_partner\",\r\n      \"name\": \"Partnership Outcome\",\r\n      \"branches\": [\r\n        {\r\n          \"name\": \"Strong Partner + Milestones\",\r\n          \"probability\": 0.4,\r\n          \"childId\": \"T_aav_partner_good\",\r\n          \"value\": 600000000\r\n        },\r\n        {\r\n          \"name\": \"Modest Deal\",\r\n          \"probability\": 0.35,\r\n          \"childId\": \"T_aav_partner_ok\",\r\n          \"value\": 250000000\r\n        },\r\n        {\r\n          \"name\": \"No Partner Interest\",\r\n          \"probability\": 0.25,\r\n          \"childId\": \"T_aav_no_partner\",\r\n          \"value\": 20000000\r\n        }\r\n      ]\r\n    },\r\n    \"T_aav_partner_good\": {\r\n      \"type\": \"terminal\",\r\n      \"id\": \"T_aav_partner_good\",\r\n      \"name\": \"Partner: Strong Deal\",\r\n      \"value\": 0\r\n    },\r\n    \"T_aav_partner_ok\": {\r\n      \"type\": \"terminal\",\r\n      \"id\": \"T_aav_partner_ok\",\r\n      \"name\": \"Partner: Modest Deal\",\r\n      \"value\": 0\r\n    },\r\n    \"T_aav_no_partner\": {\r\n      \"type\": \"terminal\",\r\n      \"id\": \"T_aav_no_partner\",\r\n      \"name\": \"No Partner Interest\",\r\n      \"value\": 0\r\n    },\r\n    \"D_aav_fund_mod\": {\r\n      \"type\": \"decision\",\r\n      \"id\": \"D_aav_fund_mod\",\r\n      \"name\": \"Moderate Efficacy - Next Step?\",\r\n      \"options\": [\r\n        {\r\n          \"name\": \"Self-Fund Phase 1/2\",\r\n          \"childId\": \"C_aav_mod_clinical\",\r\n          \"value\": -120000000\r\n        },\r\n        {\r\n          \"name\": \"Seek Partner\",\r\n          \"childId\": \"C_aav_mod_partner\"\r\n        },\r\n        {\r\n          \"name\": \"Abandon Program\",\r\n          \"childId\": \"T_aav_mod_abandon\",\r\n          \"value\": 5000000\r\n        }\r\n      ]\r\n    },\r\n    \"C_aav_mod_clinical\": {\r\n      \"type\": \"chance\",\r\n      \"id\": \"C_aav_mod_clinical\",\r\n      \"name\": \"Moderate: Clinical Outcome\",\r\n      \"branches\": [\r\n        {\r\n          \"name\": \"Surprising Efficacy\",\r\n          \"probability\": 0.2,\r\n          \"childId\": \"T_aav_mod_surprise\",\r\n          \"value\": 800000000\r\n        },\r\n        {\r\n          \"name\": \"Marginal Benefit\",\r\n          \"probability\": 0.45,\r\n          \"childId\": \"T_aav_mod_marginal\",\r\n          \"value\": 150000000\r\n        },\r\n        {\r\n          \"name\": \"Trial Failure\",\r\n          \"probability\": 0.35,\r\n          \"childId\": \"T_aav_mod_fail\"\r\n        }\r\n      ]\r\n    },\r\n    \"T_aav_mod_surprise\": {\r\n      \"type\": \"terminal\",\r\n      \"id\": \"T_aav_mod_surprise\",\r\n      \"name\": \"Moderate: Surprise Efficacy\",\r\n      \"value\": 0\r\n    },\r\n    \"T_aav_mod_marginal\": {\r\n      \"type\": \"terminal\",\r\n      \"id\": \"T_aav_mod_marginal\",\r\n      \"name\": \"Moderate: Marginal Benefit\",\r\n      \"value\": 0\r\n    },\r\n    \"T_aav_mod_fail\": {\r\n      \"type\": \"terminal\",\r\n      \"id\": \"T_aav_mod_fail\",\r\n      \"name\": \"Moderate: Trial Failure\",\r\n      \"value\": 0\r\n    },\r\n    \"C_aav_mod_partner\": {\r\n      \"type\": \"chance\",\r\n      \"id\": \"C_aav_mod_partner\",\r\n      \"name\": \"Moderate: Partnership\",\r\n      \"branches\": [\r\n        {\r\n          \"name\": \"Partner Found\",\r\n          \"probability\": 0.3,\r\n          \"childId\": \"T_aav_mod_part_yes\",\r\n          \"value\": 150000000\r\n        },\r\n        {\r\n          \"name\": \"No Interest\",\r\n          \"probability\": 0.7,\r\n          \"childId\": \"T_aav_mod_part_no\",\r\n          \"value\": 10000000\r\n        }\r\n      ]\r\n    },\r\n    \"T_aav_mod_part_yes\": {\r\n      \"type\": \"terminal\",\r\n      \"id\": \"T_aav_mod_part_yes\",\r\n      \"name\": \"Moderate: Partner Found\",\r\n      \"value\": 0\r\n    },\r\n    \"T_aav_mod_part_no\": {\r\n      \"type\": \"terminal\",\r\n      \"id\": \"T_aav_mod_part_no\",\r\n      \"name\": \"Moderate: No Partner\",\r\n      \"value\": 0\r\n    },\r\n    \"T_aav_mod_abandon\": {\r\n      \"type\": \"terminal\",\r\n      \"id\": \"T_aav_mod_abandon\",\r\n      \"name\": \"Abandon After Moderate\",\r\n      \"value\": 0\r\n    },\r\n    \"T_aav_preclin_fail\": {\r\n      \"type\": \"terminal\",\r\n      \"id\": \"T_aav_preclin_fail\",\r\n      \"name\": \"AAV: Preclinical Failure\",\r\n      \"value\": 0\r\n    },\r\n    \"C_preclinical_exvivo\": {\r\n      \"type\": \"chance\",\r\n      \"id\": \"C_preclinical_exvivo\",\r\n      \"name\": \"Ex-vivo Preclinical Results\",\r\n      \"branches\": [\r\n        {\r\n          \"name\": \"Strong Cell Correction\",\r\n          \"probability\": 0.35,\r\n          \"childId\": \"D_exvivo_fund\"\r\n        },\r\n        {\r\n          \"name\": \"Partial Correction\",\r\n          \"probability\": 0.3,\r\n          \"childId\": \"T_exvivo_partial_preclin\",\r\n          \"value\": 30000000\r\n        },\r\n        {\r\n          \"name\": \"Preclinical Failure\",\r\n          \"probability\": 0.35,\r\n          \"childId\": \"T_exvivo_preclin_fail\"\r\n        }\r\n      ]\r\n    },\r\n    \"D_exvivo_fund\": {\r\n      \"type\": \"decision\",\r\n      \"id\": \"D_exvivo_fund\",\r\n      \"name\": \"Fund Ex-vivo Phase 1/2?\",\r\n      \"options\": [\r\n        {\r\n          \"name\": \"Self-Fund Phase 1/2\",\r\n          \"childId\": \"C_exvivo_clinical\",\r\n          \"value\": -100000000\r\n        },\r\n        {\r\n          \"name\": \"Partner for Phase 1/2\",\r\n          \"childId\": \"C_exvivo_partner\"\r\n        }\r\n      ]\r\n    },\r\n    \"C_exvivo_clinical\": {\r\n      \"type\": \"chance\",\r\n      \"id\": \"C_exvivo_clinical\",\r\n      \"name\": \"Ex-vivo Clinical Results\",\r\n      \"branches\": [\r\n        {\r\n          \"name\": \"Functional Cure\",\r\n          \"probability\": 0.25,\r\n          \"childId\": \"T_exvivo_cure\",\r\n          \"value\": 1800000000\r\n        },\r\n        {\r\n          \"name\": \"Significant Improvement\",\r\n          \"probability\": 0.35,\r\n          \"childId\": \"T_exvivo_improve\",\r\n          \"value\": 900000000\r\n        },\r\n        {\r\n          \"name\": \"Minimal Benefit\",\r\n          \"probability\": 0.25,\r\n          \"childId\": \"T_exvivo_minimal\",\r\n          \"value\": 100000000\r\n        },\r\n        {\r\n          \"name\": \"Safety Concern\",\r\n          \"probability\": 0.15,\r\n          \"childId\": \"T_exvivo_safety\",\r\n          \"value\": -50000000\r\n        }\r\n      ]\r\n    },\r\n    \"T_exvivo_cure\": {\r\n      \"type\": \"terminal\",\r\n      \"id\": \"T_exvivo_cure\",\r\n      \"name\": \"Ex-vivo: Functional Cure\",\r\n      \"value\": 0\r\n    },\r\n    \"T_exvivo_improve\": {\r\n      \"type\": \"terminal\",\r\n      \"id\": \"T_exvivo_improve\",\r\n      \"name\": \"Ex-vivo: Improvement\",\r\n      \"value\": 0\r\n    },\r\n    \"T_exvivo_minimal\": {\r\n      \"type\": \"terminal\",\r\n      \"id\": \"T_exvivo_minimal\",\r\n      \"name\": \"Ex-vivo: Minimal Benefit\",\r\n      \"value\": 0\r\n    },\r\n    \"T_exvivo_safety\": {\r\n      \"type\": \"terminal\",\r\n      \"id\": \"T_exvivo_safety\",\r\n      \"name\": \"Ex-vivo: Safety Concern\",\r\n      \"value\": 0\r\n    },\r\n    \"C_exvivo_partner\": {\r\n      \"type\": \"chance\",\r\n      \"id\": \"C_exvivo_partner\",\r\n      \"name\": \"Ex-vivo Partnership\",\r\n      \"branches\": [\r\n        {\r\n          \"name\": \"Major Pharma Partner\",\r\n          \"probability\": 0.35,\r\n          \"childId\": \"T_exvivo_major_partner\",\r\n          \"value\": 500000000\r\n        },\r\n        {\r\n          \"name\": \"Biotech Partner\",\r\n          \"probability\": 0.35,\r\n          \"childId\": \"T_exvivo_bio_partner\",\r\n          \"value\": 200000000\r\n        },\r\n        {\r\n          \"name\": \"No Interest\",\r\n          \"probability\": 0.3,\r\n          \"childId\": \"T_exvivo_no_partner\",\r\n          \"value\": 15000000\r\n        }\r\n      ]\r\n    },\r\n    \"T_exvivo_major_partner\": {\r\n      \"type\": \"terminal\",\r\n      \"id\": \"T_exvivo_major_partner\",\r\n      \"name\": \"Ex-vivo: Major Partner\",\r\n      \"value\": 0\r\n    },\r\n    \"T_exvivo_bio_partner\": {\r\n      \"type\": \"terminal\",\r\n      \"id\": \"T_exvivo_bio_partner\",\r\n      \"name\": \"Ex-vivo: Biotech Partner\",\r\n      \"value\": 0\r\n    },\r\n    \"T_exvivo_no_partner\": {\r\n      \"type\": \"terminal\",\r\n      \"id\": \"T_exvivo_no_partner\",\r\n      \"name\": \"Ex-vivo: No Partner\",\r\n      \"value\": 0\r\n    },\r\n    \"T_exvivo_partial_preclin\": {\r\n      \"type\": \"terminal\",\r\n      \"id\": \"T_exvivo_partial_preclin\",\r\n      \"name\": \"Ex-vivo: Partial Preclinical\",\r\n      \"value\": 0\r\n    },\r\n    \"T_exvivo_preclin_fail\": {\r\n      \"type\": \"terminal\",\r\n      \"id\": \"T_exvivo_preclin_fail\",\r\n      \"name\": \"Ex-vivo: Preclinical Failure\",\r\n      \"value\": 0\r\n    },\r\n    \"C_license_deal\": {\r\n      \"type\": \"chance\",\r\n      \"id\": \"C_license_deal\",\r\n      \"name\": \"License Deal Outcome\",\r\n      \"branches\": [\r\n        {\r\n          \"name\": \"Licensee Succeeds + Royalties\",\r\n          \"probability\": 0.25,\r\n          \"childId\": \"T_license_success\",\r\n          \"value\": 400000000\r\n        },\r\n        {\r\n          \"name\": \"Licensee Reaches Phase 2\",\r\n          \"probability\": 0.3,\r\n          \"childId\": \"T_license_phase2\",\r\n          \"value\": 80000000\r\n        },\r\n        {\r\n          \"name\": \"Licensee Fails in Clinic\",\r\n          \"probability\": 0.3,\r\n          \"childId\": \"T_license_clinic_fail\",\r\n          \"value\": 15000000\r\n        },\r\n        {\r\n          \"name\": \"Licensee Abandons\",\r\n          \"probability\": 0.15,\r\n          \"childId\": \"T_license_abandon\",\r\n          \"value\": 5000000\r\n        }\r\n      ]\r\n    },\r\n    \"T_license_success\": {\r\n      \"type\": \"terminal\",\r\n      \"id\": \"T_license_success\",\r\n      \"name\": \"License: Royalty Stream\",\r\n      \"value\": 0\r\n    },\r\n    \"T_license_phase2\": {\r\n      \"type\": \"terminal\",\r\n      \"id\": \"T_license_phase2\",\r\n      \"name\": \"License: Phase 2 Milestones\",\r\n      \"value\": 0\r\n    },\r\n    \"T_license_clinic_fail\": {\r\n      \"type\": \"terminal\",\r\n      \"id\": \"T_license_clinic_fail\",\r\n      \"name\": \"License: Clinical Failure\",\r\n      \"value\": 0\r\n    },\r\n    \"T_license_abandon\": {\r\n      \"type\": \"terminal\",\r\n      \"id\": \"T_license_abandon\",\r\n      \"name\": \"License: Abandoned\",\r\n      \"value\": 0\r\n    },\r\n    \"T_shelve\": {\r\n      \"type\": \"terminal\",\r\n      \"id\": \"T_shelve\",\r\n      \"name\": \"Shelve Program\",\r\n      \"value\": 0\r\n    }\r\n  },\r\n  \"Settings\": {\r\n    \"ModelName\": \"Gene Therapy Development\",\r\n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\"MC_BV_D_root_C_preclinical_aav\": \"=-InvivoAavGeneTherapyCost\",\r\n      \"MC_BV_D_root_C_preclinical_exvivo\": \"=-ExvivoCellTherapyCost\",\r\n      \"MC_BV_D_root_C_license_deal\": \"=-LicenseToBigPharmaCost\",\r\n      \"MC_BV_D_aav_fund_C_aav_mfg\": \"=-SelffundPhase12Cost\",\r\n      \"MC_BV_D_aav_fund_mod_C_aav_mod_clinical\": \"=-SelffundPhase12Cost2\",\r\n      \"MC_BV_D_aav_fund_mod_T_aav_mod_abandon\": \"=AbandonProgramValue\",\r\n      \"MC_BV_D_exvivo_fund_C_exvivo_clinical\": \"=-SelffundPhase12Cost3\"\r\n  }\r\n}"}}</t>
  </si>
  <si>
    <t>FDA Pathway</t>
  </si>
  <si>
    <t>Phase 1/2 Clinical Efficacy</t>
  </si>
  <si>
    <t>Manufacturing Scale-Up</t>
  </si>
  <si>
    <t>Delayed Clinical Results</t>
  </si>
  <si>
    <t>Fund AAV Phase 1/2?</t>
  </si>
  <si>
    <t>Partnership Outcome</t>
  </si>
  <si>
    <t>AAV Preclinical Results</t>
  </si>
  <si>
    <t>Moderate: Clinical Outcome</t>
  </si>
  <si>
    <t>Moderate Efficacy - Next Step?</t>
  </si>
  <si>
    <t>Moderate: Partnership</t>
  </si>
  <si>
    <t>Gene Therapy Strategy</t>
  </si>
  <si>
    <t>Ex-vivo Clinical Results</t>
  </si>
  <si>
    <t>Fund Ex-vivo Phase 1/2?</t>
  </si>
  <si>
    <t>Ex-vivo Partnership</t>
  </si>
  <si>
    <t>Ex-vivo Preclinical Results</t>
  </si>
  <si>
    <t>License Deal Outcome</t>
  </si>
  <si>
    <t>Gene Therapy Development — Control Panel</t>
  </si>
  <si>
    <t>Adjust parameters below to update the decision tree instantly</t>
  </si>
  <si>
    <t>Parameter</t>
  </si>
  <si>
    <t>Value</t>
  </si>
  <si>
    <t>Units</t>
  </si>
  <si>
    <t>Notes</t>
  </si>
  <si>
    <t>In-vivo AAV Gene Therapy</t>
  </si>
  <si>
    <t>$</t>
  </si>
  <si>
    <t>Investment for AAV Preclinical Results path</t>
  </si>
  <si>
    <t>Ex-vivo Cell Therapy</t>
  </si>
  <si>
    <t>Investment for Ex-vivo Preclinical Results path</t>
  </si>
  <si>
    <t>License to Big Pharma</t>
  </si>
  <si>
    <t>Investment for License Deal Outcome path</t>
  </si>
  <si>
    <t>Self-Fund Phase 1/2</t>
  </si>
  <si>
    <t>Investment for Manufacturing Scale-Up path</t>
  </si>
  <si>
    <t>Investment for Moderate: Clinical Outcome path</t>
  </si>
  <si>
    <t>Abandon Program</t>
  </si>
  <si>
    <t>Abandon After Moderate</t>
  </si>
  <si>
    <t>Investment for Ex-vivo Clinical Results path</t>
  </si>
  <si>
    <t>Gene Therapy Development Decision</t>
  </si>
  <si>
    <t>ModelChoice Example Model</t>
  </si>
  <si>
    <t>Background</t>
  </si>
  <si>
    <t>A mid-stage biotech company has discovered a promising gene therapy approach</t>
  </si>
  <si>
    <t>for a rare monogenic disease affecting approximately 5,000 patients worldwide.</t>
  </si>
  <si>
    <t>The therapy could provide a one-time functional cure, but development costs</t>
  </si>
  <si>
    <t>are substantial and manufacturing at scale remains a key challenge.</t>
  </si>
  <si>
    <t>Option 1: In-vivo AAV Gene Therapy ($80M to IND)</t>
  </si>
  <si>
    <t>Develop an adeno-associated virus (AAV) vector to deliver the corrective gene</t>
  </si>
  <si>
    <t>directly in vivo. If preclinical data is strong, decide whether to self-fund</t>
  </si>
  <si>
    <t>Phase 1/2 or seek a partner. Manufacturing scale-up is a critical risk factor.</t>
  </si>
  <si>
    <t>Potential pricing: $1.5-3M per patient for a one-time cure.</t>
  </si>
  <si>
    <t>Option 2: Ex-vivo Cell Therapy ($60M to IND)</t>
  </si>
  <si>
    <t>Harvest patient\u0027s own cells, correct them ex vivo using CRISPR/gene editing,</t>
  </si>
  <si>
    <t>and re-infuse. Lower vector risk but requires complex cell processing</t>
  </si>
  <si>
    <t>infrastructure. If preclinical succeeds, decide: self-fund or partner.</t>
  </si>
  <si>
    <t>Option 3: License to Big Pharma ($5M upfront)</t>
  </si>
  <si>
    <t>Out-license the program to a large pharma company with gene therapy</t>
  </si>
  <si>
    <t>capabilities. Receive upfront payment plus development milestones and</t>
  </si>
  <si>
    <t>royalties. Lower risk but gives up most of the value.</t>
  </si>
  <si>
    <t>Option 4: Shelve Program</t>
  </si>
  <si>
    <t>Preserve IP and wait for technology to mature. No further investment.</t>
  </si>
  <si>
    <t>Decision Objective</t>
  </si>
  <si>
    <t>Maximize expected NPV. Gene therapies command extreme pricing ($1-3M per</t>
  </si>
  <si>
    <t>patient) but serve tiny patient populations, creating unique risk/reward.</t>
  </si>
  <si>
    <t>Key Assumptions</t>
  </si>
  <si>
    <t>AAV Program to IND</t>
  </si>
  <si>
    <t>Vector design, preclinical, CMC</t>
  </si>
  <si>
    <t>Ex-vivo Program to IND</t>
  </si>
  <si>
    <t>Cell processing, gene editing, preclinical</t>
  </si>
  <si>
    <t>Phase 1/2 Self-Fund (AAV)</t>
  </si>
  <si>
    <t>First-in-human, dose escalation, 20-40 patients</t>
  </si>
  <si>
    <t>Phase 1/2 Self-Fund (Ex-vivo)</t>
  </si>
  <si>
    <t>Cell collection, processing, infusion</t>
  </si>
  <si>
    <t>AAV Preclinical Success Rate</t>
  </si>
  <si>
    <t>Strong or moderate efficacy in animal models</t>
  </si>
  <si>
    <t>Manufacturing Scale-Up Risk</t>
  </si>
  <si>
    <t>15% failure</t>
  </si>
  <si>
    <t>GMP production of viral vectors at scale</t>
  </si>
  <si>
    <t>Clinical Durable Response</t>
  </si>
  <si>
    <t>25-35%</t>
  </si>
  <si>
    <t>One-time treatment with lasting benefit</t>
  </si>
  <si>
    <t>FDA Accelerated Approval</t>
  </si>
  <si>
    <t>Rare disease with unmet need qualifies for RMAT</t>
  </si>
  <si>
    <t>Peak Revenue (Approved)</t>
  </si>
  <si>
    <t>$1.4-2.0B</t>
  </si>
  <si>
    <t>At $2M per patient, ~700-1000 treatable patients</t>
  </si>
  <si>
    <t>Patient Population</t>
  </si>
  <si>
    <t>~5,000 worldwide</t>
  </si>
  <si>
    <t>Rare monogenic disease</t>
  </si>
  <si>
    <t>Suggested Analyses</t>
  </si>
  <si>
    <t>▶ Strategy Table - Compare in-vivo vs ex-vivo vs license strategies</t>
  </si>
  <si>
    <t>▶ Sensitivity Analysis - How do preclinical success rate and pricing affect EV?</t>
  </si>
  <si>
    <t>▶ Risk Profile - Visualize the high-risk/high-reward nature of gene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</si>
</sst>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78</xdr:row>
      <xdr:rowOff>0</xdr:rowOff>
    </xdr:from>
    <xdr:to>
      <xdr:col>2</xdr:col>
      <xdr:colOff>9525</xdr:colOff>
      <xdr:row>78</xdr:row>
      <xdr:rowOff>0</xdr:rowOff>
    </xdr:to>
    <xdr:cxnSp macro="">
      <xdr:nvCxnSpPr>
        <xdr:cNvPr id="164" name="MC_Entry">
          <a:extLst>
            <a:ext uri="{FF2B5EF4-FFF2-40B4-BE49-F238E27FC236}">
              <a16:creationId xmlns:a16="http://schemas.microsoft.com/office/drawing/2014/main" id="{3FEEE392-FC87-FABE-AD97-D6E8887960E8}"/>
            </a:ext>
          </a:extLst>
        </xdr:cNvPr>
        <xdr:cNvCxnSpPr/>
      </xdr:nvCxnSpPr>
      <xdr:spPr>
        <a:xfrm>
          <a:off x="665163" y="14801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77</xdr:row>
      <xdr:rowOff>99250</xdr:rowOff>
    </xdr:from>
    <xdr:ext cx="1365951" cy="182550"/>
    <xdr:sp macro="_xll.MC_OnTreeNameClick" textlink="">
      <xdr:nvSpPr>
        <xdr:cNvPr id="165" name="MC_TreeName">
          <a:extLst>
            <a:ext uri="{FF2B5EF4-FFF2-40B4-BE49-F238E27FC236}">
              <a16:creationId xmlns:a16="http://schemas.microsoft.com/office/drawing/2014/main" id="{84FBEA11-F7F1-6C1C-651E-23BC15413227}"/>
            </a:ext>
          </a:extLst>
        </xdr:cNvPr>
        <xdr:cNvSpPr txBox="1"/>
      </xdr:nvSpPr>
      <xdr:spPr>
        <a:xfrm>
          <a:off x="665163" y="14710600"/>
          <a:ext cx="13659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Gene Therapy Development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84206</xdr:colOff>
      <xdr:row>55</xdr:row>
      <xdr:rowOff>184150</xdr:rowOff>
    </xdr:from>
    <xdr:to>
      <xdr:col>3</xdr:col>
      <xdr:colOff>47626</xdr:colOff>
      <xdr:row>78</xdr:row>
      <xdr:rowOff>254</xdr:rowOff>
    </xdr:to>
    <xdr:sp macro="" textlink="">
      <xdr:nvSpPr>
        <xdr:cNvPr id="166" name="MC_BR_D_root_C_preclinical_aav">
          <a:extLst>
            <a:ext uri="{FF2B5EF4-FFF2-40B4-BE49-F238E27FC236}">
              <a16:creationId xmlns:a16="http://schemas.microsoft.com/office/drawing/2014/main" id="{78C91E8F-4850-E22D-E7A5-C14FF0C12552}"/>
            </a:ext>
          </a:extLst>
        </xdr:cNvPr>
        <xdr:cNvSpPr/>
      </xdr:nvSpPr>
      <xdr:spPr>
        <a:xfrm>
          <a:off x="2608331" y="10604500"/>
          <a:ext cx="2363720" cy="4197604"/>
        </a:xfrm>
        <a:custGeom>
          <a:avLst/>
          <a:gdLst/>
          <a:ahLst/>
          <a:cxnLst/>
          <a:rect l="0" t="0" r="0" b="0"/>
          <a:pathLst>
            <a:path w="2363720" h="4197604">
              <a:moveTo>
                <a:pt x="0" y="4197097"/>
              </a:moveTo>
              <a:lnTo>
                <a:pt x="166624" y="6098"/>
              </a:lnTo>
              <a:lnTo>
                <a:pt x="172969" y="0"/>
              </a:lnTo>
              <a:lnTo>
                <a:pt x="2363719" y="0"/>
              </a:lnTo>
              <a:lnTo>
                <a:pt x="2363719" y="12700"/>
              </a:lnTo>
              <a:lnTo>
                <a:pt x="172969" y="12700"/>
              </a:lnTo>
              <a:lnTo>
                <a:pt x="179314" y="6602"/>
              </a:lnTo>
              <a:lnTo>
                <a:pt x="12690" y="419760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55</xdr:row>
      <xdr:rowOff>99251</xdr:rowOff>
    </xdr:from>
    <xdr:ext cx="1275862" cy="182550"/>
    <xdr:sp macro="_xll.MC_OnBranchLabelClick" textlink="">
      <xdr:nvSpPr>
        <xdr:cNvPr id="167" name="MC_BN_D_root_C_preclinical_aav">
          <a:extLst>
            <a:ext uri="{FF2B5EF4-FFF2-40B4-BE49-F238E27FC236}">
              <a16:creationId xmlns:a16="http://schemas.microsoft.com/office/drawing/2014/main" id="{1D9FB6C0-4659-940A-9E04-AA4BD5DC74F3}"/>
            </a:ext>
          </a:extLst>
        </xdr:cNvPr>
        <xdr:cNvSpPr txBox="1"/>
      </xdr:nvSpPr>
      <xdr:spPr>
        <a:xfrm>
          <a:off x="2810510" y="10519601"/>
          <a:ext cx="12758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In-vivo AAV Gene Therapy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74688</xdr:colOff>
      <xdr:row>77</xdr:row>
      <xdr:rowOff>189869</xdr:rowOff>
    </xdr:from>
    <xdr:to>
      <xdr:col>3</xdr:col>
      <xdr:colOff>47626</xdr:colOff>
      <xdr:row>100</xdr:row>
      <xdr:rowOff>15876</xdr:rowOff>
    </xdr:to>
    <xdr:sp macro="" textlink="">
      <xdr:nvSpPr>
        <xdr:cNvPr id="168" name="MC_BR_D_root_C_preclinical_exvivo">
          <a:extLst>
            <a:ext uri="{FF2B5EF4-FFF2-40B4-BE49-F238E27FC236}">
              <a16:creationId xmlns:a16="http://schemas.microsoft.com/office/drawing/2014/main" id="{B02F7E94-E047-CAD1-DBF7-2C0ACBE36B56}"/>
            </a:ext>
          </a:extLst>
        </xdr:cNvPr>
        <xdr:cNvSpPr/>
      </xdr:nvSpPr>
      <xdr:spPr>
        <a:xfrm>
          <a:off x="2598813" y="14801219"/>
          <a:ext cx="2373238" cy="4207507"/>
        </a:xfrm>
        <a:custGeom>
          <a:avLst/>
          <a:gdLst/>
          <a:ahLst/>
          <a:cxnLst/>
          <a:rect l="0" t="0" r="0" b="0"/>
          <a:pathLst>
            <a:path w="2373238" h="4207507">
              <a:moveTo>
                <a:pt x="31725" y="0"/>
              </a:moveTo>
              <a:lnTo>
                <a:pt x="198349" y="4191000"/>
              </a:lnTo>
              <a:lnTo>
                <a:pt x="182487" y="4175756"/>
              </a:lnTo>
              <a:lnTo>
                <a:pt x="2373237" y="4175756"/>
              </a:lnTo>
              <a:lnTo>
                <a:pt x="2373237" y="4207506"/>
              </a:lnTo>
              <a:lnTo>
                <a:pt x="182487" y="4207506"/>
              </a:lnTo>
              <a:lnTo>
                <a:pt x="166625" y="4192262"/>
              </a:lnTo>
              <a:lnTo>
                <a:pt x="0" y="126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99</xdr:row>
      <xdr:rowOff>99250</xdr:rowOff>
    </xdr:from>
    <xdr:ext cx="1001813" cy="182550"/>
    <xdr:sp macro="_xll.MC_OnBranchLabelClick" textlink="">
      <xdr:nvSpPr>
        <xdr:cNvPr id="169" name="MC_BN_D_root_C_preclinical_exvivo">
          <a:extLst>
            <a:ext uri="{FF2B5EF4-FFF2-40B4-BE49-F238E27FC236}">
              <a16:creationId xmlns:a16="http://schemas.microsoft.com/office/drawing/2014/main" id="{90948867-2BF0-1B32-902E-17E3A61D8C76}"/>
            </a:ext>
          </a:extLst>
        </xdr:cNvPr>
        <xdr:cNvSpPr txBox="1"/>
      </xdr:nvSpPr>
      <xdr:spPr>
        <a:xfrm>
          <a:off x="2810510" y="18901600"/>
          <a:ext cx="10018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Ex-vivo Cell Therapy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77</xdr:row>
      <xdr:rowOff>190316</xdr:rowOff>
    </xdr:from>
    <xdr:to>
      <xdr:col>3</xdr:col>
      <xdr:colOff>47626</xdr:colOff>
      <xdr:row>108</xdr:row>
      <xdr:rowOff>6351</xdr:rowOff>
    </xdr:to>
    <xdr:sp macro="" textlink="">
      <xdr:nvSpPr>
        <xdr:cNvPr id="170" name="MC_BR_D_root_C_license_deal">
          <a:extLst>
            <a:ext uri="{FF2B5EF4-FFF2-40B4-BE49-F238E27FC236}">
              <a16:creationId xmlns:a16="http://schemas.microsoft.com/office/drawing/2014/main" id="{2DD29296-4295-4DFE-065F-7D6E6AA911C5}"/>
            </a:ext>
          </a:extLst>
        </xdr:cNvPr>
        <xdr:cNvSpPr/>
      </xdr:nvSpPr>
      <xdr:spPr>
        <a:xfrm>
          <a:off x="2608329" y="14801666"/>
          <a:ext cx="2363722" cy="5721535"/>
        </a:xfrm>
        <a:custGeom>
          <a:avLst/>
          <a:gdLst/>
          <a:ahLst/>
          <a:cxnLst/>
          <a:rect l="0" t="0" r="0" b="0"/>
          <a:pathLst>
            <a:path w="2363722" h="5721535">
              <a:moveTo>
                <a:pt x="12694" y="0"/>
              </a:moveTo>
              <a:lnTo>
                <a:pt x="179318" y="5715000"/>
              </a:lnTo>
              <a:lnTo>
                <a:pt x="172971" y="5708834"/>
              </a:lnTo>
              <a:lnTo>
                <a:pt x="2363721" y="5708834"/>
              </a:lnTo>
              <a:lnTo>
                <a:pt x="2363721" y="5721534"/>
              </a:lnTo>
              <a:lnTo>
                <a:pt x="172971" y="5721534"/>
              </a:lnTo>
              <a:lnTo>
                <a:pt x="166624" y="5715368"/>
              </a:lnTo>
              <a:lnTo>
                <a:pt x="0" y="36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107</xdr:row>
      <xdr:rowOff>99250</xdr:rowOff>
    </xdr:from>
    <xdr:ext cx="1087734" cy="182550"/>
    <xdr:sp macro="_xll.MC_OnBranchLabelClick" textlink="">
      <xdr:nvSpPr>
        <xdr:cNvPr id="171" name="MC_BN_D_root_C_license_deal">
          <a:extLst>
            <a:ext uri="{FF2B5EF4-FFF2-40B4-BE49-F238E27FC236}">
              <a16:creationId xmlns:a16="http://schemas.microsoft.com/office/drawing/2014/main" id="{0BC02AE7-DC92-30FA-9B49-8B62112F26C6}"/>
            </a:ext>
          </a:extLst>
        </xdr:cNvPr>
        <xdr:cNvSpPr txBox="1"/>
      </xdr:nvSpPr>
      <xdr:spPr>
        <a:xfrm>
          <a:off x="2810510" y="20425600"/>
          <a:ext cx="10877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 to Big Pharma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77</xdr:row>
      <xdr:rowOff>190354</xdr:rowOff>
    </xdr:from>
    <xdr:to>
      <xdr:col>3</xdr:col>
      <xdr:colOff>47626</xdr:colOff>
      <xdr:row>116</xdr:row>
      <xdr:rowOff>6351</xdr:rowOff>
    </xdr:to>
    <xdr:sp macro="" textlink="">
      <xdr:nvSpPr>
        <xdr:cNvPr id="172" name="MC_BR_D_root_T_shelve">
          <a:extLst>
            <a:ext uri="{FF2B5EF4-FFF2-40B4-BE49-F238E27FC236}">
              <a16:creationId xmlns:a16="http://schemas.microsoft.com/office/drawing/2014/main" id="{A482477A-60D7-790B-D0C8-A4DD16A28C32}"/>
            </a:ext>
          </a:extLst>
        </xdr:cNvPr>
        <xdr:cNvSpPr/>
      </xdr:nvSpPr>
      <xdr:spPr>
        <a:xfrm>
          <a:off x="2608328" y="14801704"/>
          <a:ext cx="2363723" cy="7245497"/>
        </a:xfrm>
        <a:custGeom>
          <a:avLst/>
          <a:gdLst/>
          <a:ahLst/>
          <a:cxnLst/>
          <a:rect l="0" t="0" r="0" b="0"/>
          <a:pathLst>
            <a:path w="2363723" h="7245497">
              <a:moveTo>
                <a:pt x="12696" y="0"/>
              </a:moveTo>
              <a:lnTo>
                <a:pt x="179320" y="7239000"/>
              </a:lnTo>
              <a:lnTo>
                <a:pt x="172972" y="7232796"/>
              </a:lnTo>
              <a:lnTo>
                <a:pt x="2363722" y="7232796"/>
              </a:lnTo>
              <a:lnTo>
                <a:pt x="2363722" y="7245496"/>
              </a:lnTo>
              <a:lnTo>
                <a:pt x="172972" y="7245496"/>
              </a:lnTo>
              <a:lnTo>
                <a:pt x="166624" y="7239292"/>
              </a:lnTo>
              <a:lnTo>
                <a:pt x="0" y="2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115</xdr:row>
      <xdr:rowOff>99250</xdr:rowOff>
    </xdr:from>
    <xdr:ext cx="791050" cy="182550"/>
    <xdr:sp macro="_xll.MC_OnBranchLabelClick" textlink="">
      <xdr:nvSpPr>
        <xdr:cNvPr id="173" name="MC_BN_D_root_T_shelve">
          <a:extLst>
            <a:ext uri="{FF2B5EF4-FFF2-40B4-BE49-F238E27FC236}">
              <a16:creationId xmlns:a16="http://schemas.microsoft.com/office/drawing/2014/main" id="{A9273F4F-100A-D513-CBE0-DE98B726693B}"/>
            </a:ext>
          </a:extLst>
        </xdr:cNvPr>
        <xdr:cNvSpPr txBox="1"/>
      </xdr:nvSpPr>
      <xdr:spPr>
        <a:xfrm>
          <a:off x="2810510" y="21949600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Shelve Program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45</xdr:row>
      <xdr:rowOff>184150</xdr:rowOff>
    </xdr:from>
    <xdr:to>
      <xdr:col>4</xdr:col>
      <xdr:colOff>47626</xdr:colOff>
      <xdr:row>56</xdr:row>
      <xdr:rowOff>554</xdr:rowOff>
    </xdr:to>
    <xdr:sp macro="" textlink="">
      <xdr:nvSpPr>
        <xdr:cNvPr id="174" name="MC_BR_C_preclinical_aav_D_aav_fund">
          <a:extLst>
            <a:ext uri="{FF2B5EF4-FFF2-40B4-BE49-F238E27FC236}">
              <a16:creationId xmlns:a16="http://schemas.microsoft.com/office/drawing/2014/main" id="{E8D2DBF4-3BA8-06EC-2E60-B30BD991E668}"/>
            </a:ext>
          </a:extLst>
        </xdr:cNvPr>
        <xdr:cNvSpPr/>
      </xdr:nvSpPr>
      <xdr:spPr>
        <a:xfrm>
          <a:off x="5008650" y="8699500"/>
          <a:ext cx="2763751" cy="1911904"/>
        </a:xfrm>
        <a:custGeom>
          <a:avLst/>
          <a:gdLst/>
          <a:ahLst/>
          <a:cxnLst/>
          <a:rect l="0" t="0" r="0" b="0"/>
          <a:pathLst>
            <a:path w="2763751" h="1911904">
              <a:moveTo>
                <a:pt x="0" y="1910797"/>
              </a:moveTo>
              <a:lnTo>
                <a:pt x="166624" y="5797"/>
              </a:lnTo>
              <a:lnTo>
                <a:pt x="172950" y="0"/>
              </a:lnTo>
              <a:lnTo>
                <a:pt x="2763750" y="0"/>
              </a:lnTo>
              <a:lnTo>
                <a:pt x="2763750" y="12700"/>
              </a:lnTo>
              <a:lnTo>
                <a:pt x="172950" y="12700"/>
              </a:lnTo>
              <a:lnTo>
                <a:pt x="179276" y="6903"/>
              </a:lnTo>
              <a:lnTo>
                <a:pt x="12652" y="191190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1153329" cy="182550"/>
    <xdr:sp macro="_xll.MC_OnBranchLabelClick" textlink="">
      <xdr:nvSpPr>
        <xdr:cNvPr id="175" name="MC_BN_C_preclinical_aav_D_aav_fund">
          <a:extLst>
            <a:ext uri="{FF2B5EF4-FFF2-40B4-BE49-F238E27FC236}">
              <a16:creationId xmlns:a16="http://schemas.microsoft.com/office/drawing/2014/main" id="{798DEC02-1F0A-A9E8-C243-3872BB29638A}"/>
            </a:ext>
          </a:extLst>
        </xdr:cNvPr>
        <xdr:cNvSpPr txBox="1"/>
      </xdr:nvSpPr>
      <xdr:spPr>
        <a:xfrm>
          <a:off x="5210810" y="8614601"/>
          <a:ext cx="11533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Efficacy + Safety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55</xdr:row>
      <xdr:rowOff>189947</xdr:rowOff>
    </xdr:from>
    <xdr:to>
      <xdr:col>4</xdr:col>
      <xdr:colOff>47626</xdr:colOff>
      <xdr:row>66</xdr:row>
      <xdr:rowOff>6351</xdr:rowOff>
    </xdr:to>
    <xdr:sp macro="" textlink="">
      <xdr:nvSpPr>
        <xdr:cNvPr id="176" name="MC_BR_C_preclinical_aav_D_aav_fund_mod">
          <a:extLst>
            <a:ext uri="{FF2B5EF4-FFF2-40B4-BE49-F238E27FC236}">
              <a16:creationId xmlns:a16="http://schemas.microsoft.com/office/drawing/2014/main" id="{9652EFDD-B1D0-3644-EB45-44A8C7277C45}"/>
            </a:ext>
          </a:extLst>
        </xdr:cNvPr>
        <xdr:cNvSpPr/>
      </xdr:nvSpPr>
      <xdr:spPr>
        <a:xfrm>
          <a:off x="5008650" y="10610297"/>
          <a:ext cx="2763751" cy="1911904"/>
        </a:xfrm>
        <a:custGeom>
          <a:avLst/>
          <a:gdLst/>
          <a:ahLst/>
          <a:cxnLst/>
          <a:rect l="0" t="0" r="0" b="0"/>
          <a:pathLst>
            <a:path w="2763751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763750" y="1899203"/>
              </a:lnTo>
              <a:lnTo>
                <a:pt x="276375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65</xdr:row>
      <xdr:rowOff>99251</xdr:rowOff>
    </xdr:from>
    <xdr:ext cx="876650" cy="182550"/>
    <xdr:sp macro="_xll.MC_OnBranchLabelClick" textlink="">
      <xdr:nvSpPr>
        <xdr:cNvPr id="177" name="MC_BN_C_preclinical_aav_D_aav_fund_mod">
          <a:extLst>
            <a:ext uri="{FF2B5EF4-FFF2-40B4-BE49-F238E27FC236}">
              <a16:creationId xmlns:a16="http://schemas.microsoft.com/office/drawing/2014/main" id="{3E4FBF61-9BCD-0608-326C-3BDC26EBD4CF}"/>
            </a:ext>
          </a:extLst>
        </xdr:cNvPr>
        <xdr:cNvSpPr txBox="1"/>
      </xdr:nvSpPr>
      <xdr:spPr>
        <a:xfrm>
          <a:off x="5210810" y="12424601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84207</xdr:colOff>
      <xdr:row>55</xdr:row>
      <xdr:rowOff>190222</xdr:rowOff>
    </xdr:from>
    <xdr:to>
      <xdr:col>4</xdr:col>
      <xdr:colOff>47626</xdr:colOff>
      <xdr:row>76</xdr:row>
      <xdr:rowOff>6351</xdr:rowOff>
    </xdr:to>
    <xdr:sp macro="" textlink="">
      <xdr:nvSpPr>
        <xdr:cNvPr id="178" name="MC_BR_C_preclinical_aav_T_aav_preclin_fail">
          <a:extLst>
            <a:ext uri="{FF2B5EF4-FFF2-40B4-BE49-F238E27FC236}">
              <a16:creationId xmlns:a16="http://schemas.microsoft.com/office/drawing/2014/main" id="{C47445BD-B351-2BE3-854F-F57BA424635A}"/>
            </a:ext>
          </a:extLst>
        </xdr:cNvPr>
        <xdr:cNvSpPr/>
      </xdr:nvSpPr>
      <xdr:spPr>
        <a:xfrm>
          <a:off x="5008632" y="10610572"/>
          <a:ext cx="2763769" cy="3816629"/>
        </a:xfrm>
        <a:custGeom>
          <a:avLst/>
          <a:gdLst/>
          <a:ahLst/>
          <a:cxnLst/>
          <a:rect l="0" t="0" r="0" b="0"/>
          <a:pathLst>
            <a:path w="2763769" h="3816629">
              <a:moveTo>
                <a:pt x="12688" y="0"/>
              </a:moveTo>
              <a:lnTo>
                <a:pt x="179312" y="3810000"/>
              </a:lnTo>
              <a:lnTo>
                <a:pt x="172968" y="3803928"/>
              </a:lnTo>
              <a:lnTo>
                <a:pt x="2763768" y="3803928"/>
              </a:lnTo>
              <a:lnTo>
                <a:pt x="2763768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75</xdr:row>
      <xdr:rowOff>99250</xdr:rowOff>
    </xdr:from>
    <xdr:ext cx="864917" cy="182550"/>
    <xdr:sp macro="_xll.MC_OnBranchLabelClick" textlink="">
      <xdr:nvSpPr>
        <xdr:cNvPr id="179" name="MC_BN_C_preclinical_aav_T_aav_preclin_fail">
          <a:extLst>
            <a:ext uri="{FF2B5EF4-FFF2-40B4-BE49-F238E27FC236}">
              <a16:creationId xmlns:a16="http://schemas.microsoft.com/office/drawing/2014/main" id="{666880B3-0947-E704-4A45-0DC765D6D546}"/>
            </a:ext>
          </a:extLst>
        </xdr:cNvPr>
        <xdr:cNvSpPr txBox="1"/>
      </xdr:nvSpPr>
      <xdr:spPr>
        <a:xfrm>
          <a:off x="5210810" y="14329600"/>
          <a:ext cx="864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Preclinical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84218</xdr:colOff>
      <xdr:row>33</xdr:row>
      <xdr:rowOff>184150</xdr:rowOff>
    </xdr:from>
    <xdr:to>
      <xdr:col>5</xdr:col>
      <xdr:colOff>47626</xdr:colOff>
      <xdr:row>46</xdr:row>
      <xdr:rowOff>463</xdr:rowOff>
    </xdr:to>
    <xdr:sp macro="" textlink="">
      <xdr:nvSpPr>
        <xdr:cNvPr id="180" name="MC_BR_D_aav_fund_C_aav_mfg">
          <a:extLst>
            <a:ext uri="{FF2B5EF4-FFF2-40B4-BE49-F238E27FC236}">
              <a16:creationId xmlns:a16="http://schemas.microsoft.com/office/drawing/2014/main" id="{2C2DA015-A62C-5ED3-253C-27D7E61CBA8D}"/>
            </a:ext>
          </a:extLst>
        </xdr:cNvPr>
        <xdr:cNvSpPr/>
      </xdr:nvSpPr>
      <xdr:spPr>
        <a:xfrm>
          <a:off x="7808993" y="6413500"/>
          <a:ext cx="2863771" cy="2292813"/>
        </a:xfrm>
        <a:custGeom>
          <a:avLst/>
          <a:gdLst/>
          <a:ahLst/>
          <a:cxnLst/>
          <a:rect l="0" t="0" r="0" b="0"/>
          <a:pathLst>
            <a:path w="2863771" h="2292813">
              <a:moveTo>
                <a:pt x="0" y="2291888"/>
              </a:moveTo>
              <a:lnTo>
                <a:pt x="166624" y="5888"/>
              </a:lnTo>
              <a:lnTo>
                <a:pt x="172957" y="0"/>
              </a:lnTo>
              <a:lnTo>
                <a:pt x="2863770" y="0"/>
              </a:lnTo>
              <a:lnTo>
                <a:pt x="2863770" y="12700"/>
              </a:lnTo>
              <a:lnTo>
                <a:pt x="172957" y="12700"/>
              </a:lnTo>
              <a:lnTo>
                <a:pt x="179290" y="6812"/>
              </a:lnTo>
              <a:lnTo>
                <a:pt x="12666" y="229281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990849" cy="182550"/>
    <xdr:sp macro="_xll.MC_OnBranchLabelClick" textlink="">
      <xdr:nvSpPr>
        <xdr:cNvPr id="181" name="MC_BN_D_aav_fund_C_aav_mfg">
          <a:extLst>
            <a:ext uri="{FF2B5EF4-FFF2-40B4-BE49-F238E27FC236}">
              <a16:creationId xmlns:a16="http://schemas.microsoft.com/office/drawing/2014/main" id="{A6A2FBA8-67DB-19B9-25E7-742A65BFDB6E}"/>
            </a:ext>
          </a:extLst>
        </xdr:cNvPr>
        <xdr:cNvSpPr txBox="1"/>
      </xdr:nvSpPr>
      <xdr:spPr>
        <a:xfrm>
          <a:off x="8011160" y="6328601"/>
          <a:ext cx="9908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Self-Fund Phase 1/2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182" name="MC_BR_D_aav_fund_C_aav_partner">
          <a:extLst>
            <a:ext uri="{FF2B5EF4-FFF2-40B4-BE49-F238E27FC236}">
              <a16:creationId xmlns:a16="http://schemas.microsoft.com/office/drawing/2014/main" id="{9E1E85C2-E5EC-BEF6-683D-78B13399419B}"/>
            </a:ext>
          </a:extLst>
        </xdr:cNvPr>
        <xdr:cNvSpPr/>
      </xdr:nvSpPr>
      <xdr:spPr>
        <a:xfrm>
          <a:off x="7809123" y="8704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1030860" cy="182550"/>
    <xdr:sp macro="_xll.MC_OnBranchLabelClick" textlink="">
      <xdr:nvSpPr>
        <xdr:cNvPr id="183" name="MC_BN_D_aav_fund_C_aav_partner">
          <a:extLst>
            <a:ext uri="{FF2B5EF4-FFF2-40B4-BE49-F238E27FC236}">
              <a16:creationId xmlns:a16="http://schemas.microsoft.com/office/drawing/2014/main" id="{3D8ECF11-41F3-2F77-0932-CF78FB8D4496}"/>
            </a:ext>
          </a:extLst>
        </xdr:cNvPr>
        <xdr:cNvSpPr txBox="1"/>
      </xdr:nvSpPr>
      <xdr:spPr>
        <a:xfrm>
          <a:off x="8011160" y="9376601"/>
          <a:ext cx="10308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for Phase 1/2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84267</xdr:colOff>
      <xdr:row>27</xdr:row>
      <xdr:rowOff>184150</xdr:rowOff>
    </xdr:from>
    <xdr:to>
      <xdr:col>6</xdr:col>
      <xdr:colOff>47626</xdr:colOff>
      <xdr:row>34</xdr:row>
      <xdr:rowOff>917</xdr:rowOff>
    </xdr:to>
    <xdr:sp macro="" textlink="">
      <xdr:nvSpPr>
        <xdr:cNvPr id="184" name="MC_BR_C_aav_mfg_C_aav_clinical">
          <a:extLst>
            <a:ext uri="{FF2B5EF4-FFF2-40B4-BE49-F238E27FC236}">
              <a16:creationId xmlns:a16="http://schemas.microsoft.com/office/drawing/2014/main" id="{FBD55CD4-43C8-4874-AA94-19E35DFD86BD}"/>
            </a:ext>
          </a:extLst>
        </xdr:cNvPr>
        <xdr:cNvSpPr/>
      </xdr:nvSpPr>
      <xdr:spPr>
        <a:xfrm>
          <a:off x="10709405" y="5270500"/>
          <a:ext cx="2601784" cy="1150267"/>
        </a:xfrm>
        <a:custGeom>
          <a:avLst/>
          <a:gdLst/>
          <a:ahLst/>
          <a:cxnLst/>
          <a:rect l="0" t="0" r="0" b="0"/>
          <a:pathLst>
            <a:path w="2601784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01783" y="0"/>
              </a:lnTo>
              <a:lnTo>
                <a:pt x="2601783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27</xdr:row>
      <xdr:rowOff>99251</xdr:rowOff>
    </xdr:from>
    <xdr:ext cx="956416" cy="182550"/>
    <xdr:sp macro="_xll.MC_OnBranchLabelClick" textlink="">
      <xdr:nvSpPr>
        <xdr:cNvPr id="185" name="MC_BN_C_aav_mfg_C_aav_clinical">
          <a:extLst>
            <a:ext uri="{FF2B5EF4-FFF2-40B4-BE49-F238E27FC236}">
              <a16:creationId xmlns:a16="http://schemas.microsoft.com/office/drawing/2014/main" id="{13CE9C32-6C7C-5DA0-5B6A-30140D67D182}"/>
            </a:ext>
          </a:extLst>
        </xdr:cNvPr>
        <xdr:cNvSpPr txBox="1"/>
      </xdr:nvSpPr>
      <xdr:spPr>
        <a:xfrm>
          <a:off x="10911522" y="5185601"/>
          <a:ext cx="956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Scale-Up Succeeds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33</xdr:row>
      <xdr:rowOff>189143</xdr:rowOff>
    </xdr:from>
    <xdr:to>
      <xdr:col>6</xdr:col>
      <xdr:colOff>47626</xdr:colOff>
      <xdr:row>38</xdr:row>
      <xdr:rowOff>6351</xdr:rowOff>
    </xdr:to>
    <xdr:sp macro="" textlink="">
      <xdr:nvSpPr>
        <xdr:cNvPr id="186" name="MC_BR_C_aav_mfg_C_aav_clinical_delay">
          <a:extLst>
            <a:ext uri="{FF2B5EF4-FFF2-40B4-BE49-F238E27FC236}">
              <a16:creationId xmlns:a16="http://schemas.microsoft.com/office/drawing/2014/main" id="{F8B13F34-00DE-796A-728D-5FF0684004BB}"/>
            </a:ext>
          </a:extLst>
        </xdr:cNvPr>
        <xdr:cNvSpPr/>
      </xdr:nvSpPr>
      <xdr:spPr>
        <a:xfrm>
          <a:off x="10709485" y="6418493"/>
          <a:ext cx="2601704" cy="769708"/>
        </a:xfrm>
        <a:custGeom>
          <a:avLst/>
          <a:gdLst/>
          <a:ahLst/>
          <a:cxnLst/>
          <a:rect l="0" t="0" r="0" b="0"/>
          <a:pathLst>
            <a:path w="260170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1703" y="757007"/>
              </a:lnTo>
              <a:lnTo>
                <a:pt x="260170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796628" cy="182550"/>
    <xdr:sp macro="_xll.MC_OnBranchLabelClick" textlink="">
      <xdr:nvSpPr>
        <xdr:cNvPr id="187" name="MC_BN_C_aav_mfg_C_aav_clinical_delay">
          <a:extLst>
            <a:ext uri="{FF2B5EF4-FFF2-40B4-BE49-F238E27FC236}">
              <a16:creationId xmlns:a16="http://schemas.microsoft.com/office/drawing/2014/main" id="{712FAFDA-C6FB-11D3-0233-FE6EF9518DFA}"/>
            </a:ext>
          </a:extLst>
        </xdr:cNvPr>
        <xdr:cNvSpPr txBox="1"/>
      </xdr:nvSpPr>
      <xdr:spPr>
        <a:xfrm>
          <a:off x="10911522" y="7090601"/>
          <a:ext cx="7966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Scale-Up Partial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84225</xdr:colOff>
      <xdr:row>33</xdr:row>
      <xdr:rowOff>189947</xdr:rowOff>
    </xdr:from>
    <xdr:to>
      <xdr:col>6</xdr:col>
      <xdr:colOff>47626</xdr:colOff>
      <xdr:row>44</xdr:row>
      <xdr:rowOff>6351</xdr:rowOff>
    </xdr:to>
    <xdr:sp macro="" textlink="">
      <xdr:nvSpPr>
        <xdr:cNvPr id="188" name="MC_BR_C_aav_mfg_T_aav_mfg_fail">
          <a:extLst>
            <a:ext uri="{FF2B5EF4-FFF2-40B4-BE49-F238E27FC236}">
              <a16:creationId xmlns:a16="http://schemas.microsoft.com/office/drawing/2014/main" id="{53FDF0D5-1BC4-6818-2643-6EA91CC2040A}"/>
            </a:ext>
          </a:extLst>
        </xdr:cNvPr>
        <xdr:cNvSpPr/>
      </xdr:nvSpPr>
      <xdr:spPr>
        <a:xfrm>
          <a:off x="10709363" y="6419297"/>
          <a:ext cx="2601826" cy="1911904"/>
        </a:xfrm>
        <a:custGeom>
          <a:avLst/>
          <a:gdLst/>
          <a:ahLst/>
          <a:cxnLst/>
          <a:rect l="0" t="0" r="0" b="0"/>
          <a:pathLst>
            <a:path w="2601826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601825" y="1899203"/>
              </a:lnTo>
              <a:lnTo>
                <a:pt x="260182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722377" cy="182550"/>
    <xdr:sp macro="_xll.MC_OnBranchLabelClick" textlink="">
      <xdr:nvSpPr>
        <xdr:cNvPr id="189" name="MC_BN_C_aav_mfg_T_aav_mfg_fail">
          <a:extLst>
            <a:ext uri="{FF2B5EF4-FFF2-40B4-BE49-F238E27FC236}">
              <a16:creationId xmlns:a16="http://schemas.microsoft.com/office/drawing/2014/main" id="{B246B137-30C2-378C-A145-A6DDB9A09378}"/>
            </a:ext>
          </a:extLst>
        </xdr:cNvPr>
        <xdr:cNvSpPr txBox="1"/>
      </xdr:nvSpPr>
      <xdr:spPr>
        <a:xfrm>
          <a:off x="10911522" y="8233601"/>
          <a:ext cx="722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Scale-Up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84267</xdr:colOff>
      <xdr:row>21</xdr:row>
      <xdr:rowOff>184150</xdr:rowOff>
    </xdr:from>
    <xdr:to>
      <xdr:col>7</xdr:col>
      <xdr:colOff>47626</xdr:colOff>
      <xdr:row>28</xdr:row>
      <xdr:rowOff>917</xdr:rowOff>
    </xdr:to>
    <xdr:sp macro="" textlink="">
      <xdr:nvSpPr>
        <xdr:cNvPr id="190" name="MC_BR_C_aav_clinical_C_fda_aav">
          <a:extLst>
            <a:ext uri="{FF2B5EF4-FFF2-40B4-BE49-F238E27FC236}">
              <a16:creationId xmlns:a16="http://schemas.microsoft.com/office/drawing/2014/main" id="{D700F31E-2187-06FC-F91C-20A22122D5B3}"/>
            </a:ext>
          </a:extLst>
        </xdr:cNvPr>
        <xdr:cNvSpPr/>
      </xdr:nvSpPr>
      <xdr:spPr>
        <a:xfrm>
          <a:off x="13347830" y="4127500"/>
          <a:ext cx="2606546" cy="1150267"/>
        </a:xfrm>
        <a:custGeom>
          <a:avLst/>
          <a:gdLst/>
          <a:ahLst/>
          <a:cxnLst/>
          <a:rect l="0" t="0" r="0" b="0"/>
          <a:pathLst>
            <a:path w="26065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06545" y="0"/>
              </a:lnTo>
              <a:lnTo>
                <a:pt x="26065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21</xdr:row>
      <xdr:rowOff>99251</xdr:rowOff>
    </xdr:from>
    <xdr:ext cx="905184" cy="182550"/>
    <xdr:sp macro="_xll.MC_OnBranchLabelClick" textlink="">
      <xdr:nvSpPr>
        <xdr:cNvPr id="191" name="MC_BN_C_aav_clinical_C_fda_aav">
          <a:extLst>
            <a:ext uri="{FF2B5EF4-FFF2-40B4-BE49-F238E27FC236}">
              <a16:creationId xmlns:a16="http://schemas.microsoft.com/office/drawing/2014/main" id="{EA779076-EEE5-918E-D80D-0A2B86685446}"/>
            </a:ext>
          </a:extLst>
        </xdr:cNvPr>
        <xdr:cNvSpPr txBox="1"/>
      </xdr:nvSpPr>
      <xdr:spPr>
        <a:xfrm>
          <a:off x="13549948" y="4042601"/>
          <a:ext cx="905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Durable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27</xdr:row>
      <xdr:rowOff>187956</xdr:rowOff>
    </xdr:from>
    <xdr:to>
      <xdr:col>7</xdr:col>
      <xdr:colOff>47626</xdr:colOff>
      <xdr:row>30</xdr:row>
      <xdr:rowOff>6351</xdr:rowOff>
    </xdr:to>
    <xdr:sp macro="" textlink="">
      <xdr:nvSpPr>
        <xdr:cNvPr id="192" name="MC_BR_C_aav_clinical_T_aav_partial">
          <a:extLst>
            <a:ext uri="{FF2B5EF4-FFF2-40B4-BE49-F238E27FC236}">
              <a16:creationId xmlns:a16="http://schemas.microsoft.com/office/drawing/2014/main" id="{547AAB1A-0B87-9AA0-A1DB-EB4FDD585259}"/>
            </a:ext>
          </a:extLst>
        </xdr:cNvPr>
        <xdr:cNvSpPr/>
      </xdr:nvSpPr>
      <xdr:spPr>
        <a:xfrm>
          <a:off x="13348295" y="5274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29</xdr:row>
      <xdr:rowOff>99251</xdr:rowOff>
    </xdr:from>
    <xdr:ext cx="836704" cy="182550"/>
    <xdr:sp macro="_xll.MC_OnBranchLabelClick" textlink="">
      <xdr:nvSpPr>
        <xdr:cNvPr id="193" name="MC_BN_C_aav_clinical_T_aav_partial">
          <a:extLst>
            <a:ext uri="{FF2B5EF4-FFF2-40B4-BE49-F238E27FC236}">
              <a16:creationId xmlns:a16="http://schemas.microsoft.com/office/drawing/2014/main" id="{D52D3F02-CF34-7617-7BC9-FAB36B3E0B5E}"/>
            </a:ext>
          </a:extLst>
        </xdr:cNvPr>
        <xdr:cNvSpPr txBox="1"/>
      </xdr:nvSpPr>
      <xdr:spPr>
        <a:xfrm>
          <a:off x="13549948" y="5566601"/>
          <a:ext cx="8367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27</xdr:row>
      <xdr:rowOff>189143</xdr:rowOff>
    </xdr:from>
    <xdr:to>
      <xdr:col>7</xdr:col>
      <xdr:colOff>47626</xdr:colOff>
      <xdr:row>32</xdr:row>
      <xdr:rowOff>6351</xdr:rowOff>
    </xdr:to>
    <xdr:sp macro="" textlink="">
      <xdr:nvSpPr>
        <xdr:cNvPr id="194" name="MC_BR_C_aav_clinical_T_aav_no_eff">
          <a:extLst>
            <a:ext uri="{FF2B5EF4-FFF2-40B4-BE49-F238E27FC236}">
              <a16:creationId xmlns:a16="http://schemas.microsoft.com/office/drawing/2014/main" id="{DF0349C9-EF3A-8E29-B171-89A6AB14EC64}"/>
            </a:ext>
          </a:extLst>
        </xdr:cNvPr>
        <xdr:cNvSpPr/>
      </xdr:nvSpPr>
      <xdr:spPr>
        <a:xfrm>
          <a:off x="13347911" y="5275493"/>
          <a:ext cx="2606465" cy="769708"/>
        </a:xfrm>
        <a:custGeom>
          <a:avLst/>
          <a:gdLst/>
          <a:ahLst/>
          <a:cxnLst/>
          <a:rect l="0" t="0" r="0" b="0"/>
          <a:pathLst>
            <a:path w="260646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606464" y="757007"/>
              </a:lnTo>
              <a:lnTo>
                <a:pt x="260646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31</xdr:row>
      <xdr:rowOff>99251</xdr:rowOff>
    </xdr:from>
    <xdr:ext cx="574260" cy="182550"/>
    <xdr:sp macro="_xll.MC_OnBranchLabelClick" textlink="">
      <xdr:nvSpPr>
        <xdr:cNvPr id="195" name="MC_BN_C_aav_clinical_T_aav_no_eff">
          <a:extLst>
            <a:ext uri="{FF2B5EF4-FFF2-40B4-BE49-F238E27FC236}">
              <a16:creationId xmlns:a16="http://schemas.microsoft.com/office/drawing/2014/main" id="{4C5FF8C2-305D-83D4-1264-F75A2CCCA2B3}"/>
            </a:ext>
          </a:extLst>
        </xdr:cNvPr>
        <xdr:cNvSpPr txBox="1"/>
      </xdr:nvSpPr>
      <xdr:spPr>
        <a:xfrm>
          <a:off x="13549948" y="5947601"/>
          <a:ext cx="5742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7</xdr:col>
      <xdr:colOff>84733</xdr:colOff>
      <xdr:row>19</xdr:row>
      <xdr:rowOff>184150</xdr:rowOff>
    </xdr:from>
    <xdr:to>
      <xdr:col>8</xdr:col>
      <xdr:colOff>47626</xdr:colOff>
      <xdr:row>22</xdr:row>
      <xdr:rowOff>2545</xdr:rowOff>
    </xdr:to>
    <xdr:sp macro="" textlink="">
      <xdr:nvSpPr>
        <xdr:cNvPr id="196" name="MC_BR_C_fda_aav_T_aav_accel">
          <a:extLst>
            <a:ext uri="{FF2B5EF4-FFF2-40B4-BE49-F238E27FC236}">
              <a16:creationId xmlns:a16="http://schemas.microsoft.com/office/drawing/2014/main" id="{899AB00F-8C7E-3FBC-1280-4D1C5B83C9B5}"/>
            </a:ext>
          </a:extLst>
        </xdr:cNvPr>
        <xdr:cNvSpPr/>
      </xdr:nvSpPr>
      <xdr:spPr>
        <a:xfrm>
          <a:off x="15991483" y="374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7</xdr:col>
      <xdr:colOff>286386</xdr:colOff>
      <xdr:row>19</xdr:row>
      <xdr:rowOff>99251</xdr:rowOff>
    </xdr:from>
    <xdr:ext cx="1030667" cy="182550"/>
    <xdr:sp macro="_xll.MC_OnBranchLabelClick" textlink="">
      <xdr:nvSpPr>
        <xdr:cNvPr id="197" name="MC_BN_C_fda_aav_T_aav_accel">
          <a:extLst>
            <a:ext uri="{FF2B5EF4-FFF2-40B4-BE49-F238E27FC236}">
              <a16:creationId xmlns:a16="http://schemas.microsoft.com/office/drawing/2014/main" id="{3B0E8570-FE5C-71DA-94EA-0C7B110F0066}"/>
            </a:ext>
          </a:extLst>
        </xdr:cNvPr>
        <xdr:cNvSpPr txBox="1"/>
      </xdr:nvSpPr>
      <xdr:spPr>
        <a:xfrm>
          <a:off x="16193136" y="3661601"/>
          <a:ext cx="10306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Accelerated Approval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7</xdr:col>
      <xdr:colOff>84733</xdr:colOff>
      <xdr:row>21</xdr:row>
      <xdr:rowOff>187956</xdr:rowOff>
    </xdr:from>
    <xdr:to>
      <xdr:col>8</xdr:col>
      <xdr:colOff>47626</xdr:colOff>
      <xdr:row>24</xdr:row>
      <xdr:rowOff>6351</xdr:rowOff>
    </xdr:to>
    <xdr:sp macro="" textlink="">
      <xdr:nvSpPr>
        <xdr:cNvPr id="198" name="MC_BR_C_fda_aav_T_aav_standard">
          <a:extLst>
            <a:ext uri="{FF2B5EF4-FFF2-40B4-BE49-F238E27FC236}">
              <a16:creationId xmlns:a16="http://schemas.microsoft.com/office/drawing/2014/main" id="{39318780-4F6B-04C6-9F9F-768710004108}"/>
            </a:ext>
          </a:extLst>
        </xdr:cNvPr>
        <xdr:cNvSpPr/>
      </xdr:nvSpPr>
      <xdr:spPr>
        <a:xfrm>
          <a:off x="15991483" y="413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7</xdr:col>
      <xdr:colOff>286386</xdr:colOff>
      <xdr:row>23</xdr:row>
      <xdr:rowOff>99251</xdr:rowOff>
    </xdr:from>
    <xdr:ext cx="905312" cy="182550"/>
    <xdr:sp macro="_xll.MC_OnBranchLabelClick" textlink="">
      <xdr:nvSpPr>
        <xdr:cNvPr id="199" name="MC_BN_C_fda_aav_T_aav_standard">
          <a:extLst>
            <a:ext uri="{FF2B5EF4-FFF2-40B4-BE49-F238E27FC236}">
              <a16:creationId xmlns:a16="http://schemas.microsoft.com/office/drawing/2014/main" id="{664E3C5B-17E3-42EC-AB6A-938A35E01CFA}"/>
            </a:ext>
          </a:extLst>
        </xdr:cNvPr>
        <xdr:cNvSpPr txBox="1"/>
      </xdr:nvSpPr>
      <xdr:spPr>
        <a:xfrm>
          <a:off x="16193136" y="4423601"/>
          <a:ext cx="9053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Standard Approval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7</xdr:col>
      <xdr:colOff>84348</xdr:colOff>
      <xdr:row>21</xdr:row>
      <xdr:rowOff>189143</xdr:rowOff>
    </xdr:from>
    <xdr:to>
      <xdr:col>8</xdr:col>
      <xdr:colOff>47626</xdr:colOff>
      <xdr:row>26</xdr:row>
      <xdr:rowOff>6351</xdr:rowOff>
    </xdr:to>
    <xdr:sp macro="" textlink="">
      <xdr:nvSpPr>
        <xdr:cNvPr id="200" name="MC_BR_C_fda_aav_T_aav_crl">
          <a:extLst>
            <a:ext uri="{FF2B5EF4-FFF2-40B4-BE49-F238E27FC236}">
              <a16:creationId xmlns:a16="http://schemas.microsoft.com/office/drawing/2014/main" id="{A1427F29-FE1A-994C-4246-C85CC4B3218A}"/>
            </a:ext>
          </a:extLst>
        </xdr:cNvPr>
        <xdr:cNvSpPr/>
      </xdr:nvSpPr>
      <xdr:spPr>
        <a:xfrm>
          <a:off x="15991098" y="413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7</xdr:col>
      <xdr:colOff>286386</xdr:colOff>
      <xdr:row>25</xdr:row>
      <xdr:rowOff>99251</xdr:rowOff>
    </xdr:from>
    <xdr:ext cx="1275990" cy="182550"/>
    <xdr:sp macro="_xll.MC_OnBranchLabelClick" textlink="">
      <xdr:nvSpPr>
        <xdr:cNvPr id="201" name="MC_BN_C_fda_aav_T_aav_crl">
          <a:extLst>
            <a:ext uri="{FF2B5EF4-FFF2-40B4-BE49-F238E27FC236}">
              <a16:creationId xmlns:a16="http://schemas.microsoft.com/office/drawing/2014/main" id="{99D62E3B-C4CC-47CB-2BAE-8A80E4E6B5DD}"/>
            </a:ext>
          </a:extLst>
        </xdr:cNvPr>
        <xdr:cNvSpPr txBox="1"/>
      </xdr:nvSpPr>
      <xdr:spPr>
        <a:xfrm>
          <a:off x="16193136" y="4804601"/>
          <a:ext cx="12759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Complete Response Letter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35</xdr:row>
      <xdr:rowOff>184150</xdr:rowOff>
    </xdr:from>
    <xdr:to>
      <xdr:col>7</xdr:col>
      <xdr:colOff>47626</xdr:colOff>
      <xdr:row>38</xdr:row>
      <xdr:rowOff>2545</xdr:rowOff>
    </xdr:to>
    <xdr:sp macro="" textlink="">
      <xdr:nvSpPr>
        <xdr:cNvPr id="202" name="MC_BR_C_aav_clinical_delay_T_aav_delay_good">
          <a:extLst>
            <a:ext uri="{FF2B5EF4-FFF2-40B4-BE49-F238E27FC236}">
              <a16:creationId xmlns:a16="http://schemas.microsoft.com/office/drawing/2014/main" id="{72F25599-BED5-0CEE-81CB-18F03098966A}"/>
            </a:ext>
          </a:extLst>
        </xdr:cNvPr>
        <xdr:cNvSpPr/>
      </xdr:nvSpPr>
      <xdr:spPr>
        <a:xfrm>
          <a:off x="13348295" y="6794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35</xdr:row>
      <xdr:rowOff>99251</xdr:rowOff>
    </xdr:from>
    <xdr:ext cx="905184" cy="182550"/>
    <xdr:sp macro="_xll.MC_OnBranchLabelClick" textlink="">
      <xdr:nvSpPr>
        <xdr:cNvPr id="203" name="MC_BN_C_aav_clinical_delay_T_aav_delay_good">
          <a:extLst>
            <a:ext uri="{FF2B5EF4-FFF2-40B4-BE49-F238E27FC236}">
              <a16:creationId xmlns:a16="http://schemas.microsoft.com/office/drawing/2014/main" id="{050F4050-8DFA-6BA0-CD00-027AE5A1A295}"/>
            </a:ext>
          </a:extLst>
        </xdr:cNvPr>
        <xdr:cNvSpPr txBox="1"/>
      </xdr:nvSpPr>
      <xdr:spPr>
        <a:xfrm>
          <a:off x="13549948" y="6709601"/>
          <a:ext cx="905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Durable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37</xdr:row>
      <xdr:rowOff>187956</xdr:rowOff>
    </xdr:from>
    <xdr:to>
      <xdr:col>7</xdr:col>
      <xdr:colOff>47626</xdr:colOff>
      <xdr:row>40</xdr:row>
      <xdr:rowOff>6351</xdr:rowOff>
    </xdr:to>
    <xdr:sp macro="" textlink="">
      <xdr:nvSpPr>
        <xdr:cNvPr id="204" name="MC_BR_C_aav_clinical_delay_T_aav_delay_partial">
          <a:extLst>
            <a:ext uri="{FF2B5EF4-FFF2-40B4-BE49-F238E27FC236}">
              <a16:creationId xmlns:a16="http://schemas.microsoft.com/office/drawing/2014/main" id="{5879597B-7AC1-9F56-C41F-2D536C175130}"/>
            </a:ext>
          </a:extLst>
        </xdr:cNvPr>
        <xdr:cNvSpPr/>
      </xdr:nvSpPr>
      <xdr:spPr>
        <a:xfrm>
          <a:off x="13348295" y="7179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39</xdr:row>
      <xdr:rowOff>99251</xdr:rowOff>
    </xdr:from>
    <xdr:ext cx="836704" cy="182550"/>
    <xdr:sp macro="_xll.MC_OnBranchLabelClick" textlink="">
      <xdr:nvSpPr>
        <xdr:cNvPr id="205" name="MC_BN_C_aav_clinical_delay_T_aav_delay_partial">
          <a:extLst>
            <a:ext uri="{FF2B5EF4-FFF2-40B4-BE49-F238E27FC236}">
              <a16:creationId xmlns:a16="http://schemas.microsoft.com/office/drawing/2014/main" id="{3224C5DE-2395-A530-569A-F5E20A99A23D}"/>
            </a:ext>
          </a:extLst>
        </xdr:cNvPr>
        <xdr:cNvSpPr txBox="1"/>
      </xdr:nvSpPr>
      <xdr:spPr>
        <a:xfrm>
          <a:off x="13549948" y="7471601"/>
          <a:ext cx="8367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37</xdr:row>
      <xdr:rowOff>189143</xdr:rowOff>
    </xdr:from>
    <xdr:to>
      <xdr:col>7</xdr:col>
      <xdr:colOff>47626</xdr:colOff>
      <xdr:row>42</xdr:row>
      <xdr:rowOff>6351</xdr:rowOff>
    </xdr:to>
    <xdr:sp macro="" textlink="">
      <xdr:nvSpPr>
        <xdr:cNvPr id="206" name="MC_BR_C_aav_clinical_delay_T_aav_delay_fail">
          <a:extLst>
            <a:ext uri="{FF2B5EF4-FFF2-40B4-BE49-F238E27FC236}">
              <a16:creationId xmlns:a16="http://schemas.microsoft.com/office/drawing/2014/main" id="{DC931FB9-FDBF-5855-209F-C721FB8ADB69}"/>
            </a:ext>
          </a:extLst>
        </xdr:cNvPr>
        <xdr:cNvSpPr/>
      </xdr:nvSpPr>
      <xdr:spPr>
        <a:xfrm>
          <a:off x="13347911" y="7180493"/>
          <a:ext cx="2606465" cy="769708"/>
        </a:xfrm>
        <a:custGeom>
          <a:avLst/>
          <a:gdLst/>
          <a:ahLst/>
          <a:cxnLst/>
          <a:rect l="0" t="0" r="0" b="0"/>
          <a:pathLst>
            <a:path w="260646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606464" y="757007"/>
              </a:lnTo>
              <a:lnTo>
                <a:pt x="260646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41</xdr:row>
      <xdr:rowOff>99251</xdr:rowOff>
    </xdr:from>
    <xdr:ext cx="574260" cy="182550"/>
    <xdr:sp macro="_xll.MC_OnBranchLabelClick" textlink="">
      <xdr:nvSpPr>
        <xdr:cNvPr id="207" name="MC_BN_C_aav_clinical_delay_T_aav_delay_fail">
          <a:extLst>
            <a:ext uri="{FF2B5EF4-FFF2-40B4-BE49-F238E27FC236}">
              <a16:creationId xmlns:a16="http://schemas.microsoft.com/office/drawing/2014/main" id="{43FC7C90-8508-C700-B758-4E2E4E635E70}"/>
            </a:ext>
          </a:extLst>
        </xdr:cNvPr>
        <xdr:cNvSpPr txBox="1"/>
      </xdr:nvSpPr>
      <xdr:spPr>
        <a:xfrm>
          <a:off x="13549948" y="7852601"/>
          <a:ext cx="5742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47</xdr:row>
      <xdr:rowOff>184150</xdr:rowOff>
    </xdr:from>
    <xdr:to>
      <xdr:col>6</xdr:col>
      <xdr:colOff>47626</xdr:colOff>
      <xdr:row>50</xdr:row>
      <xdr:rowOff>2545</xdr:rowOff>
    </xdr:to>
    <xdr:sp macro="" textlink="">
      <xdr:nvSpPr>
        <xdr:cNvPr id="208" name="MC_BR_C_aav_partner_T_aav_partner_good">
          <a:extLst>
            <a:ext uri="{FF2B5EF4-FFF2-40B4-BE49-F238E27FC236}">
              <a16:creationId xmlns:a16="http://schemas.microsoft.com/office/drawing/2014/main" id="{9BAEEC2B-92BA-62AB-5A55-B0A37F2A2E7E}"/>
            </a:ext>
          </a:extLst>
        </xdr:cNvPr>
        <xdr:cNvSpPr/>
      </xdr:nvSpPr>
      <xdr:spPr>
        <a:xfrm>
          <a:off x="10709870" y="9080500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1318" y="0"/>
              </a:lnTo>
              <a:lnTo>
                <a:pt x="260131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1330108" cy="182550"/>
    <xdr:sp macro="_xll.MC_OnBranchLabelClick" textlink="">
      <xdr:nvSpPr>
        <xdr:cNvPr id="209" name="MC_BN_C_aav_partner_T_aav_partner_good">
          <a:extLst>
            <a:ext uri="{FF2B5EF4-FFF2-40B4-BE49-F238E27FC236}">
              <a16:creationId xmlns:a16="http://schemas.microsoft.com/office/drawing/2014/main" id="{9263AFED-CAE7-86FA-E936-F006FE99E17A}"/>
            </a:ext>
          </a:extLst>
        </xdr:cNvPr>
        <xdr:cNvSpPr txBox="1"/>
      </xdr:nvSpPr>
      <xdr:spPr>
        <a:xfrm>
          <a:off x="10911522" y="8995601"/>
          <a:ext cx="13301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Partner + Milestones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49</xdr:row>
      <xdr:rowOff>187956</xdr:rowOff>
    </xdr:from>
    <xdr:to>
      <xdr:col>6</xdr:col>
      <xdr:colOff>47626</xdr:colOff>
      <xdr:row>52</xdr:row>
      <xdr:rowOff>6351</xdr:rowOff>
    </xdr:to>
    <xdr:sp macro="" textlink="">
      <xdr:nvSpPr>
        <xdr:cNvPr id="210" name="MC_BR_C_aav_partner_T_aav_partner_ok">
          <a:extLst>
            <a:ext uri="{FF2B5EF4-FFF2-40B4-BE49-F238E27FC236}">
              <a16:creationId xmlns:a16="http://schemas.microsoft.com/office/drawing/2014/main" id="{34DE7A25-EA0C-C780-0ADB-85F0ADF84D63}"/>
            </a:ext>
          </a:extLst>
        </xdr:cNvPr>
        <xdr:cNvSpPr/>
      </xdr:nvSpPr>
      <xdr:spPr>
        <a:xfrm>
          <a:off x="10709870" y="9465306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1318" y="377194"/>
              </a:lnTo>
              <a:lnTo>
                <a:pt x="260131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631391" cy="182550"/>
    <xdr:sp macro="_xll.MC_OnBranchLabelClick" textlink="">
      <xdr:nvSpPr>
        <xdr:cNvPr id="211" name="MC_BN_C_aav_partner_T_aav_partner_ok">
          <a:extLst>
            <a:ext uri="{FF2B5EF4-FFF2-40B4-BE49-F238E27FC236}">
              <a16:creationId xmlns:a16="http://schemas.microsoft.com/office/drawing/2014/main" id="{59DCFDA3-339C-8519-ABA0-5AF30339E4A2}"/>
            </a:ext>
          </a:extLst>
        </xdr:cNvPr>
        <xdr:cNvSpPr txBox="1"/>
      </xdr:nvSpPr>
      <xdr:spPr>
        <a:xfrm>
          <a:off x="10911522" y="9757601"/>
          <a:ext cx="6313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Modest Deal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49</xdr:row>
      <xdr:rowOff>189143</xdr:rowOff>
    </xdr:from>
    <xdr:to>
      <xdr:col>6</xdr:col>
      <xdr:colOff>47626</xdr:colOff>
      <xdr:row>54</xdr:row>
      <xdr:rowOff>6351</xdr:rowOff>
    </xdr:to>
    <xdr:sp macro="" textlink="">
      <xdr:nvSpPr>
        <xdr:cNvPr id="212" name="MC_BR_C_aav_partner_T_aav_no_partner">
          <a:extLst>
            <a:ext uri="{FF2B5EF4-FFF2-40B4-BE49-F238E27FC236}">
              <a16:creationId xmlns:a16="http://schemas.microsoft.com/office/drawing/2014/main" id="{4AAC2246-354C-8771-5B65-AE5FC17BAAA1}"/>
            </a:ext>
          </a:extLst>
        </xdr:cNvPr>
        <xdr:cNvSpPr/>
      </xdr:nvSpPr>
      <xdr:spPr>
        <a:xfrm>
          <a:off x="10709485" y="9466493"/>
          <a:ext cx="2601704" cy="769708"/>
        </a:xfrm>
        <a:custGeom>
          <a:avLst/>
          <a:gdLst/>
          <a:ahLst/>
          <a:cxnLst/>
          <a:rect l="0" t="0" r="0" b="0"/>
          <a:pathLst>
            <a:path w="260170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1703" y="757007"/>
              </a:lnTo>
              <a:lnTo>
                <a:pt x="260170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53</xdr:row>
      <xdr:rowOff>99251</xdr:rowOff>
    </xdr:from>
    <xdr:ext cx="922368" cy="182550"/>
    <xdr:sp macro="_xll.MC_OnBranchLabelClick" textlink="">
      <xdr:nvSpPr>
        <xdr:cNvPr id="213" name="MC_BN_C_aav_partner_T_aav_no_partner">
          <a:extLst>
            <a:ext uri="{FF2B5EF4-FFF2-40B4-BE49-F238E27FC236}">
              <a16:creationId xmlns:a16="http://schemas.microsoft.com/office/drawing/2014/main" id="{4B90AABD-69EE-0EB3-EDBC-6B026823C3D1}"/>
            </a:ext>
          </a:extLst>
        </xdr:cNvPr>
        <xdr:cNvSpPr txBox="1"/>
      </xdr:nvSpPr>
      <xdr:spPr>
        <a:xfrm>
          <a:off x="10911522" y="10138601"/>
          <a:ext cx="9223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Partner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59</xdr:row>
      <xdr:rowOff>184150</xdr:rowOff>
    </xdr:from>
    <xdr:to>
      <xdr:col>5</xdr:col>
      <xdr:colOff>47626</xdr:colOff>
      <xdr:row>66</xdr:row>
      <xdr:rowOff>917</xdr:rowOff>
    </xdr:to>
    <xdr:sp macro="" textlink="">
      <xdr:nvSpPr>
        <xdr:cNvPr id="214" name="MC_BR_D_aav_fund_mod_C_aav_mod_clinical">
          <a:extLst>
            <a:ext uri="{FF2B5EF4-FFF2-40B4-BE49-F238E27FC236}">
              <a16:creationId xmlns:a16="http://schemas.microsoft.com/office/drawing/2014/main" id="{47386339-A606-7905-DEA4-F267219C2B90}"/>
            </a:ext>
          </a:extLst>
        </xdr:cNvPr>
        <xdr:cNvSpPr/>
      </xdr:nvSpPr>
      <xdr:spPr>
        <a:xfrm>
          <a:off x="7809043" y="11366500"/>
          <a:ext cx="2863721" cy="1150267"/>
        </a:xfrm>
        <a:custGeom>
          <a:avLst/>
          <a:gdLst/>
          <a:ahLst/>
          <a:cxnLst/>
          <a:rect l="0" t="0" r="0" b="0"/>
          <a:pathLst>
            <a:path w="2863721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863720" y="0"/>
              </a:lnTo>
              <a:lnTo>
                <a:pt x="2863720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990849" cy="182550"/>
    <xdr:sp macro="_xll.MC_OnBranchLabelClick" textlink="">
      <xdr:nvSpPr>
        <xdr:cNvPr id="215" name="MC_BN_D_aav_fund_mod_C_aav_mod_clinical">
          <a:extLst>
            <a:ext uri="{FF2B5EF4-FFF2-40B4-BE49-F238E27FC236}">
              <a16:creationId xmlns:a16="http://schemas.microsoft.com/office/drawing/2014/main" id="{FA6DCF29-B85E-A21C-F374-E9B1752C3C38}"/>
            </a:ext>
          </a:extLst>
        </xdr:cNvPr>
        <xdr:cNvSpPr txBox="1"/>
      </xdr:nvSpPr>
      <xdr:spPr>
        <a:xfrm>
          <a:off x="8011160" y="11281601"/>
          <a:ext cx="9908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Self-Fund Phase 1/2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65</xdr:row>
      <xdr:rowOff>189143</xdr:rowOff>
    </xdr:from>
    <xdr:to>
      <xdr:col>5</xdr:col>
      <xdr:colOff>47626</xdr:colOff>
      <xdr:row>70</xdr:row>
      <xdr:rowOff>6351</xdr:rowOff>
    </xdr:to>
    <xdr:sp macro="" textlink="">
      <xdr:nvSpPr>
        <xdr:cNvPr id="216" name="MC_BR_D_aav_fund_mod_C_aav_mod_partner">
          <a:extLst>
            <a:ext uri="{FF2B5EF4-FFF2-40B4-BE49-F238E27FC236}">
              <a16:creationId xmlns:a16="http://schemas.microsoft.com/office/drawing/2014/main" id="{63D0C4F3-1C47-B0C2-B02D-24A7941F418E}"/>
            </a:ext>
          </a:extLst>
        </xdr:cNvPr>
        <xdr:cNvSpPr/>
      </xdr:nvSpPr>
      <xdr:spPr>
        <a:xfrm>
          <a:off x="7809123" y="12514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654282" cy="182550"/>
    <xdr:sp macro="_xll.MC_OnBranchLabelClick" textlink="">
      <xdr:nvSpPr>
        <xdr:cNvPr id="217" name="MC_BN_D_aav_fund_mod_C_aav_mod_partner">
          <a:extLst>
            <a:ext uri="{FF2B5EF4-FFF2-40B4-BE49-F238E27FC236}">
              <a16:creationId xmlns:a16="http://schemas.microsoft.com/office/drawing/2014/main" id="{ED6BF1BC-3166-4803-8D11-31C2BEC92F9C}"/>
            </a:ext>
          </a:extLst>
        </xdr:cNvPr>
        <xdr:cNvSpPr txBox="1"/>
      </xdr:nvSpPr>
      <xdr:spPr>
        <a:xfrm>
          <a:off x="8011160" y="13186600"/>
          <a:ext cx="6542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Seek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65</xdr:row>
      <xdr:rowOff>189810</xdr:rowOff>
    </xdr:from>
    <xdr:to>
      <xdr:col>5</xdr:col>
      <xdr:colOff>47626</xdr:colOff>
      <xdr:row>74</xdr:row>
      <xdr:rowOff>6351</xdr:rowOff>
    </xdr:to>
    <xdr:sp macro="" textlink="">
      <xdr:nvSpPr>
        <xdr:cNvPr id="218" name="MC_BR_D_aav_fund_mod_T_aav_mod_abandon">
          <a:extLst>
            <a:ext uri="{FF2B5EF4-FFF2-40B4-BE49-F238E27FC236}">
              <a16:creationId xmlns:a16="http://schemas.microsoft.com/office/drawing/2014/main" id="{1234A66C-4A8D-7933-1982-93505778D482}"/>
            </a:ext>
          </a:extLst>
        </xdr:cNvPr>
        <xdr:cNvSpPr/>
      </xdr:nvSpPr>
      <xdr:spPr>
        <a:xfrm>
          <a:off x="7809013" y="12515160"/>
          <a:ext cx="2863751" cy="1531041"/>
        </a:xfrm>
        <a:custGeom>
          <a:avLst/>
          <a:gdLst/>
          <a:ahLst/>
          <a:cxnLst/>
          <a:rect l="0" t="0" r="0" b="0"/>
          <a:pathLst>
            <a:path w="2863751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863750" y="1518340"/>
              </a:lnTo>
              <a:lnTo>
                <a:pt x="2863750" y="1531040"/>
              </a:lnTo>
              <a:lnTo>
                <a:pt x="172937" y="1531040"/>
              </a:lnTo>
              <a:lnTo>
                <a:pt x="166625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73</xdr:row>
      <xdr:rowOff>99250</xdr:rowOff>
    </xdr:from>
    <xdr:ext cx="888192" cy="182550"/>
    <xdr:sp macro="_xll.MC_OnBranchLabelClick" textlink="">
      <xdr:nvSpPr>
        <xdr:cNvPr id="219" name="MC_BN_D_aav_fund_mod_T_aav_mod_abandon">
          <a:extLst>
            <a:ext uri="{FF2B5EF4-FFF2-40B4-BE49-F238E27FC236}">
              <a16:creationId xmlns:a16="http://schemas.microsoft.com/office/drawing/2014/main" id="{E7743BF3-24E4-83A7-BB3F-87CDA0CCD080}"/>
            </a:ext>
          </a:extLst>
        </xdr:cNvPr>
        <xdr:cNvSpPr txBox="1"/>
      </xdr:nvSpPr>
      <xdr:spPr>
        <a:xfrm>
          <a:off x="8011160" y="13948600"/>
          <a:ext cx="8881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Abandon Program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57</xdr:row>
      <xdr:rowOff>184150</xdr:rowOff>
    </xdr:from>
    <xdr:to>
      <xdr:col>6</xdr:col>
      <xdr:colOff>47626</xdr:colOff>
      <xdr:row>60</xdr:row>
      <xdr:rowOff>2545</xdr:rowOff>
    </xdr:to>
    <xdr:sp macro="" textlink="">
      <xdr:nvSpPr>
        <xdr:cNvPr id="220" name="MC_BR_C_aav_mod_clinical_T_aav_mod_surprise">
          <a:extLst>
            <a:ext uri="{FF2B5EF4-FFF2-40B4-BE49-F238E27FC236}">
              <a16:creationId xmlns:a16="http://schemas.microsoft.com/office/drawing/2014/main" id="{9A143E1C-E98D-2F2C-10B2-B355E0339E03}"/>
            </a:ext>
          </a:extLst>
        </xdr:cNvPr>
        <xdr:cNvSpPr/>
      </xdr:nvSpPr>
      <xdr:spPr>
        <a:xfrm>
          <a:off x="10709870" y="10985500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1318" y="0"/>
              </a:lnTo>
              <a:lnTo>
                <a:pt x="260131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57</xdr:row>
      <xdr:rowOff>99251</xdr:rowOff>
    </xdr:from>
    <xdr:ext cx="904991" cy="182550"/>
    <xdr:sp macro="_xll.MC_OnBranchLabelClick" textlink="">
      <xdr:nvSpPr>
        <xdr:cNvPr id="221" name="MC_BN_C_aav_mod_clinical_T_aav_mod_surprise">
          <a:extLst>
            <a:ext uri="{FF2B5EF4-FFF2-40B4-BE49-F238E27FC236}">
              <a16:creationId xmlns:a16="http://schemas.microsoft.com/office/drawing/2014/main" id="{E4088D24-C77C-63E3-A17F-2ADCC34F23DD}"/>
            </a:ext>
          </a:extLst>
        </xdr:cNvPr>
        <xdr:cNvSpPr txBox="1"/>
      </xdr:nvSpPr>
      <xdr:spPr>
        <a:xfrm>
          <a:off x="10911522" y="10900601"/>
          <a:ext cx="9049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Surprising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59</xdr:row>
      <xdr:rowOff>187956</xdr:rowOff>
    </xdr:from>
    <xdr:to>
      <xdr:col>6</xdr:col>
      <xdr:colOff>47626</xdr:colOff>
      <xdr:row>62</xdr:row>
      <xdr:rowOff>6351</xdr:rowOff>
    </xdr:to>
    <xdr:sp macro="" textlink="">
      <xdr:nvSpPr>
        <xdr:cNvPr id="222" name="MC_BR_C_aav_mod_clinical_T_aav_mod_marginal">
          <a:extLst>
            <a:ext uri="{FF2B5EF4-FFF2-40B4-BE49-F238E27FC236}">
              <a16:creationId xmlns:a16="http://schemas.microsoft.com/office/drawing/2014/main" id="{F6CE7473-2ADE-83DF-A6B5-95082EF3E0A7}"/>
            </a:ext>
          </a:extLst>
        </xdr:cNvPr>
        <xdr:cNvSpPr/>
      </xdr:nvSpPr>
      <xdr:spPr>
        <a:xfrm>
          <a:off x="10709870" y="11370306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1318" y="377194"/>
              </a:lnTo>
              <a:lnTo>
                <a:pt x="260131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61</xdr:row>
      <xdr:rowOff>99251</xdr:rowOff>
    </xdr:from>
    <xdr:ext cx="796821" cy="182550"/>
    <xdr:sp macro="_xll.MC_OnBranchLabelClick" textlink="">
      <xdr:nvSpPr>
        <xdr:cNvPr id="223" name="MC_BN_C_aav_mod_clinical_T_aav_mod_marginal">
          <a:extLst>
            <a:ext uri="{FF2B5EF4-FFF2-40B4-BE49-F238E27FC236}">
              <a16:creationId xmlns:a16="http://schemas.microsoft.com/office/drawing/2014/main" id="{D5731098-32DB-FE39-5E5C-9FFCAD8FE536}"/>
            </a:ext>
          </a:extLst>
        </xdr:cNvPr>
        <xdr:cNvSpPr txBox="1"/>
      </xdr:nvSpPr>
      <xdr:spPr>
        <a:xfrm>
          <a:off x="10911522" y="11662601"/>
          <a:ext cx="7968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 Benefit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59</xdr:row>
      <xdr:rowOff>189143</xdr:rowOff>
    </xdr:from>
    <xdr:to>
      <xdr:col>6</xdr:col>
      <xdr:colOff>47626</xdr:colOff>
      <xdr:row>64</xdr:row>
      <xdr:rowOff>6351</xdr:rowOff>
    </xdr:to>
    <xdr:sp macro="" textlink="">
      <xdr:nvSpPr>
        <xdr:cNvPr id="224" name="MC_BR_C_aav_mod_clinical_T_aav_mod_fail">
          <a:extLst>
            <a:ext uri="{FF2B5EF4-FFF2-40B4-BE49-F238E27FC236}">
              <a16:creationId xmlns:a16="http://schemas.microsoft.com/office/drawing/2014/main" id="{C565FFA7-3F07-4A3C-7951-9483C7FAACD4}"/>
            </a:ext>
          </a:extLst>
        </xdr:cNvPr>
        <xdr:cNvSpPr/>
      </xdr:nvSpPr>
      <xdr:spPr>
        <a:xfrm>
          <a:off x="10709485" y="11371493"/>
          <a:ext cx="2601704" cy="769708"/>
        </a:xfrm>
        <a:custGeom>
          <a:avLst/>
          <a:gdLst/>
          <a:ahLst/>
          <a:cxnLst/>
          <a:rect l="0" t="0" r="0" b="0"/>
          <a:pathLst>
            <a:path w="260170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1703" y="757007"/>
              </a:lnTo>
              <a:lnTo>
                <a:pt x="260170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63</xdr:row>
      <xdr:rowOff>99251</xdr:rowOff>
    </xdr:from>
    <xdr:ext cx="596895" cy="182550"/>
    <xdr:sp macro="_xll.MC_OnBranchLabelClick" textlink="">
      <xdr:nvSpPr>
        <xdr:cNvPr id="225" name="MC_BN_C_aav_mod_clinical_T_aav_mod_fail">
          <a:extLst>
            <a:ext uri="{FF2B5EF4-FFF2-40B4-BE49-F238E27FC236}">
              <a16:creationId xmlns:a16="http://schemas.microsoft.com/office/drawing/2014/main" id="{A2893972-1AE8-A455-FC2A-0CEFEB1B3D74}"/>
            </a:ext>
          </a:extLst>
        </xdr:cNvPr>
        <xdr:cNvSpPr txBox="1"/>
      </xdr:nvSpPr>
      <xdr:spPr>
        <a:xfrm>
          <a:off x="10911522" y="12043601"/>
          <a:ext cx="5968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Trial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67</xdr:row>
      <xdr:rowOff>184150</xdr:rowOff>
    </xdr:from>
    <xdr:to>
      <xdr:col>6</xdr:col>
      <xdr:colOff>47626</xdr:colOff>
      <xdr:row>70</xdr:row>
      <xdr:rowOff>2545</xdr:rowOff>
    </xdr:to>
    <xdr:sp macro="" textlink="">
      <xdr:nvSpPr>
        <xdr:cNvPr id="226" name="MC_BR_C_aav_mod_partner_T_aav_mod_part_yes">
          <a:extLst>
            <a:ext uri="{FF2B5EF4-FFF2-40B4-BE49-F238E27FC236}">
              <a16:creationId xmlns:a16="http://schemas.microsoft.com/office/drawing/2014/main" id="{F37F85D5-509A-7D31-0222-F410DACEEE40}"/>
            </a:ext>
          </a:extLst>
        </xdr:cNvPr>
        <xdr:cNvSpPr/>
      </xdr:nvSpPr>
      <xdr:spPr>
        <a:xfrm>
          <a:off x="10709870" y="12890500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1318" y="0"/>
              </a:lnTo>
              <a:lnTo>
                <a:pt x="260131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67</xdr:row>
      <xdr:rowOff>99251</xdr:rowOff>
    </xdr:from>
    <xdr:ext cx="711349" cy="182550"/>
    <xdr:sp macro="_xll.MC_OnBranchLabelClick" textlink="">
      <xdr:nvSpPr>
        <xdr:cNvPr id="227" name="MC_BN_C_aav_mod_partner_T_aav_mod_part_yes">
          <a:extLst>
            <a:ext uri="{FF2B5EF4-FFF2-40B4-BE49-F238E27FC236}">
              <a16:creationId xmlns:a16="http://schemas.microsoft.com/office/drawing/2014/main" id="{0EBE6CAD-13FE-331D-E3D1-22A039FAC1D1}"/>
            </a:ext>
          </a:extLst>
        </xdr:cNvPr>
        <xdr:cNvSpPr txBox="1"/>
      </xdr:nvSpPr>
      <xdr:spPr>
        <a:xfrm>
          <a:off x="10911522" y="12805601"/>
          <a:ext cx="7113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Found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69</xdr:row>
      <xdr:rowOff>187956</xdr:rowOff>
    </xdr:from>
    <xdr:to>
      <xdr:col>6</xdr:col>
      <xdr:colOff>47626</xdr:colOff>
      <xdr:row>72</xdr:row>
      <xdr:rowOff>6351</xdr:rowOff>
    </xdr:to>
    <xdr:sp macro="" textlink="">
      <xdr:nvSpPr>
        <xdr:cNvPr id="228" name="MC_BR_C_aav_mod_partner_T_aav_mod_part_no">
          <a:extLst>
            <a:ext uri="{FF2B5EF4-FFF2-40B4-BE49-F238E27FC236}">
              <a16:creationId xmlns:a16="http://schemas.microsoft.com/office/drawing/2014/main" id="{5C82EDAA-7B61-F2D9-3EBF-62358F19F4AC}"/>
            </a:ext>
          </a:extLst>
        </xdr:cNvPr>
        <xdr:cNvSpPr/>
      </xdr:nvSpPr>
      <xdr:spPr>
        <a:xfrm>
          <a:off x="10709870" y="13275306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1318" y="377194"/>
              </a:lnTo>
              <a:lnTo>
                <a:pt x="260131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71</xdr:row>
      <xdr:rowOff>99250</xdr:rowOff>
    </xdr:from>
    <xdr:ext cx="557332" cy="182550"/>
    <xdr:sp macro="_xll.MC_OnBranchLabelClick" textlink="">
      <xdr:nvSpPr>
        <xdr:cNvPr id="229" name="MC_BN_C_aav_mod_partner_T_aav_mod_part_no">
          <a:extLst>
            <a:ext uri="{FF2B5EF4-FFF2-40B4-BE49-F238E27FC236}">
              <a16:creationId xmlns:a16="http://schemas.microsoft.com/office/drawing/2014/main" id="{BB850A80-FCA1-EC97-CDC3-9F3807E2327B}"/>
            </a:ext>
          </a:extLst>
        </xdr:cNvPr>
        <xdr:cNvSpPr txBox="1"/>
      </xdr:nvSpPr>
      <xdr:spPr>
        <a:xfrm>
          <a:off x="10911522" y="13567600"/>
          <a:ext cx="557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89</xdr:row>
      <xdr:rowOff>174625</xdr:rowOff>
    </xdr:from>
    <xdr:to>
      <xdr:col>4</xdr:col>
      <xdr:colOff>47626</xdr:colOff>
      <xdr:row>100</xdr:row>
      <xdr:rowOff>1384</xdr:rowOff>
    </xdr:to>
    <xdr:sp macro="" textlink="">
      <xdr:nvSpPr>
        <xdr:cNvPr id="230" name="MC_BR_C_preclinical_exvivo_D_exvivo_fund">
          <a:extLst>
            <a:ext uri="{FF2B5EF4-FFF2-40B4-BE49-F238E27FC236}">
              <a16:creationId xmlns:a16="http://schemas.microsoft.com/office/drawing/2014/main" id="{449919D4-7FC5-AE08-DD84-DC0B429A5F81}"/>
            </a:ext>
          </a:extLst>
        </xdr:cNvPr>
        <xdr:cNvSpPr/>
      </xdr:nvSpPr>
      <xdr:spPr>
        <a:xfrm>
          <a:off x="4999162" y="17071975"/>
          <a:ext cx="2773239" cy="1922259"/>
        </a:xfrm>
        <a:custGeom>
          <a:avLst/>
          <a:gdLst/>
          <a:ahLst/>
          <a:cxnLst/>
          <a:rect l="0" t="0" r="0" b="0"/>
          <a:pathLst>
            <a:path w="2773239" h="1922259">
              <a:moveTo>
                <a:pt x="0" y="1919492"/>
              </a:moveTo>
              <a:lnTo>
                <a:pt x="166623" y="14492"/>
              </a:lnTo>
              <a:lnTo>
                <a:pt x="182438" y="0"/>
              </a:lnTo>
              <a:lnTo>
                <a:pt x="2773238" y="0"/>
              </a:lnTo>
              <a:lnTo>
                <a:pt x="2773238" y="31750"/>
              </a:lnTo>
              <a:lnTo>
                <a:pt x="182438" y="31750"/>
              </a:lnTo>
              <a:lnTo>
                <a:pt x="198253" y="17258"/>
              </a:lnTo>
              <a:lnTo>
                <a:pt x="31629" y="192225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89</xdr:row>
      <xdr:rowOff>99250</xdr:rowOff>
    </xdr:from>
    <xdr:ext cx="1064715" cy="182550"/>
    <xdr:sp macro="_xll.MC_OnBranchLabelClick" textlink="">
      <xdr:nvSpPr>
        <xdr:cNvPr id="231" name="MC_BN_C_preclinical_exvivo_D_exvivo_fund">
          <a:extLst>
            <a:ext uri="{FF2B5EF4-FFF2-40B4-BE49-F238E27FC236}">
              <a16:creationId xmlns:a16="http://schemas.microsoft.com/office/drawing/2014/main" id="{DCF517A4-CB50-1C74-87F0-4D9A25E69E72}"/>
            </a:ext>
          </a:extLst>
        </xdr:cNvPr>
        <xdr:cNvSpPr txBox="1"/>
      </xdr:nvSpPr>
      <xdr:spPr>
        <a:xfrm>
          <a:off x="5210810" y="16996600"/>
          <a:ext cx="10647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Cell Correction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99</xdr:row>
      <xdr:rowOff>184139</xdr:rowOff>
    </xdr:from>
    <xdr:to>
      <xdr:col>4</xdr:col>
      <xdr:colOff>47626</xdr:colOff>
      <xdr:row>102</xdr:row>
      <xdr:rowOff>15876</xdr:rowOff>
    </xdr:to>
    <xdr:sp macro="" textlink="">
      <xdr:nvSpPr>
        <xdr:cNvPr id="232" name="MC_BR_C_preclinical_exvivo_T_exvivo_partial_preclin">
          <a:extLst>
            <a:ext uri="{FF2B5EF4-FFF2-40B4-BE49-F238E27FC236}">
              <a16:creationId xmlns:a16="http://schemas.microsoft.com/office/drawing/2014/main" id="{52ACCFC1-9FDF-8FA2-9DAF-647006FAC6EF}"/>
            </a:ext>
          </a:extLst>
        </xdr:cNvPr>
        <xdr:cNvSpPr/>
      </xdr:nvSpPr>
      <xdr:spPr>
        <a:xfrm>
          <a:off x="5000431" y="18986489"/>
          <a:ext cx="2771970" cy="403237"/>
        </a:xfrm>
        <a:custGeom>
          <a:avLst/>
          <a:gdLst/>
          <a:ahLst/>
          <a:cxnLst/>
          <a:rect l="0" t="0" r="0" b="0"/>
          <a:pathLst>
            <a:path w="2771970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71969" y="371486"/>
              </a:lnTo>
              <a:lnTo>
                <a:pt x="2771969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101</xdr:row>
      <xdr:rowOff>99250</xdr:rowOff>
    </xdr:from>
    <xdr:ext cx="847989" cy="182550"/>
    <xdr:sp macro="_xll.MC_OnBranchLabelClick" textlink="">
      <xdr:nvSpPr>
        <xdr:cNvPr id="233" name="MC_BN_C_preclinical_exvivo_T_exvivo_partial_preclin">
          <a:extLst>
            <a:ext uri="{FF2B5EF4-FFF2-40B4-BE49-F238E27FC236}">
              <a16:creationId xmlns:a16="http://schemas.microsoft.com/office/drawing/2014/main" id="{2040E293-2048-4133-088C-E38EBCDF8C96}"/>
            </a:ext>
          </a:extLst>
        </xdr:cNvPr>
        <xdr:cNvSpPr txBox="1"/>
      </xdr:nvSpPr>
      <xdr:spPr>
        <a:xfrm>
          <a:off x="5210810" y="19282600"/>
          <a:ext cx="8479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Partial Correction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99</xdr:row>
      <xdr:rowOff>187110</xdr:rowOff>
    </xdr:from>
    <xdr:to>
      <xdr:col>4</xdr:col>
      <xdr:colOff>47626</xdr:colOff>
      <xdr:row>104</xdr:row>
      <xdr:rowOff>15876</xdr:rowOff>
    </xdr:to>
    <xdr:sp macro="" textlink="">
      <xdr:nvSpPr>
        <xdr:cNvPr id="234" name="MC_BR_C_preclinical_exvivo_T_exvivo_preclin_fail">
          <a:extLst>
            <a:ext uri="{FF2B5EF4-FFF2-40B4-BE49-F238E27FC236}">
              <a16:creationId xmlns:a16="http://schemas.microsoft.com/office/drawing/2014/main" id="{2183830C-74F7-DC4E-8ADD-57E2229B48A5}"/>
            </a:ext>
          </a:extLst>
        </xdr:cNvPr>
        <xdr:cNvSpPr/>
      </xdr:nvSpPr>
      <xdr:spPr>
        <a:xfrm>
          <a:off x="4999467" y="18989460"/>
          <a:ext cx="2772934" cy="781266"/>
        </a:xfrm>
        <a:custGeom>
          <a:avLst/>
          <a:gdLst/>
          <a:ahLst/>
          <a:cxnLst/>
          <a:rect l="0" t="0" r="0" b="0"/>
          <a:pathLst>
            <a:path w="2772934" h="781266">
              <a:moveTo>
                <a:pt x="31017" y="0"/>
              </a:moveTo>
              <a:lnTo>
                <a:pt x="197642" y="762000"/>
              </a:lnTo>
              <a:lnTo>
                <a:pt x="182133" y="749515"/>
              </a:lnTo>
              <a:lnTo>
                <a:pt x="2772933" y="749515"/>
              </a:lnTo>
              <a:lnTo>
                <a:pt x="2772933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103</xdr:row>
      <xdr:rowOff>99250</xdr:rowOff>
    </xdr:from>
    <xdr:ext cx="864917" cy="182550"/>
    <xdr:sp macro="_xll.MC_OnBranchLabelClick" textlink="">
      <xdr:nvSpPr>
        <xdr:cNvPr id="235" name="MC_BN_C_preclinical_exvivo_T_exvivo_preclin_fail">
          <a:extLst>
            <a:ext uri="{FF2B5EF4-FFF2-40B4-BE49-F238E27FC236}">
              <a16:creationId xmlns:a16="http://schemas.microsoft.com/office/drawing/2014/main" id="{B52C4E72-DA9F-E1C8-9EA1-05ED114D161A}"/>
            </a:ext>
          </a:extLst>
        </xdr:cNvPr>
        <xdr:cNvSpPr txBox="1"/>
      </xdr:nvSpPr>
      <xdr:spPr>
        <a:xfrm>
          <a:off x="5210810" y="19663600"/>
          <a:ext cx="864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Preclinical Failure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74770</xdr:colOff>
      <xdr:row>81</xdr:row>
      <xdr:rowOff>174625</xdr:rowOff>
    </xdr:from>
    <xdr:to>
      <xdr:col>5</xdr:col>
      <xdr:colOff>47626</xdr:colOff>
      <xdr:row>90</xdr:row>
      <xdr:rowOff>1726</xdr:rowOff>
    </xdr:to>
    <xdr:sp macro="" textlink="">
      <xdr:nvSpPr>
        <xdr:cNvPr id="236" name="MC_BR_D_exvivo_fund_C_exvivo_clinical">
          <a:extLst>
            <a:ext uri="{FF2B5EF4-FFF2-40B4-BE49-F238E27FC236}">
              <a16:creationId xmlns:a16="http://schemas.microsoft.com/office/drawing/2014/main" id="{BA369C05-1892-E7F7-97B6-6FDF87706E9C}"/>
            </a:ext>
          </a:extLst>
        </xdr:cNvPr>
        <xdr:cNvSpPr/>
      </xdr:nvSpPr>
      <xdr:spPr>
        <a:xfrm>
          <a:off x="7799545" y="15547975"/>
          <a:ext cx="2873219" cy="1541601"/>
        </a:xfrm>
        <a:custGeom>
          <a:avLst/>
          <a:gdLst/>
          <a:ahLst/>
          <a:cxnLst/>
          <a:rect l="0" t="0" r="0" b="0"/>
          <a:pathLst>
            <a:path w="2873219" h="1541601">
              <a:moveTo>
                <a:pt x="0" y="1538150"/>
              </a:moveTo>
              <a:lnTo>
                <a:pt x="166624" y="14150"/>
              </a:lnTo>
              <a:lnTo>
                <a:pt x="182405" y="0"/>
              </a:lnTo>
              <a:lnTo>
                <a:pt x="2873218" y="0"/>
              </a:lnTo>
              <a:lnTo>
                <a:pt x="2873218" y="31750"/>
              </a:lnTo>
              <a:lnTo>
                <a:pt x="182405" y="31750"/>
              </a:lnTo>
              <a:lnTo>
                <a:pt x="198186" y="17600"/>
              </a:lnTo>
              <a:lnTo>
                <a:pt x="31562" y="154160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81</xdr:row>
      <xdr:rowOff>99250</xdr:rowOff>
    </xdr:from>
    <xdr:ext cx="990849" cy="182550"/>
    <xdr:sp macro="_xll.MC_OnBranchLabelClick" textlink="">
      <xdr:nvSpPr>
        <xdr:cNvPr id="237" name="MC_BN_D_exvivo_fund_C_exvivo_clinical">
          <a:extLst>
            <a:ext uri="{FF2B5EF4-FFF2-40B4-BE49-F238E27FC236}">
              <a16:creationId xmlns:a16="http://schemas.microsoft.com/office/drawing/2014/main" id="{8AD63F4C-CBC6-1BF9-C3DF-587DD0020EF9}"/>
            </a:ext>
          </a:extLst>
        </xdr:cNvPr>
        <xdr:cNvSpPr txBox="1"/>
      </xdr:nvSpPr>
      <xdr:spPr>
        <a:xfrm>
          <a:off x="8011160" y="15472600"/>
          <a:ext cx="9908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Self-Fund Phase 1/2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89</xdr:row>
      <xdr:rowOff>189143</xdr:rowOff>
    </xdr:from>
    <xdr:to>
      <xdr:col>5</xdr:col>
      <xdr:colOff>47626</xdr:colOff>
      <xdr:row>94</xdr:row>
      <xdr:rowOff>6351</xdr:rowOff>
    </xdr:to>
    <xdr:sp macro="" textlink="">
      <xdr:nvSpPr>
        <xdr:cNvPr id="238" name="MC_BR_D_exvivo_fund_C_exvivo_partner">
          <a:extLst>
            <a:ext uri="{FF2B5EF4-FFF2-40B4-BE49-F238E27FC236}">
              <a16:creationId xmlns:a16="http://schemas.microsoft.com/office/drawing/2014/main" id="{DD2328F3-20A4-AC0C-0384-DDD36485D97A}"/>
            </a:ext>
          </a:extLst>
        </xdr:cNvPr>
        <xdr:cNvSpPr/>
      </xdr:nvSpPr>
      <xdr:spPr>
        <a:xfrm>
          <a:off x="7809123" y="17086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93</xdr:row>
      <xdr:rowOff>99250</xdr:rowOff>
    </xdr:from>
    <xdr:ext cx="1030860" cy="182550"/>
    <xdr:sp macro="_xll.MC_OnBranchLabelClick" textlink="">
      <xdr:nvSpPr>
        <xdr:cNvPr id="239" name="MC_BN_D_exvivo_fund_C_exvivo_partner">
          <a:extLst>
            <a:ext uri="{FF2B5EF4-FFF2-40B4-BE49-F238E27FC236}">
              <a16:creationId xmlns:a16="http://schemas.microsoft.com/office/drawing/2014/main" id="{EB6D81B5-70D3-3F4E-F41E-454086E4F5CD}"/>
            </a:ext>
          </a:extLst>
        </xdr:cNvPr>
        <xdr:cNvSpPr txBox="1"/>
      </xdr:nvSpPr>
      <xdr:spPr>
        <a:xfrm>
          <a:off x="8011160" y="17758600"/>
          <a:ext cx="10308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for Phase 1/2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79</xdr:row>
      <xdr:rowOff>174625</xdr:rowOff>
    </xdr:from>
    <xdr:to>
      <xdr:col>6</xdr:col>
      <xdr:colOff>47626</xdr:colOff>
      <xdr:row>82</xdr:row>
      <xdr:rowOff>6362</xdr:rowOff>
    </xdr:to>
    <xdr:sp macro="" textlink="">
      <xdr:nvSpPr>
        <xdr:cNvPr id="240" name="MC_BR_C_exvivo_clinical_T_exvivo_cure">
          <a:extLst>
            <a:ext uri="{FF2B5EF4-FFF2-40B4-BE49-F238E27FC236}">
              <a16:creationId xmlns:a16="http://schemas.microsoft.com/office/drawing/2014/main" id="{42177239-9E52-FAA1-1EFB-7B45D517A2CE}"/>
            </a:ext>
          </a:extLst>
        </xdr:cNvPr>
        <xdr:cNvSpPr/>
      </xdr:nvSpPr>
      <xdr:spPr>
        <a:xfrm>
          <a:off x="10701144" y="15166975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0044" y="0"/>
              </a:lnTo>
              <a:lnTo>
                <a:pt x="2610044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79</xdr:row>
      <xdr:rowOff>99250</xdr:rowOff>
    </xdr:from>
    <xdr:ext cx="779637" cy="182550"/>
    <xdr:sp macro="_xll.MC_OnBranchLabelClick" textlink="">
      <xdr:nvSpPr>
        <xdr:cNvPr id="241" name="MC_BN_C_exvivo_clinical_T_exvivo_cure">
          <a:extLst>
            <a:ext uri="{FF2B5EF4-FFF2-40B4-BE49-F238E27FC236}">
              <a16:creationId xmlns:a16="http://schemas.microsoft.com/office/drawing/2014/main" id="{4FF807CA-D5EA-59A7-AD9E-6F6AB0520949}"/>
            </a:ext>
          </a:extLst>
        </xdr:cNvPr>
        <xdr:cNvSpPr txBox="1"/>
      </xdr:nvSpPr>
      <xdr:spPr>
        <a:xfrm>
          <a:off x="10911522" y="15091600"/>
          <a:ext cx="779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Functional Cure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81</xdr:row>
      <xdr:rowOff>184139</xdr:rowOff>
    </xdr:from>
    <xdr:to>
      <xdr:col>6</xdr:col>
      <xdr:colOff>47626</xdr:colOff>
      <xdr:row>84</xdr:row>
      <xdr:rowOff>15876</xdr:rowOff>
    </xdr:to>
    <xdr:sp macro="" textlink="">
      <xdr:nvSpPr>
        <xdr:cNvPr id="242" name="MC_BR_C_exvivo_clinical_T_exvivo_improve">
          <a:extLst>
            <a:ext uri="{FF2B5EF4-FFF2-40B4-BE49-F238E27FC236}">
              <a16:creationId xmlns:a16="http://schemas.microsoft.com/office/drawing/2014/main" id="{7515FF50-83DA-7B24-331A-C089F80650E6}"/>
            </a:ext>
          </a:extLst>
        </xdr:cNvPr>
        <xdr:cNvSpPr/>
      </xdr:nvSpPr>
      <xdr:spPr>
        <a:xfrm>
          <a:off x="10701144" y="15557489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0044" y="371486"/>
              </a:lnTo>
              <a:lnTo>
                <a:pt x="261004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83</xdr:row>
      <xdr:rowOff>99250</xdr:rowOff>
    </xdr:from>
    <xdr:ext cx="1156086" cy="182550"/>
    <xdr:sp macro="_xll.MC_OnBranchLabelClick" textlink="">
      <xdr:nvSpPr>
        <xdr:cNvPr id="243" name="MC_BN_C_exvivo_clinical_T_exvivo_improve">
          <a:extLst>
            <a:ext uri="{FF2B5EF4-FFF2-40B4-BE49-F238E27FC236}">
              <a16:creationId xmlns:a16="http://schemas.microsoft.com/office/drawing/2014/main" id="{8AD30155-2D73-6416-F547-8FFB22B859EF}"/>
            </a:ext>
          </a:extLst>
        </xdr:cNvPr>
        <xdr:cNvSpPr txBox="1"/>
      </xdr:nvSpPr>
      <xdr:spPr>
        <a:xfrm>
          <a:off x="10911522" y="15853600"/>
          <a:ext cx="11560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Significant Improvement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81</xdr:row>
      <xdr:rowOff>187110</xdr:rowOff>
    </xdr:from>
    <xdr:to>
      <xdr:col>6</xdr:col>
      <xdr:colOff>47626</xdr:colOff>
      <xdr:row>86</xdr:row>
      <xdr:rowOff>15876</xdr:rowOff>
    </xdr:to>
    <xdr:sp macro="" textlink="">
      <xdr:nvSpPr>
        <xdr:cNvPr id="244" name="MC_BR_C_exvivo_clinical_T_exvivo_minimal">
          <a:extLst>
            <a:ext uri="{FF2B5EF4-FFF2-40B4-BE49-F238E27FC236}">
              <a16:creationId xmlns:a16="http://schemas.microsoft.com/office/drawing/2014/main" id="{D44A48AA-08E7-1DFA-15DC-1CC331BAAA1F}"/>
            </a:ext>
          </a:extLst>
        </xdr:cNvPr>
        <xdr:cNvSpPr/>
      </xdr:nvSpPr>
      <xdr:spPr>
        <a:xfrm>
          <a:off x="10700180" y="15560460"/>
          <a:ext cx="2611009" cy="781266"/>
        </a:xfrm>
        <a:custGeom>
          <a:avLst/>
          <a:gdLst/>
          <a:ahLst/>
          <a:cxnLst/>
          <a:rect l="0" t="0" r="0" b="0"/>
          <a:pathLst>
            <a:path w="2611009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611008" y="749515"/>
              </a:lnTo>
              <a:lnTo>
                <a:pt x="2611008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85</xdr:row>
      <xdr:rowOff>99250</xdr:rowOff>
    </xdr:from>
    <xdr:ext cx="756746" cy="182550"/>
    <xdr:sp macro="_xll.MC_OnBranchLabelClick" textlink="">
      <xdr:nvSpPr>
        <xdr:cNvPr id="245" name="MC_BN_C_exvivo_clinical_T_exvivo_minimal">
          <a:extLst>
            <a:ext uri="{FF2B5EF4-FFF2-40B4-BE49-F238E27FC236}">
              <a16:creationId xmlns:a16="http://schemas.microsoft.com/office/drawing/2014/main" id="{D6A89D6C-8B23-6824-BA3C-6335275FBB90}"/>
            </a:ext>
          </a:extLst>
        </xdr:cNvPr>
        <xdr:cNvSpPr txBox="1"/>
      </xdr:nvSpPr>
      <xdr:spPr>
        <a:xfrm>
          <a:off x="10911522" y="16234600"/>
          <a:ext cx="7567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Minimal Benefit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74841</xdr:colOff>
      <xdr:row>81</xdr:row>
      <xdr:rowOff>188210</xdr:rowOff>
    </xdr:from>
    <xdr:to>
      <xdr:col>6</xdr:col>
      <xdr:colOff>47626</xdr:colOff>
      <xdr:row>88</xdr:row>
      <xdr:rowOff>15876</xdr:rowOff>
    </xdr:to>
    <xdr:sp macro="" textlink="">
      <xdr:nvSpPr>
        <xdr:cNvPr id="246" name="MC_BR_C_exvivo_clinical_T_exvivo_safety">
          <a:extLst>
            <a:ext uri="{FF2B5EF4-FFF2-40B4-BE49-F238E27FC236}">
              <a16:creationId xmlns:a16="http://schemas.microsoft.com/office/drawing/2014/main" id="{51F2C705-A0C2-DC59-6DB4-DFF8F77E35AF}"/>
            </a:ext>
          </a:extLst>
        </xdr:cNvPr>
        <xdr:cNvSpPr/>
      </xdr:nvSpPr>
      <xdr:spPr>
        <a:xfrm>
          <a:off x="10699979" y="15561560"/>
          <a:ext cx="2611210" cy="1161166"/>
        </a:xfrm>
        <a:custGeom>
          <a:avLst/>
          <a:gdLst/>
          <a:ahLst/>
          <a:cxnLst/>
          <a:rect l="0" t="0" r="0" b="0"/>
          <a:pathLst>
            <a:path w="2611210" h="1161166">
              <a:moveTo>
                <a:pt x="31419" y="0"/>
              </a:moveTo>
              <a:lnTo>
                <a:pt x="198043" y="1143000"/>
              </a:lnTo>
              <a:lnTo>
                <a:pt x="182334" y="1129415"/>
              </a:lnTo>
              <a:lnTo>
                <a:pt x="2611209" y="1129415"/>
              </a:lnTo>
              <a:lnTo>
                <a:pt x="2611209" y="1161165"/>
              </a:lnTo>
              <a:lnTo>
                <a:pt x="182334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87</xdr:row>
      <xdr:rowOff>99250</xdr:rowOff>
    </xdr:from>
    <xdr:ext cx="762645" cy="182550"/>
    <xdr:sp macro="_xll.MC_OnBranchLabelClick" textlink="">
      <xdr:nvSpPr>
        <xdr:cNvPr id="247" name="MC_BN_C_exvivo_clinical_T_exvivo_safety">
          <a:extLst>
            <a:ext uri="{FF2B5EF4-FFF2-40B4-BE49-F238E27FC236}">
              <a16:creationId xmlns:a16="http://schemas.microsoft.com/office/drawing/2014/main" id="{209970DD-52B9-C5E9-CBC9-1FC31B497BA8}"/>
            </a:ext>
          </a:extLst>
        </xdr:cNvPr>
        <xdr:cNvSpPr txBox="1"/>
      </xdr:nvSpPr>
      <xdr:spPr>
        <a:xfrm>
          <a:off x="10911522" y="16615600"/>
          <a:ext cx="762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Safety Concern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91</xdr:row>
      <xdr:rowOff>184150</xdr:rowOff>
    </xdr:from>
    <xdr:to>
      <xdr:col>6</xdr:col>
      <xdr:colOff>47626</xdr:colOff>
      <xdr:row>94</xdr:row>
      <xdr:rowOff>2545</xdr:rowOff>
    </xdr:to>
    <xdr:sp macro="" textlink="">
      <xdr:nvSpPr>
        <xdr:cNvPr id="248" name="MC_BR_C_exvivo_partner_T_exvivo_major_partner">
          <a:extLst>
            <a:ext uri="{FF2B5EF4-FFF2-40B4-BE49-F238E27FC236}">
              <a16:creationId xmlns:a16="http://schemas.microsoft.com/office/drawing/2014/main" id="{95317841-039D-D750-3DC1-DAD62D363E72}"/>
            </a:ext>
          </a:extLst>
        </xdr:cNvPr>
        <xdr:cNvSpPr/>
      </xdr:nvSpPr>
      <xdr:spPr>
        <a:xfrm>
          <a:off x="10709870" y="17462500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1318" y="0"/>
              </a:lnTo>
              <a:lnTo>
                <a:pt x="260131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91</xdr:row>
      <xdr:rowOff>99250</xdr:rowOff>
    </xdr:from>
    <xdr:ext cx="1064779" cy="182550"/>
    <xdr:sp macro="_xll.MC_OnBranchLabelClick" textlink="">
      <xdr:nvSpPr>
        <xdr:cNvPr id="249" name="MC_BN_C_exvivo_partner_T_exvivo_major_partner">
          <a:extLst>
            <a:ext uri="{FF2B5EF4-FFF2-40B4-BE49-F238E27FC236}">
              <a16:creationId xmlns:a16="http://schemas.microsoft.com/office/drawing/2014/main" id="{C80D776C-0DE8-5845-8FBB-18D985A59C21}"/>
            </a:ext>
          </a:extLst>
        </xdr:cNvPr>
        <xdr:cNvSpPr txBox="1"/>
      </xdr:nvSpPr>
      <xdr:spPr>
        <a:xfrm>
          <a:off x="10911522" y="17377600"/>
          <a:ext cx="10647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Pharma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93</xdr:row>
      <xdr:rowOff>187956</xdr:rowOff>
    </xdr:from>
    <xdr:to>
      <xdr:col>6</xdr:col>
      <xdr:colOff>47626</xdr:colOff>
      <xdr:row>96</xdr:row>
      <xdr:rowOff>6351</xdr:rowOff>
    </xdr:to>
    <xdr:sp macro="" textlink="">
      <xdr:nvSpPr>
        <xdr:cNvPr id="250" name="MC_BR_C_exvivo_partner_T_exvivo_bio_partner">
          <a:extLst>
            <a:ext uri="{FF2B5EF4-FFF2-40B4-BE49-F238E27FC236}">
              <a16:creationId xmlns:a16="http://schemas.microsoft.com/office/drawing/2014/main" id="{53F9BC2F-A4D7-BDF5-22C7-2CCA8C2259D3}"/>
            </a:ext>
          </a:extLst>
        </xdr:cNvPr>
        <xdr:cNvSpPr/>
      </xdr:nvSpPr>
      <xdr:spPr>
        <a:xfrm>
          <a:off x="10709870" y="17847306"/>
          <a:ext cx="2601319" cy="389895"/>
        </a:xfrm>
        <a:custGeom>
          <a:avLst/>
          <a:gdLst/>
          <a:ahLst/>
          <a:cxnLst/>
          <a:rect l="0" t="0" r="0" b="0"/>
          <a:pathLst>
            <a:path w="260131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1318" y="377194"/>
              </a:lnTo>
              <a:lnTo>
                <a:pt x="260131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95</xdr:row>
      <xdr:rowOff>99250</xdr:rowOff>
    </xdr:from>
    <xdr:ext cx="762645" cy="182550"/>
    <xdr:sp macro="_xll.MC_OnBranchLabelClick" textlink="">
      <xdr:nvSpPr>
        <xdr:cNvPr id="251" name="MC_BN_C_exvivo_partner_T_exvivo_bio_partner">
          <a:extLst>
            <a:ext uri="{FF2B5EF4-FFF2-40B4-BE49-F238E27FC236}">
              <a16:creationId xmlns:a16="http://schemas.microsoft.com/office/drawing/2014/main" id="{AD4C740B-56FE-26CD-6876-A8F3FFB7B745}"/>
            </a:ext>
          </a:extLst>
        </xdr:cNvPr>
        <xdr:cNvSpPr txBox="1"/>
      </xdr:nvSpPr>
      <xdr:spPr>
        <a:xfrm>
          <a:off x="10911522" y="18139600"/>
          <a:ext cx="762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Biotech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93</xdr:row>
      <xdr:rowOff>189143</xdr:rowOff>
    </xdr:from>
    <xdr:to>
      <xdr:col>6</xdr:col>
      <xdr:colOff>47626</xdr:colOff>
      <xdr:row>98</xdr:row>
      <xdr:rowOff>6351</xdr:rowOff>
    </xdr:to>
    <xdr:sp macro="" textlink="">
      <xdr:nvSpPr>
        <xdr:cNvPr id="252" name="MC_BR_C_exvivo_partner_T_exvivo_no_partner">
          <a:extLst>
            <a:ext uri="{FF2B5EF4-FFF2-40B4-BE49-F238E27FC236}">
              <a16:creationId xmlns:a16="http://schemas.microsoft.com/office/drawing/2014/main" id="{8C477513-AEC3-4793-33A7-B5C6B761034C}"/>
            </a:ext>
          </a:extLst>
        </xdr:cNvPr>
        <xdr:cNvSpPr/>
      </xdr:nvSpPr>
      <xdr:spPr>
        <a:xfrm>
          <a:off x="10709485" y="17848493"/>
          <a:ext cx="2601704" cy="769708"/>
        </a:xfrm>
        <a:custGeom>
          <a:avLst/>
          <a:gdLst/>
          <a:ahLst/>
          <a:cxnLst/>
          <a:rect l="0" t="0" r="0" b="0"/>
          <a:pathLst>
            <a:path w="260170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1703" y="757007"/>
              </a:lnTo>
              <a:lnTo>
                <a:pt x="260170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97</xdr:row>
      <xdr:rowOff>99250</xdr:rowOff>
    </xdr:from>
    <xdr:ext cx="557332" cy="182550"/>
    <xdr:sp macro="_xll.MC_OnBranchLabelClick" textlink="">
      <xdr:nvSpPr>
        <xdr:cNvPr id="253" name="MC_BN_C_exvivo_partner_T_exvivo_no_partner">
          <a:extLst>
            <a:ext uri="{FF2B5EF4-FFF2-40B4-BE49-F238E27FC236}">
              <a16:creationId xmlns:a16="http://schemas.microsoft.com/office/drawing/2014/main" id="{8EA47E92-702E-F45F-AE34-D611EE81DDA8}"/>
            </a:ext>
          </a:extLst>
        </xdr:cNvPr>
        <xdr:cNvSpPr txBox="1"/>
      </xdr:nvSpPr>
      <xdr:spPr>
        <a:xfrm>
          <a:off x="10911522" y="18520600"/>
          <a:ext cx="557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105</xdr:row>
      <xdr:rowOff>184150</xdr:rowOff>
    </xdr:from>
    <xdr:to>
      <xdr:col>4</xdr:col>
      <xdr:colOff>47626</xdr:colOff>
      <xdr:row>108</xdr:row>
      <xdr:rowOff>2545</xdr:rowOff>
    </xdr:to>
    <xdr:sp macro="" textlink="">
      <xdr:nvSpPr>
        <xdr:cNvPr id="254" name="MC_BR_C_license_deal_T_license_success">
          <a:extLst>
            <a:ext uri="{FF2B5EF4-FFF2-40B4-BE49-F238E27FC236}">
              <a16:creationId xmlns:a16="http://schemas.microsoft.com/office/drawing/2014/main" id="{E88E8B0B-9117-203D-7CD2-1C68F012F409}"/>
            </a:ext>
          </a:extLst>
        </xdr:cNvPr>
        <xdr:cNvSpPr/>
      </xdr:nvSpPr>
      <xdr:spPr>
        <a:xfrm>
          <a:off x="5009158" y="20129500"/>
          <a:ext cx="2763243" cy="389895"/>
        </a:xfrm>
        <a:custGeom>
          <a:avLst/>
          <a:gdLst/>
          <a:ahLst/>
          <a:cxnLst/>
          <a:rect l="0" t="0" r="0" b="0"/>
          <a:pathLst>
            <a:path w="276324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63242" y="0"/>
              </a:lnTo>
              <a:lnTo>
                <a:pt x="2763242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105</xdr:row>
      <xdr:rowOff>99250</xdr:rowOff>
    </xdr:from>
    <xdr:ext cx="1484061" cy="182550"/>
    <xdr:sp macro="_xll.MC_OnBranchLabelClick" textlink="">
      <xdr:nvSpPr>
        <xdr:cNvPr id="255" name="MC_BN_C_license_deal_T_license_success">
          <a:extLst>
            <a:ext uri="{FF2B5EF4-FFF2-40B4-BE49-F238E27FC236}">
              <a16:creationId xmlns:a16="http://schemas.microsoft.com/office/drawing/2014/main" id="{21E39285-9D85-F72A-88A5-0BE2FF06AC34}"/>
            </a:ext>
          </a:extLst>
        </xdr:cNvPr>
        <xdr:cNvSpPr txBox="1"/>
      </xdr:nvSpPr>
      <xdr:spPr>
        <a:xfrm>
          <a:off x="5210810" y="20044600"/>
          <a:ext cx="14840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Licensee Succeeds + Royalties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107</xdr:row>
      <xdr:rowOff>187956</xdr:rowOff>
    </xdr:from>
    <xdr:to>
      <xdr:col>4</xdr:col>
      <xdr:colOff>47626</xdr:colOff>
      <xdr:row>110</xdr:row>
      <xdr:rowOff>6351</xdr:rowOff>
    </xdr:to>
    <xdr:sp macro="" textlink="">
      <xdr:nvSpPr>
        <xdr:cNvPr id="256" name="MC_BR_C_license_deal_T_license_phase2">
          <a:extLst>
            <a:ext uri="{FF2B5EF4-FFF2-40B4-BE49-F238E27FC236}">
              <a16:creationId xmlns:a16="http://schemas.microsoft.com/office/drawing/2014/main" id="{474B612D-C3E1-A3E9-116C-0431D740D01E}"/>
            </a:ext>
          </a:extLst>
        </xdr:cNvPr>
        <xdr:cNvSpPr/>
      </xdr:nvSpPr>
      <xdr:spPr>
        <a:xfrm>
          <a:off x="5009158" y="20514306"/>
          <a:ext cx="2763243" cy="389895"/>
        </a:xfrm>
        <a:custGeom>
          <a:avLst/>
          <a:gdLst/>
          <a:ahLst/>
          <a:cxnLst/>
          <a:rect l="0" t="0" r="0" b="0"/>
          <a:pathLst>
            <a:path w="276324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63242" y="377194"/>
              </a:lnTo>
              <a:lnTo>
                <a:pt x="27632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109</xdr:row>
      <xdr:rowOff>99250</xdr:rowOff>
    </xdr:from>
    <xdr:ext cx="1304588" cy="182550"/>
    <xdr:sp macro="_xll.MC_OnBranchLabelClick" textlink="">
      <xdr:nvSpPr>
        <xdr:cNvPr id="257" name="MC_BN_C_license_deal_T_license_phase2">
          <a:extLst>
            <a:ext uri="{FF2B5EF4-FFF2-40B4-BE49-F238E27FC236}">
              <a16:creationId xmlns:a16="http://schemas.microsoft.com/office/drawing/2014/main" id="{B183C4A2-DF70-DEC1-9BA5-3FA7B31FA2FA}"/>
            </a:ext>
          </a:extLst>
        </xdr:cNvPr>
        <xdr:cNvSpPr txBox="1"/>
      </xdr:nvSpPr>
      <xdr:spPr>
        <a:xfrm>
          <a:off x="5210810" y="20806600"/>
          <a:ext cx="130458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Licensee Reaches Phase 2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107</xdr:row>
      <xdr:rowOff>189143</xdr:rowOff>
    </xdr:from>
    <xdr:to>
      <xdr:col>4</xdr:col>
      <xdr:colOff>47626</xdr:colOff>
      <xdr:row>112</xdr:row>
      <xdr:rowOff>6351</xdr:rowOff>
    </xdr:to>
    <xdr:sp macro="" textlink="">
      <xdr:nvSpPr>
        <xdr:cNvPr id="258" name="MC_BR_C_license_deal_T_license_clinic_fail">
          <a:extLst>
            <a:ext uri="{FF2B5EF4-FFF2-40B4-BE49-F238E27FC236}">
              <a16:creationId xmlns:a16="http://schemas.microsoft.com/office/drawing/2014/main" id="{E18F907C-AC45-7243-8667-ED3CF446F372}"/>
            </a:ext>
          </a:extLst>
        </xdr:cNvPr>
        <xdr:cNvSpPr/>
      </xdr:nvSpPr>
      <xdr:spPr>
        <a:xfrm>
          <a:off x="5008773" y="20515493"/>
          <a:ext cx="2763628" cy="769708"/>
        </a:xfrm>
        <a:custGeom>
          <a:avLst/>
          <a:gdLst/>
          <a:ahLst/>
          <a:cxnLst/>
          <a:rect l="0" t="0" r="0" b="0"/>
          <a:pathLst>
            <a:path w="2763628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63627" y="757007"/>
              </a:lnTo>
              <a:lnTo>
                <a:pt x="2763627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111</xdr:row>
      <xdr:rowOff>99250</xdr:rowOff>
    </xdr:from>
    <xdr:ext cx="1098762" cy="182550"/>
    <xdr:sp macro="_xll.MC_OnBranchLabelClick" textlink="">
      <xdr:nvSpPr>
        <xdr:cNvPr id="259" name="MC_BN_C_license_deal_T_license_clinic_fail">
          <a:extLst>
            <a:ext uri="{FF2B5EF4-FFF2-40B4-BE49-F238E27FC236}">
              <a16:creationId xmlns:a16="http://schemas.microsoft.com/office/drawing/2014/main" id="{65769122-DE20-6B55-3923-46AF31D396EA}"/>
            </a:ext>
          </a:extLst>
        </xdr:cNvPr>
        <xdr:cNvSpPr txBox="1"/>
      </xdr:nvSpPr>
      <xdr:spPr>
        <a:xfrm>
          <a:off x="5210810" y="21187600"/>
          <a:ext cx="10987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Licensee Fails in Clinic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107</xdr:row>
      <xdr:rowOff>189584</xdr:rowOff>
    </xdr:from>
    <xdr:to>
      <xdr:col>4</xdr:col>
      <xdr:colOff>47626</xdr:colOff>
      <xdr:row>114</xdr:row>
      <xdr:rowOff>6351</xdr:rowOff>
    </xdr:to>
    <xdr:sp macro="" textlink="">
      <xdr:nvSpPr>
        <xdr:cNvPr id="260" name="MC_BR_C_license_deal_T_license_abandon">
          <a:extLst>
            <a:ext uri="{FF2B5EF4-FFF2-40B4-BE49-F238E27FC236}">
              <a16:creationId xmlns:a16="http://schemas.microsoft.com/office/drawing/2014/main" id="{79962528-4A2E-BFBD-B591-750A10887DBB}"/>
            </a:ext>
          </a:extLst>
        </xdr:cNvPr>
        <xdr:cNvSpPr/>
      </xdr:nvSpPr>
      <xdr:spPr>
        <a:xfrm>
          <a:off x="5008692" y="20515934"/>
          <a:ext cx="2763709" cy="1150267"/>
        </a:xfrm>
        <a:custGeom>
          <a:avLst/>
          <a:gdLst/>
          <a:ahLst/>
          <a:cxnLst/>
          <a:rect l="0" t="0" r="0" b="0"/>
          <a:pathLst>
            <a:path w="2763709" h="1150267">
              <a:moveTo>
                <a:pt x="12567" y="0"/>
              </a:moveTo>
              <a:lnTo>
                <a:pt x="179192" y="1143000"/>
              </a:lnTo>
              <a:lnTo>
                <a:pt x="172908" y="1137566"/>
              </a:lnTo>
              <a:lnTo>
                <a:pt x="2763708" y="1137566"/>
              </a:lnTo>
              <a:lnTo>
                <a:pt x="2763708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113</xdr:row>
      <xdr:rowOff>99250</xdr:rowOff>
    </xdr:from>
    <xdr:ext cx="956737" cy="182550"/>
    <xdr:sp macro="_xll.MC_OnBranchLabelClick" textlink="">
      <xdr:nvSpPr>
        <xdr:cNvPr id="261" name="MC_BN_C_license_deal_T_license_abandon">
          <a:extLst>
            <a:ext uri="{FF2B5EF4-FFF2-40B4-BE49-F238E27FC236}">
              <a16:creationId xmlns:a16="http://schemas.microsoft.com/office/drawing/2014/main" id="{45061329-4D2B-2E4C-6BCB-1DD0D7300D5E}"/>
            </a:ext>
          </a:extLst>
        </xdr:cNvPr>
        <xdr:cNvSpPr txBox="1"/>
      </xdr:nvSpPr>
      <xdr:spPr>
        <a:xfrm>
          <a:off x="5210810" y="21568600"/>
          <a:ext cx="9567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Licensee Abandons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8</xdr:col>
      <xdr:colOff>4763</xdr:colOff>
      <xdr:row>19</xdr:row>
      <xdr:rowOff>109537</xdr:rowOff>
    </xdr:from>
    <xdr:to>
      <xdr:col>8</xdr:col>
      <xdr:colOff>176213</xdr:colOff>
      <xdr:row>20</xdr:row>
      <xdr:rowOff>80962</xdr:rowOff>
    </xdr:to>
    <xdr:sp macro="_xll.MC_OnNodeClick" textlink="">
      <xdr:nvSpPr>
        <xdr:cNvPr id="262" name="MC_T_aav_accel">
          <a:extLst>
            <a:ext uri="{FF2B5EF4-FFF2-40B4-BE49-F238E27FC236}">
              <a16:creationId xmlns:a16="http://schemas.microsoft.com/office/drawing/2014/main" id="{CB64E1AC-97E4-A9DE-02A4-4BF7E94258AB}"/>
            </a:ext>
          </a:extLst>
        </xdr:cNvPr>
        <xdr:cNvSpPr/>
      </xdr:nvSpPr>
      <xdr:spPr>
        <a:xfrm rot="16200000">
          <a:off x="1838801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9525</xdr:colOff>
      <xdr:row>21</xdr:row>
      <xdr:rowOff>109538</xdr:rowOff>
    </xdr:from>
    <xdr:to>
      <xdr:col>7</xdr:col>
      <xdr:colOff>180975</xdr:colOff>
      <xdr:row>22</xdr:row>
      <xdr:rowOff>80963</xdr:rowOff>
    </xdr:to>
    <xdr:sp macro="_xll.MC_OnNodeClick" textlink="">
      <xdr:nvSpPr>
        <xdr:cNvPr id="263" name="MC_C_fda_aav">
          <a:extLst>
            <a:ext uri="{FF2B5EF4-FFF2-40B4-BE49-F238E27FC236}">
              <a16:creationId xmlns:a16="http://schemas.microsoft.com/office/drawing/2014/main" id="{9924BECD-6829-32B3-5E03-34869E3A0A7C}"/>
            </a:ext>
          </a:extLst>
        </xdr:cNvPr>
        <xdr:cNvSpPr/>
      </xdr:nvSpPr>
      <xdr:spPr>
        <a:xfrm>
          <a:off x="1591627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8</xdr:col>
      <xdr:colOff>4763</xdr:colOff>
      <xdr:row>23</xdr:row>
      <xdr:rowOff>109537</xdr:rowOff>
    </xdr:from>
    <xdr:to>
      <xdr:col>8</xdr:col>
      <xdr:colOff>176213</xdr:colOff>
      <xdr:row>24</xdr:row>
      <xdr:rowOff>80962</xdr:rowOff>
    </xdr:to>
    <xdr:sp macro="_xll.MC_OnNodeClick" textlink="">
      <xdr:nvSpPr>
        <xdr:cNvPr id="264" name="MC_T_aav_standard">
          <a:extLst>
            <a:ext uri="{FF2B5EF4-FFF2-40B4-BE49-F238E27FC236}">
              <a16:creationId xmlns:a16="http://schemas.microsoft.com/office/drawing/2014/main" id="{8EC1DC66-4B0A-A003-BEB8-0D2E1A065909}"/>
            </a:ext>
          </a:extLst>
        </xdr:cNvPr>
        <xdr:cNvSpPr/>
      </xdr:nvSpPr>
      <xdr:spPr>
        <a:xfrm rot="16200000">
          <a:off x="1838801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8</xdr:col>
      <xdr:colOff>4763</xdr:colOff>
      <xdr:row>25</xdr:row>
      <xdr:rowOff>109537</xdr:rowOff>
    </xdr:from>
    <xdr:to>
      <xdr:col>8</xdr:col>
      <xdr:colOff>176213</xdr:colOff>
      <xdr:row>26</xdr:row>
      <xdr:rowOff>80962</xdr:rowOff>
    </xdr:to>
    <xdr:sp macro="_xll.MC_OnNodeClick" textlink="">
      <xdr:nvSpPr>
        <xdr:cNvPr id="265" name="MC_T_aav_crl">
          <a:extLst>
            <a:ext uri="{FF2B5EF4-FFF2-40B4-BE49-F238E27FC236}">
              <a16:creationId xmlns:a16="http://schemas.microsoft.com/office/drawing/2014/main" id="{31CE5466-4F38-41E2-EBBD-C30BBFF86D23}"/>
            </a:ext>
          </a:extLst>
        </xdr:cNvPr>
        <xdr:cNvSpPr/>
      </xdr:nvSpPr>
      <xdr:spPr>
        <a:xfrm rot="16200000">
          <a:off x="1838801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27</xdr:row>
      <xdr:rowOff>109538</xdr:rowOff>
    </xdr:from>
    <xdr:to>
      <xdr:col>6</xdr:col>
      <xdr:colOff>180975</xdr:colOff>
      <xdr:row>28</xdr:row>
      <xdr:rowOff>80963</xdr:rowOff>
    </xdr:to>
    <xdr:sp macro="_xll.MC_OnNodeClick" textlink="">
      <xdr:nvSpPr>
        <xdr:cNvPr id="266" name="MC_C_aav_clinical">
          <a:extLst>
            <a:ext uri="{FF2B5EF4-FFF2-40B4-BE49-F238E27FC236}">
              <a16:creationId xmlns:a16="http://schemas.microsoft.com/office/drawing/2014/main" id="{D4689873-01A1-132C-CFEB-213995BED14C}"/>
            </a:ext>
          </a:extLst>
        </xdr:cNvPr>
        <xdr:cNvSpPr/>
      </xdr:nvSpPr>
      <xdr:spPr>
        <a:xfrm>
          <a:off x="13273088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29</xdr:row>
      <xdr:rowOff>109537</xdr:rowOff>
    </xdr:from>
    <xdr:to>
      <xdr:col>7</xdr:col>
      <xdr:colOff>176213</xdr:colOff>
      <xdr:row>30</xdr:row>
      <xdr:rowOff>80962</xdr:rowOff>
    </xdr:to>
    <xdr:sp macro="_xll.MC_OnNodeClick" textlink="">
      <xdr:nvSpPr>
        <xdr:cNvPr id="267" name="MC_T_aav_partial">
          <a:extLst>
            <a:ext uri="{FF2B5EF4-FFF2-40B4-BE49-F238E27FC236}">
              <a16:creationId xmlns:a16="http://schemas.microsoft.com/office/drawing/2014/main" id="{08D3C628-1147-748D-7BD7-5A60C0B4087E}"/>
            </a:ext>
          </a:extLst>
        </xdr:cNvPr>
        <xdr:cNvSpPr/>
      </xdr:nvSpPr>
      <xdr:spPr>
        <a:xfrm rot="16200000">
          <a:off x="1591627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31</xdr:row>
      <xdr:rowOff>109537</xdr:rowOff>
    </xdr:from>
    <xdr:to>
      <xdr:col>7</xdr:col>
      <xdr:colOff>176213</xdr:colOff>
      <xdr:row>32</xdr:row>
      <xdr:rowOff>80962</xdr:rowOff>
    </xdr:to>
    <xdr:sp macro="_xll.MC_OnNodeClick" textlink="">
      <xdr:nvSpPr>
        <xdr:cNvPr id="268" name="MC_T_aav_no_eff">
          <a:extLst>
            <a:ext uri="{FF2B5EF4-FFF2-40B4-BE49-F238E27FC236}">
              <a16:creationId xmlns:a16="http://schemas.microsoft.com/office/drawing/2014/main" id="{67595703-40C1-5C04-2220-B8EC95F6E90F}"/>
            </a:ext>
          </a:extLst>
        </xdr:cNvPr>
        <xdr:cNvSpPr/>
      </xdr:nvSpPr>
      <xdr:spPr>
        <a:xfrm rot="16200000">
          <a:off x="15916275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33</xdr:row>
      <xdr:rowOff>109538</xdr:rowOff>
    </xdr:from>
    <xdr:to>
      <xdr:col>5</xdr:col>
      <xdr:colOff>180975</xdr:colOff>
      <xdr:row>34</xdr:row>
      <xdr:rowOff>80963</xdr:rowOff>
    </xdr:to>
    <xdr:sp macro="_xll.MC_OnNodeClick" textlink="">
      <xdr:nvSpPr>
        <xdr:cNvPr id="269" name="MC_C_aav_mfg">
          <a:extLst>
            <a:ext uri="{FF2B5EF4-FFF2-40B4-BE49-F238E27FC236}">
              <a16:creationId xmlns:a16="http://schemas.microsoft.com/office/drawing/2014/main" id="{04371016-46B4-FF1A-3924-16B0B6BDE331}"/>
            </a:ext>
          </a:extLst>
        </xdr:cNvPr>
        <xdr:cNvSpPr/>
      </xdr:nvSpPr>
      <xdr:spPr>
        <a:xfrm>
          <a:off x="10634663" y="633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35</xdr:row>
      <xdr:rowOff>109537</xdr:rowOff>
    </xdr:from>
    <xdr:to>
      <xdr:col>7</xdr:col>
      <xdr:colOff>176213</xdr:colOff>
      <xdr:row>36</xdr:row>
      <xdr:rowOff>80962</xdr:rowOff>
    </xdr:to>
    <xdr:sp macro="_xll.MC_OnNodeClick" textlink="">
      <xdr:nvSpPr>
        <xdr:cNvPr id="270" name="MC_T_aav_delay_good">
          <a:extLst>
            <a:ext uri="{FF2B5EF4-FFF2-40B4-BE49-F238E27FC236}">
              <a16:creationId xmlns:a16="http://schemas.microsoft.com/office/drawing/2014/main" id="{315BC6A8-41F0-B2EE-2D91-F9A6C723387B}"/>
            </a:ext>
          </a:extLst>
        </xdr:cNvPr>
        <xdr:cNvSpPr/>
      </xdr:nvSpPr>
      <xdr:spPr>
        <a:xfrm rot="16200000">
          <a:off x="1591627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37</xdr:row>
      <xdr:rowOff>109538</xdr:rowOff>
    </xdr:from>
    <xdr:to>
      <xdr:col>6</xdr:col>
      <xdr:colOff>180975</xdr:colOff>
      <xdr:row>38</xdr:row>
      <xdr:rowOff>80963</xdr:rowOff>
    </xdr:to>
    <xdr:sp macro="_xll.MC_OnNodeClick" textlink="">
      <xdr:nvSpPr>
        <xdr:cNvPr id="271" name="MC_C_aav_clinical_delay">
          <a:extLst>
            <a:ext uri="{FF2B5EF4-FFF2-40B4-BE49-F238E27FC236}">
              <a16:creationId xmlns:a16="http://schemas.microsoft.com/office/drawing/2014/main" id="{D7C6B310-9310-8FEC-F52E-7BB080FE60C1}"/>
            </a:ext>
          </a:extLst>
        </xdr:cNvPr>
        <xdr:cNvSpPr/>
      </xdr:nvSpPr>
      <xdr:spPr>
        <a:xfrm>
          <a:off x="13273088" y="710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39</xdr:row>
      <xdr:rowOff>109537</xdr:rowOff>
    </xdr:from>
    <xdr:to>
      <xdr:col>7</xdr:col>
      <xdr:colOff>176213</xdr:colOff>
      <xdr:row>40</xdr:row>
      <xdr:rowOff>80962</xdr:rowOff>
    </xdr:to>
    <xdr:sp macro="_xll.MC_OnNodeClick" textlink="">
      <xdr:nvSpPr>
        <xdr:cNvPr id="272" name="MC_T_aav_delay_partial">
          <a:extLst>
            <a:ext uri="{FF2B5EF4-FFF2-40B4-BE49-F238E27FC236}">
              <a16:creationId xmlns:a16="http://schemas.microsoft.com/office/drawing/2014/main" id="{ABF502A5-255E-C231-FE35-B57C2526B58C}"/>
            </a:ext>
          </a:extLst>
        </xdr:cNvPr>
        <xdr:cNvSpPr/>
      </xdr:nvSpPr>
      <xdr:spPr>
        <a:xfrm rot="16200000">
          <a:off x="15916275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41</xdr:row>
      <xdr:rowOff>109537</xdr:rowOff>
    </xdr:from>
    <xdr:to>
      <xdr:col>7</xdr:col>
      <xdr:colOff>176213</xdr:colOff>
      <xdr:row>42</xdr:row>
      <xdr:rowOff>80962</xdr:rowOff>
    </xdr:to>
    <xdr:sp macro="_xll.MC_OnNodeClick" textlink="">
      <xdr:nvSpPr>
        <xdr:cNvPr id="273" name="MC_T_aav_delay_fail">
          <a:extLst>
            <a:ext uri="{FF2B5EF4-FFF2-40B4-BE49-F238E27FC236}">
              <a16:creationId xmlns:a16="http://schemas.microsoft.com/office/drawing/2014/main" id="{F7575C9F-6E82-F2D9-68C4-EB417598EB37}"/>
            </a:ext>
          </a:extLst>
        </xdr:cNvPr>
        <xdr:cNvSpPr/>
      </xdr:nvSpPr>
      <xdr:spPr>
        <a:xfrm rot="16200000">
          <a:off x="1591627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274" name="MC_T_aav_mfg_fail">
          <a:extLst>
            <a:ext uri="{FF2B5EF4-FFF2-40B4-BE49-F238E27FC236}">
              <a16:creationId xmlns:a16="http://schemas.microsoft.com/office/drawing/2014/main" id="{B1D25D9C-87F8-6B73-E0AF-398B54D5E03A}"/>
            </a:ext>
          </a:extLst>
        </xdr:cNvPr>
        <xdr:cNvSpPr/>
      </xdr:nvSpPr>
      <xdr:spPr>
        <a:xfrm rot="16200000">
          <a:off x="13273088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275" name="MC_D_aav_fund">
          <a:extLst>
            <a:ext uri="{FF2B5EF4-FFF2-40B4-BE49-F238E27FC236}">
              <a16:creationId xmlns:a16="http://schemas.microsoft.com/office/drawing/2014/main" id="{A0559B65-BAD4-0F1A-4CA5-A9935AC9FAB4}"/>
            </a:ext>
          </a:extLst>
        </xdr:cNvPr>
        <xdr:cNvSpPr/>
      </xdr:nvSpPr>
      <xdr:spPr>
        <a:xfrm>
          <a:off x="7734300" y="8624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76" name="MC_T_aav_partner_good">
          <a:extLst>
            <a:ext uri="{FF2B5EF4-FFF2-40B4-BE49-F238E27FC236}">
              <a16:creationId xmlns:a16="http://schemas.microsoft.com/office/drawing/2014/main" id="{436FBF2C-0812-86A9-D5DE-182E5A5564D6}"/>
            </a:ext>
          </a:extLst>
        </xdr:cNvPr>
        <xdr:cNvSpPr/>
      </xdr:nvSpPr>
      <xdr:spPr>
        <a:xfrm rot="16200000">
          <a:off x="1327308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277" name="MC_C_aav_partner">
          <a:extLst>
            <a:ext uri="{FF2B5EF4-FFF2-40B4-BE49-F238E27FC236}">
              <a16:creationId xmlns:a16="http://schemas.microsoft.com/office/drawing/2014/main" id="{9CE9FB3D-393C-2664-482C-020CD0383482}"/>
            </a:ext>
          </a:extLst>
        </xdr:cNvPr>
        <xdr:cNvSpPr/>
      </xdr:nvSpPr>
      <xdr:spPr>
        <a:xfrm>
          <a:off x="10634663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78" name="MC_T_aav_partner_ok">
          <a:extLst>
            <a:ext uri="{FF2B5EF4-FFF2-40B4-BE49-F238E27FC236}">
              <a16:creationId xmlns:a16="http://schemas.microsoft.com/office/drawing/2014/main" id="{7F3D65A6-2AF7-3F3C-FE7A-D7B1D309FC17}"/>
            </a:ext>
          </a:extLst>
        </xdr:cNvPr>
        <xdr:cNvSpPr/>
      </xdr:nvSpPr>
      <xdr:spPr>
        <a:xfrm rot="16200000">
          <a:off x="13273088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279" name="MC_T_aav_no_partner">
          <a:extLst>
            <a:ext uri="{FF2B5EF4-FFF2-40B4-BE49-F238E27FC236}">
              <a16:creationId xmlns:a16="http://schemas.microsoft.com/office/drawing/2014/main" id="{FD9C9F20-FAD3-09C8-032D-C07CDAB87DC7}"/>
            </a:ext>
          </a:extLst>
        </xdr:cNvPr>
        <xdr:cNvSpPr/>
      </xdr:nvSpPr>
      <xdr:spPr>
        <a:xfrm rot="16200000">
          <a:off x="13273088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55</xdr:row>
      <xdr:rowOff>109538</xdr:rowOff>
    </xdr:from>
    <xdr:to>
      <xdr:col>3</xdr:col>
      <xdr:colOff>180975</xdr:colOff>
      <xdr:row>56</xdr:row>
      <xdr:rowOff>80963</xdr:rowOff>
    </xdr:to>
    <xdr:sp macro="_xll.MC_OnNodeClick" textlink="">
      <xdr:nvSpPr>
        <xdr:cNvPr id="280" name="MC_C_preclinical_aav">
          <a:extLst>
            <a:ext uri="{FF2B5EF4-FFF2-40B4-BE49-F238E27FC236}">
              <a16:creationId xmlns:a16="http://schemas.microsoft.com/office/drawing/2014/main" id="{83F29E35-830D-23B1-AB0F-B287B16EDF60}"/>
            </a:ext>
          </a:extLst>
        </xdr:cNvPr>
        <xdr:cNvSpPr/>
      </xdr:nvSpPr>
      <xdr:spPr>
        <a:xfrm>
          <a:off x="4933950" y="1052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281" name="MC_T_aav_mod_surprise">
          <a:extLst>
            <a:ext uri="{FF2B5EF4-FFF2-40B4-BE49-F238E27FC236}">
              <a16:creationId xmlns:a16="http://schemas.microsoft.com/office/drawing/2014/main" id="{0E3EA1EF-B83F-FD24-317A-2195E645C9F4}"/>
            </a:ext>
          </a:extLst>
        </xdr:cNvPr>
        <xdr:cNvSpPr/>
      </xdr:nvSpPr>
      <xdr:spPr>
        <a:xfrm rot="16200000">
          <a:off x="13273088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59</xdr:row>
      <xdr:rowOff>109538</xdr:rowOff>
    </xdr:from>
    <xdr:to>
      <xdr:col>5</xdr:col>
      <xdr:colOff>180975</xdr:colOff>
      <xdr:row>60</xdr:row>
      <xdr:rowOff>80963</xdr:rowOff>
    </xdr:to>
    <xdr:sp macro="_xll.MC_OnNodeClick" textlink="">
      <xdr:nvSpPr>
        <xdr:cNvPr id="282" name="MC_C_aav_mod_clinical">
          <a:extLst>
            <a:ext uri="{FF2B5EF4-FFF2-40B4-BE49-F238E27FC236}">
              <a16:creationId xmlns:a16="http://schemas.microsoft.com/office/drawing/2014/main" id="{1D5A166D-3BFF-7A61-8E31-F5CE5F4CD7BE}"/>
            </a:ext>
          </a:extLst>
        </xdr:cNvPr>
        <xdr:cNvSpPr/>
      </xdr:nvSpPr>
      <xdr:spPr>
        <a:xfrm>
          <a:off x="10634663" y="1129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83" name="MC_T_aav_mod_marginal">
          <a:extLst>
            <a:ext uri="{FF2B5EF4-FFF2-40B4-BE49-F238E27FC236}">
              <a16:creationId xmlns:a16="http://schemas.microsoft.com/office/drawing/2014/main" id="{4B7B8D3A-A0C4-4565-AE53-D363E88CFDF5}"/>
            </a:ext>
          </a:extLst>
        </xdr:cNvPr>
        <xdr:cNvSpPr/>
      </xdr:nvSpPr>
      <xdr:spPr>
        <a:xfrm rot="16200000">
          <a:off x="13273088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284" name="MC_T_aav_mod_fail">
          <a:extLst>
            <a:ext uri="{FF2B5EF4-FFF2-40B4-BE49-F238E27FC236}">
              <a16:creationId xmlns:a16="http://schemas.microsoft.com/office/drawing/2014/main" id="{FA0DC2CC-DBE5-B0FE-FF7C-2B07F5DA3D92}"/>
            </a:ext>
          </a:extLst>
        </xdr:cNvPr>
        <xdr:cNvSpPr/>
      </xdr:nvSpPr>
      <xdr:spPr>
        <a:xfrm rot="16200000">
          <a:off x="13273088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65</xdr:row>
      <xdr:rowOff>109538</xdr:rowOff>
    </xdr:from>
    <xdr:to>
      <xdr:col>4</xdr:col>
      <xdr:colOff>180975</xdr:colOff>
      <xdr:row>66</xdr:row>
      <xdr:rowOff>80963</xdr:rowOff>
    </xdr:to>
    <xdr:sp macro="_xll.MC_OnNodeClick" textlink="">
      <xdr:nvSpPr>
        <xdr:cNvPr id="285" name="MC_D_aav_fund_mod">
          <a:extLst>
            <a:ext uri="{FF2B5EF4-FFF2-40B4-BE49-F238E27FC236}">
              <a16:creationId xmlns:a16="http://schemas.microsoft.com/office/drawing/2014/main" id="{E02DDA9C-5621-B2B8-932F-6E608F3096B2}"/>
            </a:ext>
          </a:extLst>
        </xdr:cNvPr>
        <xdr:cNvSpPr/>
      </xdr:nvSpPr>
      <xdr:spPr>
        <a:xfrm>
          <a:off x="7734300" y="12434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286" name="MC_T_aav_mod_part_yes">
          <a:extLst>
            <a:ext uri="{FF2B5EF4-FFF2-40B4-BE49-F238E27FC236}">
              <a16:creationId xmlns:a16="http://schemas.microsoft.com/office/drawing/2014/main" id="{6A05177A-B79E-B96D-81FA-E77229B6A923}"/>
            </a:ext>
          </a:extLst>
        </xdr:cNvPr>
        <xdr:cNvSpPr/>
      </xdr:nvSpPr>
      <xdr:spPr>
        <a:xfrm rot="16200000">
          <a:off x="13273088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69</xdr:row>
      <xdr:rowOff>109538</xdr:rowOff>
    </xdr:from>
    <xdr:to>
      <xdr:col>5</xdr:col>
      <xdr:colOff>180975</xdr:colOff>
      <xdr:row>70</xdr:row>
      <xdr:rowOff>80963</xdr:rowOff>
    </xdr:to>
    <xdr:sp macro="_xll.MC_OnNodeClick" textlink="">
      <xdr:nvSpPr>
        <xdr:cNvPr id="287" name="MC_C_aav_mod_partner">
          <a:extLst>
            <a:ext uri="{FF2B5EF4-FFF2-40B4-BE49-F238E27FC236}">
              <a16:creationId xmlns:a16="http://schemas.microsoft.com/office/drawing/2014/main" id="{77EA3C91-DF45-E3BC-0ADC-B2D37E738AC6}"/>
            </a:ext>
          </a:extLst>
        </xdr:cNvPr>
        <xdr:cNvSpPr/>
      </xdr:nvSpPr>
      <xdr:spPr>
        <a:xfrm>
          <a:off x="10634663" y="1319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288" name="MC_T_aav_mod_part_no">
          <a:extLst>
            <a:ext uri="{FF2B5EF4-FFF2-40B4-BE49-F238E27FC236}">
              <a16:creationId xmlns:a16="http://schemas.microsoft.com/office/drawing/2014/main" id="{93513E98-6F63-B2AD-BC2B-E7AF00432CFA}"/>
            </a:ext>
          </a:extLst>
        </xdr:cNvPr>
        <xdr:cNvSpPr/>
      </xdr:nvSpPr>
      <xdr:spPr>
        <a:xfrm rot="16200000">
          <a:off x="13273088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89" name="MC_T_aav_mod_abandon">
          <a:extLst>
            <a:ext uri="{FF2B5EF4-FFF2-40B4-BE49-F238E27FC236}">
              <a16:creationId xmlns:a16="http://schemas.microsoft.com/office/drawing/2014/main" id="{CA133B96-D192-6EEF-C24D-3DE4BE77F6F0}"/>
            </a:ext>
          </a:extLst>
        </xdr:cNvPr>
        <xdr:cNvSpPr/>
      </xdr:nvSpPr>
      <xdr:spPr>
        <a:xfrm rot="16200000">
          <a:off x="1063466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75</xdr:row>
      <xdr:rowOff>109537</xdr:rowOff>
    </xdr:from>
    <xdr:to>
      <xdr:col>4</xdr:col>
      <xdr:colOff>176213</xdr:colOff>
      <xdr:row>76</xdr:row>
      <xdr:rowOff>80962</xdr:rowOff>
    </xdr:to>
    <xdr:sp macro="_xll.MC_OnNodeClick" textlink="">
      <xdr:nvSpPr>
        <xdr:cNvPr id="290" name="MC_T_aav_preclin_fail">
          <a:extLst>
            <a:ext uri="{FF2B5EF4-FFF2-40B4-BE49-F238E27FC236}">
              <a16:creationId xmlns:a16="http://schemas.microsoft.com/office/drawing/2014/main" id="{18AC18A5-562F-274B-807E-4D5891393EBD}"/>
            </a:ext>
          </a:extLst>
        </xdr:cNvPr>
        <xdr:cNvSpPr/>
      </xdr:nvSpPr>
      <xdr:spPr>
        <a:xfrm rot="16200000">
          <a:off x="7734300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77</xdr:row>
      <xdr:rowOff>109538</xdr:rowOff>
    </xdr:from>
    <xdr:to>
      <xdr:col>2</xdr:col>
      <xdr:colOff>180975</xdr:colOff>
      <xdr:row>78</xdr:row>
      <xdr:rowOff>80963</xdr:rowOff>
    </xdr:to>
    <xdr:sp macro="_xll.MC_OnNodeClick" textlink="">
      <xdr:nvSpPr>
        <xdr:cNvPr id="291" name="MC_D_root">
          <a:extLst>
            <a:ext uri="{FF2B5EF4-FFF2-40B4-BE49-F238E27FC236}">
              <a16:creationId xmlns:a16="http://schemas.microsoft.com/office/drawing/2014/main" id="{C22C7A70-649F-64D0-08B7-BBDCEA068FE4}"/>
            </a:ext>
          </a:extLst>
        </xdr:cNvPr>
        <xdr:cNvSpPr/>
      </xdr:nvSpPr>
      <xdr:spPr>
        <a:xfrm>
          <a:off x="2533650" y="14720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292" name="MC_T_exvivo_cure">
          <a:extLst>
            <a:ext uri="{FF2B5EF4-FFF2-40B4-BE49-F238E27FC236}">
              <a16:creationId xmlns:a16="http://schemas.microsoft.com/office/drawing/2014/main" id="{18A4F4A5-D83A-0B4F-202D-00CB5CBA12FF}"/>
            </a:ext>
          </a:extLst>
        </xdr:cNvPr>
        <xdr:cNvSpPr/>
      </xdr:nvSpPr>
      <xdr:spPr>
        <a:xfrm rot="16200000">
          <a:off x="13273088" y="1509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81</xdr:row>
      <xdr:rowOff>109538</xdr:rowOff>
    </xdr:from>
    <xdr:to>
      <xdr:col>5</xdr:col>
      <xdr:colOff>180975</xdr:colOff>
      <xdr:row>82</xdr:row>
      <xdr:rowOff>80963</xdr:rowOff>
    </xdr:to>
    <xdr:sp macro="_xll.MC_OnNodeClick" textlink="">
      <xdr:nvSpPr>
        <xdr:cNvPr id="293" name="MC_C_exvivo_clinical">
          <a:extLst>
            <a:ext uri="{FF2B5EF4-FFF2-40B4-BE49-F238E27FC236}">
              <a16:creationId xmlns:a16="http://schemas.microsoft.com/office/drawing/2014/main" id="{E55F9917-A787-3D47-01C4-6EC0EA3B8DB4}"/>
            </a:ext>
          </a:extLst>
        </xdr:cNvPr>
        <xdr:cNvSpPr/>
      </xdr:nvSpPr>
      <xdr:spPr>
        <a:xfrm>
          <a:off x="10634663" y="1548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83</xdr:row>
      <xdr:rowOff>109537</xdr:rowOff>
    </xdr:from>
    <xdr:to>
      <xdr:col>6</xdr:col>
      <xdr:colOff>176213</xdr:colOff>
      <xdr:row>84</xdr:row>
      <xdr:rowOff>80962</xdr:rowOff>
    </xdr:to>
    <xdr:sp macro="_xll.MC_OnNodeClick" textlink="">
      <xdr:nvSpPr>
        <xdr:cNvPr id="294" name="MC_T_exvivo_improve">
          <a:extLst>
            <a:ext uri="{FF2B5EF4-FFF2-40B4-BE49-F238E27FC236}">
              <a16:creationId xmlns:a16="http://schemas.microsoft.com/office/drawing/2014/main" id="{3FADCBE7-8456-1650-4DCF-385FD3417A03}"/>
            </a:ext>
          </a:extLst>
        </xdr:cNvPr>
        <xdr:cNvSpPr/>
      </xdr:nvSpPr>
      <xdr:spPr>
        <a:xfrm rot="16200000">
          <a:off x="13273088" y="1585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85</xdr:row>
      <xdr:rowOff>109537</xdr:rowOff>
    </xdr:from>
    <xdr:to>
      <xdr:col>6</xdr:col>
      <xdr:colOff>176213</xdr:colOff>
      <xdr:row>86</xdr:row>
      <xdr:rowOff>80962</xdr:rowOff>
    </xdr:to>
    <xdr:sp macro="_xll.MC_OnNodeClick" textlink="">
      <xdr:nvSpPr>
        <xdr:cNvPr id="295" name="MC_T_exvivo_minimal">
          <a:extLst>
            <a:ext uri="{FF2B5EF4-FFF2-40B4-BE49-F238E27FC236}">
              <a16:creationId xmlns:a16="http://schemas.microsoft.com/office/drawing/2014/main" id="{AF789D35-60C9-7022-4BFB-0F88B101F359}"/>
            </a:ext>
          </a:extLst>
        </xdr:cNvPr>
        <xdr:cNvSpPr/>
      </xdr:nvSpPr>
      <xdr:spPr>
        <a:xfrm rot="16200000">
          <a:off x="13273088" y="1624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87</xdr:row>
      <xdr:rowOff>109537</xdr:rowOff>
    </xdr:from>
    <xdr:to>
      <xdr:col>6</xdr:col>
      <xdr:colOff>176213</xdr:colOff>
      <xdr:row>88</xdr:row>
      <xdr:rowOff>80962</xdr:rowOff>
    </xdr:to>
    <xdr:sp macro="_xll.MC_OnNodeClick" textlink="">
      <xdr:nvSpPr>
        <xdr:cNvPr id="296" name="MC_T_exvivo_safety">
          <a:extLst>
            <a:ext uri="{FF2B5EF4-FFF2-40B4-BE49-F238E27FC236}">
              <a16:creationId xmlns:a16="http://schemas.microsoft.com/office/drawing/2014/main" id="{29D87A4F-426D-CD66-3EC8-A1E73537EC9E}"/>
            </a:ext>
          </a:extLst>
        </xdr:cNvPr>
        <xdr:cNvSpPr/>
      </xdr:nvSpPr>
      <xdr:spPr>
        <a:xfrm rot="16200000">
          <a:off x="13273088" y="1662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89</xdr:row>
      <xdr:rowOff>109538</xdr:rowOff>
    </xdr:from>
    <xdr:to>
      <xdr:col>4</xdr:col>
      <xdr:colOff>180975</xdr:colOff>
      <xdr:row>90</xdr:row>
      <xdr:rowOff>80963</xdr:rowOff>
    </xdr:to>
    <xdr:sp macro="_xll.MC_OnNodeClick" textlink="">
      <xdr:nvSpPr>
        <xdr:cNvPr id="297" name="MC_D_exvivo_fund">
          <a:extLst>
            <a:ext uri="{FF2B5EF4-FFF2-40B4-BE49-F238E27FC236}">
              <a16:creationId xmlns:a16="http://schemas.microsoft.com/office/drawing/2014/main" id="{D78416D3-C05C-65FB-6BC3-2D473F5D581C}"/>
            </a:ext>
          </a:extLst>
        </xdr:cNvPr>
        <xdr:cNvSpPr/>
      </xdr:nvSpPr>
      <xdr:spPr>
        <a:xfrm>
          <a:off x="7734300" y="1700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91</xdr:row>
      <xdr:rowOff>109537</xdr:rowOff>
    </xdr:from>
    <xdr:to>
      <xdr:col>6</xdr:col>
      <xdr:colOff>176213</xdr:colOff>
      <xdr:row>92</xdr:row>
      <xdr:rowOff>80962</xdr:rowOff>
    </xdr:to>
    <xdr:sp macro="_xll.MC_OnNodeClick" textlink="">
      <xdr:nvSpPr>
        <xdr:cNvPr id="298" name="MC_T_exvivo_major_partner">
          <a:extLst>
            <a:ext uri="{FF2B5EF4-FFF2-40B4-BE49-F238E27FC236}">
              <a16:creationId xmlns:a16="http://schemas.microsoft.com/office/drawing/2014/main" id="{62810AA6-EDDB-30C3-23F4-7D78ECF6271E}"/>
            </a:ext>
          </a:extLst>
        </xdr:cNvPr>
        <xdr:cNvSpPr/>
      </xdr:nvSpPr>
      <xdr:spPr>
        <a:xfrm rot="16200000">
          <a:off x="13273088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93</xdr:row>
      <xdr:rowOff>109538</xdr:rowOff>
    </xdr:from>
    <xdr:to>
      <xdr:col>5</xdr:col>
      <xdr:colOff>180975</xdr:colOff>
      <xdr:row>94</xdr:row>
      <xdr:rowOff>80963</xdr:rowOff>
    </xdr:to>
    <xdr:sp macro="_xll.MC_OnNodeClick" textlink="">
      <xdr:nvSpPr>
        <xdr:cNvPr id="299" name="MC_C_exvivo_partner">
          <a:extLst>
            <a:ext uri="{FF2B5EF4-FFF2-40B4-BE49-F238E27FC236}">
              <a16:creationId xmlns:a16="http://schemas.microsoft.com/office/drawing/2014/main" id="{AD4EC822-9135-9701-AEF4-85B46EC3627A}"/>
            </a:ext>
          </a:extLst>
        </xdr:cNvPr>
        <xdr:cNvSpPr/>
      </xdr:nvSpPr>
      <xdr:spPr>
        <a:xfrm>
          <a:off x="10634663" y="1776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95</xdr:row>
      <xdr:rowOff>109537</xdr:rowOff>
    </xdr:from>
    <xdr:to>
      <xdr:col>6</xdr:col>
      <xdr:colOff>176213</xdr:colOff>
      <xdr:row>96</xdr:row>
      <xdr:rowOff>80962</xdr:rowOff>
    </xdr:to>
    <xdr:sp macro="_xll.MC_OnNodeClick" textlink="">
      <xdr:nvSpPr>
        <xdr:cNvPr id="300" name="MC_T_exvivo_bio_partner">
          <a:extLst>
            <a:ext uri="{FF2B5EF4-FFF2-40B4-BE49-F238E27FC236}">
              <a16:creationId xmlns:a16="http://schemas.microsoft.com/office/drawing/2014/main" id="{0AF8FFDF-51C2-EC4E-DBB0-D9E62CFCAC19}"/>
            </a:ext>
          </a:extLst>
        </xdr:cNvPr>
        <xdr:cNvSpPr/>
      </xdr:nvSpPr>
      <xdr:spPr>
        <a:xfrm rot="16200000">
          <a:off x="13273088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97</xdr:row>
      <xdr:rowOff>109537</xdr:rowOff>
    </xdr:from>
    <xdr:to>
      <xdr:col>6</xdr:col>
      <xdr:colOff>176213</xdr:colOff>
      <xdr:row>98</xdr:row>
      <xdr:rowOff>80962</xdr:rowOff>
    </xdr:to>
    <xdr:sp macro="_xll.MC_OnNodeClick" textlink="">
      <xdr:nvSpPr>
        <xdr:cNvPr id="301" name="MC_T_exvivo_no_partner">
          <a:extLst>
            <a:ext uri="{FF2B5EF4-FFF2-40B4-BE49-F238E27FC236}">
              <a16:creationId xmlns:a16="http://schemas.microsoft.com/office/drawing/2014/main" id="{85BDC9B1-AE40-E7EC-E7D8-08FAC4DB3DEE}"/>
            </a:ext>
          </a:extLst>
        </xdr:cNvPr>
        <xdr:cNvSpPr/>
      </xdr:nvSpPr>
      <xdr:spPr>
        <a:xfrm rot="16200000">
          <a:off x="13273088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99</xdr:row>
      <xdr:rowOff>109538</xdr:rowOff>
    </xdr:from>
    <xdr:to>
      <xdr:col>3</xdr:col>
      <xdr:colOff>180975</xdr:colOff>
      <xdr:row>100</xdr:row>
      <xdr:rowOff>80963</xdr:rowOff>
    </xdr:to>
    <xdr:sp macro="_xll.MC_OnNodeClick" textlink="">
      <xdr:nvSpPr>
        <xdr:cNvPr id="302" name="MC_C_preclinical_exvivo">
          <a:extLst>
            <a:ext uri="{FF2B5EF4-FFF2-40B4-BE49-F238E27FC236}">
              <a16:creationId xmlns:a16="http://schemas.microsoft.com/office/drawing/2014/main" id="{0E7D227E-1D30-176D-A9A0-75980C9F9C32}"/>
            </a:ext>
          </a:extLst>
        </xdr:cNvPr>
        <xdr:cNvSpPr/>
      </xdr:nvSpPr>
      <xdr:spPr>
        <a:xfrm>
          <a:off x="4933950" y="1891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101</xdr:row>
      <xdr:rowOff>109537</xdr:rowOff>
    </xdr:from>
    <xdr:to>
      <xdr:col>4</xdr:col>
      <xdr:colOff>176213</xdr:colOff>
      <xdr:row>102</xdr:row>
      <xdr:rowOff>80962</xdr:rowOff>
    </xdr:to>
    <xdr:sp macro="_xll.MC_OnNodeClick" textlink="">
      <xdr:nvSpPr>
        <xdr:cNvPr id="303" name="MC_T_exvivo_partial_preclin">
          <a:extLst>
            <a:ext uri="{FF2B5EF4-FFF2-40B4-BE49-F238E27FC236}">
              <a16:creationId xmlns:a16="http://schemas.microsoft.com/office/drawing/2014/main" id="{C18E563C-6A08-B4D4-929A-91C84A778F35}"/>
            </a:ext>
          </a:extLst>
        </xdr:cNvPr>
        <xdr:cNvSpPr/>
      </xdr:nvSpPr>
      <xdr:spPr>
        <a:xfrm rot="16200000">
          <a:off x="7734300" y="1928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103</xdr:row>
      <xdr:rowOff>109537</xdr:rowOff>
    </xdr:from>
    <xdr:to>
      <xdr:col>4</xdr:col>
      <xdr:colOff>176213</xdr:colOff>
      <xdr:row>104</xdr:row>
      <xdr:rowOff>80962</xdr:rowOff>
    </xdr:to>
    <xdr:sp macro="_xll.MC_OnNodeClick" textlink="">
      <xdr:nvSpPr>
        <xdr:cNvPr id="304" name="MC_T_exvivo_preclin_fail">
          <a:extLst>
            <a:ext uri="{FF2B5EF4-FFF2-40B4-BE49-F238E27FC236}">
              <a16:creationId xmlns:a16="http://schemas.microsoft.com/office/drawing/2014/main" id="{C504D7E5-64F4-7C48-7832-8AAF034D5127}"/>
            </a:ext>
          </a:extLst>
        </xdr:cNvPr>
        <xdr:cNvSpPr/>
      </xdr:nvSpPr>
      <xdr:spPr>
        <a:xfrm rot="16200000">
          <a:off x="7734300" y="1966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105</xdr:row>
      <xdr:rowOff>109537</xdr:rowOff>
    </xdr:from>
    <xdr:to>
      <xdr:col>4</xdr:col>
      <xdr:colOff>176213</xdr:colOff>
      <xdr:row>106</xdr:row>
      <xdr:rowOff>80962</xdr:rowOff>
    </xdr:to>
    <xdr:sp macro="_xll.MC_OnNodeClick" textlink="">
      <xdr:nvSpPr>
        <xdr:cNvPr id="305" name="MC_T_license_success">
          <a:extLst>
            <a:ext uri="{FF2B5EF4-FFF2-40B4-BE49-F238E27FC236}">
              <a16:creationId xmlns:a16="http://schemas.microsoft.com/office/drawing/2014/main" id="{B0186899-DBF0-A6D2-3177-F0BB1AA5E008}"/>
            </a:ext>
          </a:extLst>
        </xdr:cNvPr>
        <xdr:cNvSpPr/>
      </xdr:nvSpPr>
      <xdr:spPr>
        <a:xfrm rot="16200000">
          <a:off x="7734300" y="2005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107</xdr:row>
      <xdr:rowOff>109538</xdr:rowOff>
    </xdr:from>
    <xdr:to>
      <xdr:col>3</xdr:col>
      <xdr:colOff>180975</xdr:colOff>
      <xdr:row>108</xdr:row>
      <xdr:rowOff>80963</xdr:rowOff>
    </xdr:to>
    <xdr:sp macro="_xll.MC_OnNodeClick" textlink="">
      <xdr:nvSpPr>
        <xdr:cNvPr id="306" name="MC_C_license_deal">
          <a:extLst>
            <a:ext uri="{FF2B5EF4-FFF2-40B4-BE49-F238E27FC236}">
              <a16:creationId xmlns:a16="http://schemas.microsoft.com/office/drawing/2014/main" id="{63067F55-4DE3-4B58-4CC7-3AA903889588}"/>
            </a:ext>
          </a:extLst>
        </xdr:cNvPr>
        <xdr:cNvSpPr/>
      </xdr:nvSpPr>
      <xdr:spPr>
        <a:xfrm>
          <a:off x="4933950" y="2043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109</xdr:row>
      <xdr:rowOff>109537</xdr:rowOff>
    </xdr:from>
    <xdr:to>
      <xdr:col>4</xdr:col>
      <xdr:colOff>176213</xdr:colOff>
      <xdr:row>110</xdr:row>
      <xdr:rowOff>80962</xdr:rowOff>
    </xdr:to>
    <xdr:sp macro="_xll.MC_OnNodeClick" textlink="">
      <xdr:nvSpPr>
        <xdr:cNvPr id="307" name="MC_T_license_phase2">
          <a:extLst>
            <a:ext uri="{FF2B5EF4-FFF2-40B4-BE49-F238E27FC236}">
              <a16:creationId xmlns:a16="http://schemas.microsoft.com/office/drawing/2014/main" id="{FF84D073-CB03-6DE8-6CB5-02DD128806A1}"/>
            </a:ext>
          </a:extLst>
        </xdr:cNvPr>
        <xdr:cNvSpPr/>
      </xdr:nvSpPr>
      <xdr:spPr>
        <a:xfrm rot="16200000">
          <a:off x="7734300" y="2081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111</xdr:row>
      <xdr:rowOff>109537</xdr:rowOff>
    </xdr:from>
    <xdr:to>
      <xdr:col>4</xdr:col>
      <xdr:colOff>176213</xdr:colOff>
      <xdr:row>112</xdr:row>
      <xdr:rowOff>80962</xdr:rowOff>
    </xdr:to>
    <xdr:sp macro="_xll.MC_OnNodeClick" textlink="">
      <xdr:nvSpPr>
        <xdr:cNvPr id="308" name="MC_T_license_clinic_fail">
          <a:extLst>
            <a:ext uri="{FF2B5EF4-FFF2-40B4-BE49-F238E27FC236}">
              <a16:creationId xmlns:a16="http://schemas.microsoft.com/office/drawing/2014/main" id="{FBB82151-D169-B53D-8F7C-98029F8A0986}"/>
            </a:ext>
          </a:extLst>
        </xdr:cNvPr>
        <xdr:cNvSpPr/>
      </xdr:nvSpPr>
      <xdr:spPr>
        <a:xfrm rot="16200000">
          <a:off x="7734300" y="2119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113</xdr:row>
      <xdr:rowOff>109537</xdr:rowOff>
    </xdr:from>
    <xdr:to>
      <xdr:col>4</xdr:col>
      <xdr:colOff>176213</xdr:colOff>
      <xdr:row>114</xdr:row>
      <xdr:rowOff>80962</xdr:rowOff>
    </xdr:to>
    <xdr:sp macro="_xll.MC_OnNodeClick" textlink="">
      <xdr:nvSpPr>
        <xdr:cNvPr id="309" name="MC_T_license_abandon">
          <a:extLst>
            <a:ext uri="{FF2B5EF4-FFF2-40B4-BE49-F238E27FC236}">
              <a16:creationId xmlns:a16="http://schemas.microsoft.com/office/drawing/2014/main" id="{54B276EA-97C6-DAD5-0C57-D4FB262543FA}"/>
            </a:ext>
          </a:extLst>
        </xdr:cNvPr>
        <xdr:cNvSpPr/>
      </xdr:nvSpPr>
      <xdr:spPr>
        <a:xfrm rot="16200000">
          <a:off x="7734300" y="2157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115</xdr:row>
      <xdr:rowOff>109537</xdr:rowOff>
    </xdr:from>
    <xdr:to>
      <xdr:col>3</xdr:col>
      <xdr:colOff>176213</xdr:colOff>
      <xdr:row>116</xdr:row>
      <xdr:rowOff>80962</xdr:rowOff>
    </xdr:to>
    <xdr:sp macro="_xll.MC_OnNodeClick" textlink="">
      <xdr:nvSpPr>
        <xdr:cNvPr id="310" name="MC_T_shelve">
          <a:extLst>
            <a:ext uri="{FF2B5EF4-FFF2-40B4-BE49-F238E27FC236}">
              <a16:creationId xmlns:a16="http://schemas.microsoft.com/office/drawing/2014/main" id="{17B45F0A-19DD-26BC-1985-7ECAF198C03F}"/>
            </a:ext>
          </a:extLst>
        </xdr:cNvPr>
        <xdr:cNvSpPr/>
      </xdr:nvSpPr>
      <xdr:spPr>
        <a:xfrm rot="16200000">
          <a:off x="4933950" y="2195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5163-E112-4E7A-9192-0B2B079ADC75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3F5F-F572-4055-9D69-50405DB6FE01}">
  <dimension ref="A1:DN1"/>
  <sheetViews>
    <sheetView workbookViewId="0"/>
  </sheetViews>
  <sheetFormatPr defaultRowHeight="14.25" x14ac:dyDescent="0.45"/>
  <sheetData>
    <row r="1" spans="1:118" x14ac:dyDescent="0.45">
      <c r="A1">
        <f>MC_Tree_1!MC_BP_C_aav_clinical_C_fda_aav</f>
        <v>0.35</v>
      </c>
      <c r="B1">
        <f>MC_Tree_1!MC_BV_C_aav_clinical_C_fda_aav</f>
        <v>0</v>
      </c>
      <c r="C1">
        <f>MC_Tree_1!MC_BP_C_aav_clinical_T_aav_partial</f>
        <v>0.4</v>
      </c>
      <c r="D1">
        <f>MC_Tree_1!MC_BV_C_aav_clinical_T_aav_partial</f>
        <v>350000000</v>
      </c>
      <c r="E1">
        <f>MC_Tree_1!MC_BP_C_aav_clinical_T_aav_no_eff</f>
        <v>0.25</v>
      </c>
      <c r="F1">
        <f>MC_Tree_1!MC_BV_C_aav_clinical_T_aav_no_eff</f>
        <v>0</v>
      </c>
      <c r="G1">
        <f>MC_Tree_1!MC_BP_C_aav_clinical_delay_T_aav_delay_good</f>
        <v>0.25</v>
      </c>
      <c r="H1">
        <f>MC_Tree_1!MC_BV_C_aav_clinical_delay_T_aav_delay_good</f>
        <v>1200000000</v>
      </c>
      <c r="I1">
        <f>MC_Tree_1!MC_BP_C_aav_clinical_delay_T_aav_delay_partial</f>
        <v>0.4</v>
      </c>
      <c r="J1">
        <f>MC_Tree_1!MC_BV_C_aav_clinical_delay_T_aav_delay_partial</f>
        <v>250000000</v>
      </c>
      <c r="K1">
        <f>MC_Tree_1!MC_BP_C_aav_clinical_delay_T_aav_delay_fail</f>
        <v>0.35</v>
      </c>
      <c r="L1">
        <f>MC_Tree_1!MC_BV_C_aav_clinical_delay_T_aav_delay_fail</f>
        <v>0</v>
      </c>
      <c r="M1">
        <f>MC_Tree_1!MC_BP_C_aav_mfg_C_aav_clinical</f>
        <v>0.55000000000000004</v>
      </c>
      <c r="N1">
        <f>MC_Tree_1!MC_BV_C_aav_mfg_C_aav_clinical</f>
        <v>0</v>
      </c>
      <c r="O1">
        <f>MC_Tree_1!MC_BP_C_aav_mfg_C_aav_clinical_delay</f>
        <v>0.3</v>
      </c>
      <c r="P1">
        <f>MC_Tree_1!MC_BV_C_aav_mfg_C_aav_clinical_delay</f>
        <v>-40000000</v>
      </c>
      <c r="Q1">
        <f>MC_Tree_1!MC_BP_C_aav_mfg_T_aav_mfg_fail</f>
        <v>0.15</v>
      </c>
      <c r="R1">
        <f>MC_Tree_1!MC_BV_C_aav_mfg_T_aav_mfg_fail</f>
        <v>0</v>
      </c>
      <c r="S1">
        <f>MC_Tree_1!MC_BP_C_aav_mod_clinical_T_aav_mod_surprise</f>
        <v>0.2</v>
      </c>
      <c r="T1">
        <f>MC_Tree_1!MC_BV_C_aav_mod_clinical_T_aav_mod_surprise</f>
        <v>800000000</v>
      </c>
      <c r="U1">
        <f>MC_Tree_1!MC_BP_C_aav_mod_clinical_T_aav_mod_marginal</f>
        <v>0.45</v>
      </c>
      <c r="V1">
        <f>MC_Tree_1!MC_BV_C_aav_mod_clinical_T_aav_mod_marginal</f>
        <v>150000000</v>
      </c>
      <c r="W1">
        <f>MC_Tree_1!MC_BP_C_aav_mod_clinical_T_aav_mod_fail</f>
        <v>0.35</v>
      </c>
      <c r="X1">
        <f>MC_Tree_1!MC_BV_C_aav_mod_clinical_T_aav_mod_fail</f>
        <v>0</v>
      </c>
      <c r="Y1">
        <f>MC_Tree_1!MC_BP_C_aav_mod_partner_T_aav_mod_part_yes</f>
        <v>0.3</v>
      </c>
      <c r="Z1">
        <f>MC_Tree_1!MC_BV_C_aav_mod_partner_T_aav_mod_part_yes</f>
        <v>150000000</v>
      </c>
      <c r="AA1">
        <f>MC_Tree_1!MC_BP_C_aav_mod_partner_T_aav_mod_part_no</f>
        <v>0.7</v>
      </c>
      <c r="AB1">
        <f>MC_Tree_1!MC_BV_C_aav_mod_partner_T_aav_mod_part_no</f>
        <v>10000000</v>
      </c>
      <c r="AC1">
        <f>MC_Tree_1!MC_BP_C_aav_partner_T_aav_partner_good</f>
        <v>0.4</v>
      </c>
      <c r="AD1">
        <f>MC_Tree_1!MC_BV_C_aav_partner_T_aav_partner_good</f>
        <v>600000000</v>
      </c>
      <c r="AE1">
        <f>MC_Tree_1!MC_BP_C_aav_partner_T_aav_partner_ok</f>
        <v>0.35</v>
      </c>
      <c r="AF1">
        <f>MC_Tree_1!MC_BV_C_aav_partner_T_aav_partner_ok</f>
        <v>250000000</v>
      </c>
      <c r="AG1">
        <f>MC_Tree_1!MC_BP_C_aav_partner_T_aav_no_partner</f>
        <v>0.25</v>
      </c>
      <c r="AH1">
        <f>MC_Tree_1!MC_BV_C_aav_partner_T_aav_no_partner</f>
        <v>20000000</v>
      </c>
      <c r="AI1">
        <f>MC_Tree_1!MC_BP_C_exvivo_clinical_T_exvivo_cure</f>
        <v>0.25</v>
      </c>
      <c r="AJ1">
        <f>MC_Tree_1!MC_BV_C_exvivo_clinical_T_exvivo_cure</f>
        <v>1800000000</v>
      </c>
      <c r="AK1">
        <f>MC_Tree_1!MC_BP_C_exvivo_clinical_T_exvivo_improve</f>
        <v>0.35</v>
      </c>
      <c r="AL1">
        <f>MC_Tree_1!MC_BV_C_exvivo_clinical_T_exvivo_improve</f>
        <v>900000000</v>
      </c>
      <c r="AM1">
        <f>MC_Tree_1!MC_BP_C_exvivo_clinical_T_exvivo_minimal</f>
        <v>0.25</v>
      </c>
      <c r="AN1">
        <f>MC_Tree_1!MC_BV_C_exvivo_clinical_T_exvivo_minimal</f>
        <v>100000000</v>
      </c>
      <c r="AO1">
        <f>MC_Tree_1!MC_BP_C_exvivo_clinical_T_exvivo_safety</f>
        <v>0.15</v>
      </c>
      <c r="AP1">
        <f>MC_Tree_1!MC_BV_C_exvivo_clinical_T_exvivo_safety</f>
        <v>-50000000</v>
      </c>
      <c r="AQ1">
        <f>MC_Tree_1!MC_BP_C_exvivo_partner_T_exvivo_major_partner</f>
        <v>0.35</v>
      </c>
      <c r="AR1">
        <f>MC_Tree_1!MC_BV_C_exvivo_partner_T_exvivo_major_partner</f>
        <v>500000000</v>
      </c>
      <c r="AS1">
        <f>MC_Tree_1!MC_BP_C_exvivo_partner_T_exvivo_bio_partner</f>
        <v>0.35</v>
      </c>
      <c r="AT1">
        <f>MC_Tree_1!MC_BV_C_exvivo_partner_T_exvivo_bio_partner</f>
        <v>200000000</v>
      </c>
      <c r="AU1">
        <f>MC_Tree_1!MC_BP_C_exvivo_partner_T_exvivo_no_partner</f>
        <v>0.3</v>
      </c>
      <c r="AV1">
        <f>MC_Tree_1!MC_BV_C_exvivo_partner_T_exvivo_no_partner</f>
        <v>15000000</v>
      </c>
      <c r="AW1">
        <f>MC_Tree_1!MC_BP_C_fda_aav_T_aav_accel</f>
        <v>0.45</v>
      </c>
      <c r="AX1">
        <f>MC_Tree_1!MC_BV_C_fda_aav_T_aav_accel</f>
        <v>2000000000</v>
      </c>
      <c r="AY1">
        <f>MC_Tree_1!MC_BP_C_fda_aav_T_aav_standard</f>
        <v>0.4</v>
      </c>
      <c r="AZ1">
        <f>MC_Tree_1!MC_BV_C_fda_aav_T_aav_standard</f>
        <v>1340000000</v>
      </c>
      <c r="BA1">
        <f>MC_Tree_1!MC_BP_C_fda_aav_T_aav_crl</f>
        <v>0.15</v>
      </c>
      <c r="BB1">
        <f>MC_Tree_1!MC_BV_C_fda_aav_T_aav_crl</f>
        <v>200000000</v>
      </c>
      <c r="BC1">
        <f>MC_Tree_1!MC_BP_C_license_deal_T_license_success</f>
        <v>0.25</v>
      </c>
      <c r="BD1">
        <f>MC_Tree_1!MC_BV_C_license_deal_T_license_success</f>
        <v>400000000</v>
      </c>
      <c r="BE1">
        <f>MC_Tree_1!MC_BP_C_license_deal_T_license_phase2</f>
        <v>0.3</v>
      </c>
      <c r="BF1">
        <f>MC_Tree_1!MC_BV_C_license_deal_T_license_phase2</f>
        <v>80000000</v>
      </c>
      <c r="BG1">
        <f>MC_Tree_1!MC_BP_C_license_deal_T_license_clinic_fail</f>
        <v>0.3</v>
      </c>
      <c r="BH1">
        <f>MC_Tree_1!MC_BV_C_license_deal_T_license_clinic_fail</f>
        <v>15000000</v>
      </c>
      <c r="BI1">
        <f>MC_Tree_1!MC_BP_C_license_deal_T_license_abandon</f>
        <v>0.15</v>
      </c>
      <c r="BJ1">
        <f>MC_Tree_1!MC_BV_C_license_deal_T_license_abandon</f>
        <v>5000000</v>
      </c>
      <c r="BK1">
        <f>MC_Tree_1!MC_BP_C_preclinical_aav_D_aav_fund</f>
        <v>0.3</v>
      </c>
      <c r="BL1">
        <f>MC_Tree_1!MC_BV_C_preclinical_aav_D_aav_fund</f>
        <v>0</v>
      </c>
      <c r="BM1">
        <f>MC_Tree_1!MC_BP_C_preclinical_aav_D_aav_fund_mod</f>
        <v>0.35</v>
      </c>
      <c r="BN1">
        <f>MC_Tree_1!MC_BV_C_preclinical_aav_D_aav_fund_mod</f>
        <v>0</v>
      </c>
      <c r="BO1">
        <f>MC_Tree_1!MC_BP_C_preclinical_aav_T_aav_preclin_fail</f>
        <v>0.35</v>
      </c>
      <c r="BP1">
        <f>MC_Tree_1!MC_BV_C_preclinical_aav_T_aav_preclin_fail</f>
        <v>0</v>
      </c>
      <c r="BQ1">
        <f>MC_Tree_1!MC_BP_C_preclinical_exvivo_D_exvivo_fund</f>
        <v>0.35</v>
      </c>
      <c r="BR1">
        <f>MC_Tree_1!MC_BV_C_preclinical_exvivo_D_exvivo_fund</f>
        <v>0</v>
      </c>
      <c r="BS1">
        <f>MC_Tree_1!MC_BP_C_preclinical_exvivo_T_exvivo_partial_preclin</f>
        <v>0.3</v>
      </c>
      <c r="BT1">
        <f>MC_Tree_1!MC_BV_C_preclinical_exvivo_T_exvivo_partial_preclin</f>
        <v>30000000</v>
      </c>
      <c r="BU1">
        <f>MC_Tree_1!MC_BP_C_preclinical_exvivo_T_exvivo_preclin_fail</f>
        <v>0.35</v>
      </c>
      <c r="BV1">
        <f>MC_Tree_1!MC_BV_C_preclinical_exvivo_T_exvivo_preclin_fail</f>
        <v>0</v>
      </c>
      <c r="BW1">
        <f>MC_Tree_1!MC_BV_D_aav_fund_C_aav_mfg</f>
        <v>-120000000</v>
      </c>
      <c r="BX1">
        <f>MC_Tree_1!MC_BV_D_aav_fund_C_aav_partner</f>
        <v>0</v>
      </c>
      <c r="BY1">
        <f>MC_Tree_1!MC_BV_D_aav_fund_mod_C_aav_mod_clinical</f>
        <v>-120000000</v>
      </c>
      <c r="BZ1">
        <f>MC_Tree_1!MC_BV_D_aav_fund_mod_C_aav_mod_partner</f>
        <v>0</v>
      </c>
      <c r="CA1">
        <f>MC_Tree_1!MC_BV_D_aav_fund_mod_T_aav_mod_abandon</f>
        <v>5000000</v>
      </c>
      <c r="CB1">
        <f>MC_Tree_1!MC_BV_D_exvivo_fund_C_exvivo_clinical</f>
        <v>-100000000</v>
      </c>
      <c r="CC1">
        <f>MC_Tree_1!MC_BV_D_exvivo_fund_C_exvivo_partner</f>
        <v>0</v>
      </c>
      <c r="CD1">
        <f>MC_Tree_1!MC_BV_D_root_C_preclinical_aav</f>
        <v>-80000000</v>
      </c>
      <c r="CE1">
        <f>MC_Tree_1!MC_BV_D_root_C_preclinical_exvivo</f>
        <v>-60000000</v>
      </c>
      <c r="CF1">
        <f>MC_Tree_1!MC_BV_D_root_C_license_deal</f>
        <v>-5000000</v>
      </c>
      <c r="CG1">
        <f>MC_Tree_1!MC_BV_D_root_T_shelve</f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5C40-637B-4AA4-A765-01AB260F0CA5}">
  <dimension ref="B2:D56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36</v>
      </c>
    </row>
    <row r="3" spans="2:2" x14ac:dyDescent="0.45">
      <c r="B3" s="10" t="s">
        <v>37</v>
      </c>
    </row>
    <row r="5" spans="2:2" ht="15.75" x14ac:dyDescent="0.5">
      <c r="B5" s="15" t="s">
        <v>38</v>
      </c>
    </row>
    <row r="7" spans="2:2" x14ac:dyDescent="0.45">
      <c r="B7" t="s">
        <v>39</v>
      </c>
    </row>
    <row r="8" spans="2:2" x14ac:dyDescent="0.45">
      <c r="B8" t="s">
        <v>40</v>
      </c>
    </row>
    <row r="9" spans="2:2" x14ac:dyDescent="0.45">
      <c r="B9" t="s">
        <v>41</v>
      </c>
    </row>
    <row r="10" spans="2:2" x14ac:dyDescent="0.45">
      <c r="B10" t="s">
        <v>42</v>
      </c>
    </row>
    <row r="12" spans="2:2" x14ac:dyDescent="0.45">
      <c r="B12" s="8" t="s">
        <v>43</v>
      </c>
    </row>
    <row r="13" spans="2:2" x14ac:dyDescent="0.45">
      <c r="B13" t="s">
        <v>44</v>
      </c>
    </row>
    <row r="14" spans="2:2" x14ac:dyDescent="0.45">
      <c r="B14" t="s">
        <v>45</v>
      </c>
    </row>
    <row r="15" spans="2:2" x14ac:dyDescent="0.45">
      <c r="B15" t="s">
        <v>46</v>
      </c>
    </row>
    <row r="16" spans="2:2" x14ac:dyDescent="0.45">
      <c r="B16" t="s">
        <v>47</v>
      </c>
    </row>
    <row r="18" spans="2:2" x14ac:dyDescent="0.45">
      <c r="B18" s="8" t="s">
        <v>48</v>
      </c>
    </row>
    <row r="19" spans="2:2" x14ac:dyDescent="0.45">
      <c r="B19" t="s">
        <v>49</v>
      </c>
    </row>
    <row r="20" spans="2:2" x14ac:dyDescent="0.45">
      <c r="B20" t="s">
        <v>50</v>
      </c>
    </row>
    <row r="21" spans="2:2" x14ac:dyDescent="0.45">
      <c r="B21" t="s">
        <v>51</v>
      </c>
    </row>
    <row r="23" spans="2:2" x14ac:dyDescent="0.45">
      <c r="B23" s="8" t="s">
        <v>52</v>
      </c>
    </row>
    <row r="24" spans="2:2" x14ac:dyDescent="0.45">
      <c r="B24" t="s">
        <v>53</v>
      </c>
    </row>
    <row r="25" spans="2:2" x14ac:dyDescent="0.45">
      <c r="B25" t="s">
        <v>54</v>
      </c>
    </row>
    <row r="26" spans="2:2" x14ac:dyDescent="0.45">
      <c r="B26" t="s">
        <v>55</v>
      </c>
    </row>
    <row r="28" spans="2:2" x14ac:dyDescent="0.45">
      <c r="B28" s="8" t="s">
        <v>56</v>
      </c>
    </row>
    <row r="29" spans="2:2" x14ac:dyDescent="0.45">
      <c r="B29" t="s">
        <v>57</v>
      </c>
    </row>
    <row r="31" spans="2:2" ht="15.75" x14ac:dyDescent="0.5">
      <c r="B31" s="15" t="s">
        <v>58</v>
      </c>
    </row>
    <row r="33" spans="2:4" x14ac:dyDescent="0.45">
      <c r="B33" t="s">
        <v>59</v>
      </c>
    </row>
    <row r="34" spans="2:4" x14ac:dyDescent="0.45">
      <c r="B34" t="s">
        <v>60</v>
      </c>
    </row>
    <row r="37" spans="2:4" ht="15.75" x14ac:dyDescent="0.5">
      <c r="B37" s="15" t="s">
        <v>61</v>
      </c>
    </row>
    <row r="39" spans="2:4" x14ac:dyDescent="0.45">
      <c r="B39" s="11" t="s">
        <v>19</v>
      </c>
      <c r="C39" s="11" t="s">
        <v>20</v>
      </c>
      <c r="D39" s="11" t="s">
        <v>22</v>
      </c>
    </row>
    <row r="40" spans="2:4" x14ac:dyDescent="0.45">
      <c r="B40" s="12" t="s">
        <v>62</v>
      </c>
      <c r="C40" s="16">
        <v>80000000</v>
      </c>
      <c r="D40" s="12" t="s">
        <v>63</v>
      </c>
    </row>
    <row r="41" spans="2:4" x14ac:dyDescent="0.45">
      <c r="B41" s="12" t="s">
        <v>64</v>
      </c>
      <c r="C41" s="16">
        <v>60000000</v>
      </c>
      <c r="D41" s="12" t="s">
        <v>65</v>
      </c>
    </row>
    <row r="42" spans="2:4" x14ac:dyDescent="0.45">
      <c r="B42" s="12" t="s">
        <v>66</v>
      </c>
      <c r="C42" s="16">
        <v>120000000</v>
      </c>
      <c r="D42" s="12" t="s">
        <v>67</v>
      </c>
    </row>
    <row r="43" spans="2:4" x14ac:dyDescent="0.45">
      <c r="B43" s="12" t="s">
        <v>68</v>
      </c>
      <c r="C43" s="16">
        <v>100000000</v>
      </c>
      <c r="D43" s="12" t="s">
        <v>69</v>
      </c>
    </row>
    <row r="44" spans="2:4" x14ac:dyDescent="0.45">
      <c r="B44" s="12" t="s">
        <v>70</v>
      </c>
      <c r="C44" s="17">
        <v>0.65</v>
      </c>
      <c r="D44" s="12" t="s">
        <v>71</v>
      </c>
    </row>
    <row r="45" spans="2:4" x14ac:dyDescent="0.45">
      <c r="B45" s="12" t="s">
        <v>72</v>
      </c>
      <c r="C45" s="12" t="s">
        <v>73</v>
      </c>
      <c r="D45" s="12" t="s">
        <v>74</v>
      </c>
    </row>
    <row r="46" spans="2:4" x14ac:dyDescent="0.45">
      <c r="B46" s="12" t="s">
        <v>75</v>
      </c>
      <c r="C46" s="12" t="s">
        <v>76</v>
      </c>
      <c r="D46" s="12" t="s">
        <v>77</v>
      </c>
    </row>
    <row r="47" spans="2:4" x14ac:dyDescent="0.45">
      <c r="B47" s="12" t="s">
        <v>78</v>
      </c>
      <c r="C47" s="17">
        <v>0.45</v>
      </c>
      <c r="D47" s="12" t="s">
        <v>79</v>
      </c>
    </row>
    <row r="48" spans="2:4" x14ac:dyDescent="0.45">
      <c r="B48" s="12" t="s">
        <v>80</v>
      </c>
      <c r="C48" s="12" t="s">
        <v>81</v>
      </c>
      <c r="D48" s="12" t="s">
        <v>82</v>
      </c>
    </row>
    <row r="49" spans="2:4" x14ac:dyDescent="0.45">
      <c r="B49" s="12" t="s">
        <v>83</v>
      </c>
      <c r="C49" s="12" t="s">
        <v>84</v>
      </c>
      <c r="D49" s="12" t="s">
        <v>85</v>
      </c>
    </row>
    <row r="52" spans="2:4" ht="15.75" x14ac:dyDescent="0.5">
      <c r="B52" s="15" t="s">
        <v>86</v>
      </c>
    </row>
    <row r="54" spans="2:4" x14ac:dyDescent="0.45">
      <c r="B54" t="s">
        <v>87</v>
      </c>
    </row>
    <row r="55" spans="2:4" x14ac:dyDescent="0.45">
      <c r="B55" t="s">
        <v>88</v>
      </c>
    </row>
    <row r="56" spans="2:4" x14ac:dyDescent="0.45">
      <c r="B56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5C94-A916-4769-9F57-C8B88A888DF2}">
  <dimension ref="B2:I120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33.59765625" customWidth="1"/>
    <col min="4" max="4" width="39.19921875" customWidth="1"/>
    <col min="5" max="5" width="40.59765625" customWidth="1"/>
    <col min="6" max="6" width="36.9296875" customWidth="1"/>
    <col min="7" max="7" width="37" customWidth="1"/>
    <col min="8" max="9" width="34.59765625" customWidth="1"/>
  </cols>
  <sheetData>
    <row r="2" spans="2:5" ht="15" customHeight="1" x14ac:dyDescent="0.55000000000000004">
      <c r="B2" s="9" t="s">
        <v>17</v>
      </c>
    </row>
    <row r="3" spans="2:5" ht="15" customHeight="1" x14ac:dyDescent="0.45">
      <c r="B3" s="10" t="s">
        <v>18</v>
      </c>
    </row>
    <row r="4" spans="2:5" ht="15" customHeight="1" x14ac:dyDescent="0.45"/>
    <row r="5" spans="2:5" ht="15" customHeight="1" x14ac:dyDescent="0.45">
      <c r="B5" s="11" t="s">
        <v>19</v>
      </c>
      <c r="C5" s="11" t="s">
        <v>20</v>
      </c>
      <c r="D5" s="11" t="s">
        <v>21</v>
      </c>
      <c r="E5" s="11" t="s">
        <v>22</v>
      </c>
    </row>
    <row r="6" spans="2:5" ht="15" customHeight="1" x14ac:dyDescent="0.45">
      <c r="B6" s="12" t="s">
        <v>23</v>
      </c>
      <c r="C6" s="13">
        <v>80000000</v>
      </c>
      <c r="D6" s="12" t="s">
        <v>24</v>
      </c>
      <c r="E6" s="12" t="s">
        <v>25</v>
      </c>
    </row>
    <row r="7" spans="2:5" ht="15" customHeight="1" x14ac:dyDescent="0.45">
      <c r="B7" s="12" t="s">
        <v>26</v>
      </c>
      <c r="C7" s="13">
        <v>60000000</v>
      </c>
      <c r="D7" s="12" t="s">
        <v>24</v>
      </c>
      <c r="E7" s="12" t="s">
        <v>27</v>
      </c>
    </row>
    <row r="8" spans="2:5" ht="15" customHeight="1" x14ac:dyDescent="0.45">
      <c r="B8" s="12" t="s">
        <v>28</v>
      </c>
      <c r="C8" s="13">
        <v>5000000</v>
      </c>
      <c r="D8" s="12" t="s">
        <v>24</v>
      </c>
      <c r="E8" s="12" t="s">
        <v>29</v>
      </c>
    </row>
    <row r="9" spans="2:5" ht="15" customHeight="1" x14ac:dyDescent="0.45">
      <c r="B9" s="12" t="s">
        <v>30</v>
      </c>
      <c r="C9" s="13">
        <v>120000000</v>
      </c>
      <c r="D9" s="12" t="s">
        <v>24</v>
      </c>
      <c r="E9" s="12" t="s">
        <v>31</v>
      </c>
    </row>
    <row r="10" spans="2:5" ht="15" customHeight="1" x14ac:dyDescent="0.45">
      <c r="B10" s="12" t="s">
        <v>30</v>
      </c>
      <c r="C10" s="13">
        <v>120000000</v>
      </c>
      <c r="D10" s="12" t="s">
        <v>24</v>
      </c>
      <c r="E10" s="12" t="s">
        <v>32</v>
      </c>
    </row>
    <row r="11" spans="2:5" ht="15" customHeight="1" x14ac:dyDescent="0.45">
      <c r="B11" s="12" t="s">
        <v>33</v>
      </c>
      <c r="C11" s="13">
        <v>5000000</v>
      </c>
      <c r="D11" s="12" t="s">
        <v>24</v>
      </c>
      <c r="E11" s="12" t="s">
        <v>34</v>
      </c>
    </row>
    <row r="12" spans="2:5" ht="15" customHeight="1" x14ac:dyDescent="0.45">
      <c r="B12" s="12" t="s">
        <v>30</v>
      </c>
      <c r="C12" s="13">
        <v>100000000</v>
      </c>
      <c r="D12" s="12" t="s">
        <v>24</v>
      </c>
      <c r="E12" s="12" t="s">
        <v>35</v>
      </c>
    </row>
    <row r="13" spans="2:5" ht="15" customHeight="1" x14ac:dyDescent="0.45"/>
    <row r="14" spans="2:5" ht="15" customHeight="1" x14ac:dyDescent="0.45"/>
    <row r="20" spans="6:9" ht="15" customHeight="1" x14ac:dyDescent="0.45">
      <c r="H20" s="5">
        <v>0.45</v>
      </c>
      <c r="I20" s="1">
        <f>_xll.MC_NodeProbability(_MC_Calc_1,"T_aav_accel")</f>
        <v>2.59875E-2</v>
      </c>
    </row>
    <row r="21" spans="6:9" ht="15" customHeight="1" x14ac:dyDescent="0.45">
      <c r="H21" s="7">
        <v>2000000000</v>
      </c>
      <c r="I21" s="6">
        <f>_xll.MC_NodeValue(_MC_Calc_1,"T_aav_accel")</f>
        <v>1800000000</v>
      </c>
    </row>
    <row r="22" spans="6:9" ht="15" customHeight="1" x14ac:dyDescent="0.45">
      <c r="G22" s="5">
        <v>0.35</v>
      </c>
      <c r="H22" s="2" t="s">
        <v>1</v>
      </c>
    </row>
    <row r="23" spans="6:9" ht="15" customHeight="1" x14ac:dyDescent="0.45">
      <c r="G23" s="7">
        <v>0</v>
      </c>
      <c r="H23" s="6">
        <f>_xll.MC_NodeValue(_MC_Calc_1,"C_fda_aav")</f>
        <v>1266000000</v>
      </c>
    </row>
    <row r="24" spans="6:9" ht="15" customHeight="1" x14ac:dyDescent="0.45">
      <c r="H24" s="5">
        <v>0.4</v>
      </c>
      <c r="I24" s="1">
        <f>_xll.MC_NodeProbability(_MC_Calc_1,"T_aav_standard")</f>
        <v>2.3099999999999999E-2</v>
      </c>
    </row>
    <row r="25" spans="6:9" ht="15" customHeight="1" x14ac:dyDescent="0.45">
      <c r="H25" s="7">
        <v>1340000000</v>
      </c>
      <c r="I25" s="6">
        <f>_xll.MC_NodeValue(_MC_Calc_1,"T_aav_standard")</f>
        <v>1140000000</v>
      </c>
    </row>
    <row r="26" spans="6:9" ht="15" customHeight="1" x14ac:dyDescent="0.45">
      <c r="H26" s="5">
        <v>0.15</v>
      </c>
      <c r="I26" s="1">
        <f>_xll.MC_NodeProbability(_MC_Calc_1,"T_aav_crl")</f>
        <v>8.6624999999999983E-3</v>
      </c>
    </row>
    <row r="27" spans="6:9" ht="15" customHeight="1" x14ac:dyDescent="0.45">
      <c r="H27" s="7">
        <v>200000000</v>
      </c>
      <c r="I27" s="6">
        <f>_xll.MC_NodeValue(_MC_Calc_1,"T_aav_crl")</f>
        <v>0</v>
      </c>
    </row>
    <row r="28" spans="6:9" ht="15" customHeight="1" x14ac:dyDescent="0.45">
      <c r="F28" s="5">
        <v>0.55000000000000004</v>
      </c>
      <c r="G28" s="2" t="s">
        <v>2</v>
      </c>
    </row>
    <row r="29" spans="6:9" ht="15" customHeight="1" x14ac:dyDescent="0.45">
      <c r="F29" s="7">
        <v>0</v>
      </c>
      <c r="G29" s="6">
        <f>_xll.MC_NodeValue(_MC_Calc_1,"C_aav_clinical")</f>
        <v>453100000</v>
      </c>
    </row>
    <row r="30" spans="6:9" ht="15" customHeight="1" x14ac:dyDescent="0.45">
      <c r="G30" s="5">
        <v>0.4</v>
      </c>
      <c r="H30" s="1">
        <f>_xll.MC_NodeProbability(_MC_Calc_1,"T_aav_partial")</f>
        <v>6.6000000000000003E-2</v>
      </c>
    </row>
    <row r="31" spans="6:9" ht="15" customHeight="1" x14ac:dyDescent="0.45">
      <c r="G31" s="7">
        <v>350000000</v>
      </c>
      <c r="H31" s="6">
        <f>_xll.MC_NodeValue(_MC_Calc_1,"T_aav_partial")</f>
        <v>150000000</v>
      </c>
    </row>
    <row r="32" spans="6:9" ht="15" customHeight="1" x14ac:dyDescent="0.45">
      <c r="G32" s="5">
        <v>0.25</v>
      </c>
      <c r="H32" s="1">
        <f>_xll.MC_NodeProbability(_MC_Calc_1,"T_aav_no_eff")</f>
        <v>4.1250000000000002E-2</v>
      </c>
    </row>
    <row r="33" spans="4:8" ht="15" customHeight="1" x14ac:dyDescent="0.45">
      <c r="G33" s="7">
        <v>0</v>
      </c>
      <c r="H33" s="6">
        <f>_xll.MC_NodeValue(_MC_Calc_1,"T_aav_no_eff")</f>
        <v>-200000000</v>
      </c>
    </row>
    <row r="34" spans="4:8" ht="15" customHeight="1" x14ac:dyDescent="0.45">
      <c r="E34" s="4" t="str">
        <f>_xll.MC_NodeDecision(_MC_Calc_1,"C_aav_mfg")</f>
        <v>optimal</v>
      </c>
      <c r="F34" s="2" t="s">
        <v>3</v>
      </c>
    </row>
    <row r="35" spans="4:8" ht="15" customHeight="1" x14ac:dyDescent="0.45">
      <c r="E35" s="7">
        <f>-SelffundPhase12Cost</f>
        <v>-120000000</v>
      </c>
      <c r="F35" s="6">
        <f>_xll.MC_NodeValue(_MC_Calc_1,"C_aav_mfg")</f>
        <v>267205000</v>
      </c>
    </row>
    <row r="36" spans="4:8" ht="15" customHeight="1" x14ac:dyDescent="0.45">
      <c r="G36" s="5">
        <v>0.25</v>
      </c>
      <c r="H36" s="1">
        <f>_xll.MC_NodeProbability(_MC_Calc_1,"T_aav_delay_good")</f>
        <v>2.2499999999999999E-2</v>
      </c>
    </row>
    <row r="37" spans="4:8" ht="15" customHeight="1" x14ac:dyDescent="0.45">
      <c r="G37" s="7">
        <v>1200000000</v>
      </c>
      <c r="H37" s="6">
        <f>_xll.MC_NodeValue(_MC_Calc_1,"T_aav_delay_good")</f>
        <v>960000000</v>
      </c>
    </row>
    <row r="38" spans="4:8" ht="15" customHeight="1" x14ac:dyDescent="0.45">
      <c r="F38" s="5">
        <v>0.3</v>
      </c>
      <c r="G38" s="2" t="s">
        <v>4</v>
      </c>
    </row>
    <row r="39" spans="4:8" ht="15" customHeight="1" x14ac:dyDescent="0.45">
      <c r="F39" s="7">
        <v>-40000000</v>
      </c>
      <c r="G39" s="6">
        <f>_xll.MC_NodeValue(_MC_Calc_1,"C_aav_clinical_delay")</f>
        <v>160000000</v>
      </c>
    </row>
    <row r="40" spans="4:8" ht="15" customHeight="1" x14ac:dyDescent="0.45">
      <c r="G40" s="5">
        <v>0.4</v>
      </c>
      <c r="H40" s="1">
        <f>_xll.MC_NodeProbability(_MC_Calc_1,"T_aav_delay_partial")</f>
        <v>3.5999999999999997E-2</v>
      </c>
    </row>
    <row r="41" spans="4:8" ht="15" customHeight="1" x14ac:dyDescent="0.45">
      <c r="G41" s="7">
        <v>250000000</v>
      </c>
      <c r="H41" s="6">
        <f>_xll.MC_NodeValue(_MC_Calc_1,"T_aav_delay_partial")</f>
        <v>10000000</v>
      </c>
    </row>
    <row r="42" spans="4:8" ht="15" customHeight="1" x14ac:dyDescent="0.45">
      <c r="G42" s="5">
        <v>0.35</v>
      </c>
      <c r="H42" s="1">
        <f>_xll.MC_NodeProbability(_MC_Calc_1,"T_aav_delay_fail")</f>
        <v>3.15E-2</v>
      </c>
    </row>
    <row r="43" spans="4:8" ht="15" customHeight="1" x14ac:dyDescent="0.45">
      <c r="G43" s="7">
        <v>0</v>
      </c>
      <c r="H43" s="6">
        <f>_xll.MC_NodeValue(_MC_Calc_1,"T_aav_delay_fail")</f>
        <v>-240000000</v>
      </c>
    </row>
    <row r="44" spans="4:8" ht="15" customHeight="1" x14ac:dyDescent="0.45">
      <c r="F44" s="5">
        <v>0.15</v>
      </c>
      <c r="G44" s="1">
        <f>_xll.MC_NodeProbability(_MC_Calc_1,"T_aav_mfg_fail")</f>
        <v>4.4999999999999998E-2</v>
      </c>
    </row>
    <row r="45" spans="4:8" ht="15" customHeight="1" x14ac:dyDescent="0.45">
      <c r="F45" s="7">
        <v>0</v>
      </c>
      <c r="G45" s="6">
        <f>_xll.MC_NodeValue(_MC_Calc_1,"T_aav_mfg_fail")</f>
        <v>-200000000</v>
      </c>
    </row>
    <row r="46" spans="4:8" ht="15" customHeight="1" x14ac:dyDescent="0.45">
      <c r="D46" s="5">
        <v>0.3</v>
      </c>
      <c r="E46" s="3" t="s">
        <v>5</v>
      </c>
    </row>
    <row r="47" spans="4:8" ht="15" customHeight="1" x14ac:dyDescent="0.45">
      <c r="D47" s="7">
        <v>0</v>
      </c>
      <c r="E47" s="6">
        <f>_xll.MC_NodeValue(_MC_Calc_1,"D_aav_fund")</f>
        <v>267205000</v>
      </c>
    </row>
    <row r="48" spans="4:8" ht="15" customHeight="1" x14ac:dyDescent="0.45">
      <c r="F48" s="5">
        <v>0.4</v>
      </c>
      <c r="G48" s="1">
        <f>_xll.MC_NodeProbability(_MC_Calc_1,"T_aav_partner_good")</f>
        <v>0.12</v>
      </c>
    </row>
    <row r="49" spans="3:7" ht="15" customHeight="1" x14ac:dyDescent="0.45">
      <c r="F49" s="7">
        <v>600000000</v>
      </c>
      <c r="G49" s="6">
        <f>_xll.MC_NodeValue(_MC_Calc_1,"T_aav_partner_good")</f>
        <v>520000000</v>
      </c>
    </row>
    <row r="50" spans="3:7" ht="15" customHeight="1" x14ac:dyDescent="0.45">
      <c r="E50" s="4" t="str">
        <f>_xll.MC_NodeDecision(_MC_Calc_1,"C_aav_partner")</f>
        <v/>
      </c>
      <c r="F50" s="2" t="s">
        <v>6</v>
      </c>
    </row>
    <row r="51" spans="3:7" ht="15" customHeight="1" x14ac:dyDescent="0.45">
      <c r="E51" s="7">
        <v>0</v>
      </c>
      <c r="F51" s="6">
        <f>_xll.MC_NodeValue(_MC_Calc_1,"C_aav_partner")</f>
        <v>252500000</v>
      </c>
    </row>
    <row r="52" spans="3:7" ht="15" customHeight="1" x14ac:dyDescent="0.45">
      <c r="F52" s="5">
        <v>0.35</v>
      </c>
      <c r="G52" s="1">
        <f>_xll.MC_NodeProbability(_MC_Calc_1,"T_aav_partner_ok")</f>
        <v>0.105</v>
      </c>
    </row>
    <row r="53" spans="3:7" ht="15" customHeight="1" x14ac:dyDescent="0.45">
      <c r="F53" s="7">
        <v>250000000</v>
      </c>
      <c r="G53" s="6">
        <f>_xll.MC_NodeValue(_MC_Calc_1,"T_aav_partner_ok")</f>
        <v>170000000</v>
      </c>
    </row>
    <row r="54" spans="3:7" ht="15" customHeight="1" x14ac:dyDescent="0.45">
      <c r="F54" s="5">
        <v>0.25</v>
      </c>
      <c r="G54" s="1">
        <f>_xll.MC_NodeProbability(_MC_Calc_1,"T_aav_no_partner")</f>
        <v>7.4999999999999997E-2</v>
      </c>
    </row>
    <row r="55" spans="3:7" ht="15" customHeight="1" x14ac:dyDescent="0.45">
      <c r="F55" s="7">
        <v>20000000</v>
      </c>
      <c r="G55" s="6">
        <f>_xll.MC_NodeValue(_MC_Calc_1,"T_aav_no_partner")</f>
        <v>-60000000</v>
      </c>
    </row>
    <row r="56" spans="3:7" ht="15" customHeight="1" x14ac:dyDescent="0.45">
      <c r="C56" s="4" t="str">
        <f>_xll.MC_NodeDecision(_MC_Calc_1,"C_preclinical_aav")</f>
        <v/>
      </c>
      <c r="D56" s="2" t="s">
        <v>7</v>
      </c>
    </row>
    <row r="57" spans="3:7" ht="15" customHeight="1" x14ac:dyDescent="0.45">
      <c r="C57" s="7">
        <f>-InvivoAavGeneTherapyCost</f>
        <v>-80000000</v>
      </c>
      <c r="D57" s="6">
        <f>_xll.MC_NodeValue(_MC_Calc_1,"C_preclinical_aav")</f>
        <v>61786500.000000015</v>
      </c>
    </row>
    <row r="58" spans="3:7" ht="15" customHeight="1" x14ac:dyDescent="0.45">
      <c r="F58" s="5">
        <v>0.2</v>
      </c>
      <c r="G58" s="1">
        <f>_xll.MC_NodeProbability(_MC_Calc_1,"T_aav_mod_surprise")</f>
        <v>6.9999999999999993E-2</v>
      </c>
    </row>
    <row r="59" spans="3:7" ht="15" customHeight="1" x14ac:dyDescent="0.45">
      <c r="F59" s="7">
        <v>800000000</v>
      </c>
      <c r="G59" s="6">
        <f>_xll.MC_NodeValue(_MC_Calc_1,"T_aav_mod_surprise")</f>
        <v>600000000</v>
      </c>
    </row>
    <row r="60" spans="3:7" ht="15" customHeight="1" x14ac:dyDescent="0.45">
      <c r="E60" s="4" t="str">
        <f>_xll.MC_NodeDecision(_MC_Calc_1,"C_aav_mod_clinical")</f>
        <v>optimal</v>
      </c>
      <c r="F60" s="2" t="s">
        <v>8</v>
      </c>
    </row>
    <row r="61" spans="3:7" ht="15" customHeight="1" x14ac:dyDescent="0.45">
      <c r="E61" s="7">
        <f>-SelffundPhase12Cost2</f>
        <v>-120000000</v>
      </c>
      <c r="F61" s="6">
        <f>_xll.MC_NodeValue(_MC_Calc_1,"C_aav_mod_clinical")</f>
        <v>27500000</v>
      </c>
    </row>
    <row r="62" spans="3:7" ht="15" customHeight="1" x14ac:dyDescent="0.45">
      <c r="F62" s="5">
        <v>0.45</v>
      </c>
      <c r="G62" s="1">
        <f>_xll.MC_NodeProbability(_MC_Calc_1,"T_aav_mod_marginal")</f>
        <v>0.1575</v>
      </c>
    </row>
    <row r="63" spans="3:7" ht="15" customHeight="1" x14ac:dyDescent="0.45">
      <c r="F63" s="7">
        <v>150000000</v>
      </c>
      <c r="G63" s="6">
        <f>_xll.MC_NodeValue(_MC_Calc_1,"T_aav_mod_marginal")</f>
        <v>-50000000</v>
      </c>
    </row>
    <row r="64" spans="3:7" ht="15" customHeight="1" x14ac:dyDescent="0.45">
      <c r="F64" s="5">
        <v>0.35</v>
      </c>
      <c r="G64" s="1">
        <f>_xll.MC_NodeProbability(_MC_Calc_1,"T_aav_mod_fail")</f>
        <v>0.12249999999999998</v>
      </c>
    </row>
    <row r="65" spans="3:7" ht="15" customHeight="1" x14ac:dyDescent="0.45">
      <c r="F65" s="7">
        <v>0</v>
      </c>
      <c r="G65" s="6">
        <f>_xll.MC_NodeValue(_MC_Calc_1,"T_aav_mod_fail")</f>
        <v>-200000000</v>
      </c>
    </row>
    <row r="66" spans="3:7" ht="15" customHeight="1" x14ac:dyDescent="0.45">
      <c r="D66" s="5">
        <v>0.35</v>
      </c>
      <c r="E66" s="3" t="s">
        <v>9</v>
      </c>
    </row>
    <row r="67" spans="3:7" ht="15" customHeight="1" x14ac:dyDescent="0.45">
      <c r="D67" s="7">
        <v>0</v>
      </c>
      <c r="E67" s="6">
        <f>_xll.MC_NodeValue(_MC_Calc_1,"D_aav_fund_mod")</f>
        <v>27500000</v>
      </c>
    </row>
    <row r="68" spans="3:7" ht="15" customHeight="1" x14ac:dyDescent="0.45">
      <c r="F68" s="5">
        <v>0.3</v>
      </c>
      <c r="G68" s="1">
        <f>_xll.MC_NodeProbability(_MC_Calc_1,"T_aav_mod_part_yes")</f>
        <v>0.105</v>
      </c>
    </row>
    <row r="69" spans="3:7" ht="15" customHeight="1" x14ac:dyDescent="0.45">
      <c r="F69" s="7">
        <v>150000000</v>
      </c>
      <c r="G69" s="6">
        <f>_xll.MC_NodeValue(_MC_Calc_1,"T_aav_mod_part_yes")</f>
        <v>70000000</v>
      </c>
    </row>
    <row r="70" spans="3:7" ht="15" customHeight="1" x14ac:dyDescent="0.45">
      <c r="E70" s="4" t="str">
        <f>_xll.MC_NodeDecision(_MC_Calc_1,"C_aav_mod_partner")</f>
        <v/>
      </c>
      <c r="F70" s="2" t="s">
        <v>10</v>
      </c>
    </row>
    <row r="71" spans="3:7" ht="15" customHeight="1" x14ac:dyDescent="0.45">
      <c r="E71" s="7">
        <v>0</v>
      </c>
      <c r="F71" s="6">
        <f>_xll.MC_NodeValue(_MC_Calc_1,"C_aav_mod_partner")</f>
        <v>-28000000</v>
      </c>
    </row>
    <row r="72" spans="3:7" ht="15" customHeight="1" x14ac:dyDescent="0.45">
      <c r="F72" s="5">
        <v>0.7</v>
      </c>
      <c r="G72" s="1">
        <f>_xll.MC_NodeProbability(_MC_Calc_1,"T_aav_mod_part_no")</f>
        <v>0.24499999999999997</v>
      </c>
    </row>
    <row r="73" spans="3:7" ht="15" customHeight="1" x14ac:dyDescent="0.45">
      <c r="F73" s="7">
        <v>10000000</v>
      </c>
      <c r="G73" s="6">
        <f>_xll.MC_NodeValue(_MC_Calc_1,"T_aav_mod_part_no")</f>
        <v>-70000000</v>
      </c>
    </row>
    <row r="74" spans="3:7" ht="15" customHeight="1" x14ac:dyDescent="0.45">
      <c r="E74" s="4" t="str">
        <f>_xll.MC_NodeDecision(_MC_Calc_1,"T_aav_mod_abandon")</f>
        <v/>
      </c>
      <c r="F74" s="1">
        <f>_xll.MC_NodeProbability(_MC_Calc_1,"T_aav_mod_abandon")</f>
        <v>0.35</v>
      </c>
    </row>
    <row r="75" spans="3:7" ht="15" customHeight="1" x14ac:dyDescent="0.45">
      <c r="E75" s="7">
        <f>AbandonProgramValue</f>
        <v>5000000</v>
      </c>
      <c r="F75" s="6">
        <f>_xll.MC_NodeValue(_MC_Calc_1,"T_aav_mod_abandon")</f>
        <v>-75000000</v>
      </c>
    </row>
    <row r="76" spans="3:7" ht="15" customHeight="1" x14ac:dyDescent="0.45">
      <c r="D76" s="5">
        <v>0.35</v>
      </c>
      <c r="E76" s="1">
        <f>_xll.MC_NodeProbability(_MC_Calc_1,"T_aav_preclin_fail")</f>
        <v>0.35</v>
      </c>
    </row>
    <row r="77" spans="3:7" ht="15" customHeight="1" x14ac:dyDescent="0.45">
      <c r="D77" s="7">
        <v>0</v>
      </c>
      <c r="E77" s="6">
        <f>_xll.MC_NodeValue(_MC_Calc_1,"T_aav_preclin_fail")</f>
        <v>-80000000</v>
      </c>
    </row>
    <row r="78" spans="3:7" ht="15" customHeight="1" x14ac:dyDescent="0.45">
      <c r="C78" s="3" t="s">
        <v>11</v>
      </c>
    </row>
    <row r="79" spans="3:7" ht="15" customHeight="1" x14ac:dyDescent="0.45">
      <c r="C79" s="6">
        <f>_xll.MC_NodeValue(_MC_Calc_1,"D_root")</f>
        <v>187875000.00000003</v>
      </c>
    </row>
    <row r="80" spans="3:7" ht="15" customHeight="1" x14ac:dyDescent="0.45">
      <c r="F80" s="5">
        <v>0.25</v>
      </c>
      <c r="G80" s="1">
        <f>_xll.MC_NodeProbability(_MC_Calc_1,"T_exvivo_cure")</f>
        <v>8.7499999999999994E-2</v>
      </c>
    </row>
    <row r="81" spans="4:7" ht="15" customHeight="1" x14ac:dyDescent="0.45">
      <c r="F81" s="7">
        <v>1800000000</v>
      </c>
      <c r="G81" s="6">
        <f>_xll.MC_NodeValue(_MC_Calc_1,"T_exvivo_cure")</f>
        <v>1640000000</v>
      </c>
    </row>
    <row r="82" spans="4:7" ht="15" customHeight="1" x14ac:dyDescent="0.45">
      <c r="E82" s="4" t="str">
        <f>_xll.MC_NodeDecision(_MC_Calc_1,"C_exvivo_clinical")</f>
        <v>optimal</v>
      </c>
      <c r="F82" s="2" t="s">
        <v>12</v>
      </c>
    </row>
    <row r="83" spans="4:7" ht="15" customHeight="1" x14ac:dyDescent="0.45">
      <c r="E83" s="7">
        <f>-SelffundPhase12Cost3</f>
        <v>-100000000</v>
      </c>
      <c r="F83" s="6">
        <f>_xll.MC_NodeValue(_MC_Calc_1,"C_exvivo_clinical")</f>
        <v>622500000</v>
      </c>
    </row>
    <row r="84" spans="4:7" ht="15" customHeight="1" x14ac:dyDescent="0.45">
      <c r="F84" s="5">
        <v>0.35</v>
      </c>
      <c r="G84" s="1">
        <f>_xll.MC_NodeProbability(_MC_Calc_1,"T_exvivo_improve")</f>
        <v>0.12249999999999998</v>
      </c>
    </row>
    <row r="85" spans="4:7" ht="15" customHeight="1" x14ac:dyDescent="0.45">
      <c r="F85" s="7">
        <v>900000000</v>
      </c>
      <c r="G85" s="6">
        <f>_xll.MC_NodeValue(_MC_Calc_1,"T_exvivo_improve")</f>
        <v>740000000</v>
      </c>
    </row>
    <row r="86" spans="4:7" ht="15" customHeight="1" x14ac:dyDescent="0.45">
      <c r="F86" s="5">
        <v>0.25</v>
      </c>
      <c r="G86" s="1">
        <f>_xll.MC_NodeProbability(_MC_Calc_1,"T_exvivo_minimal")</f>
        <v>8.7499999999999994E-2</v>
      </c>
    </row>
    <row r="87" spans="4:7" ht="15" customHeight="1" x14ac:dyDescent="0.45">
      <c r="F87" s="7">
        <v>100000000</v>
      </c>
      <c r="G87" s="6">
        <f>_xll.MC_NodeValue(_MC_Calc_1,"T_exvivo_minimal")</f>
        <v>-60000000</v>
      </c>
    </row>
    <row r="88" spans="4:7" ht="15" customHeight="1" x14ac:dyDescent="0.45">
      <c r="F88" s="5">
        <v>0.15</v>
      </c>
      <c r="G88" s="1">
        <f>_xll.MC_NodeProbability(_MC_Calc_1,"T_exvivo_safety")</f>
        <v>5.2499999999999998E-2</v>
      </c>
    </row>
    <row r="89" spans="4:7" ht="15" customHeight="1" x14ac:dyDescent="0.45">
      <c r="F89" s="7">
        <v>-50000000</v>
      </c>
      <c r="G89" s="6">
        <f>_xll.MC_NodeValue(_MC_Calc_1,"T_exvivo_safety")</f>
        <v>-210000000</v>
      </c>
    </row>
    <row r="90" spans="4:7" ht="15" customHeight="1" x14ac:dyDescent="0.45">
      <c r="D90" s="5">
        <v>0.35</v>
      </c>
      <c r="E90" s="3" t="s">
        <v>13</v>
      </c>
    </row>
    <row r="91" spans="4:7" ht="15" customHeight="1" x14ac:dyDescent="0.45">
      <c r="D91" s="7">
        <v>0</v>
      </c>
      <c r="E91" s="6">
        <f>_xll.MC_NodeValue(_MC_Calc_1,"D_exvivo_fund")</f>
        <v>622500000</v>
      </c>
    </row>
    <row r="92" spans="4:7" ht="15" customHeight="1" x14ac:dyDescent="0.45">
      <c r="F92" s="5">
        <v>0.35</v>
      </c>
      <c r="G92" s="1">
        <f>_xll.MC_NodeProbability(_MC_Calc_1,"T_exvivo_major_partner")</f>
        <v>0.12249999999999998</v>
      </c>
    </row>
    <row r="93" spans="4:7" ht="15" customHeight="1" x14ac:dyDescent="0.45">
      <c r="F93" s="7">
        <v>500000000</v>
      </c>
      <c r="G93" s="6">
        <f>_xll.MC_NodeValue(_MC_Calc_1,"T_exvivo_major_partner")</f>
        <v>440000000</v>
      </c>
    </row>
    <row r="94" spans="4:7" ht="15" customHeight="1" x14ac:dyDescent="0.45">
      <c r="E94" s="4" t="str">
        <f>_xll.MC_NodeDecision(_MC_Calc_1,"C_exvivo_partner")</f>
        <v/>
      </c>
      <c r="F94" s="2" t="s">
        <v>14</v>
      </c>
    </row>
    <row r="95" spans="4:7" ht="15" customHeight="1" x14ac:dyDescent="0.45">
      <c r="E95" s="7">
        <v>0</v>
      </c>
      <c r="F95" s="6">
        <f>_xll.MC_NodeValue(_MC_Calc_1,"C_exvivo_partner")</f>
        <v>189500000</v>
      </c>
    </row>
    <row r="96" spans="4:7" ht="15" customHeight="1" x14ac:dyDescent="0.45">
      <c r="F96" s="5">
        <v>0.35</v>
      </c>
      <c r="G96" s="1">
        <f>_xll.MC_NodeProbability(_MC_Calc_1,"T_exvivo_bio_partner")</f>
        <v>0.12249999999999998</v>
      </c>
    </row>
    <row r="97" spans="3:7" ht="15" customHeight="1" x14ac:dyDescent="0.45">
      <c r="F97" s="7">
        <v>200000000</v>
      </c>
      <c r="G97" s="6">
        <f>_xll.MC_NodeValue(_MC_Calc_1,"T_exvivo_bio_partner")</f>
        <v>140000000</v>
      </c>
    </row>
    <row r="98" spans="3:7" ht="15" customHeight="1" x14ac:dyDescent="0.45">
      <c r="F98" s="5">
        <v>0.3</v>
      </c>
      <c r="G98" s="1">
        <f>_xll.MC_NodeProbability(_MC_Calc_1,"T_exvivo_no_partner")</f>
        <v>0.105</v>
      </c>
    </row>
    <row r="99" spans="3:7" ht="15" customHeight="1" x14ac:dyDescent="0.45">
      <c r="F99" s="7">
        <v>15000000</v>
      </c>
      <c r="G99" s="6">
        <f>_xll.MC_NodeValue(_MC_Calc_1,"T_exvivo_no_partner")</f>
        <v>-45000000</v>
      </c>
    </row>
    <row r="100" spans="3:7" ht="15" customHeight="1" x14ac:dyDescent="0.45">
      <c r="C100" s="4" t="str">
        <f>_xll.MC_NodeDecision(_MC_Calc_1,"C_preclinical_exvivo")</f>
        <v>optimal</v>
      </c>
      <c r="D100" s="2" t="s">
        <v>15</v>
      </c>
    </row>
    <row r="101" spans="3:7" ht="15" customHeight="1" x14ac:dyDescent="0.45">
      <c r="C101" s="7">
        <f>-ExvivoCellTherapyCost</f>
        <v>-60000000</v>
      </c>
      <c r="D101" s="6">
        <f>_xll.MC_NodeValue(_MC_Calc_1,"C_preclinical_exvivo")</f>
        <v>187875000.00000003</v>
      </c>
    </row>
    <row r="102" spans="3:7" ht="15" customHeight="1" x14ac:dyDescent="0.45">
      <c r="D102" s="5">
        <v>0.3</v>
      </c>
      <c r="E102" s="1">
        <f>_xll.MC_NodeProbability(_MC_Calc_1,"T_exvivo_partial_preclin")</f>
        <v>0.3</v>
      </c>
    </row>
    <row r="103" spans="3:7" ht="15" customHeight="1" x14ac:dyDescent="0.45">
      <c r="D103" s="7">
        <v>30000000</v>
      </c>
      <c r="E103" s="6">
        <f>_xll.MC_NodeValue(_MC_Calc_1,"T_exvivo_partial_preclin")</f>
        <v>-30000000</v>
      </c>
    </row>
    <row r="104" spans="3:7" ht="15" customHeight="1" x14ac:dyDescent="0.45">
      <c r="D104" s="5">
        <v>0.35</v>
      </c>
      <c r="E104" s="1">
        <f>_xll.MC_NodeProbability(_MC_Calc_1,"T_exvivo_preclin_fail")</f>
        <v>0.35</v>
      </c>
    </row>
    <row r="105" spans="3:7" ht="15" customHeight="1" x14ac:dyDescent="0.45">
      <c r="D105" s="7">
        <v>0</v>
      </c>
      <c r="E105" s="6">
        <f>_xll.MC_NodeValue(_MC_Calc_1,"T_exvivo_preclin_fail")</f>
        <v>-60000000</v>
      </c>
    </row>
    <row r="106" spans="3:7" ht="15" customHeight="1" x14ac:dyDescent="0.45">
      <c r="D106" s="5">
        <v>0.25</v>
      </c>
      <c r="E106" s="1">
        <f>_xll.MC_NodeProbability(_MC_Calc_1,"T_license_success")</f>
        <v>0.25</v>
      </c>
    </row>
    <row r="107" spans="3:7" ht="15" customHeight="1" x14ac:dyDescent="0.45">
      <c r="D107" s="7">
        <v>400000000</v>
      </c>
      <c r="E107" s="6">
        <f>_xll.MC_NodeValue(_MC_Calc_1,"T_license_success")</f>
        <v>395000000</v>
      </c>
    </row>
    <row r="108" spans="3:7" ht="15" customHeight="1" x14ac:dyDescent="0.45">
      <c r="C108" s="4" t="str">
        <f>_xll.MC_NodeDecision(_MC_Calc_1,"C_license_deal")</f>
        <v/>
      </c>
      <c r="D108" s="2" t="s">
        <v>16</v>
      </c>
    </row>
    <row r="109" spans="3:7" ht="15" customHeight="1" x14ac:dyDescent="0.45">
      <c r="C109" s="7">
        <f>-LicenseToBigPharmaCost</f>
        <v>-5000000</v>
      </c>
      <c r="D109" s="6">
        <f>_xll.MC_NodeValue(_MC_Calc_1,"C_license_deal")</f>
        <v>124250000</v>
      </c>
    </row>
    <row r="110" spans="3:7" ht="15" customHeight="1" x14ac:dyDescent="0.45">
      <c r="D110" s="5">
        <v>0.3</v>
      </c>
      <c r="E110" s="1">
        <f>_xll.MC_NodeProbability(_MC_Calc_1,"T_license_phase2")</f>
        <v>0.3</v>
      </c>
    </row>
    <row r="111" spans="3:7" ht="15" customHeight="1" x14ac:dyDescent="0.45">
      <c r="D111" s="7">
        <v>80000000</v>
      </c>
      <c r="E111" s="6">
        <f>_xll.MC_NodeValue(_MC_Calc_1,"T_license_phase2")</f>
        <v>75000000</v>
      </c>
    </row>
    <row r="112" spans="3:7" ht="15" customHeight="1" x14ac:dyDescent="0.45">
      <c r="D112" s="5">
        <v>0.3</v>
      </c>
      <c r="E112" s="1">
        <f>_xll.MC_NodeProbability(_MC_Calc_1,"T_license_clinic_fail")</f>
        <v>0.3</v>
      </c>
    </row>
    <row r="113" spans="3:5" ht="15" customHeight="1" x14ac:dyDescent="0.45">
      <c r="D113" s="7">
        <v>15000000</v>
      </c>
      <c r="E113" s="6">
        <f>_xll.MC_NodeValue(_MC_Calc_1,"T_license_clinic_fail")</f>
        <v>10000000</v>
      </c>
    </row>
    <row r="114" spans="3:5" ht="15" customHeight="1" x14ac:dyDescent="0.45">
      <c r="D114" s="5">
        <v>0.15</v>
      </c>
      <c r="E114" s="1">
        <f>_xll.MC_NodeProbability(_MC_Calc_1,"T_license_abandon")</f>
        <v>0.15</v>
      </c>
    </row>
    <row r="115" spans="3:5" ht="15" customHeight="1" x14ac:dyDescent="0.45">
      <c r="D115" s="7">
        <v>5000000</v>
      </c>
      <c r="E115" s="6">
        <f>_xll.MC_NodeValue(_MC_Calc_1,"T_license_abandon")</f>
        <v>0</v>
      </c>
    </row>
    <row r="116" spans="3:5" ht="15" customHeight="1" x14ac:dyDescent="0.45">
      <c r="C116" s="4" t="str">
        <f>_xll.MC_NodeDecision(_MC_Calc_1,"T_shelve")</f>
        <v/>
      </c>
      <c r="D116" s="1">
        <f>_xll.MC_NodeProbability(_MC_Calc_1,"T_shelve")</f>
        <v>1</v>
      </c>
    </row>
    <row r="117" spans="3:5" ht="15" customHeight="1" x14ac:dyDescent="0.45">
      <c r="C117" s="7">
        <v>0</v>
      </c>
      <c r="D117" s="6">
        <f>_xll.MC_NodeValue(_MC_Calc_1,"T_shelve")</f>
        <v>0</v>
      </c>
    </row>
    <row r="118" spans="3:5" ht="15" customHeight="1" x14ac:dyDescent="0.45"/>
    <row r="119" spans="3:5" ht="15" customHeight="1" x14ac:dyDescent="0.45"/>
    <row r="120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202</vt:i4>
      </vt:variant>
    </vt:vector>
  </HeadingPairs>
  <TitlesOfParts>
    <vt:vector size="204" baseType="lpstr">
      <vt:lpstr>Problem</vt:lpstr>
      <vt:lpstr>MC_Tree_1</vt:lpstr>
      <vt:lpstr>_MC_Calc_1</vt:lpstr>
      <vt:lpstr>AbandonProgramValue</vt:lpstr>
      <vt:lpstr>ExvivoCellTherapyCost</vt:lpstr>
      <vt:lpstr>InvivoAavGeneTherapyCost</vt:lpstr>
      <vt:lpstr>LicenseToBigPharmaCost</vt:lpstr>
      <vt:lpstr>MC_Tree_1!MC_BD_D_aav_fund_C_aav_mfg</vt:lpstr>
      <vt:lpstr>MC_Tree_1!MC_BD_D_aav_fund_C_aav_partner</vt:lpstr>
      <vt:lpstr>MC_Tree_1!MC_BD_D_aav_fund_mod_C_aav_mod_clinical</vt:lpstr>
      <vt:lpstr>MC_Tree_1!MC_BD_D_aav_fund_mod_C_aav_mod_partner</vt:lpstr>
      <vt:lpstr>MC_Tree_1!MC_BD_D_aav_fund_mod_T_aav_mod_abandon</vt:lpstr>
      <vt:lpstr>MC_Tree_1!MC_BD_D_exvivo_fund_C_exvivo_clinical</vt:lpstr>
      <vt:lpstr>MC_Tree_1!MC_BD_D_exvivo_fund_C_exvivo_partner</vt:lpstr>
      <vt:lpstr>MC_Tree_1!MC_BD_D_root_C_license_deal</vt:lpstr>
      <vt:lpstr>MC_Tree_1!MC_BD_D_root_C_preclinical_aav</vt:lpstr>
      <vt:lpstr>MC_Tree_1!MC_BD_D_root_C_preclinical_exvivo</vt:lpstr>
      <vt:lpstr>MC_Tree_1!MC_BD_D_root_T_shelve</vt:lpstr>
      <vt:lpstr>MC_Tree_1!MC_BP_C_aav_clinical_C_fda_aav</vt:lpstr>
      <vt:lpstr>MC_Tree_1!MC_BP_C_aav_clinical_delay_T_aav_delay_fail</vt:lpstr>
      <vt:lpstr>MC_Tree_1!MC_BP_C_aav_clinical_delay_T_aav_delay_good</vt:lpstr>
      <vt:lpstr>MC_Tree_1!MC_BP_C_aav_clinical_delay_T_aav_delay_partial</vt:lpstr>
      <vt:lpstr>MC_Tree_1!MC_BP_C_aav_clinical_T_aav_no_eff</vt:lpstr>
      <vt:lpstr>MC_Tree_1!MC_BP_C_aav_clinical_T_aav_partial</vt:lpstr>
      <vt:lpstr>MC_Tree_1!MC_BP_C_aav_mfg_C_aav_clinical</vt:lpstr>
      <vt:lpstr>MC_Tree_1!MC_BP_C_aav_mfg_C_aav_clinical_delay</vt:lpstr>
      <vt:lpstr>MC_Tree_1!MC_BP_C_aav_mfg_T_aav_mfg_fail</vt:lpstr>
      <vt:lpstr>MC_Tree_1!MC_BP_C_aav_mod_clinical_T_aav_mod_fail</vt:lpstr>
      <vt:lpstr>MC_Tree_1!MC_BP_C_aav_mod_clinical_T_aav_mod_marginal</vt:lpstr>
      <vt:lpstr>MC_Tree_1!MC_BP_C_aav_mod_clinical_T_aav_mod_surprise</vt:lpstr>
      <vt:lpstr>MC_Tree_1!MC_BP_C_aav_mod_partner_T_aav_mod_part_no</vt:lpstr>
      <vt:lpstr>MC_Tree_1!MC_BP_C_aav_mod_partner_T_aav_mod_part_yes</vt:lpstr>
      <vt:lpstr>MC_Tree_1!MC_BP_C_aav_partner_T_aav_no_partner</vt:lpstr>
      <vt:lpstr>MC_Tree_1!MC_BP_C_aav_partner_T_aav_partner_good</vt:lpstr>
      <vt:lpstr>MC_Tree_1!MC_BP_C_aav_partner_T_aav_partner_ok</vt:lpstr>
      <vt:lpstr>MC_Tree_1!MC_BP_C_exvivo_clinical_T_exvivo_cure</vt:lpstr>
      <vt:lpstr>MC_Tree_1!MC_BP_C_exvivo_clinical_T_exvivo_improve</vt:lpstr>
      <vt:lpstr>MC_Tree_1!MC_BP_C_exvivo_clinical_T_exvivo_minimal</vt:lpstr>
      <vt:lpstr>MC_Tree_1!MC_BP_C_exvivo_clinical_T_exvivo_safety</vt:lpstr>
      <vt:lpstr>MC_Tree_1!MC_BP_C_exvivo_partner_T_exvivo_bio_partner</vt:lpstr>
      <vt:lpstr>MC_Tree_1!MC_BP_C_exvivo_partner_T_exvivo_major_partner</vt:lpstr>
      <vt:lpstr>MC_Tree_1!MC_BP_C_exvivo_partner_T_exvivo_no_partner</vt:lpstr>
      <vt:lpstr>MC_Tree_1!MC_BP_C_fda_aav_T_aav_accel</vt:lpstr>
      <vt:lpstr>MC_Tree_1!MC_BP_C_fda_aav_T_aav_crl</vt:lpstr>
      <vt:lpstr>MC_Tree_1!MC_BP_C_fda_aav_T_aav_standard</vt:lpstr>
      <vt:lpstr>MC_Tree_1!MC_BP_C_license_deal_T_license_abandon</vt:lpstr>
      <vt:lpstr>MC_Tree_1!MC_BP_C_license_deal_T_license_clinic_fail</vt:lpstr>
      <vt:lpstr>MC_Tree_1!MC_BP_C_license_deal_T_license_phase2</vt:lpstr>
      <vt:lpstr>MC_Tree_1!MC_BP_C_license_deal_T_license_success</vt:lpstr>
      <vt:lpstr>MC_Tree_1!MC_BP_C_preclinical_aav_D_aav_fund</vt:lpstr>
      <vt:lpstr>MC_Tree_1!MC_BP_C_preclinical_aav_D_aav_fund_mod</vt:lpstr>
      <vt:lpstr>MC_Tree_1!MC_BP_C_preclinical_aav_T_aav_preclin_fail</vt:lpstr>
      <vt:lpstr>MC_Tree_1!MC_BP_C_preclinical_exvivo_D_exvivo_fund</vt:lpstr>
      <vt:lpstr>MC_Tree_1!MC_BP_C_preclinical_exvivo_T_exvivo_partial_preclin</vt:lpstr>
      <vt:lpstr>MC_Tree_1!MC_BP_C_preclinical_exvivo_T_exvivo_preclin_fail</vt:lpstr>
      <vt:lpstr>MC_Tree_1!MC_BV_C_aav_clinical_C_fda_aav</vt:lpstr>
      <vt:lpstr>MC_Tree_1!MC_BV_C_aav_clinical_delay_T_aav_delay_fail</vt:lpstr>
      <vt:lpstr>MC_Tree_1!MC_BV_C_aav_clinical_delay_T_aav_delay_good</vt:lpstr>
      <vt:lpstr>MC_Tree_1!MC_BV_C_aav_clinical_delay_T_aav_delay_partial</vt:lpstr>
      <vt:lpstr>MC_Tree_1!MC_BV_C_aav_clinical_T_aav_no_eff</vt:lpstr>
      <vt:lpstr>MC_Tree_1!MC_BV_C_aav_clinical_T_aav_partial</vt:lpstr>
      <vt:lpstr>MC_Tree_1!MC_BV_C_aav_mfg_C_aav_clinical</vt:lpstr>
      <vt:lpstr>MC_Tree_1!MC_BV_C_aav_mfg_C_aav_clinical_delay</vt:lpstr>
      <vt:lpstr>MC_Tree_1!MC_BV_C_aav_mfg_T_aav_mfg_fail</vt:lpstr>
      <vt:lpstr>MC_Tree_1!MC_BV_C_aav_mod_clinical_T_aav_mod_fail</vt:lpstr>
      <vt:lpstr>MC_Tree_1!MC_BV_C_aav_mod_clinical_T_aav_mod_marginal</vt:lpstr>
      <vt:lpstr>MC_Tree_1!MC_BV_C_aav_mod_clinical_T_aav_mod_surprise</vt:lpstr>
      <vt:lpstr>MC_Tree_1!MC_BV_C_aav_mod_partner_T_aav_mod_part_no</vt:lpstr>
      <vt:lpstr>MC_Tree_1!MC_BV_C_aav_mod_partner_T_aav_mod_part_yes</vt:lpstr>
      <vt:lpstr>MC_Tree_1!MC_BV_C_aav_partner_T_aav_no_partner</vt:lpstr>
      <vt:lpstr>MC_Tree_1!MC_BV_C_aav_partner_T_aav_partner_good</vt:lpstr>
      <vt:lpstr>MC_Tree_1!MC_BV_C_aav_partner_T_aav_partner_ok</vt:lpstr>
      <vt:lpstr>MC_Tree_1!MC_BV_C_exvivo_clinical_T_exvivo_cure</vt:lpstr>
      <vt:lpstr>MC_Tree_1!MC_BV_C_exvivo_clinical_T_exvivo_improve</vt:lpstr>
      <vt:lpstr>MC_Tree_1!MC_BV_C_exvivo_clinical_T_exvivo_minimal</vt:lpstr>
      <vt:lpstr>MC_Tree_1!MC_BV_C_exvivo_clinical_T_exvivo_safety</vt:lpstr>
      <vt:lpstr>MC_Tree_1!MC_BV_C_exvivo_partner_T_exvivo_bio_partner</vt:lpstr>
      <vt:lpstr>MC_Tree_1!MC_BV_C_exvivo_partner_T_exvivo_major_partner</vt:lpstr>
      <vt:lpstr>MC_Tree_1!MC_BV_C_exvivo_partner_T_exvivo_no_partner</vt:lpstr>
      <vt:lpstr>MC_Tree_1!MC_BV_C_fda_aav_T_aav_accel</vt:lpstr>
      <vt:lpstr>MC_Tree_1!MC_BV_C_fda_aav_T_aav_crl</vt:lpstr>
      <vt:lpstr>MC_Tree_1!MC_BV_C_fda_aav_T_aav_standard</vt:lpstr>
      <vt:lpstr>MC_Tree_1!MC_BV_C_license_deal_T_license_abandon</vt:lpstr>
      <vt:lpstr>MC_Tree_1!MC_BV_C_license_deal_T_license_clinic_fail</vt:lpstr>
      <vt:lpstr>MC_Tree_1!MC_BV_C_license_deal_T_license_phase2</vt:lpstr>
      <vt:lpstr>MC_Tree_1!MC_BV_C_license_deal_T_license_success</vt:lpstr>
      <vt:lpstr>MC_Tree_1!MC_BV_C_preclinical_aav_D_aav_fund</vt:lpstr>
      <vt:lpstr>MC_Tree_1!MC_BV_C_preclinical_aav_D_aav_fund_mod</vt:lpstr>
      <vt:lpstr>MC_Tree_1!MC_BV_C_preclinical_aav_T_aav_preclin_fail</vt:lpstr>
      <vt:lpstr>MC_Tree_1!MC_BV_C_preclinical_exvivo_D_exvivo_fund</vt:lpstr>
      <vt:lpstr>MC_Tree_1!MC_BV_C_preclinical_exvivo_T_exvivo_partial_preclin</vt:lpstr>
      <vt:lpstr>MC_Tree_1!MC_BV_C_preclinical_exvivo_T_exvivo_preclin_fail</vt:lpstr>
      <vt:lpstr>MC_Tree_1!MC_BV_D_aav_fund_C_aav_mfg</vt:lpstr>
      <vt:lpstr>MC_Tree_1!MC_BV_D_aav_fund_C_aav_partner</vt:lpstr>
      <vt:lpstr>MC_Tree_1!MC_BV_D_aav_fund_mod_C_aav_mod_clinical</vt:lpstr>
      <vt:lpstr>MC_Tree_1!MC_BV_D_aav_fund_mod_C_aav_mod_partner</vt:lpstr>
      <vt:lpstr>MC_Tree_1!MC_BV_D_aav_fund_mod_T_aav_mod_abandon</vt:lpstr>
      <vt:lpstr>MC_Tree_1!MC_BV_D_exvivo_fund_C_exvivo_clinical</vt:lpstr>
      <vt:lpstr>MC_Tree_1!MC_BV_D_exvivo_fund_C_exvivo_partner</vt:lpstr>
      <vt:lpstr>MC_Tree_1!MC_BV_D_root_C_license_deal</vt:lpstr>
      <vt:lpstr>MC_Tree_1!MC_BV_D_root_C_preclinical_aav</vt:lpstr>
      <vt:lpstr>MC_Tree_1!MC_BV_D_root_C_preclinical_exvivo</vt:lpstr>
      <vt:lpstr>MC_Tree_1!MC_BV_D_root_T_shelve</vt:lpstr>
      <vt:lpstr>MC_Tree_1!MC_N_C_aav_clinical</vt:lpstr>
      <vt:lpstr>MC_Tree_1!MC_N_C_aav_clinical_delay</vt:lpstr>
      <vt:lpstr>MC_Tree_1!MC_N_C_aav_mfg</vt:lpstr>
      <vt:lpstr>MC_Tree_1!MC_N_C_aav_mod_clinical</vt:lpstr>
      <vt:lpstr>MC_Tree_1!MC_N_C_aav_mod_partner</vt:lpstr>
      <vt:lpstr>MC_Tree_1!MC_N_C_aav_partner</vt:lpstr>
      <vt:lpstr>MC_Tree_1!MC_N_C_exvivo_clinical</vt:lpstr>
      <vt:lpstr>MC_Tree_1!MC_N_C_exvivo_partner</vt:lpstr>
      <vt:lpstr>MC_Tree_1!MC_N_C_fda_aav</vt:lpstr>
      <vt:lpstr>MC_Tree_1!MC_N_C_license_deal</vt:lpstr>
      <vt:lpstr>MC_Tree_1!MC_N_C_preclinical_aav</vt:lpstr>
      <vt:lpstr>MC_Tree_1!MC_N_C_preclinical_exvivo</vt:lpstr>
      <vt:lpstr>MC_Tree_1!MC_N_D_aav_fund</vt:lpstr>
      <vt:lpstr>MC_Tree_1!MC_N_D_aav_fund_mod</vt:lpstr>
      <vt:lpstr>MC_Tree_1!MC_N_D_exvivo_fund</vt:lpstr>
      <vt:lpstr>MC_Tree_1!MC_N_D_root</vt:lpstr>
      <vt:lpstr>MC_Tree_1!MC_NP_T_aav_accel</vt:lpstr>
      <vt:lpstr>MC_Tree_1!MC_NP_T_aav_crl</vt:lpstr>
      <vt:lpstr>MC_Tree_1!MC_NP_T_aav_delay_fail</vt:lpstr>
      <vt:lpstr>MC_Tree_1!MC_NP_T_aav_delay_good</vt:lpstr>
      <vt:lpstr>MC_Tree_1!MC_NP_T_aav_delay_partial</vt:lpstr>
      <vt:lpstr>MC_Tree_1!MC_NP_T_aav_mfg_fail</vt:lpstr>
      <vt:lpstr>MC_Tree_1!MC_NP_T_aav_mod_abandon</vt:lpstr>
      <vt:lpstr>MC_Tree_1!MC_NP_T_aav_mod_fail</vt:lpstr>
      <vt:lpstr>MC_Tree_1!MC_NP_T_aav_mod_marginal</vt:lpstr>
      <vt:lpstr>MC_Tree_1!MC_NP_T_aav_mod_part_no</vt:lpstr>
      <vt:lpstr>MC_Tree_1!MC_NP_T_aav_mod_part_yes</vt:lpstr>
      <vt:lpstr>MC_Tree_1!MC_NP_T_aav_mod_surprise</vt:lpstr>
      <vt:lpstr>MC_Tree_1!MC_NP_T_aav_no_eff</vt:lpstr>
      <vt:lpstr>MC_Tree_1!MC_NP_T_aav_no_partner</vt:lpstr>
      <vt:lpstr>MC_Tree_1!MC_NP_T_aav_partial</vt:lpstr>
      <vt:lpstr>MC_Tree_1!MC_NP_T_aav_partner_good</vt:lpstr>
      <vt:lpstr>MC_Tree_1!MC_NP_T_aav_partner_ok</vt:lpstr>
      <vt:lpstr>MC_Tree_1!MC_NP_T_aav_preclin_fail</vt:lpstr>
      <vt:lpstr>MC_Tree_1!MC_NP_T_aav_standard</vt:lpstr>
      <vt:lpstr>MC_Tree_1!MC_NP_T_exvivo_bio_partner</vt:lpstr>
      <vt:lpstr>MC_Tree_1!MC_NP_T_exvivo_cure</vt:lpstr>
      <vt:lpstr>MC_Tree_1!MC_NP_T_exvivo_improve</vt:lpstr>
      <vt:lpstr>MC_Tree_1!MC_NP_T_exvivo_major_partner</vt:lpstr>
      <vt:lpstr>MC_Tree_1!MC_NP_T_exvivo_minimal</vt:lpstr>
      <vt:lpstr>MC_Tree_1!MC_NP_T_exvivo_no_partner</vt:lpstr>
      <vt:lpstr>MC_Tree_1!MC_NP_T_exvivo_partial_preclin</vt:lpstr>
      <vt:lpstr>MC_Tree_1!MC_NP_T_exvivo_preclin_fail</vt:lpstr>
      <vt:lpstr>MC_Tree_1!MC_NP_T_exvivo_safety</vt:lpstr>
      <vt:lpstr>MC_Tree_1!MC_NP_T_license_abandon</vt:lpstr>
      <vt:lpstr>MC_Tree_1!MC_NP_T_license_clinic_fail</vt:lpstr>
      <vt:lpstr>MC_Tree_1!MC_NP_T_license_phase2</vt:lpstr>
      <vt:lpstr>MC_Tree_1!MC_NP_T_license_success</vt:lpstr>
      <vt:lpstr>MC_Tree_1!MC_NP_T_shelve</vt:lpstr>
      <vt:lpstr>MC_Tree_1!MC_V_C_aav_clinical</vt:lpstr>
      <vt:lpstr>MC_Tree_1!MC_V_C_aav_clinical_delay</vt:lpstr>
      <vt:lpstr>MC_Tree_1!MC_V_C_aav_mfg</vt:lpstr>
      <vt:lpstr>MC_Tree_1!MC_V_C_aav_mod_clinical</vt:lpstr>
      <vt:lpstr>MC_Tree_1!MC_V_C_aav_mod_partner</vt:lpstr>
      <vt:lpstr>MC_Tree_1!MC_V_C_aav_partner</vt:lpstr>
      <vt:lpstr>MC_Tree_1!MC_V_C_exvivo_clinical</vt:lpstr>
      <vt:lpstr>MC_Tree_1!MC_V_C_exvivo_partner</vt:lpstr>
      <vt:lpstr>MC_Tree_1!MC_V_C_fda_aav</vt:lpstr>
      <vt:lpstr>MC_Tree_1!MC_V_C_license_deal</vt:lpstr>
      <vt:lpstr>MC_Tree_1!MC_V_C_preclinical_aav</vt:lpstr>
      <vt:lpstr>MC_Tree_1!MC_V_C_preclinical_exvivo</vt:lpstr>
      <vt:lpstr>MC_Tree_1!MC_V_D_aav_fund</vt:lpstr>
      <vt:lpstr>MC_Tree_1!MC_V_D_aav_fund_mod</vt:lpstr>
      <vt:lpstr>MC_Tree_1!MC_V_D_exvivo_fund</vt:lpstr>
      <vt:lpstr>MC_Tree_1!MC_V_D_root</vt:lpstr>
      <vt:lpstr>MC_Tree_1!MC_V_T_aav_accel</vt:lpstr>
      <vt:lpstr>MC_Tree_1!MC_V_T_aav_crl</vt:lpstr>
      <vt:lpstr>MC_Tree_1!MC_V_T_aav_delay_fail</vt:lpstr>
      <vt:lpstr>MC_Tree_1!MC_V_T_aav_delay_good</vt:lpstr>
      <vt:lpstr>MC_Tree_1!MC_V_T_aav_delay_partial</vt:lpstr>
      <vt:lpstr>MC_Tree_1!MC_V_T_aav_mfg_fail</vt:lpstr>
      <vt:lpstr>MC_Tree_1!MC_V_T_aav_mod_abandon</vt:lpstr>
      <vt:lpstr>MC_Tree_1!MC_V_T_aav_mod_fail</vt:lpstr>
      <vt:lpstr>MC_Tree_1!MC_V_T_aav_mod_marginal</vt:lpstr>
      <vt:lpstr>MC_Tree_1!MC_V_T_aav_mod_part_no</vt:lpstr>
      <vt:lpstr>MC_Tree_1!MC_V_T_aav_mod_part_yes</vt:lpstr>
      <vt:lpstr>MC_Tree_1!MC_V_T_aav_mod_surprise</vt:lpstr>
      <vt:lpstr>MC_Tree_1!MC_V_T_aav_no_eff</vt:lpstr>
      <vt:lpstr>MC_Tree_1!MC_V_T_aav_no_partner</vt:lpstr>
      <vt:lpstr>MC_Tree_1!MC_V_T_aav_partial</vt:lpstr>
      <vt:lpstr>MC_Tree_1!MC_V_T_aav_partner_good</vt:lpstr>
      <vt:lpstr>MC_Tree_1!MC_V_T_aav_partner_ok</vt:lpstr>
      <vt:lpstr>MC_Tree_1!MC_V_T_aav_preclin_fail</vt:lpstr>
      <vt:lpstr>MC_Tree_1!MC_V_T_aav_standard</vt:lpstr>
      <vt:lpstr>MC_Tree_1!MC_V_T_exvivo_bio_partner</vt:lpstr>
      <vt:lpstr>MC_Tree_1!MC_V_T_exvivo_cure</vt:lpstr>
      <vt:lpstr>MC_Tree_1!MC_V_T_exvivo_improve</vt:lpstr>
      <vt:lpstr>MC_Tree_1!MC_V_T_exvivo_major_partner</vt:lpstr>
      <vt:lpstr>MC_Tree_1!MC_V_T_exvivo_minimal</vt:lpstr>
      <vt:lpstr>MC_Tree_1!MC_V_T_exvivo_no_partner</vt:lpstr>
      <vt:lpstr>MC_Tree_1!MC_V_T_exvivo_partial_preclin</vt:lpstr>
      <vt:lpstr>MC_Tree_1!MC_V_T_exvivo_preclin_fail</vt:lpstr>
      <vt:lpstr>MC_Tree_1!MC_V_T_exvivo_safety</vt:lpstr>
      <vt:lpstr>MC_Tree_1!MC_V_T_license_abandon</vt:lpstr>
      <vt:lpstr>MC_Tree_1!MC_V_T_license_clinic_fail</vt:lpstr>
      <vt:lpstr>MC_Tree_1!MC_V_T_license_phase2</vt:lpstr>
      <vt:lpstr>MC_Tree_1!MC_V_T_license_success</vt:lpstr>
      <vt:lpstr>MC_Tree_1!MC_V_T_shelve</vt:lpstr>
      <vt:lpstr>SelffundPhase12Cost</vt:lpstr>
      <vt:lpstr>SelffundPhase12Cost2</vt:lpstr>
      <vt:lpstr>SelffundPhase12Cost3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2026-03-27T14:36:32Z</dcterms:created>
  <dcterms:modified xsi:type="dcterms:W3CDTF">2026-03-27T14:36:48Z</dcterms:modified>
</cp:coreProperties>
</file>