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03E1EFA5-07F4-4E1D-920B-E672028575B3}"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Fit" sheetId="3" r:id="rId3"/>
    <sheet name="Flight" sheetId="4" r:id="rId4"/>
    <sheet name="Trajectory" sheetId="5" r:id="rId5"/>
    <sheet name="Results" sheetId="6" r:id="rId6"/>
    <sheet name="ModelRiskDSN" sheetId="7" state="hidden" r:id="rId7"/>
    <sheet name="ModelRiskSYS1" sheetId="8" state="hidden" r:id="rId8"/>
    <sheet name="ModelRiskCharts" sheetId="9" state="hidden" r:id="rId9"/>
  </sheets>
  <definedNames>
    <definedName name="Angle">Inputs!$D$16</definedName>
    <definedName name="Checks">Flight!$D$52:$D$54</definedName>
    <definedName name="Exact_Height">Flight!$C$39</definedName>
    <definedName name="Exact_Range">Flight!$C$38</definedName>
    <definedName name="Exact_Time">Flight!$C$37</definedName>
    <definedName name="FitK">Fit!$C$17</definedName>
    <definedName name="FitSSE">Fit!$C$18</definedName>
    <definedName name="FlightRange">Flight!$D$45</definedName>
    <definedName name="FlightTime">Flight!$D$46</definedName>
    <definedName name="Friction">Inputs!$D$12</definedName>
    <definedName name="Friction_Lo">Inputs!$F$12</definedName>
    <definedName name="Friction_ML">Inputs!$G$12</definedName>
    <definedName name="Gravity">Inputs!$D$18</definedName>
    <definedName name="GridK">Fit!$B$22:$B$72</definedName>
    <definedName name="GridSSE">Fit!$C$22:$C$72</definedName>
    <definedName name="H_1">Trajectory!$C$20</definedName>
    <definedName name="H_10">Trajectory!$L$20</definedName>
    <definedName name="H_11">Trajectory!$M$20</definedName>
    <definedName name="H_12">Trajectory!$N$20</definedName>
    <definedName name="H_13">Trajectory!$O$20</definedName>
    <definedName name="H_14">Trajectory!$P$20</definedName>
    <definedName name="H_15">Trajectory!$Q$20</definedName>
    <definedName name="H_16">Trajectory!$R$20</definedName>
    <definedName name="H_17">Trajectory!$S$20</definedName>
    <definedName name="H_18">Trajectory!$T$20</definedName>
    <definedName name="H_19">Trajectory!$U$20</definedName>
    <definedName name="H_2">Trajectory!$D$20</definedName>
    <definedName name="H_20">Trajectory!$V$20</definedName>
    <definedName name="H_21">Trajectory!$W$20</definedName>
    <definedName name="H_22">Trajectory!$X$20</definedName>
    <definedName name="H_23">Trajectory!$Y$20</definedName>
    <definedName name="H_24">Trajectory!$Z$20</definedName>
    <definedName name="H_25">Trajectory!$AA$20</definedName>
    <definedName name="H_26">Trajectory!$AB$20</definedName>
    <definedName name="H_27">Trajectory!$AC$20</definedName>
    <definedName name="H_28">Trajectory!$AD$20</definedName>
    <definedName name="H_29">Trajectory!$AE$20</definedName>
    <definedName name="H_3">Trajectory!$E$20</definedName>
    <definedName name="H_30">Trajectory!$AF$20</definedName>
    <definedName name="H_31">Trajectory!$AG$20</definedName>
    <definedName name="H_32">Trajectory!$AH$20</definedName>
    <definedName name="H_33">Trajectory!$AI$20</definedName>
    <definedName name="H_34">Trajectory!$AJ$20</definedName>
    <definedName name="H_35">Trajectory!$AK$20</definedName>
    <definedName name="H_36">Trajectory!$AL$20</definedName>
    <definedName name="H_37">Trajectory!$AM$20</definedName>
    <definedName name="H_38">Trajectory!$AN$20</definedName>
    <definedName name="H_39">Trajectory!$AO$20</definedName>
    <definedName name="H_4">Trajectory!$F$20</definedName>
    <definedName name="H_40">Trajectory!$AP$20</definedName>
    <definedName name="H_41">Trajectory!$AQ$20</definedName>
    <definedName name="H_42">Trajectory!$AR$20</definedName>
    <definedName name="H_43">Trajectory!$AS$20</definedName>
    <definedName name="H_44">Trajectory!$AT$20</definedName>
    <definedName name="H_45">Trajectory!$AU$20</definedName>
    <definedName name="H_46">Trajectory!$AV$20</definedName>
    <definedName name="H_47">Trajectory!$AW$20</definedName>
    <definedName name="H_48">Trajectory!$AX$20</definedName>
    <definedName name="H_49">Trajectory!$AY$20</definedName>
    <definedName name="H_5">Trajectory!$G$20</definedName>
    <definedName name="H_50">Trajectory!$AZ$20</definedName>
    <definedName name="H_51">Trajectory!$BA$20</definedName>
    <definedName name="H_52">Trajectory!$BB$20</definedName>
    <definedName name="H_53">Trajectory!$BC$20</definedName>
    <definedName name="H_54">Trajectory!$BD$20</definedName>
    <definedName name="H_55">Trajectory!$BE$20</definedName>
    <definedName name="H_56">Trajectory!$BF$20</definedName>
    <definedName name="H_57">Trajectory!$BG$20</definedName>
    <definedName name="H_58">Trajectory!$BH$20</definedName>
    <definedName name="H_59">Trajectory!$BI$20</definedName>
    <definedName name="H_6">Trajectory!$H$20</definedName>
    <definedName name="H_60">Trajectory!$BJ$20</definedName>
    <definedName name="H_61">Trajectory!$BK$20</definedName>
    <definedName name="H_62">Trajectory!$BL$20</definedName>
    <definedName name="H_63">Trajectory!$BM$20</definedName>
    <definedName name="H_64">Trajectory!$BN$20</definedName>
    <definedName name="H_65">Trajectory!$BO$20</definedName>
    <definedName name="H_66">Trajectory!$BP$20</definedName>
    <definedName name="H_67">Trajectory!$BQ$20</definedName>
    <definedName name="H_68">Trajectory!$BR$20</definedName>
    <definedName name="H_69">Trajectory!$BS$20</definedName>
    <definedName name="H_7">Trajectory!$I$20</definedName>
    <definedName name="H_70">Trajectory!$BT$20</definedName>
    <definedName name="H_8">Trajectory!$J$20</definedName>
    <definedName name="H_9">Trajectory!$K$20</definedName>
    <definedName name="Height0">Inputs!$D$17</definedName>
    <definedName name="LaunchV">Inputs!$D$11</definedName>
    <definedName name="LaunchV_Lo">Inputs!$F$11</definedName>
    <definedName name="LaunchV_ML">Inputs!$G$11</definedName>
    <definedName name="MaxHeight">Flight!$D$47</definedName>
    <definedName name="ObsT">Fit!$B$9:$B$12</definedName>
    <definedName name="ObsX">Fit!$C$9:$C$12</definedName>
    <definedName name="ObsY">Fit!$D$9:$D$12</definedName>
    <definedName name="ODE_Eqs">Flight!$B$8:$B$11</definedName>
    <definedName name="ODE_Err">Flight!$C$40</definedName>
    <definedName name="ODE_Height">Flight!$C$27</definedName>
    <definedName name="ODE_Init">Flight!$C$15:$C$20</definedName>
    <definedName name="ODE_Names">Flight!$B$15:$B$20</definedName>
    <definedName name="ODE_Range">Flight!$C$26</definedName>
    <definedName name="ODE_T">Trajectory!$C$8:$BT$8</definedName>
    <definedName name="ODE_Time">Flight!$C$25</definedName>
    <definedName name="ODE_VX">Trajectory!$C$13:$BT$13</definedName>
    <definedName name="ODE_VY">Trajectory!$C$14:$BT$14</definedName>
    <definedName name="ODE_X">Trajectory!$C$15:$BT$15</definedName>
    <definedName name="ODE_Y">Trajectory!$C$16:$BT$16</definedName>
    <definedName name="ODEStep">Inputs!$D$19</definedName>
    <definedName name="_xlnm.Print_Area" localSheetId="2">Fit!$A$1:$H$73</definedName>
    <definedName name="_xlnm.Print_Area" localSheetId="3">Flight!$A$1:$F$56</definedName>
    <definedName name="_xlnm.Print_Area" localSheetId="5">Results!$A$1:$R$59</definedName>
    <definedName name="_xlnm.Print_Area" localSheetId="4">Trajectory!$A$1:$BT$21</definedName>
    <definedName name="_xlnm.Print_Titles" localSheetId="1">Inputs!$1:$4</definedName>
    <definedName name="_xlnm.Print_Titles" localSheetId="5">Results!$1:$4</definedName>
    <definedName name="RangeExact">Flight!$D$48</definedName>
    <definedName name="RangeMark">Inputs!$D$20</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imeStamps">Trajectory!$C$8:$BT$8</definedName>
    <definedName name="Vx0">Flight!$C$15</definedName>
    <definedName name="Vy0">Flight!$C$16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4" i="6" l="1"/>
  <c r="C114" i="6"/>
  <c r="F113" i="6"/>
  <c r="C113" i="6"/>
  <c r="F112" i="6"/>
  <c r="C112" i="6"/>
  <c r="F111" i="6"/>
  <c r="C111" i="6"/>
  <c r="F110" i="6"/>
  <c r="C110" i="6"/>
  <c r="F109" i="6"/>
  <c r="C109" i="6"/>
  <c r="F108" i="6"/>
  <c r="C108" i="6"/>
  <c r="F107" i="6"/>
  <c r="C107" i="6"/>
  <c r="F106" i="6"/>
  <c r="C106" i="6"/>
  <c r="F105" i="6"/>
  <c r="C105" i="6"/>
  <c r="F104" i="6"/>
  <c r="C104" i="6"/>
  <c r="F103" i="6"/>
  <c r="C103" i="6"/>
  <c r="F102" i="6"/>
  <c r="C102" i="6"/>
  <c r="F101" i="6"/>
  <c r="C101" i="6"/>
  <c r="F100" i="6"/>
  <c r="C100" i="6"/>
  <c r="F99" i="6"/>
  <c r="C99" i="6"/>
  <c r="F98" i="6"/>
  <c r="C98" i="6"/>
  <c r="F97" i="6"/>
  <c r="C97" i="6"/>
  <c r="F96" i="6"/>
  <c r="C96" i="6"/>
  <c r="F95" i="6"/>
  <c r="C95" i="6"/>
  <c r="F94" i="6"/>
  <c r="C94" i="6"/>
  <c r="F93" i="6"/>
  <c r="C93" i="6"/>
  <c r="F92" i="6"/>
  <c r="C92" i="6"/>
  <c r="F91" i="6"/>
  <c r="C91" i="6"/>
  <c r="F90" i="6"/>
  <c r="C90" i="6"/>
  <c r="F89" i="6"/>
  <c r="C89" i="6"/>
  <c r="F88" i="6"/>
  <c r="C88" i="6"/>
  <c r="F87" i="6"/>
  <c r="C87" i="6"/>
  <c r="F86" i="6"/>
  <c r="C86" i="6"/>
  <c r="F85" i="6"/>
  <c r="C85" i="6"/>
  <c r="F84" i="6"/>
  <c r="C84" i="6"/>
  <c r="F83" i="6"/>
  <c r="C83" i="6"/>
  <c r="F82" i="6"/>
  <c r="C82" i="6"/>
  <c r="F81" i="6"/>
  <c r="C81" i="6"/>
  <c r="F80" i="6"/>
  <c r="C80" i="6"/>
  <c r="F79" i="6"/>
  <c r="C79" i="6"/>
  <c r="F78" i="6"/>
  <c r="C78" i="6"/>
  <c r="F77" i="6"/>
  <c r="C77" i="6"/>
  <c r="F76" i="6"/>
  <c r="C76" i="6"/>
  <c r="F75" i="6"/>
  <c r="C75" i="6"/>
  <c r="F74" i="6"/>
  <c r="C74" i="6"/>
  <c r="F73" i="6"/>
  <c r="C73" i="6"/>
  <c r="F72" i="6"/>
  <c r="C72" i="6"/>
  <c r="F71" i="6"/>
  <c r="C71" i="6"/>
  <c r="F70" i="6"/>
  <c r="C70" i="6"/>
  <c r="F69" i="6"/>
  <c r="C69" i="6"/>
  <c r="F68" i="6"/>
  <c r="C68" i="6"/>
  <c r="F67" i="6"/>
  <c r="C67" i="6"/>
  <c r="F66" i="6"/>
  <c r="C66" i="6"/>
  <c r="F65" i="6"/>
  <c r="C65" i="6"/>
  <c r="D23" i="6"/>
  <c r="C19" i="4"/>
  <c r="C18" i="4"/>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16" i="3" s="1"/>
  <c r="C17" i="3" s="1" a="1"/>
  <c r="C17" i="3" s="1"/>
  <c r="C18" i="3" s="1"/>
  <c r="C23" i="3"/>
  <c r="C22" i="3"/>
  <c r="C19" i="3"/>
  <c r="D12" i="2" a="1"/>
  <c r="D11" i="2" a="1"/>
  <c r="D22" i="6" l="1"/>
  <c r="D11" i="2"/>
  <c r="D12" i="2"/>
  <c r="C20" i="4" s="1"/>
  <c r="C16" i="4" l="1"/>
  <c r="C15" i="4"/>
  <c r="B12" i="5" a="1"/>
  <c r="U16" i="5" l="1"/>
  <c r="U20" i="5" s="1"/>
  <c r="AZ14" i="5"/>
  <c r="AV12" i="5"/>
  <c r="AU14" i="5"/>
  <c r="I14" i="5"/>
  <c r="BP12" i="5"/>
  <c r="AJ16" i="5"/>
  <c r="AJ20" i="5" s="1"/>
  <c r="AD14" i="5"/>
  <c r="BL14" i="5"/>
  <c r="X15" i="5"/>
  <c r="BA13" i="5"/>
  <c r="Q15" i="5"/>
  <c r="AO14" i="5"/>
  <c r="AM12" i="5"/>
  <c r="B15" i="5"/>
  <c r="BI13" i="5"/>
  <c r="AG12" i="5"/>
  <c r="AA13" i="5"/>
  <c r="X16" i="5"/>
  <c r="X20" i="5" s="1"/>
  <c r="BJ14" i="5"/>
  <c r="S16" i="5"/>
  <c r="S20" i="5" s="1"/>
  <c r="D15" i="5"/>
  <c r="Y12" i="5"/>
  <c r="BA16" i="5"/>
  <c r="BA20" i="5" s="1"/>
  <c r="J16" i="5"/>
  <c r="J20" i="5" s="1"/>
  <c r="G15" i="5"/>
  <c r="BT12" i="5"/>
  <c r="F16" i="5"/>
  <c r="F20" i="5" s="1"/>
  <c r="AC15" i="5"/>
  <c r="BP13" i="5"/>
  <c r="J14" i="5"/>
  <c r="BH13" i="5"/>
  <c r="BN12" i="5"/>
  <c r="BB13" i="5"/>
  <c r="B12" i="5"/>
  <c r="K12" i="5"/>
  <c r="L13" i="5"/>
  <c r="BI14" i="5"/>
  <c r="B16" i="5"/>
  <c r="AX13" i="5"/>
  <c r="BH16" i="5"/>
  <c r="BH20" i="5" s="1"/>
  <c r="AI12" i="5"/>
  <c r="J15" i="5"/>
  <c r="AJ14" i="5"/>
  <c r="AB15" i="5"/>
  <c r="AW12" i="5"/>
  <c r="AV14" i="5"/>
  <c r="AS12" i="5"/>
  <c r="L12" i="5"/>
  <c r="BL15" i="5"/>
  <c r="AF14" i="5"/>
  <c r="AG16" i="5"/>
  <c r="AG20" i="5" s="1"/>
  <c r="BF16" i="5"/>
  <c r="BF20" i="5" s="1"/>
  <c r="AI14" i="5"/>
  <c r="BC16" i="5"/>
  <c r="BC20" i="5" s="1"/>
  <c r="AY15" i="5"/>
  <c r="AT13" i="5"/>
  <c r="I15" i="5"/>
  <c r="Z12" i="5"/>
  <c r="AY13" i="5"/>
  <c r="AF12" i="5"/>
  <c r="S13" i="5"/>
  <c r="AS14" i="5"/>
  <c r="AN13" i="5"/>
  <c r="AR16" i="5"/>
  <c r="AR20" i="5" s="1"/>
  <c r="AO15" i="5"/>
  <c r="AJ13" i="5"/>
  <c r="D12" i="5"/>
  <c r="AG15" i="5"/>
  <c r="BJ13" i="5"/>
  <c r="V14" i="5"/>
  <c r="U12" i="5"/>
  <c r="AV16" i="5"/>
  <c r="AV20" i="5" s="1"/>
  <c r="Q12" i="5"/>
  <c r="AH16" i="5"/>
  <c r="AH20" i="5" s="1"/>
  <c r="AB16" i="5"/>
  <c r="AB20" i="5" s="1"/>
  <c r="Y15" i="5"/>
  <c r="F14" i="5"/>
  <c r="H12" i="5"/>
  <c r="BT13" i="5"/>
  <c r="AI13" i="5"/>
  <c r="AA12" i="5"/>
  <c r="BP14" i="5"/>
  <c r="AR12" i="5"/>
  <c r="F13" i="5"/>
  <c r="BQ13" i="5"/>
  <c r="BO15" i="5"/>
  <c r="BQ15" i="5"/>
  <c r="N15" i="5"/>
  <c r="O15" i="5"/>
  <c r="V16" i="5"/>
  <c r="V20" i="5" s="1"/>
  <c r="P12" i="5"/>
  <c r="AL15" i="5"/>
  <c r="N14" i="5"/>
  <c r="BO13" i="5"/>
  <c r="K13" i="5"/>
  <c r="AP13" i="5"/>
  <c r="AW14" i="5"/>
  <c r="AT12" i="5"/>
  <c r="AH12" i="5"/>
  <c r="C16" i="5"/>
  <c r="L15" i="5"/>
  <c r="AI16" i="5"/>
  <c r="AI20" i="5" s="1"/>
  <c r="AC14" i="5"/>
  <c r="BB14" i="5"/>
  <c r="V15" i="5"/>
  <c r="AQ12" i="5"/>
  <c r="T15" i="5"/>
  <c r="AO12" i="5"/>
  <c r="AM14" i="5"/>
  <c r="AK12" i="5"/>
  <c r="BO16" i="5"/>
  <c r="BO20" i="5" s="1"/>
  <c r="BC15" i="5"/>
  <c r="AC13" i="5"/>
  <c r="AK15" i="5"/>
  <c r="W12" i="5"/>
  <c r="BG16" i="5"/>
  <c r="BG20" i="5" s="1"/>
  <c r="P15" i="5"/>
  <c r="W14" i="5"/>
  <c r="AZ15" i="5"/>
  <c r="D13" i="5"/>
  <c r="H16" i="5"/>
  <c r="H20" i="5" s="1"/>
  <c r="E15" i="5"/>
  <c r="BB15" i="5"/>
  <c r="AZ16" i="5"/>
  <c r="AZ20" i="5" s="1"/>
  <c r="K15" i="5"/>
  <c r="AE13" i="5"/>
  <c r="G14" i="5"/>
  <c r="M16" i="5"/>
  <c r="M20" i="5" s="1"/>
  <c r="AQ15" i="5"/>
  <c r="AK13" i="5"/>
  <c r="BS13" i="5"/>
  <c r="S14" i="5"/>
  <c r="BN15" i="5"/>
  <c r="U14" i="5"/>
  <c r="R15" i="5"/>
  <c r="AL16" i="5"/>
  <c r="AL20" i="5" s="1"/>
  <c r="X14" i="5"/>
  <c r="AS16" i="5"/>
  <c r="AS20" i="5" s="1"/>
  <c r="B14" i="5"/>
  <c r="AO16" i="5"/>
  <c r="AO20" i="5" s="1"/>
  <c r="X13" i="5"/>
  <c r="BE14" i="5"/>
  <c r="BS14" i="5"/>
  <c r="BT16" i="5"/>
  <c r="BT20" i="5" s="1"/>
  <c r="AR15" i="5"/>
  <c r="BL16" i="5"/>
  <c r="BL20" i="5" s="1"/>
  <c r="BR14" i="5"/>
  <c r="W16" i="5"/>
  <c r="W20" i="5" s="1"/>
  <c r="BL12" i="5"/>
  <c r="AG13" i="5"/>
  <c r="L14" i="5"/>
  <c r="I13" i="5"/>
  <c r="Q14" i="5"/>
  <c r="AW13" i="5"/>
  <c r="AX15" i="5"/>
  <c r="G13" i="5"/>
  <c r="BH12" i="5"/>
  <c r="BE15" i="5"/>
  <c r="AA14" i="5"/>
  <c r="AM13" i="5"/>
  <c r="AL12" i="5"/>
  <c r="BQ12" i="5"/>
  <c r="AG14" i="5"/>
  <c r="BD15" i="5"/>
  <c r="BH15" i="5"/>
  <c r="V13" i="5"/>
  <c r="BG14" i="5"/>
  <c r="E14" i="5"/>
  <c r="BS12" i="5"/>
  <c r="AM15" i="5"/>
  <c r="AD16" i="5"/>
  <c r="AD20" i="5" s="1"/>
  <c r="BR16" i="5"/>
  <c r="BR20" i="5" s="1"/>
  <c r="U15" i="5"/>
  <c r="M14" i="5"/>
  <c r="BE12" i="5"/>
  <c r="Q16" i="5"/>
  <c r="Q20" i="5" s="1"/>
  <c r="BR15" i="5"/>
  <c r="R16" i="5"/>
  <c r="R20" i="5" s="1"/>
  <c r="Y13" i="5"/>
  <c r="BC12" i="5"/>
  <c r="K16" i="5"/>
  <c r="K20" i="5" s="1"/>
  <c r="BM13" i="5"/>
  <c r="BI12" i="5"/>
  <c r="BA15" i="5"/>
  <c r="AY16" i="5"/>
  <c r="AY20" i="5" s="1"/>
  <c r="AY12" i="5"/>
  <c r="AW16" i="5"/>
  <c r="AW20" i="5" s="1"/>
  <c r="AH13" i="5"/>
  <c r="AN12" i="5"/>
  <c r="AP16" i="5"/>
  <c r="AP20" i="5" s="1"/>
  <c r="AH15" i="5"/>
  <c r="AZ13" i="5"/>
  <c r="T14" i="5"/>
  <c r="C14" i="5"/>
  <c r="BI16" i="5"/>
  <c r="BI20" i="5" s="1"/>
  <c r="AA16" i="5"/>
  <c r="AA20" i="5" s="1"/>
  <c r="BN13" i="5"/>
  <c r="C13" i="5"/>
  <c r="F12" i="5"/>
  <c r="AK14" i="5"/>
  <c r="AB12" i="5"/>
  <c r="BJ16" i="5"/>
  <c r="BJ20" i="5" s="1"/>
  <c r="BK16" i="5"/>
  <c r="BK20" i="5" s="1"/>
  <c r="BG15" i="5"/>
  <c r="AN16" i="5"/>
  <c r="AN20" i="5" s="1"/>
  <c r="BN14" i="5"/>
  <c r="BK13" i="5"/>
  <c r="BC13" i="5"/>
  <c r="R14" i="5"/>
  <c r="AX14" i="5"/>
  <c r="BT14" i="5"/>
  <c r="AE14" i="5"/>
  <c r="AT15" i="5"/>
  <c r="AU16" i="5"/>
  <c r="AU20" i="5" s="1"/>
  <c r="AP15" i="5"/>
  <c r="AN15" i="5"/>
  <c r="BM15" i="5"/>
  <c r="AD13" i="5"/>
  <c r="BE16" i="5"/>
  <c r="BE20" i="5" s="1"/>
  <c r="B13" i="5"/>
  <c r="AJ12" i="5"/>
  <c r="AR14" i="5"/>
  <c r="AA15" i="5"/>
  <c r="P14" i="5"/>
  <c r="P16" i="5"/>
  <c r="P20" i="5" s="1"/>
  <c r="BF15" i="5"/>
  <c r="M15" i="5"/>
  <c r="BI15" i="5"/>
  <c r="H14" i="5"/>
  <c r="N12" i="5"/>
  <c r="BG13" i="5"/>
  <c r="O16" i="5"/>
  <c r="O20" i="5" s="1"/>
  <c r="H13" i="5"/>
  <c r="AJ15" i="5"/>
  <c r="AV13" i="5"/>
  <c r="AW15" i="5"/>
  <c r="BR13" i="5"/>
  <c r="AE12" i="5"/>
  <c r="U13" i="5"/>
  <c r="AP12" i="5"/>
  <c r="AS15" i="5"/>
  <c r="AN14" i="5"/>
  <c r="AL14" i="5"/>
  <c r="BK14" i="5"/>
  <c r="AF15" i="5"/>
  <c r="BO12" i="5"/>
  <c r="BC14" i="5"/>
  <c r="O14" i="5"/>
  <c r="BP15" i="5"/>
  <c r="Z16" i="5"/>
  <c r="Z20" i="5" s="1"/>
  <c r="F15" i="5"/>
  <c r="C15" i="5"/>
  <c r="AF13" i="5"/>
  <c r="BF13" i="5"/>
  <c r="AD15" i="5"/>
  <c r="AK16" i="5"/>
  <c r="AK20" i="5" s="1"/>
  <c r="BL13" i="5"/>
  <c r="AX16" i="5"/>
  <c r="AX20" i="5" s="1"/>
  <c r="AF16" i="5"/>
  <c r="AF20" i="5" s="1"/>
  <c r="BK12" i="5"/>
  <c r="T16" i="5"/>
  <c r="T20" i="5" s="1"/>
  <c r="BD14" i="5"/>
  <c r="BQ14" i="5"/>
  <c r="AB14" i="5"/>
  <c r="BE13" i="5"/>
  <c r="BB16" i="5"/>
  <c r="BB20" i="5" s="1"/>
  <c r="AS13" i="5"/>
  <c r="C12" i="5"/>
  <c r="AD12" i="5"/>
  <c r="T13" i="5"/>
  <c r="BO14" i="5"/>
  <c r="AP14" i="5"/>
  <c r="AL13" i="5"/>
  <c r="BA14" i="5"/>
  <c r="BG12" i="5"/>
  <c r="AB13" i="5"/>
  <c r="X12" i="5"/>
  <c r="AZ12" i="5"/>
  <c r="BQ16" i="5"/>
  <c r="BQ20" i="5" s="1"/>
  <c r="K14" i="5"/>
  <c r="H15" i="5"/>
  <c r="D14" i="5"/>
  <c r="BR12" i="5"/>
  <c r="AE16" i="5"/>
  <c r="AE20" i="5" s="1"/>
  <c r="BJ15" i="5"/>
  <c r="L16" i="5"/>
  <c r="L20" i="5" s="1"/>
  <c r="AT14" i="5"/>
  <c r="BF12" i="5"/>
  <c r="AX12" i="5"/>
  <c r="BB12" i="5"/>
  <c r="AV15" i="5"/>
  <c r="BF14" i="5"/>
  <c r="N13" i="5"/>
  <c r="R12" i="5"/>
  <c r="BJ12" i="5"/>
  <c r="AU13" i="5"/>
  <c r="N16" i="5"/>
  <c r="N20" i="5" s="1"/>
  <c r="Z13" i="5"/>
  <c r="AC12" i="5"/>
  <c r="W15" i="5"/>
  <c r="J13" i="5"/>
  <c r="AT16" i="5"/>
  <c r="AT20" i="5" s="1"/>
  <c r="AQ16" i="5"/>
  <c r="AQ20" i="5" s="1"/>
  <c r="J12" i="5"/>
  <c r="BN16" i="5"/>
  <c r="BN20" i="5" s="1"/>
  <c r="AE15" i="5"/>
  <c r="Y16" i="5"/>
  <c r="Y20" i="5" s="1"/>
  <c r="AU15" i="5"/>
  <c r="R13" i="5"/>
  <c r="V12" i="5"/>
  <c r="I12" i="5"/>
  <c r="AU12" i="5"/>
  <c r="D16" i="5"/>
  <c r="D20" i="5" s="1"/>
  <c r="I16" i="5"/>
  <c r="I20" i="5" s="1"/>
  <c r="O12" i="5"/>
  <c r="S12" i="5"/>
  <c r="BS15" i="5"/>
  <c r="BD13" i="5"/>
  <c r="W13" i="5"/>
  <c r="G12" i="5"/>
  <c r="E13" i="5"/>
  <c r="P13" i="5"/>
  <c r="BA12" i="5"/>
  <c r="AI15" i="5"/>
  <c r="Y14" i="5"/>
  <c r="G16" i="5"/>
  <c r="G20" i="5" s="1"/>
  <c r="O13" i="5"/>
  <c r="BK15" i="5"/>
  <c r="BP16" i="5"/>
  <c r="BP20" i="5" s="1"/>
  <c r="E12" i="5"/>
  <c r="BM12" i="5"/>
  <c r="AM16" i="5"/>
  <c r="AM20" i="5" s="1"/>
  <c r="BS16" i="5"/>
  <c r="BS20" i="5" s="1"/>
  <c r="Q13" i="5"/>
  <c r="AQ13" i="5"/>
  <c r="BH14" i="5"/>
  <c r="AY14" i="5"/>
  <c r="S15" i="5"/>
  <c r="BM14" i="5"/>
  <c r="T12" i="5"/>
  <c r="Z15" i="5"/>
  <c r="Z14" i="5"/>
  <c r="AC16" i="5"/>
  <c r="AC20" i="5" s="1"/>
  <c r="M12" i="5"/>
  <c r="BM16" i="5"/>
  <c r="BM20" i="5" s="1"/>
  <c r="BD16" i="5"/>
  <c r="BD20" i="5" s="1"/>
  <c r="BD12" i="5"/>
  <c r="AH14" i="5"/>
  <c r="AQ14" i="5"/>
  <c r="BT15" i="5"/>
  <c r="AR13" i="5"/>
  <c r="AO13" i="5"/>
  <c r="M13" i="5"/>
  <c r="E16" i="5"/>
  <c r="E20" i="5" s="1"/>
  <c r="C31" i="4"/>
  <c r="C32" i="4" s="1"/>
  <c r="C33" i="4" s="1"/>
  <c r="C34" i="4" s="1"/>
  <c r="C35" i="4" s="1"/>
  <c r="C36" i="4" s="1"/>
  <c r="C37" i="4" s="1"/>
  <c r="C38" i="4" s="1"/>
  <c r="C39" i="4"/>
  <c r="D140" i="6" a="1"/>
  <c r="E140" i="6" a="1"/>
  <c r="F140" i="6" a="1"/>
  <c r="C140" i="6" a="1"/>
  <c r="E129" i="6" a="1"/>
  <c r="F129" i="6" a="1"/>
  <c r="C129" i="6" a="1"/>
  <c r="D129" i="6" a="1"/>
  <c r="C163" i="6" a="1"/>
  <c r="F163" i="6" a="1"/>
  <c r="D163" i="6" a="1"/>
  <c r="E163" i="6" a="1"/>
  <c r="D167" i="6" a="1"/>
  <c r="E167" i="6" a="1"/>
  <c r="C167" i="6" a="1"/>
  <c r="F167" i="6" a="1"/>
  <c r="F132" i="6" a="1"/>
  <c r="C132" i="6" a="1"/>
  <c r="D132" i="6" a="1"/>
  <c r="E132" i="6" a="1"/>
  <c r="F157" i="6" a="1"/>
  <c r="C157" i="6" a="1"/>
  <c r="D157" i="6" a="1"/>
  <c r="E157" i="6" a="1"/>
  <c r="C136" i="6" a="1"/>
  <c r="E136" i="6" a="1"/>
  <c r="D136" i="6" a="1"/>
  <c r="F136" i="6" a="1"/>
  <c r="C134" i="6" a="1"/>
  <c r="D134" i="6" a="1"/>
  <c r="E134" i="6" a="1"/>
  <c r="F134" i="6" a="1"/>
  <c r="E156" i="6" a="1"/>
  <c r="C156" i="6" a="1"/>
  <c r="D156" i="6" a="1"/>
  <c r="F156" i="6" a="1"/>
  <c r="F135" i="6" a="1"/>
  <c r="D135" i="6" a="1"/>
  <c r="C135" i="6" a="1"/>
  <c r="E135" i="6" a="1"/>
  <c r="E133" i="6" a="1"/>
  <c r="C133" i="6" a="1"/>
  <c r="F133" i="6" a="1"/>
  <c r="D133" i="6" a="1"/>
  <c r="D124" i="6" a="1"/>
  <c r="E124" i="6" a="1"/>
  <c r="F124" i="6" a="1"/>
  <c r="C124" i="6" a="1"/>
  <c r="E152" i="6" a="1"/>
  <c r="F152" i="6" a="1"/>
  <c r="C152" i="6" a="1"/>
  <c r="D152" i="6" a="1"/>
  <c r="D127" i="6" a="1"/>
  <c r="E127" i="6" a="1"/>
  <c r="F127" i="6" a="1"/>
  <c r="C127" i="6" a="1"/>
  <c r="E170" i="6" a="1"/>
  <c r="F170" i="6" a="1"/>
  <c r="D170" i="6" a="1"/>
  <c r="C170" i="6" a="1"/>
  <c r="C123" i="6" a="1"/>
  <c r="E123" i="6" a="1"/>
  <c r="F123" i="6" a="1"/>
  <c r="D123" i="6" a="1"/>
  <c r="F147" i="6" a="1"/>
  <c r="C147" i="6" a="1"/>
  <c r="D147" i="6" a="1"/>
  <c r="E147" i="6" a="1"/>
  <c r="D168" i="6" a="1"/>
  <c r="E168" i="6" a="1"/>
  <c r="C168" i="6" a="1"/>
  <c r="F168" i="6" a="1"/>
  <c r="E151" i="6" a="1"/>
  <c r="C151" i="6" a="1"/>
  <c r="D151" i="6" a="1"/>
  <c r="F151" i="6" a="1"/>
  <c r="E144" i="6" a="1"/>
  <c r="F144" i="6" a="1"/>
  <c r="C144" i="6" a="1"/>
  <c r="D144" i="6" a="1"/>
  <c r="E142" i="6" a="1"/>
  <c r="C142" i="6" a="1"/>
  <c r="F142" i="6" a="1"/>
  <c r="D142" i="6" a="1"/>
  <c r="D143" i="6" a="1"/>
  <c r="E143" i="6" a="1"/>
  <c r="F143" i="6" a="1"/>
  <c r="C143" i="6" a="1"/>
  <c r="F153" i="6" a="1"/>
  <c r="C153" i="6" a="1"/>
  <c r="D153" i="6" a="1"/>
  <c r="E153" i="6" a="1"/>
  <c r="E141" i="6" a="1"/>
  <c r="C141" i="6" a="1"/>
  <c r="F141" i="6" a="1"/>
  <c r="D141" i="6" a="1"/>
  <c r="C164" i="6" a="1"/>
  <c r="E164" i="6" a="1"/>
  <c r="D164" i="6" a="1"/>
  <c r="F164" i="6" a="1"/>
  <c r="E137" i="6" a="1"/>
  <c r="F137" i="6" a="1"/>
  <c r="C137" i="6" a="1"/>
  <c r="D137" i="6" a="1"/>
  <c r="C145" i="6" a="1"/>
  <c r="D145" i="6" a="1"/>
  <c r="E145" i="6" a="1"/>
  <c r="F145" i="6" a="1"/>
  <c r="E169" i="6" a="1"/>
  <c r="F169" i="6" a="1"/>
  <c r="D169" i="6" a="1"/>
  <c r="C169" i="6" a="1"/>
  <c r="E173" i="6" a="1"/>
  <c r="D173" i="6" a="1"/>
  <c r="C173" i="6" a="1"/>
  <c r="F173" i="6" a="1"/>
  <c r="E128" i="6" a="1"/>
  <c r="F128" i="6" a="1"/>
  <c r="C128" i="6" a="1"/>
  <c r="D128" i="6" a="1"/>
  <c r="E175" i="6" a="1"/>
  <c r="F175" i="6" a="1"/>
  <c r="D175" i="6" a="1"/>
  <c r="C175" i="6" a="1"/>
  <c r="C125" i="6" a="1"/>
  <c r="E125" i="6" a="1"/>
  <c r="F125" i="6" a="1"/>
  <c r="D125" i="6" a="1"/>
  <c r="E149" i="6" a="1"/>
  <c r="C149" i="6" a="1"/>
  <c r="F149" i="6" a="1"/>
  <c r="D149" i="6" a="1"/>
  <c r="E171" i="6" a="1"/>
  <c r="F171" i="6" a="1"/>
  <c r="D171" i="6" a="1"/>
  <c r="C171" i="6" a="1"/>
  <c r="C146" i="6" a="1"/>
  <c r="E146" i="6" a="1"/>
  <c r="D146" i="6" a="1"/>
  <c r="F146" i="6" a="1"/>
  <c r="D158" i="6" a="1"/>
  <c r="E158" i="6" a="1"/>
  <c r="F158" i="6" a="1"/>
  <c r="C158" i="6" a="1"/>
  <c r="E130" i="6" a="1"/>
  <c r="F130" i="6" a="1"/>
  <c r="C130" i="6" a="1"/>
  <c r="D130" i="6" a="1"/>
  <c r="F159" i="6" a="1"/>
  <c r="C159" i="6" a="1"/>
  <c r="D159" i="6" a="1"/>
  <c r="E159" i="6" a="1"/>
  <c r="F139" i="6" a="1"/>
  <c r="C139" i="6" a="1"/>
  <c r="D139" i="6" a="1"/>
  <c r="E139" i="6" a="1"/>
  <c r="C155" i="6" a="1"/>
  <c r="D155" i="6" a="1"/>
  <c r="E155" i="6" a="1"/>
  <c r="F155" i="6" a="1"/>
  <c r="D174" i="6" a="1"/>
  <c r="E174" i="6" a="1"/>
  <c r="C174" i="6" a="1"/>
  <c r="F174" i="6" a="1"/>
  <c r="E154" i="6" a="1"/>
  <c r="C154" i="6" a="1"/>
  <c r="F154" i="6" a="1"/>
  <c r="D154" i="6" a="1"/>
  <c r="D161" i="6" a="1"/>
  <c r="C161" i="6" a="1"/>
  <c r="E161" i="6" a="1"/>
  <c r="F161" i="6" a="1"/>
  <c r="D166" i="6" a="1"/>
  <c r="C166" i="6" a="1"/>
  <c r="E166" i="6" a="1"/>
  <c r="F166" i="6" a="1"/>
  <c r="F131" i="6" a="1"/>
  <c r="C131" i="6" a="1"/>
  <c r="D131" i="6" a="1"/>
  <c r="E131" i="6" a="1"/>
  <c r="E165" i="6" a="1"/>
  <c r="D165" i="6" a="1"/>
  <c r="C165" i="6" a="1"/>
  <c r="F165" i="6" a="1"/>
  <c r="C126" i="6" a="1"/>
  <c r="D126" i="6" a="1"/>
  <c r="E126" i="6" a="1"/>
  <c r="F126" i="6" a="1"/>
  <c r="F172" i="6" a="1"/>
  <c r="E172" i="6" a="1"/>
  <c r="D172" i="6" a="1"/>
  <c r="C172" i="6" a="1"/>
  <c r="C162" i="6" a="1"/>
  <c r="F162" i="6" a="1"/>
  <c r="E162" i="6" a="1"/>
  <c r="D162" i="6" a="1"/>
  <c r="D148" i="6" a="1"/>
  <c r="F148" i="6" a="1"/>
  <c r="E148" i="6" a="1"/>
  <c r="C148" i="6" a="1"/>
  <c r="E176" i="6" a="1"/>
  <c r="F176" i="6" a="1"/>
  <c r="C176" i="6" a="1"/>
  <c r="D176" i="6" a="1"/>
  <c r="E138" i="6" a="1"/>
  <c r="F138" i="6" a="1"/>
  <c r="C138" i="6" a="1"/>
  <c r="D138" i="6" a="1"/>
  <c r="E160" i="6" a="1"/>
  <c r="C160" i="6" a="1"/>
  <c r="D160" i="6" a="1"/>
  <c r="F160" i="6" a="1"/>
  <c r="E150" i="6" a="1"/>
  <c r="F150" i="6" a="1"/>
  <c r="C150" i="6" a="1"/>
  <c r="D150" i="6" a="1"/>
  <c r="D150" i="6" l="1"/>
  <c r="C150" i="6"/>
  <c r="F150" i="6"/>
  <c r="E150" i="6"/>
  <c r="F160" i="6"/>
  <c r="D160" i="6"/>
  <c r="C160" i="6"/>
  <c r="E160" i="6"/>
  <c r="D138" i="6"/>
  <c r="C138" i="6"/>
  <c r="F138" i="6"/>
  <c r="E138" i="6"/>
  <c r="D176" i="6"/>
  <c r="C176" i="6"/>
  <c r="F176" i="6"/>
  <c r="E176" i="6"/>
  <c r="C148" i="6"/>
  <c r="E148" i="6"/>
  <c r="F148" i="6"/>
  <c r="D148" i="6"/>
  <c r="D162" i="6"/>
  <c r="E162" i="6"/>
  <c r="F162" i="6"/>
  <c r="C162" i="6"/>
  <c r="C172" i="6"/>
  <c r="D172" i="6"/>
  <c r="E172" i="6"/>
  <c r="F172" i="6"/>
  <c r="F126" i="6"/>
  <c r="E126" i="6"/>
  <c r="D126" i="6"/>
  <c r="C126" i="6"/>
  <c r="F165" i="6"/>
  <c r="C165" i="6"/>
  <c r="D165" i="6"/>
  <c r="E165" i="6"/>
  <c r="E131" i="6"/>
  <c r="D131" i="6"/>
  <c r="C131" i="6"/>
  <c r="F131" i="6"/>
  <c r="F166" i="6"/>
  <c r="E166" i="6"/>
  <c r="C166" i="6"/>
  <c r="D166" i="6"/>
  <c r="F161" i="6"/>
  <c r="E161" i="6"/>
  <c r="C161" i="6"/>
  <c r="D161" i="6"/>
  <c r="D154" i="6"/>
  <c r="F154" i="6"/>
  <c r="C154" i="6"/>
  <c r="E154" i="6"/>
  <c r="F174" i="6"/>
  <c r="C174" i="6"/>
  <c r="E174" i="6"/>
  <c r="D174" i="6"/>
  <c r="F155" i="6"/>
  <c r="E155" i="6"/>
  <c r="D155" i="6"/>
  <c r="C155" i="6"/>
  <c r="E139" i="6"/>
  <c r="D139" i="6"/>
  <c r="C139" i="6"/>
  <c r="F139" i="6"/>
  <c r="E159" i="6"/>
  <c r="D159" i="6"/>
  <c r="C159" i="6"/>
  <c r="F159" i="6"/>
  <c r="D130" i="6"/>
  <c r="C130" i="6"/>
  <c r="F130" i="6"/>
  <c r="E130" i="6"/>
  <c r="C158" i="6"/>
  <c r="F158" i="6"/>
  <c r="E158" i="6"/>
  <c r="D158" i="6"/>
  <c r="F146" i="6"/>
  <c r="D146" i="6"/>
  <c r="E146" i="6"/>
  <c r="C146" i="6"/>
  <c r="C171" i="6"/>
  <c r="D171" i="6"/>
  <c r="F171" i="6"/>
  <c r="E171" i="6"/>
  <c r="D149" i="6"/>
  <c r="F149" i="6"/>
  <c r="C149" i="6"/>
  <c r="E149" i="6"/>
  <c r="D125" i="6"/>
  <c r="F125" i="6"/>
  <c r="E125" i="6"/>
  <c r="C125" i="6"/>
  <c r="C175" i="6"/>
  <c r="D175" i="6"/>
  <c r="F175" i="6"/>
  <c r="E175" i="6"/>
  <c r="D128" i="6"/>
  <c r="C128" i="6"/>
  <c r="F128" i="6"/>
  <c r="E128" i="6"/>
  <c r="F173" i="6"/>
  <c r="C173" i="6"/>
  <c r="D173" i="6"/>
  <c r="E173" i="6"/>
  <c r="C169" i="6"/>
  <c r="D169" i="6"/>
  <c r="F169" i="6"/>
  <c r="E169" i="6"/>
  <c r="F145" i="6"/>
  <c r="E145" i="6"/>
  <c r="D145" i="6"/>
  <c r="C145" i="6"/>
  <c r="D137" i="6"/>
  <c r="C137" i="6"/>
  <c r="F137" i="6"/>
  <c r="E137" i="6"/>
  <c r="F164" i="6"/>
  <c r="D164" i="6"/>
  <c r="E164" i="6"/>
  <c r="C164" i="6"/>
  <c r="D141" i="6"/>
  <c r="F141" i="6"/>
  <c r="C141" i="6"/>
  <c r="E141" i="6"/>
  <c r="E153" i="6"/>
  <c r="D153" i="6"/>
  <c r="C153" i="6"/>
  <c r="F153" i="6"/>
  <c r="C143" i="6"/>
  <c r="F143" i="6"/>
  <c r="E143" i="6"/>
  <c r="D143" i="6"/>
  <c r="D142" i="6"/>
  <c r="F142" i="6"/>
  <c r="C142" i="6"/>
  <c r="E142" i="6"/>
  <c r="D144" i="6"/>
  <c r="C144" i="6"/>
  <c r="F144" i="6"/>
  <c r="E144" i="6"/>
  <c r="F151" i="6"/>
  <c r="D151" i="6"/>
  <c r="C151" i="6"/>
  <c r="E151" i="6"/>
  <c r="F168" i="6"/>
  <c r="C168" i="6"/>
  <c r="E168" i="6"/>
  <c r="D168" i="6"/>
  <c r="E147" i="6"/>
  <c r="D147" i="6"/>
  <c r="C147" i="6"/>
  <c r="F147" i="6"/>
  <c r="D123" i="6"/>
  <c r="F123" i="6"/>
  <c r="E123" i="6"/>
  <c r="C123" i="6"/>
  <c r="C170" i="6"/>
  <c r="D170" i="6"/>
  <c r="F170" i="6"/>
  <c r="E170" i="6"/>
  <c r="C127" i="6"/>
  <c r="F127" i="6"/>
  <c r="E127" i="6"/>
  <c r="D127" i="6"/>
  <c r="D152" i="6"/>
  <c r="C152" i="6"/>
  <c r="F152" i="6"/>
  <c r="E152" i="6"/>
  <c r="C124" i="6"/>
  <c r="F124" i="6"/>
  <c r="E124" i="6"/>
  <c r="D124" i="6"/>
  <c r="D133" i="6"/>
  <c r="F133" i="6"/>
  <c r="C133" i="6"/>
  <c r="E133" i="6"/>
  <c r="E135" i="6"/>
  <c r="C135" i="6"/>
  <c r="D135" i="6"/>
  <c r="F135" i="6"/>
  <c r="F156" i="6"/>
  <c r="D156" i="6"/>
  <c r="C156" i="6"/>
  <c r="E156" i="6"/>
  <c r="F134" i="6"/>
  <c r="E134" i="6"/>
  <c r="D134" i="6"/>
  <c r="C134" i="6"/>
  <c r="F136" i="6"/>
  <c r="D136" i="6"/>
  <c r="E136" i="6"/>
  <c r="C136" i="6"/>
  <c r="E157" i="6"/>
  <c r="D157" i="6"/>
  <c r="C157" i="6"/>
  <c r="F157" i="6"/>
  <c r="E132" i="6"/>
  <c r="D132" i="6"/>
  <c r="C132" i="6"/>
  <c r="F132" i="6"/>
  <c r="F167" i="6"/>
  <c r="C167" i="6"/>
  <c r="E167" i="6"/>
  <c r="D167" i="6"/>
  <c r="E163" i="6"/>
  <c r="D163" i="6"/>
  <c r="F163" i="6"/>
  <c r="C163" i="6"/>
  <c r="D129" i="6"/>
  <c r="C129" i="6"/>
  <c r="F129" i="6"/>
  <c r="E129" i="6"/>
  <c r="C140" i="6"/>
  <c r="F140" i="6"/>
  <c r="E140" i="6"/>
  <c r="D140" i="6"/>
  <c r="C24" i="4"/>
  <c r="C20" i="5"/>
  <c r="C27" i="4"/>
  <c r="D47" i="4" s="1" a="1"/>
  <c r="D47" i="4" s="1"/>
  <c r="D48" i="4" a="1"/>
  <c r="D48" i="4" s="1"/>
  <c r="D53" i="4"/>
  <c r="E14" i="6" a="1"/>
  <c r="G14" i="6" a="1"/>
  <c r="F14" i="6" a="1"/>
  <c r="D14" i="6" a="1"/>
  <c r="C122" i="6" a="1"/>
  <c r="D122" i="6" a="1"/>
  <c r="F122" i="6" a="1"/>
  <c r="E122" i="6" a="1"/>
  <c r="E96" i="6" a="1"/>
  <c r="E105" i="6" a="1"/>
  <c r="E91" i="6" a="1"/>
  <c r="E113" i="6" a="1"/>
  <c r="E93" i="6" a="1"/>
  <c r="E88" i="6" a="1"/>
  <c r="E110" i="6" a="1"/>
  <c r="E87" i="6" a="1"/>
  <c r="E98" i="6" a="1"/>
  <c r="E84" i="6" a="1"/>
  <c r="E106" i="6" a="1"/>
  <c r="E86" i="6" a="1"/>
  <c r="E72" i="6" a="1"/>
  <c r="E101" i="6" a="1"/>
  <c r="E80" i="6" a="1"/>
  <c r="E89" i="6" a="1"/>
  <c r="E75" i="6" a="1"/>
  <c r="E97" i="6" a="1"/>
  <c r="E108" i="6" a="1"/>
  <c r="E70" i="6" a="1"/>
  <c r="E94" i="6" a="1"/>
  <c r="E77" i="6" a="1"/>
  <c r="E82" i="6" a="1"/>
  <c r="E68" i="6" a="1"/>
  <c r="E90" i="6" a="1"/>
  <c r="E99" i="6" a="1"/>
  <c r="E79" i="6" a="1"/>
  <c r="E85" i="6" a="1"/>
  <c r="E112" i="6" a="1"/>
  <c r="E73" i="6" a="1"/>
  <c r="E109" i="6" a="1"/>
  <c r="E81" i="6" a="1"/>
  <c r="E92" i="6" a="1"/>
  <c r="E78" i="6" a="1"/>
  <c r="E71" i="6" a="1"/>
  <c r="E66" i="6" a="1"/>
  <c r="E111" i="6" a="1"/>
  <c r="E74" i="6" a="1"/>
  <c r="E83" i="6" a="1"/>
  <c r="E69" i="6" a="1"/>
  <c r="D21" i="6" a="1"/>
  <c r="E107" i="6" a="1"/>
  <c r="E104" i="6" a="1"/>
  <c r="E65" i="6" a="1"/>
  <c r="E76" i="6" a="1"/>
  <c r="E103" i="6" a="1"/>
  <c r="E114" i="6" a="1"/>
  <c r="E100" i="6" a="1"/>
  <c r="E95" i="6" a="1"/>
  <c r="E102" i="6" a="1"/>
  <c r="E67" i="6" a="1"/>
  <c r="E67" i="6" l="1"/>
  <c r="E102" i="6"/>
  <c r="E95" i="6"/>
  <c r="E100" i="6"/>
  <c r="E114" i="6"/>
  <c r="E103" i="6"/>
  <c r="E76" i="6"/>
  <c r="E65" i="6"/>
  <c r="E104" i="6"/>
  <c r="E107" i="6"/>
  <c r="D21" i="6"/>
  <c r="E69" i="6"/>
  <c r="E83" i="6"/>
  <c r="E74" i="6"/>
  <c r="E111" i="6"/>
  <c r="E66" i="6"/>
  <c r="E71" i="6"/>
  <c r="E78" i="6"/>
  <c r="E92" i="6"/>
  <c r="E81" i="6"/>
  <c r="E109" i="6"/>
  <c r="E73" i="6"/>
  <c r="E112" i="6"/>
  <c r="E85" i="6"/>
  <c r="E79" i="6"/>
  <c r="E99" i="6"/>
  <c r="E90" i="6"/>
  <c r="E68" i="6"/>
  <c r="E82" i="6"/>
  <c r="E77" i="6"/>
  <c r="E94" i="6"/>
  <c r="E70" i="6"/>
  <c r="E108" i="6"/>
  <c r="E97" i="6"/>
  <c r="E75" i="6"/>
  <c r="E89" i="6"/>
  <c r="E80" i="6"/>
  <c r="E101" i="6"/>
  <c r="E72" i="6"/>
  <c r="E86" i="6"/>
  <c r="E106" i="6"/>
  <c r="E84" i="6"/>
  <c r="E98" i="6"/>
  <c r="E87" i="6"/>
  <c r="E110" i="6"/>
  <c r="E88" i="6"/>
  <c r="E93" i="6"/>
  <c r="E113" i="6"/>
  <c r="E91" i="6"/>
  <c r="E105" i="6"/>
  <c r="E96" i="6"/>
  <c r="E122" i="6"/>
  <c r="F122" i="6"/>
  <c r="D122" i="6"/>
  <c r="C122" i="6"/>
  <c r="D14" i="6"/>
  <c r="F14" i="6"/>
  <c r="G14" i="6"/>
  <c r="E14" i="6"/>
  <c r="C26" i="4" a="1"/>
  <c r="C26" i="4" s="1"/>
  <c r="C25" i="4" a="1"/>
  <c r="C25" i="4" s="1"/>
  <c r="D46" i="4" l="1" a="1"/>
  <c r="D46" i="4" s="1"/>
  <c r="D52" i="4"/>
  <c r="D45" i="4" a="1"/>
  <c r="D45" i="4" s="1"/>
  <c r="C40" i="4"/>
  <c r="D54" i="4" s="1"/>
  <c r="D13" i="6" a="1"/>
  <c r="E13" i="6" a="1"/>
  <c r="F13" i="6" a="1"/>
  <c r="G13" i="6" a="1"/>
  <c r="B26" i="6" a="1"/>
  <c r="D79" i="6" a="1"/>
  <c r="D113" i="6" a="1"/>
  <c r="D84" i="6" a="1"/>
  <c r="D20" i="6" a="1"/>
  <c r="F12" i="6" a="1"/>
  <c r="D66" i="6" a="1"/>
  <c r="D74" i="6" a="1"/>
  <c r="D106" i="6" a="1"/>
  <c r="D101" i="6" a="1"/>
  <c r="D65" i="6" a="1"/>
  <c r="D94" i="6" a="1"/>
  <c r="D107" i="6" a="1"/>
  <c r="D111" i="6" a="1"/>
  <c r="D73" i="6" a="1"/>
  <c r="D103" i="6" a="1"/>
  <c r="D110" i="6" a="1"/>
  <c r="D105" i="6" a="1"/>
  <c r="D104" i="6" a="1"/>
  <c r="D76" i="6" a="1"/>
  <c r="D77" i="6" a="1"/>
  <c r="D67" i="6" a="1"/>
  <c r="D96" i="6" a="1"/>
  <c r="D70" i="6" a="1"/>
  <c r="G12" i="6" a="1"/>
  <c r="D100" i="6" a="1"/>
  <c r="D116" i="6" a="1"/>
  <c r="D12" i="6" a="1"/>
  <c r="D91" i="6" a="1"/>
  <c r="D95" i="6" a="1"/>
  <c r="D114" i="6" a="1"/>
  <c r="D75" i="6" a="1"/>
  <c r="E12" i="6" a="1"/>
  <c r="D108" i="6" a="1"/>
  <c r="D112" i="6" a="1"/>
  <c r="D86" i="6" a="1"/>
  <c r="D88" i="6" a="1"/>
  <c r="D81" i="6" a="1"/>
  <c r="D83" i="6" a="1"/>
  <c r="D69" i="6" a="1"/>
  <c r="D71" i="6" a="1"/>
  <c r="D93" i="6" a="1"/>
  <c r="D82" i="6" a="1"/>
  <c r="D68" i="6" a="1"/>
  <c r="B6" i="6" a="1"/>
  <c r="D99" i="6" a="1"/>
  <c r="D85" i="6" a="1"/>
  <c r="D87" i="6" a="1"/>
  <c r="D109" i="6" a="1"/>
  <c r="D72" i="6" a="1"/>
  <c r="D97" i="6" a="1"/>
  <c r="D98" i="6" a="1"/>
  <c r="D90" i="6" a="1"/>
  <c r="D92" i="6" a="1"/>
  <c r="D78" i="6" a="1"/>
  <c r="D80" i="6" a="1"/>
  <c r="D102" i="6" a="1"/>
  <c r="D89" i="6" a="1"/>
  <c r="G15" i="6" a="1"/>
  <c r="G15" i="6" l="1"/>
  <c r="D89" i="6"/>
  <c r="D102" i="6"/>
  <c r="D80" i="6"/>
  <c r="D78" i="6"/>
  <c r="D92" i="6"/>
  <c r="D90" i="6"/>
  <c r="D98" i="6"/>
  <c r="D97" i="6"/>
  <c r="D72" i="6"/>
  <c r="D109" i="6"/>
  <c r="D87" i="6"/>
  <c r="D85" i="6"/>
  <c r="D99" i="6"/>
  <c r="B6" i="6"/>
  <c r="D68" i="6"/>
  <c r="D82" i="6"/>
  <c r="D93" i="6"/>
  <c r="D71" i="6"/>
  <c r="D69" i="6"/>
  <c r="D83" i="6"/>
  <c r="D81" i="6"/>
  <c r="D88" i="6"/>
  <c r="D86" i="6"/>
  <c r="D112" i="6"/>
  <c r="D108" i="6"/>
  <c r="E12" i="6"/>
  <c r="D75" i="6"/>
  <c r="D114" i="6"/>
  <c r="D95" i="6"/>
  <c r="D91" i="6"/>
  <c r="D12" i="6"/>
  <c r="D116" i="6"/>
  <c r="D100" i="6"/>
  <c r="G12" i="6"/>
  <c r="D70" i="6"/>
  <c r="D96" i="6"/>
  <c r="D67" i="6"/>
  <c r="D77" i="6"/>
  <c r="D76" i="6"/>
  <c r="D104" i="6"/>
  <c r="D105" i="6"/>
  <c r="D110" i="6"/>
  <c r="D103" i="6"/>
  <c r="D73" i="6"/>
  <c r="D111" i="6"/>
  <c r="D107" i="6"/>
  <c r="D94" i="6"/>
  <c r="D65" i="6"/>
  <c r="D101" i="6"/>
  <c r="D106" i="6"/>
  <c r="D74" i="6"/>
  <c r="D66" i="6"/>
  <c r="F12" i="6"/>
  <c r="D20" i="6"/>
  <c r="D84" i="6"/>
  <c r="D113" i="6"/>
  <c r="D79" i="6"/>
  <c r="E26" i="6"/>
  <c r="C27" i="6"/>
  <c r="C26" i="6"/>
  <c r="D27" i="6"/>
  <c r="D26" i="6"/>
  <c r="B27" i="6"/>
  <c r="B119" i="6" s="1"/>
  <c r="B26" i="6"/>
  <c r="B118" i="6" s="1"/>
  <c r="E27" i="6"/>
  <c r="G13" i="6"/>
  <c r="F13" i="6"/>
  <c r="E13" i="6"/>
  <c r="D13" i="6"/>
  <c r="B7" i="6"/>
  <c r="F118" i="6" l="1"/>
  <c r="F119" i="6"/>
  <c r="G118" i="6"/>
  <c r="G11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<sst xmlns="http://schemas.openxmlformats.org/spreadsheetml/2006/main" count="360" uniqueCount="309">
  <si>
    <t>Missile Flight: Differential Equations</t>
  </si>
  <si>
    <t>ModelRisk example  ·  General use  ·  GU-27</t>
  </si>
  <si>
    <t>A missile with air friction: where does it land, how sure are we, and what friction do the observations imply?</t>
  </si>
  <si>
    <t>Next:  Inputs  ▸</t>
  </si>
  <si>
    <t>Model card</t>
  </si>
  <si>
    <t>Industry</t>
  </si>
  <si>
    <t>General use</t>
  </si>
  <si>
    <t>Difficulty</t>
  </si>
  <si>
    <t>★★★★★   A system of differential equations solved in every simulation (VoseODE), a landing found without Solver, a parameter fitted to observations, and the exact solution as a check.</t>
  </si>
  <si>
    <t>Business question</t>
  </si>
  <si>
    <t>A missile is launched at 25 m/s and 60° from a 10 m platform, slowed by air friction. Its speed and the friction are uncertain. How far does it fly, for how long and how high, and what friction do four observed positions imply?</t>
  </si>
  <si>
    <t>Who it is for</t>
  </si>
  <si>
    <t>Engineers and scientists whose models are differential equations with uncertain parameters: trajectories, pharmacokinetics, population dynamics, reaction kinetics, epidemics.</t>
  </si>
  <si>
    <t>Main outputs</t>
  </si>
  <si>
    <t>The range, flight time and maximum height: mean and percentiles · the chance of a range above 50 m · what drives the range · the friction fitted to four observed positions · VoseODE's results against the exact solution.</t>
  </si>
  <si>
    <t>ModelRisk techniques</t>
  </si>
  <si>
    <t>VoseODE: four ordinary differential equations written as text, solved at 70 time stamps in every simulation · the landing found by interpolating where the height crosses zero (no Solver) · the exact solution for linear friction, with Newton's method in cells · a least-squares fit by grid search and a parabola (no Solver) · Lognormal uncertainty on speed and friction · conditional-mean drivers.</t>
  </si>
  <si>
    <t>File</t>
  </si>
  <si>
    <t>GU-27 Missile flight differential equations  ·  Version 1.0  ·  October 2026  ·  re-issues the examples Missile, Missile 2 and Missile 3  ·  built with ModelRisk 10</t>
  </si>
  <si>
    <t>The business question</t>
  </si>
  <si>
    <t>A missile leaves a 10 m platform at 25 m/s and 60°. Air friction slows it in proportion to its speed, and gravity pulls it down: four ordinary differential equations. The original examples solved them with VoseODE and used Excel's Solver, and in the stochastic version VBA macros, to find when the missile lands and to fit the friction to observations. This version needs neither: VoseODE gives the trajectory every tenth of a second, the landing is where the height crosses zero, and the fit is a search over friction values. Launch speed and friction are uncertain, so every simulation flies a different missile.</t>
  </si>
  <si>
    <t>How the model works</t>
  </si>
  <si>
    <t>Five sheets after this one, read from left to right. Each one feeds the next.</t>
  </si>
  <si>
    <t>1  Inputs</t>
  </si>
  <si>
    <t>Launch speed and friction as Lognormal distributions (the original Missile 3's); the angle, launch height and gravity; VoseODE's time step.</t>
  </si>
  <si>
    <t>2  Fit</t>
  </si>
  <si>
    <t>Four observed positions (Missile 2). For each friction value on a fine grid, the exact trajectory's squared error; the best value and a parabola through its neighbours give the least-squares friction.</t>
  </si>
  <si>
    <t>3  Flight</t>
  </si>
  <si>
    <t>The four equations as text, the variables and their starting values; the landing interpolated from the VoseODE trajectory where the height turns negative; the exact landing (Newton's method) as a check.</t>
  </si>
  <si>
    <t>4  Trajectory</t>
  </si>
  <si>
    <t>VoseODE(name, equations, start, step, time stamps, names, starting values): speeds and position at 70 times.</t>
  </si>
  <si>
    <t>5  Results</t>
  </si>
  <si>
    <t>The range, flight time and height, their percentiles, and what drives the range.</t>
  </si>
  <si>
    <t>How to use it</t>
  </si>
  <si>
    <t>Step 1</t>
  </si>
  <si>
    <t>Set the launch and the uncertainty on the Inputs sheet; replace the observations on the Fit sheet.</t>
  </si>
  <si>
    <t>Step 2</t>
  </si>
  <si>
    <t>Run a simulation from the ModelRisk ribbon (10,000 samples with a fixed seed are set).</t>
  </si>
  <si>
    <t>Step 3</t>
  </si>
  <si>
    <t>To model other dynamics, rewrite the equations and variables on the Flight sheet; VoseODE solves any system of first-order equations.</t>
  </si>
  <si>
    <t>Workbook map</t>
  </si>
  <si>
    <t>Inputs</t>
  </si>
  <si>
    <t>Launch, uncertainty, ODE step.</t>
  </si>
  <si>
    <t>Fit</t>
  </si>
  <si>
    <t>Observations and the fitted friction.</t>
  </si>
  <si>
    <t>Flight</t>
  </si>
  <si>
    <t>Equations, landing, exact check; outputs and checks.</t>
  </si>
  <si>
    <t>Trajectory</t>
  </si>
  <si>
    <t>VoseODE's solution.</t>
  </si>
  <si>
    <t>Results</t>
  </si>
  <si>
    <t>Range, time, height,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</si>
  <si>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</si>
  <si>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</si>
  <si>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</si>
  <si>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</si>
  <si>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</si>
  <si>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</si>
  <si>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</si>
  <si>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</si>
  <si>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</si>
  <si>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</si>
  <si>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</si>
  <si>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</si>
  <si>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Friction</t>
  </si>
  <si>
    <t>Per second: the deceleration is friction × speed.</t>
  </si>
  <si>
    <t>Range</t>
  </si>
  <si>
    <t>Horizontal distance from the platform when the missile reaches the ground (height 0).</t>
  </si>
  <si>
    <t>Key assumptions and limitations</t>
  </si>
  <si>
    <t>Physics</t>
  </si>
  <si>
    <t>Friction proportional to speed (linear drag), constant gravity, no wind, flat ground.</t>
  </si>
  <si>
    <t>Integration</t>
  </si>
  <si>
    <t>VoseODE steps through time; a smaller step is more accurate and slower. The exact solution on the Flight sheet shows the step's error.</t>
  </si>
  <si>
    <t>Data</t>
  </si>
  <si>
    <t>Launch, observations and uncertainty are those of ModelRisk's earlier Missile, Missile 2 and Missile 3 examples. Missile 3 re-ran Solver with VBA macros in every iteration; this version has no macros.</t>
  </si>
  <si>
    <t>ModelRisk functions used</t>
  </si>
  <si>
    <t>VoseODE</t>
  </si>
  <si>
    <t>Solves ordinary differential equations given as text, at chosen times.</t>
  </si>
  <si>
    <t>VoseLognormal</t>
  </si>
  <si>
    <t>Launch speed and friction, uncertain.</t>
  </si>
  <si>
    <t>VoseSimSensitivityMean</t>
  </si>
  <si>
    <t>The mean range when each input is low or high: what drives it.</t>
  </si>
  <si>
    <t>VoseSimMean, VoseSimPercentile, VoseSimProbability</t>
  </si>
  <si>
    <t>Statistics of the simulation.</t>
  </si>
  <si>
    <t>Further reading</t>
  </si>
  <si>
    <t>Differential equations</t>
  </si>
  <si>
    <t>Vose, D. (2008). Risk Analysis: A Quantitative Guide, 3rd edition. Wiley: modelling with differential equations.</t>
  </si>
  <si>
    <t>© 2026 Vose Software   ·   www.vosesoftware.com   ·   An illustrative example: the figures are invented for teaching and do not describe a real company, project or asset.</t>
  </si>
  <si>
    <t>INPUTS   ·   The launch and its uncertainty. The observations are on the Fit sheet. Change only the yellow cells.</t>
  </si>
  <si>
    <t>◂  About</t>
  </si>
  <si>
    <t>Next:  Fit  ▸</t>
  </si>
  <si>
    <t>How to read this sheet:  yellow cells are inputs.  Orange cells hold ModelRisk distributions and show the current random sample (press F9 to draw again).</t>
  </si>
  <si>
    <t>1   Uncertain launch</t>
  </si>
  <si>
    <t>Lognormal(mean, standard deviation): the original Missile 3's.</t>
  </si>
  <si>
    <t>Assumption</t>
  </si>
  <si>
    <t>Unit</t>
  </si>
  <si>
    <t>Value in model</t>
  </si>
  <si>
    <t>Uncertainty</t>
  </si>
  <si>
    <t>Low</t>
  </si>
  <si>
    <t>Most likely</t>
  </si>
  <si>
    <t>High</t>
  </si>
  <si>
    <t>Mean</t>
  </si>
  <si>
    <t>Basis / source (illustrative)</t>
  </si>
  <si>
    <t>Launch speed</t>
  </si>
  <si>
    <t>m/s</t>
  </si>
  <si>
    <t>Lognormal</t>
  </si>
  <si>
    <t>–</t>
  </si>
  <si>
    <t>Mean 25 m/s, standard deviation 0.7</t>
  </si>
  <si>
    <t>Air friction</t>
  </si>
  <si>
    <t>per second</t>
  </si>
  <si>
    <t>Mean 0.1, standard deviation 0.029: compare the fit on the Fit sheet</t>
  </si>
  <si>
    <t>2   Fixed launch conditions</t>
  </si>
  <si>
    <t>Launch angle</t>
  </si>
  <si>
    <t>degrees</t>
  </si>
  <si>
    <t>Fixed</t>
  </si>
  <si>
    <t>Launch height</t>
  </si>
  <si>
    <t>m</t>
  </si>
  <si>
    <t>Gravity</t>
  </si>
  <si>
    <t>m/s²</t>
  </si>
  <si>
    <t>VoseODE time step</t>
  </si>
  <si>
    <t>s</t>
  </si>
  <si>
    <t>Smaller: more accurate, slower</t>
  </si>
  <si>
    <t>A long flight: range above</t>
  </si>
  <si>
    <t>FIT   ·   The friction that best explains four observed positions (no Solver).</t>
  </si>
  <si>
    <t>◂  Inputs</t>
  </si>
  <si>
    <t>Next:  Flight  ▸</t>
  </si>
  <si>
    <t>1   Observations</t>
  </si>
  <si>
    <t>Positions of a missile launched at 25 m/s and 60° from 10 m (the original Missile 2's). Yellow cells are inputs.</t>
  </si>
  <si>
    <t>Time (s)</t>
  </si>
  <si>
    <t>x (m)</t>
  </si>
  <si>
    <t>y (m)</t>
  </si>
  <si>
    <t>The fit uses the mean launch speed (25 m/s) and the fixed angle and height</t>
  </si>
  <si>
    <t>2   Friction that fits</t>
  </si>
  <si>
    <t>Squared distance between the exact trajectory and the observations, for each friction: x = Vx₀(1 − e^(−kt))/k, y = y₀ + (Vy₀ + g/k)(1 − e^(−kt))/k − gt/k.</t>
  </si>
  <si>
    <t>Best friction on the grid</t>
  </si>
  <si>
    <t>The grid's smallest squared error (0.050 to 0.150 in steps of 0.002)</t>
  </si>
  <si>
    <t>Fitted friction (parabola through the best three)</t>
  </si>
  <si>
    <t>Least squares without Solver: the minimum of a parabola through the best point and its neighbours</t>
  </si>
  <si>
    <t>Squared error at the fitted friction</t>
  </si>
  <si>
    <t>Squared error at 0.3 (the original's starting guess)</t>
  </si>
  <si>
    <t>The original's Solver started from 0.3</t>
  </si>
  <si>
    <t>Squared error</t>
  </si>
  <si>
    <t>FLIGHT   ·   The equations, the landing from VoseODE, and the exact solution as a check.</t>
  </si>
  <si>
    <t>◂  Fit</t>
  </si>
  <si>
    <t>Next:  Trajectory  ▸</t>
  </si>
  <si>
    <t>1   The differential equations</t>
  </si>
  <si>
    <t>As text: VoseODE reads them. The left-hand side names the variable.</t>
  </si>
  <si>
    <t>dVx/dt=-Friction*Vx</t>
  </si>
  <si>
    <t>Friction slows the missile in proportion to its speed</t>
  </si>
  <si>
    <t>dVy/dt=-Friction*Vy-g</t>
  </si>
  <si>
    <t>Gravity adds a constant downward pull</t>
  </si>
  <si>
    <t>dx/dt=Vx</t>
  </si>
  <si>
    <t>Position changes at the speed</t>
  </si>
  <si>
    <t>dy/dt=Vy</t>
  </si>
  <si>
    <t>2   Variables and starting values</t>
  </si>
  <si>
    <t>This simulation's values; the last two are constants in the equations.</t>
  </si>
  <si>
    <t>Vx</t>
  </si>
  <si>
    <t>Horizontal speed at launch (m/s)</t>
  </si>
  <si>
    <t>Vy</t>
  </si>
  <si>
    <t>Vertical speed at launch (m/s)</t>
  </si>
  <si>
    <t>x</t>
  </si>
  <si>
    <t>Horizontal position (m)</t>
  </si>
  <si>
    <t>y</t>
  </si>
  <si>
    <t>Height (m)</t>
  </si>
  <si>
    <t>g</t>
  </si>
  <si>
    <t>Gravity (m/s²)</t>
  </si>
  <si>
    <t>Air friction (per second), drawn this simulation</t>
  </si>
  <si>
    <t>3   The landing, from VoseODE</t>
  </si>
  <si>
    <t>Where the height first turns negative on the Trajectory sheet, interpolated.</t>
  </si>
  <si>
    <t>Time stamps before landing</t>
  </si>
  <si>
    <t>VoseODE's first time stamp below ground, less one</t>
  </si>
  <si>
    <t>Flight time</t>
  </si>
  <si>
    <t>Linear interpolation between the two time stamps either side of the ground</t>
  </si>
  <si>
    <t>The horizontal position at that moment</t>
  </si>
  <si>
    <t>Maximum height</t>
  </si>
  <si>
    <t>Highest of the time stamps</t>
  </si>
  <si>
    <t>4   The exact solution</t>
  </si>
  <si>
    <t>Linear friction has a closed form; the landing by Newton's method (six steps).</t>
  </si>
  <si>
    <t>Start: landing time without friction</t>
  </si>
  <si>
    <t>(Vy₀ + √(Vy₀² + 2 g y₀)) ÷ g: a good first guess</t>
  </si>
  <si>
    <t>Newton step 1</t>
  </si>
  <si>
    <t>t − y(t) ÷ y'(t): converges in a few steps</t>
  </si>
  <si>
    <t>Newton step 2</t>
  </si>
  <si>
    <t>Newton step 3</t>
  </si>
  <si>
    <t>Newton step 4</t>
  </si>
  <si>
    <t>Newton step 5</t>
  </si>
  <si>
    <t>Newton step 6</t>
  </si>
  <si>
    <t>Range, exact</t>
  </si>
  <si>
    <t>Vx₀ (1 − e^(−k T)) ÷ k</t>
  </si>
  <si>
    <t>Maximum height, exact</t>
  </si>
  <si>
    <t>VoseODE's error in the range</t>
  </si>
  <si>
    <t>From VoseODE's time step: smaller steps shrink it</t>
  </si>
  <si>
    <t>5   Value in this iteration</t>
  </si>
  <si>
    <t>Key outputs, recorded by ModelRisk at every sample (VoseOutput). Their statistics appear on the Results sheet.</t>
  </si>
  <si>
    <t>Output</t>
  </si>
  <si>
    <t>Value</t>
  </si>
  <si>
    <t>Meaning</t>
  </si>
  <si>
    <t>Range, exact solution</t>
  </si>
  <si>
    <t>6   Model checks</t>
  </si>
  <si>
    <t>Should all read OK. A CHECK means an input has been set outside the range the model is built for.</t>
  </si>
  <si>
    <t>The missile lands within the 7 s of time stamps</t>
  </si>
  <si>
    <t>Newton's method has converged</t>
  </si>
  <si>
    <t>VoseODE agrees with the exact range to 1%</t>
  </si>
  <si>
    <t>TRAJECTORY   ·   VoseODE's solution: speeds and position every 0.1 s.</t>
  </si>
  <si>
    <t>◂  Flight</t>
  </si>
  <si>
    <t>Next:  Results  ▸</t>
  </si>
  <si>
    <t>1   Time stamps</t>
  </si>
  <si>
    <t>When VoseODE reports the variables (seconds).</t>
  </si>
  <si>
    <t>t (s)</t>
  </si>
  <si>
    <t>2   VoseODE</t>
  </si>
  <si>
    <t>VoseODE("Missile", equations, 0, step, time stamps, names, starting values): one row per variable, one column per time.</t>
  </si>
  <si>
    <t>3   Height above ground</t>
  </si>
  <si>
    <t>The height while flying, zero once landed: the band on the Results sheet.</t>
  </si>
  <si>
    <t>Height</t>
  </si>
  <si>
    <t>RESULTS   ·   Filled in automatically from the last simulation. Run a simulation after changing any input.</t>
  </si>
  <si>
    <t>◂  Trajectory</t>
  </si>
  <si>
    <t>1   The flight</t>
  </si>
  <si>
    <t>VoseODE in every simulation, with uncertain launch speed and friction.</t>
  </si>
  <si>
    <t>Measure</t>
  </si>
  <si>
    <t>5th pct</t>
  </si>
  <si>
    <t>Median</t>
  </si>
  <si>
    <t>95th pct</t>
  </si>
  <si>
    <t>Chance of a range above the long-flight mark</t>
  </si>
  <si>
    <t>2   Checks on the method</t>
  </si>
  <si>
    <t>VoseODE against the exact solution, and the friction the observations imply.</t>
  </si>
  <si>
    <t>Mean range, VoseODE</t>
  </si>
  <si>
    <t>Mean range, exact solution</t>
  </si>
  <si>
    <t>Fitted friction (Fit sheet)</t>
  </si>
  <si>
    <t>Friction's mean on the Inputs sheet</t>
  </si>
  <si>
    <t>Input (ranked by influence)</t>
  </si>
  <si>
    <t>Lowest mean</t>
  </si>
  <si>
    <t>Highest mean</t>
  </si>
  <si>
    <t>Rank</t>
  </si>
  <si>
    <t>Height over time — 5th / 50th / 95th percentile band</t>
  </si>
  <si>
    <t>What drives the range: mean range with each input low or high</t>
  </si>
  <si>
    <t>3   How to read these results</t>
  </si>
  <si>
    <t>•  The missile flies about 46 m (median), and nine flights in ten land between about 40 and 52.5 m; about one in six goes beyond 50 m. It stays aloft about 4.6 s and climbs to about 31 m.</t>
  </si>
  <si>
    <t>•  Friction drives the range's uncertainty although the range is far more sensitive to speed: a 1% faster launch adds 1.6% to the range, 1% more friction takes away only 0.25%. Friction is simply ten times as uncertain (± 29% against ± 3%).</t>
  </si>
  <si>
    <t>•  VoseODE solves the four equations in every simulation; the landing is where the height crosses zero, interpolated between two time stamps, with no Solver and no macros. The exact solution agrees to about 0.1 m: the difference is VoseODE's time step.</t>
  </si>
  <si>
    <t>•  The four observed positions imply a friction of about 0.098 per second (Fit sheet), close to the 0.1 assumed for the launch: the fit is a search over friction values, not Solver.</t>
  </si>
  <si>
    <t>Chart data</t>
  </si>
  <si>
    <t>Statistics of the last simulation behind the charts and the ranking above. Grouped: click + in the left margin to show them.</t>
  </si>
  <si>
    <t>Cumulative probability</t>
  </si>
  <si>
    <t>Exceedance</t>
  </si>
  <si>
    <t>FlightRange</t>
  </si>
  <si>
    <t>RangeExact</t>
  </si>
  <si>
    <t>line at RangeMark</t>
  </si>
  <si>
    <t>Overall mean of FlightRange</t>
  </si>
  <si>
    <t>Ranked input (chart)</t>
  </si>
  <si>
    <t>Highest − mean</t>
  </si>
  <si>
    <t>Lowest − mean</t>
  </si>
  <si>
    <t>Period</t>
  </si>
  <si>
    <t>5th percentile</t>
  </si>
  <si>
    <t>95th percentile</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</si>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</sst>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0_);\(#,##0.00\);&quot;–&quot;_)"/>
    <numFmt numFmtId="165" formatCode="0.000"/>
    <numFmt numFmtId="166" formatCode="#,##0_);\(#,##0\);&quot;–&quot;_)"/>
    <numFmt numFmtId="167" formatCode="#,##0.0_);\(#,##0.0\);&quot;–&quot;_)"/>
    <numFmt numFmtId="168" formatCode="0.0000"/>
    <numFmt numFmtId="169" formatCode="0.000000"/>
    <numFmt numFmtId="170" formatCode="0.0"/>
    <numFmt numFmtId="171" formatCode="#,##0.0_);\(#,##0.0\);&quot;–&quot;_);&quot;–&quot;"/>
    <numFmt numFmtId="172" formatCode="0.00;\-0.00;0.00;&quot;–&quot;"/>
    <numFmt numFmtId="173" formatCode="0.0%;\-0.0%;0.0%;&quot;–&quot;"/>
    <numFmt numFmtId="174" formatCode="#,##0.00_);\(#,##0.00\);&quot;–&quot;_);&quot;–&quot;"/>
    <numFmt numFmtId="175"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b/>
      <sz val="10"/>
      <color rgb="FF15803D"/>
      <name val="Calibri"/>
    </font>
    <font>
      <b/>
      <sz val="9"/>
      <color rgb="FF0F2A47"/>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0" fontId="19" fillId="0" borderId="6" xfId="0" applyFont="1" applyBorder="1" applyAlignment="1">
      <alignment horizontal="center" vertical="center"/>
    </xf>
    <xf numFmtId="0" fontId="0" fillId="0" borderId="6" xfId="0" applyBorder="1"/>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6" fontId="1" fillId="2" borderId="7" xfId="1" applyNumberFormat="1" applyBorder="1">
      <alignment horizontal="right" vertical="center"/>
    </xf>
    <xf numFmtId="167" fontId="1" fillId="2" borderId="7" xfId="1" applyNumberFormat="1" applyBorder="1">
      <alignment horizontal="right" vertical="center"/>
    </xf>
    <xf numFmtId="0" fontId="18" fillId="0" borderId="0" xfId="0" applyFont="1" applyAlignment="1">
      <alignment horizontal="left" vertical="center" indent="1"/>
    </xf>
    <xf numFmtId="168" fontId="3" fillId="0" borderId="2" xfId="3" applyNumberFormat="1">
      <alignment horizontal="right" vertical="center"/>
    </xf>
    <xf numFmtId="0" fontId="12" fillId="0" borderId="6" xfId="0" applyFont="1" applyBorder="1" applyAlignment="1">
      <alignment horizontal="left" vertical="center" indent="1"/>
    </xf>
    <xf numFmtId="168" fontId="12" fillId="0" borderId="2" xfId="3" applyNumberFormat="1" applyFont="1">
      <alignment horizontal="right" vertical="center"/>
    </xf>
    <xf numFmtId="167" fontId="3" fillId="0" borderId="2" xfId="3" applyNumberFormat="1">
      <alignment horizontal="right" vertical="center"/>
    </xf>
    <xf numFmtId="165" fontId="3" fillId="0" borderId="2" xfId="3" applyNumberFormat="1" applyAlignment="1">
      <alignment horizontal="left" vertical="center" indent="1"/>
    </xf>
    <xf numFmtId="168" fontId="3" fillId="0" borderId="8" xfId="3" applyNumberFormat="1" applyBorder="1">
      <alignment horizontal="right" vertical="center"/>
    </xf>
    <xf numFmtId="1" fontId="3" fillId="0" borderId="8" xfId="3" applyNumberFormat="1" applyBorder="1">
      <alignment horizontal="right" vertical="center"/>
    </xf>
    <xf numFmtId="165" fontId="3" fillId="0" borderId="2" xfId="3" applyNumberFormat="1">
      <alignment horizontal="right" vertical="center"/>
    </xf>
    <xf numFmtId="165" fontId="3" fillId="0" borderId="8" xfId="3" applyNumberFormat="1" applyBorder="1">
      <alignment horizontal="right" vertical="center"/>
    </xf>
    <xf numFmtId="169"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164" fontId="4" fillId="4" borderId="9" xfId="4" applyNumberFormat="1" applyBorder="1">
      <alignment horizontal="right" vertical="center"/>
    </xf>
    <xf numFmtId="165" fontId="4" fillId="4" borderId="9" xfId="4" applyNumberFormat="1" applyBorder="1">
      <alignment horizontal="right" vertical="center"/>
    </xf>
    <xf numFmtId="0" fontId="20" fillId="0" borderId="6" xfId="0" applyFont="1" applyBorder="1" applyAlignment="1">
      <alignment horizontal="center" vertical="center"/>
    </xf>
    <xf numFmtId="0" fontId="12" fillId="0" borderId="0" xfId="0" applyFont="1" applyAlignment="1">
      <alignment horizontal="left" vertical="center" indent="1"/>
    </xf>
    <xf numFmtId="170" fontId="3" fillId="0" borderId="2" xfId="3" applyNumberFormat="1">
      <alignment horizontal="right" vertical="center"/>
    </xf>
    <xf numFmtId="0" fontId="21" fillId="0" borderId="8" xfId="3" applyFont="1" applyBorder="1">
      <alignment horizontal="right" vertical="center"/>
    </xf>
    <xf numFmtId="170" fontId="3" fillId="0" borderId="8" xfId="3" applyNumberFormat="1" applyBorder="1">
      <alignment horizontal="right" vertical="center"/>
    </xf>
    <xf numFmtId="170" fontId="2" fillId="3" borderId="7" xfId="2" applyNumberFormat="1" applyBorder="1">
      <alignment horizontal="right" vertical="center"/>
    </xf>
    <xf numFmtId="0" fontId="15" fillId="5" borderId="10" xfId="0" applyFont="1" applyFill="1" applyBorder="1" applyAlignment="1">
      <alignment horizontal="left" vertical="center" indent="1"/>
    </xf>
    <xf numFmtId="0" fontId="0" fillId="5" borderId="10" xfId="0" applyFill="1" applyBorder="1"/>
    <xf numFmtId="0" fontId="23" fillId="0" borderId="5" xfId="0" applyFont="1" applyBorder="1"/>
    <xf numFmtId="171" fontId="1" fillId="5" borderId="7" xfId="5" applyNumberFormat="1" applyBorder="1">
      <alignment horizontal="right" vertical="center"/>
    </xf>
    <xf numFmtId="172" fontId="1" fillId="5" borderId="7" xfId="5" applyNumberFormat="1" applyBorder="1">
      <alignment horizontal="right" vertical="center"/>
    </xf>
    <xf numFmtId="173" fontId="1" fillId="5" borderId="7" xfId="5" applyNumberFormat="1" applyBorder="1">
      <alignment horizontal="right" vertical="center"/>
    </xf>
    <xf numFmtId="174" fontId="1" fillId="5" borderId="7" xfId="5" applyNumberFormat="1" applyBorder="1">
      <alignment horizontal="right" vertical="center"/>
    </xf>
    <xf numFmtId="0" fontId="22" fillId="0" borderId="6" xfId="0" applyFont="1" applyBorder="1" applyAlignment="1">
      <alignment horizontal="left" vertical="center" indent="1"/>
    </xf>
    <xf numFmtId="0" fontId="17" fillId="7" borderId="4" xfId="0" applyFont="1" applyFill="1" applyBorder="1" applyAlignment="1">
      <alignment horizontal="center" vertical="center" wrapText="1"/>
    </xf>
    <xf numFmtId="175"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1" fontId="1" fillId="5" borderId="1" xfId="5" applyNumberFormat="1">
      <alignment horizontal="right" vertical="center"/>
    </xf>
    <xf numFmtId="0" fontId="22"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Squared error</c:v>
          </c:tx>
          <c:spPr>
            <a:ln w="22000">
              <a:solidFill>
                <a:srgbClr val="0E4F92"/>
              </a:solidFill>
              <a:prstDash val="solid"/>
            </a:ln>
          </c:spPr>
          <c:marker>
            <c:symbol val="none"/>
          </c:marker>
          <c:xVal>
            <c:numRef>
              <c:f>Fit!$B$22:$B$72</c:f>
              <c:numCache>
                <c:formatCode>0.000</c:formatCode>
                <c:ptCount val="51"/>
                <c:pt idx="0">
                  <c:v>0.05</c:v>
                </c:pt>
                <c:pt idx="1">
                  <c:v>5.1999999999999998E-2</c:v>
                </c:pt>
                <c:pt idx="2">
                  <c:v>5.3999999999999999E-2</c:v>
                </c:pt>
                <c:pt idx="3">
                  <c:v>5.6000000000000001E-2</c:v>
                </c:pt>
                <c:pt idx="4">
                  <c:v>5.8000000000000003E-2</c:v>
                </c:pt>
                <c:pt idx="5">
                  <c:v>0.06</c:v>
                </c:pt>
                <c:pt idx="6">
                  <c:v>6.2E-2</c:v>
                </c:pt>
                <c:pt idx="7">
                  <c:v>6.4000000000000001E-2</c:v>
                </c:pt>
                <c:pt idx="8">
                  <c:v>6.6000000000000003E-2</c:v>
                </c:pt>
                <c:pt idx="9">
                  <c:v>6.8000000000000005E-2</c:v>
                </c:pt>
                <c:pt idx="10">
                  <c:v>7.0000000000000007E-2</c:v>
                </c:pt>
                <c:pt idx="11">
                  <c:v>7.1999999999999995E-2</c:v>
                </c:pt>
                <c:pt idx="12">
                  <c:v>7.3999999999999996E-2</c:v>
                </c:pt>
                <c:pt idx="13">
                  <c:v>7.5999999999999998E-2</c:v>
                </c:pt>
                <c:pt idx="14">
                  <c:v>7.8E-2</c:v>
                </c:pt>
                <c:pt idx="15">
                  <c:v>0.08</c:v>
                </c:pt>
                <c:pt idx="16">
                  <c:v>8.2000000000000003E-2</c:v>
                </c:pt>
                <c:pt idx="17">
                  <c:v>8.4000000000000005E-2</c:v>
                </c:pt>
                <c:pt idx="18">
                  <c:v>8.5999999999999993E-2</c:v>
                </c:pt>
                <c:pt idx="19">
                  <c:v>8.7999999999999995E-2</c:v>
                </c:pt>
                <c:pt idx="20">
                  <c:v>0.09</c:v>
                </c:pt>
                <c:pt idx="21">
                  <c:v>9.1999999999999998E-2</c:v>
                </c:pt>
                <c:pt idx="22">
                  <c:v>9.4E-2</c:v>
                </c:pt>
                <c:pt idx="23">
                  <c:v>9.6000000000000002E-2</c:v>
                </c:pt>
                <c:pt idx="24">
                  <c:v>9.8000000000000004E-2</c:v>
                </c:pt>
                <c:pt idx="25">
                  <c:v>0.1</c:v>
                </c:pt>
                <c:pt idx="26">
                  <c:v>0.10199999999999999</c:v>
                </c:pt>
                <c:pt idx="27">
                  <c:v>0.104</c:v>
                </c:pt>
                <c:pt idx="28">
                  <c:v>0.106</c:v>
                </c:pt>
                <c:pt idx="29">
                  <c:v>0.108</c:v>
                </c:pt>
                <c:pt idx="30">
                  <c:v>0.11</c:v>
                </c:pt>
                <c:pt idx="31">
                  <c:v>0.112</c:v>
                </c:pt>
                <c:pt idx="32">
                  <c:v>0.114</c:v>
                </c:pt>
                <c:pt idx="33">
                  <c:v>0.11600000000000001</c:v>
                </c:pt>
                <c:pt idx="34">
                  <c:v>0.11799999999999999</c:v>
                </c:pt>
                <c:pt idx="35">
                  <c:v>0.12</c:v>
                </c:pt>
                <c:pt idx="36">
                  <c:v>0.122</c:v>
                </c:pt>
                <c:pt idx="37">
                  <c:v>0.124</c:v>
                </c:pt>
                <c:pt idx="38">
                  <c:v>0.126</c:v>
                </c:pt>
                <c:pt idx="39">
                  <c:v>0.128</c:v>
                </c:pt>
                <c:pt idx="40">
                  <c:v>0.13</c:v>
                </c:pt>
                <c:pt idx="41">
                  <c:v>0.13200000000000001</c:v>
                </c:pt>
                <c:pt idx="42">
                  <c:v>0.13400000000000001</c:v>
                </c:pt>
                <c:pt idx="43">
                  <c:v>0.13600000000000001</c:v>
                </c:pt>
                <c:pt idx="44">
                  <c:v>0.13800000000000001</c:v>
                </c:pt>
                <c:pt idx="45">
                  <c:v>0.14000000000000001</c:v>
                </c:pt>
                <c:pt idx="46">
                  <c:v>0.14199999999999999</c:v>
                </c:pt>
                <c:pt idx="47">
                  <c:v>0.14399999999999999</c:v>
                </c:pt>
                <c:pt idx="48">
                  <c:v>0.14599999999999999</c:v>
                </c:pt>
                <c:pt idx="49">
                  <c:v>0.14799999999999999</c:v>
                </c:pt>
                <c:pt idx="50">
                  <c:v>0.15</c:v>
                </c:pt>
              </c:numCache>
            </c:numRef>
          </c:xVal>
          <c:yVal>
            <c:numRef>
              <c:f>Fit!$C$22:$C$72</c:f>
              <c:numCache>
                <c:formatCode>0.0000</c:formatCode>
                <c:ptCount val="51"/>
                <c:pt idx="0">
                  <c:v>35.611194252327749</c:v>
                </c:pt>
                <c:pt idx="1">
                  <c:v>32.56023627563696</c:v>
                </c:pt>
                <c:pt idx="2">
                  <c:v>29.660770431468691</c:v>
                </c:pt>
                <c:pt idx="3">
                  <c:v>26.910602895625434</c:v>
                </c:pt>
                <c:pt idx="4">
                  <c:v>24.307568145768098</c:v>
                </c:pt>
                <c:pt idx="5">
                  <c:v>21.84952860180012</c:v>
                </c:pt>
                <c:pt idx="6">
                  <c:v>19.534374270868504</c:v>
                </c:pt>
                <c:pt idx="7">
                  <c:v>17.360022396907002</c:v>
                </c:pt>
                <c:pt idx="8">
                  <c:v>15.324417114683381</c:v>
                </c:pt>
                <c:pt idx="9">
                  <c:v>13.42552910825896</c:v>
                </c:pt>
                <c:pt idx="10">
                  <c:v>11.661355273841084</c:v>
                </c:pt>
                <c:pt idx="11">
                  <c:v>10.029918386936291</c:v>
                </c:pt>
                <c:pt idx="12">
                  <c:v>8.5292667737735623</c:v>
                </c:pt>
                <c:pt idx="13">
                  <c:v>7.1574739869371973</c:v>
                </c:pt>
                <c:pt idx="14">
                  <c:v>5.9126384851364184</c:v>
                </c:pt>
                <c:pt idx="15">
                  <c:v>4.7928833170863898</c:v>
                </c:pt>
                <c:pt idx="16">
                  <c:v>3.7963558094258008</c:v>
                </c:pt>
                <c:pt idx="17">
                  <c:v>2.9212272586260895</c:v>
                </c:pt>
                <c:pt idx="18">
                  <c:v>2.1656926268414827</c:v>
                </c:pt>
                <c:pt idx="19">
                  <c:v>1.5279702416493077</c:v>
                </c:pt>
                <c:pt idx="20">
                  <c:v>1.0063014996245372</c:v>
                </c:pt>
                <c:pt idx="21">
                  <c:v>0.59895057370503713</c:v>
                </c:pt>
                <c:pt idx="22">
                  <c:v>0.30420412429475729</c:v>
                </c:pt>
                <c:pt idx="23">
                  <c:v>0.12037101405848118</c:v>
                </c:pt>
                <c:pt idx="24">
                  <c:v>4.5782026358290352E-2</c:v>
                </c:pt>
                <c:pt idx="25">
                  <c:v>7.8789587286307652E-2</c:v>
                </c:pt>
                <c:pt idx="26">
                  <c:v>0.21776749124594574</c:v>
                </c:pt>
                <c:pt idx="27">
                  <c:v>0.46111063003652719</c:v>
                </c:pt>
                <c:pt idx="28">
                  <c:v>0.80723472539493379</c:v>
                </c:pt>
                <c:pt idx="29">
                  <c:v>1.254576064950488</c:v>
                </c:pt>
                <c:pt idx="30">
                  <c:v>1.801591241548969</c:v>
                </c:pt>
                <c:pt idx="31">
                  <c:v>2.4467568958995165</c:v>
                </c:pt>
                <c:pt idx="32">
                  <c:v>3.1885694625071404</c:v>
                </c:pt>
                <c:pt idx="33">
                  <c:v>4.0255449188408949</c:v>
                </c:pt>
                <c:pt idx="34">
                  <c:v>4.956218537702628</c:v>
                </c:pt>
                <c:pt idx="35">
                  <c:v>5.9791446427505068</c:v>
                </c:pt>
                <c:pt idx="36">
                  <c:v>7.0928963671377625</c:v>
                </c:pt>
                <c:pt idx="37">
                  <c:v>8.2960654152276998</c:v>
                </c:pt>
                <c:pt idx="38">
                  <c:v>9.5872618273445021</c:v>
                </c:pt>
                <c:pt idx="39">
                  <c:v>10.965113747517632</c:v>
                </c:pt>
                <c:pt idx="40">
                  <c:v>12.42826719418704</c:v>
                </c:pt>
                <c:pt idx="41">
                  <c:v>13.975385833824163</c:v>
                </c:pt>
                <c:pt idx="42">
                  <c:v>15.605150757439661</c:v>
                </c:pt>
                <c:pt idx="43">
                  <c:v>17.316260259929436</c:v>
                </c:pt>
                <c:pt idx="44">
                  <c:v>19.107429622230654</c:v>
                </c:pt>
                <c:pt idx="45">
                  <c:v>20.977390896254988</c:v>
                </c:pt>
                <c:pt idx="46">
                  <c:v>22.924892692544628</c:v>
                </c:pt>
                <c:pt idx="47">
                  <c:v>24.948699970643929</c:v>
                </c:pt>
                <c:pt idx="48">
                  <c:v>27.047593832123376</c:v>
                </c:pt>
                <c:pt idx="49">
                  <c:v>29.220371316243899</c:v>
                </c:pt>
                <c:pt idx="50">
                  <c:v>31.465845198212513</c:v>
                </c:pt>
              </c:numCache>
            </c:numRef>
          </c:yVal>
          <c:smooth val="1"/>
          <c:extLst>
            <c:ext xmlns:c16="http://schemas.microsoft.com/office/drawing/2014/chart" uri="{C3380CC4-5D6E-409C-BE32-E72D297353CC}">
              <c16:uniqueId val="{00000000-A5B3-4997-B052-37737765B44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Friction (per second)</a:t>
                </a:r>
              </a:p>
            </c:rich>
          </c:tx>
          <c:overlay val="0"/>
        </c:title>
        <c:numFmt formatCode="0.00" sourceLinked="0"/>
        <c:majorTickMark val="none"/>
        <c:minorTickMark val="none"/>
        <c:tickLblPos val="nextTo"/>
        <c:crossAx val="20"/>
        <c:crosses val="autoZero"/>
        <c:crossBetween val="midCat"/>
      </c:valAx>
      <c:valAx>
        <c:axId val="20"/>
        <c:scaling>
          <c:orientation val="minMax"/>
        </c:scaling>
        <c:delete val="0"/>
        <c:axPos val="l"/>
        <c:majorGridlines>
          <c:spPr>
            <a:ln>
              <a:solidFill>
                <a:srgbClr val="E4E9F0"/>
              </a:solidFill>
              <a:prstDash val="solid"/>
            </a:ln>
          </c:spPr>
        </c:majorGridlines>
        <c:title>
          <c:tx>
            <c:rich>
              <a:bodyPr/>
              <a:lstStyle/>
              <a:p>
                <a:pPr>
                  <a:defRPr/>
                </a:pPr>
                <a:r>
                  <a:rPr lang="en-US"/>
                  <a:t>Squared error (m²)</a:t>
                </a:r>
              </a:p>
            </c:rich>
          </c:tx>
          <c:overlay val="0"/>
        </c:title>
        <c:numFmt formatCode="0" sourceLinked="0"/>
        <c:majorTickMark val="none"/>
        <c:minorTickMark val="none"/>
        <c:tickLblPos val="nextTo"/>
        <c:crossAx val="10"/>
        <c:crosses val="min"/>
        <c:crossBetween val="midCat"/>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VoseODE</c:v>
          </c:tx>
          <c:spPr>
            <a:ln w="25400">
              <a:solidFill>
                <a:srgbClr val="0E4F92"/>
              </a:solidFill>
              <a:prstDash val="solid"/>
            </a:ln>
          </c:spPr>
          <c:marker>
            <c:symbol val="none"/>
          </c:marker>
          <c:xVal>
            <c:numRef>
              <c:f>Results!$D$65:$D$114</c:f>
              <c:numCache>
                <c:formatCode>#,##0.00</c:formatCode>
                <c:ptCount val="50"/>
                <c:pt idx="0">
                  <c:v>37.147525722149737</c:v>
                </c:pt>
                <c:pt idx="1">
                  <c:v>39.241362710553275</c:v>
                </c:pt>
                <c:pt idx="2">
                  <c:v>40.117965255519302</c:v>
                </c:pt>
                <c:pt idx="3">
                  <c:v>40.706656243967942</c:v>
                </c:pt>
                <c:pt idx="4">
                  <c:v>41.271510289965917</c:v>
                </c:pt>
                <c:pt idx="5">
                  <c:v>41.710760291856964</c:v>
                </c:pt>
                <c:pt idx="6">
                  <c:v>42.103471222925251</c:v>
                </c:pt>
                <c:pt idx="7">
                  <c:v>42.468089716854429</c:v>
                </c:pt>
                <c:pt idx="8">
                  <c:v>42.795831008549676</c:v>
                </c:pt>
                <c:pt idx="9">
                  <c:v>43.128883251273592</c:v>
                </c:pt>
                <c:pt idx="10">
                  <c:v>43.418326033850093</c:v>
                </c:pt>
                <c:pt idx="11">
                  <c:v>43.695392551714889</c:v>
                </c:pt>
                <c:pt idx="12">
                  <c:v>43.946564592249949</c:v>
                </c:pt>
                <c:pt idx="13">
                  <c:v>44.203230855715546</c:v>
                </c:pt>
                <c:pt idx="14">
                  <c:v>44.414715515315102</c:v>
                </c:pt>
                <c:pt idx="15">
                  <c:v>44.632571239479113</c:v>
                </c:pt>
                <c:pt idx="16">
                  <c:v>44.828633286207456</c:v>
                </c:pt>
                <c:pt idx="17">
                  <c:v>45.063190795279475</c:v>
                </c:pt>
                <c:pt idx="18">
                  <c:v>45.271160806381303</c:v>
                </c:pt>
                <c:pt idx="19">
                  <c:v>45.476917011573335</c:v>
                </c:pt>
                <c:pt idx="20">
                  <c:v>45.683121157317423</c:v>
                </c:pt>
                <c:pt idx="21">
                  <c:v>45.886183534710959</c:v>
                </c:pt>
                <c:pt idx="22">
                  <c:v>46.088853505982975</c:v>
                </c:pt>
                <c:pt idx="23">
                  <c:v>46.268203519624436</c:v>
                </c:pt>
                <c:pt idx="24">
                  <c:v>46.442199181239204</c:v>
                </c:pt>
                <c:pt idx="25">
                  <c:v>46.640289170408906</c:v>
                </c:pt>
                <c:pt idx="26">
                  <c:v>46.826711736702499</c:v>
                </c:pt>
                <c:pt idx="27">
                  <c:v>46.999372190063269</c:v>
                </c:pt>
                <c:pt idx="28">
                  <c:v>47.201565573925969</c:v>
                </c:pt>
                <c:pt idx="29">
                  <c:v>47.387578219695932</c:v>
                </c:pt>
                <c:pt idx="30">
                  <c:v>47.597937290659075</c:v>
                </c:pt>
                <c:pt idx="31">
                  <c:v>47.80510211074747</c:v>
                </c:pt>
                <c:pt idx="32">
                  <c:v>47.987077892961587</c:v>
                </c:pt>
                <c:pt idx="33">
                  <c:v>48.173176740888195</c:v>
                </c:pt>
                <c:pt idx="34">
                  <c:v>48.394151828339609</c:v>
                </c:pt>
                <c:pt idx="35">
                  <c:v>48.644486961293218</c:v>
                </c:pt>
                <c:pt idx="36">
                  <c:v>48.83424290865193</c:v>
                </c:pt>
                <c:pt idx="37">
                  <c:v>49.066600493852953</c:v>
                </c:pt>
                <c:pt idx="38">
                  <c:v>49.305636785877134</c:v>
                </c:pt>
                <c:pt idx="39">
                  <c:v>49.583797791736579</c:v>
                </c:pt>
                <c:pt idx="40">
                  <c:v>49.828095901978976</c:v>
                </c:pt>
                <c:pt idx="41">
                  <c:v>50.107754462721481</c:v>
                </c:pt>
                <c:pt idx="42">
                  <c:v>50.376918017552619</c:v>
                </c:pt>
                <c:pt idx="43">
                  <c:v>50.698817494782737</c:v>
                </c:pt>
                <c:pt idx="44">
                  <c:v>51.04540087124375</c:v>
                </c:pt>
                <c:pt idx="45">
                  <c:v>51.450610539748133</c:v>
                </c:pt>
                <c:pt idx="46">
                  <c:v>51.965882290675872</c:v>
                </c:pt>
                <c:pt idx="47">
                  <c:v>52.609976650589303</c:v>
                </c:pt>
                <c:pt idx="48">
                  <c:v>53.480738740435854</c:v>
                </c:pt>
                <c:pt idx="49">
                  <c:v>55.068240531911215</c:v>
                </c:pt>
              </c:numCache>
            </c:numRef>
          </c:xVal>
          <c:yVal>
            <c:numRef>
              <c:f>Results!$B$65:$B$114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196-4C8A-9D0D-7CFEC27AE08A}"/>
            </c:ext>
          </c:extLst>
        </c:ser>
        <c:ser>
          <c:idx val="1"/>
          <c:order val="1"/>
          <c:tx>
            <c:v>Exact solution</c:v>
          </c:tx>
          <c:spPr>
            <a:ln w="25400">
              <a:solidFill>
                <a:srgbClr val="B45309"/>
              </a:solidFill>
              <a:prstDash val="dash"/>
            </a:ln>
          </c:spPr>
          <c:marker>
            <c:symbol val="none"/>
          </c:marker>
          <c:xVal>
            <c:numRef>
              <c:f>Results!$E$65:$E$114</c:f>
              <c:numCache>
                <c:formatCode>#,##0.00</c:formatCode>
                <c:ptCount val="50"/>
                <c:pt idx="0">
                  <c:v>37.058872935269996</c:v>
                </c:pt>
                <c:pt idx="1">
                  <c:v>39.151204273662877</c:v>
                </c:pt>
                <c:pt idx="2">
                  <c:v>40.028805187742044</c:v>
                </c:pt>
                <c:pt idx="3">
                  <c:v>40.618389145222309</c:v>
                </c:pt>
                <c:pt idx="4">
                  <c:v>41.180398303094428</c:v>
                </c:pt>
                <c:pt idx="5">
                  <c:v>41.620519105412441</c:v>
                </c:pt>
                <c:pt idx="6">
                  <c:v>42.012878329001694</c:v>
                </c:pt>
                <c:pt idx="7">
                  <c:v>42.375540683797873</c:v>
                </c:pt>
                <c:pt idx="8">
                  <c:v>42.703322599716472</c:v>
                </c:pt>
                <c:pt idx="9">
                  <c:v>43.03537288519491</c:v>
                </c:pt>
                <c:pt idx="10">
                  <c:v>43.324547158091406</c:v>
                </c:pt>
                <c:pt idx="11">
                  <c:v>43.59934615235715</c:v>
                </c:pt>
                <c:pt idx="12">
                  <c:v>43.851458131731398</c:v>
                </c:pt>
                <c:pt idx="13">
                  <c:v>44.108386376146889</c:v>
                </c:pt>
                <c:pt idx="14">
                  <c:v>44.319307124439234</c:v>
                </c:pt>
                <c:pt idx="15">
                  <c:v>44.537602549181479</c:v>
                </c:pt>
                <c:pt idx="16">
                  <c:v>44.732637763973152</c:v>
                </c:pt>
                <c:pt idx="17">
                  <c:v>44.967370043405062</c:v>
                </c:pt>
                <c:pt idx="18">
                  <c:v>45.175216768321491</c:v>
                </c:pt>
                <c:pt idx="19">
                  <c:v>45.380886150830221</c:v>
                </c:pt>
                <c:pt idx="20">
                  <c:v>45.585250437937788</c:v>
                </c:pt>
                <c:pt idx="21">
                  <c:v>45.78797690083735</c:v>
                </c:pt>
                <c:pt idx="22">
                  <c:v>45.991987690025645</c:v>
                </c:pt>
                <c:pt idx="23">
                  <c:v>46.171435325868323</c:v>
                </c:pt>
                <c:pt idx="24">
                  <c:v>46.34567909753077</c:v>
                </c:pt>
                <c:pt idx="25">
                  <c:v>46.543227594943872</c:v>
                </c:pt>
                <c:pt idx="26">
                  <c:v>46.727122490957733</c:v>
                </c:pt>
                <c:pt idx="27">
                  <c:v>46.901680620320697</c:v>
                </c:pt>
                <c:pt idx="28">
                  <c:v>47.100984417825281</c:v>
                </c:pt>
                <c:pt idx="29">
                  <c:v>47.288461112706962</c:v>
                </c:pt>
                <c:pt idx="30">
                  <c:v>47.49984455451964</c:v>
                </c:pt>
                <c:pt idx="31">
                  <c:v>47.706811896529558</c:v>
                </c:pt>
                <c:pt idx="32">
                  <c:v>47.888154800826499</c:v>
                </c:pt>
                <c:pt idx="33">
                  <c:v>48.075211742475453</c:v>
                </c:pt>
                <c:pt idx="34">
                  <c:v>48.294583316782621</c:v>
                </c:pt>
                <c:pt idx="35">
                  <c:v>48.544524321520036</c:v>
                </c:pt>
                <c:pt idx="36">
                  <c:v>48.73572678951642</c:v>
                </c:pt>
                <c:pt idx="37">
                  <c:v>48.965809736548813</c:v>
                </c:pt>
                <c:pt idx="38">
                  <c:v>49.205837639170802</c:v>
                </c:pt>
                <c:pt idx="39">
                  <c:v>49.483532732957151</c:v>
                </c:pt>
                <c:pt idx="40">
                  <c:v>49.726405299951267</c:v>
                </c:pt>
                <c:pt idx="41">
                  <c:v>50.006614654589171</c:v>
                </c:pt>
                <c:pt idx="42">
                  <c:v>50.276144986618164</c:v>
                </c:pt>
                <c:pt idx="43">
                  <c:v>50.596211443022952</c:v>
                </c:pt>
                <c:pt idx="44">
                  <c:v>50.94420080844305</c:v>
                </c:pt>
                <c:pt idx="45">
                  <c:v>51.347805441875906</c:v>
                </c:pt>
                <c:pt idx="46">
                  <c:v>51.863092603979595</c:v>
                </c:pt>
                <c:pt idx="47">
                  <c:v>52.505167383092818</c:v>
                </c:pt>
                <c:pt idx="48">
                  <c:v>53.374068595079514</c:v>
                </c:pt>
                <c:pt idx="49">
                  <c:v>54.961845495650408</c:v>
                </c:pt>
              </c:numCache>
            </c:numRef>
          </c:xVal>
          <c:yVal>
            <c:numRef>
              <c:f>Results!$B$65:$B$114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196-4C8A-9D0D-7CFEC27AE08A}"/>
            </c:ext>
          </c:extLst>
        </c:ser>
        <c:ser>
          <c:idx val="2"/>
          <c:order val="2"/>
          <c:tx>
            <c:v>Long-flight mark</c:v>
          </c:tx>
          <c:spPr>
            <a:ln w="19050">
              <a:solidFill>
                <a:srgbClr val="B91C1C"/>
              </a:solidFill>
              <a:prstDash val="sysDash"/>
            </a:ln>
          </c:spPr>
          <c:marker>
            <c:symbol val="none"/>
          </c:marker>
          <c:xVal>
            <c:numRef>
              <c:f>Results!$F$65:$F$114</c:f>
              <c:numCache>
                <c:formatCode>#,##0.00</c:formatCode>
                <c:ptCount val="5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numCache>
            </c:numRef>
          </c:xVal>
          <c:yVal>
            <c:numRef>
              <c:f>Results!$B$65:$B$114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4196-4C8A-9D0D-7CFEC27AE08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Range (m)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95th percentile</c:v>
          </c:tx>
          <c:spPr>
            <a:ln w="15875">
              <a:solidFill>
                <a:srgbClr val="0E4F92"/>
              </a:solidFill>
              <a:prstDash val="dash"/>
            </a:ln>
          </c:spPr>
          <c:marker>
            <c:symbol val="none"/>
          </c:marker>
          <c:cat>
            <c:strRef>
              <c:f>Results!$B$122:$B$176</c:f>
              <c:strCache>
                <c:ptCount val="55"/>
                <c:pt idx="0">
                  <c:v>0.1</c:v>
                </c:pt>
                <c:pt idx="1">
                  <c:v>0.2</c:v>
                </c:pt>
                <c:pt idx="2">
                  <c:v>0.3</c:v>
                </c:pt>
                <c:pt idx="3">
                  <c:v>0.4</c:v>
                </c:pt>
                <c:pt idx="4">
                  <c:v>0.5</c:v>
                </c:pt>
                <c:pt idx="5">
                  <c:v>0.6</c:v>
                </c:pt>
                <c:pt idx="6">
                  <c:v>0.7</c:v>
                </c:pt>
                <c:pt idx="7">
                  <c:v>0.8</c:v>
                </c:pt>
                <c:pt idx="8">
                  <c:v>0.9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strCache>
            </c:strRef>
          </c:cat>
          <c:val>
            <c:numRef>
              <c:f>Results!$E$122:$E$176</c:f>
              <c:numCache>
                <c:formatCode>#,##0.00</c:formatCode>
                <c:ptCount val="55"/>
                <c:pt idx="0">
                  <c:v>12.212804541139569</c:v>
                </c:pt>
                <c:pt idx="1">
                  <c:v>14.306613877535174</c:v>
                </c:pt>
                <c:pt idx="2">
                  <c:v>16.283264672321931</c:v>
                </c:pt>
                <c:pt idx="3">
                  <c:v>18.143426366552777</c:v>
                </c:pt>
                <c:pt idx="4">
                  <c:v>19.890362106990814</c:v>
                </c:pt>
                <c:pt idx="5">
                  <c:v>21.521240275309601</c:v>
                </c:pt>
                <c:pt idx="6">
                  <c:v>23.043061968705093</c:v>
                </c:pt>
                <c:pt idx="7">
                  <c:v>24.450947779148738</c:v>
                </c:pt>
                <c:pt idx="8">
                  <c:v>25.753279347860417</c:v>
                </c:pt>
                <c:pt idx="9">
                  <c:v>26.945507513519452</c:v>
                </c:pt>
                <c:pt idx="10">
                  <c:v>28.040431169805554</c:v>
                </c:pt>
                <c:pt idx="11">
                  <c:v>29.022831439790306</c:v>
                </c:pt>
                <c:pt idx="12">
                  <c:v>29.899142757562878</c:v>
                </c:pt>
                <c:pt idx="13">
                  <c:v>30.666930603150586</c:v>
                </c:pt>
                <c:pt idx="14">
                  <c:v>31.33349752689881</c:v>
                </c:pt>
                <c:pt idx="15">
                  <c:v>31.907543772329941</c:v>
                </c:pt>
                <c:pt idx="16">
                  <c:v>32.368015350177458</c:v>
                </c:pt>
                <c:pt idx="17">
                  <c:v>32.732214817376132</c:v>
                </c:pt>
                <c:pt idx="18">
                  <c:v>32.997313464260579</c:v>
                </c:pt>
                <c:pt idx="19">
                  <c:v>33.156801855575509</c:v>
                </c:pt>
                <c:pt idx="20">
                  <c:v>33.230036002277863</c:v>
                </c:pt>
                <c:pt idx="21">
                  <c:v>33.202588538455956</c:v>
                </c:pt>
                <c:pt idx="22">
                  <c:v>33.071417837986971</c:v>
                </c:pt>
                <c:pt idx="23">
                  <c:v>32.849965958687413</c:v>
                </c:pt>
                <c:pt idx="24">
                  <c:v>32.528763433083476</c:v>
                </c:pt>
                <c:pt idx="25">
                  <c:v>32.111930975752578</c:v>
                </c:pt>
                <c:pt idx="26">
                  <c:v>31.601657445426721</c:v>
                </c:pt>
                <c:pt idx="27">
                  <c:v>30.996880659975908</c:v>
                </c:pt>
                <c:pt idx="28">
                  <c:v>30.300621482751392</c:v>
                </c:pt>
                <c:pt idx="29">
                  <c:v>29.509044377895169</c:v>
                </c:pt>
                <c:pt idx="30">
                  <c:v>28.627362932053366</c:v>
                </c:pt>
                <c:pt idx="31">
                  <c:v>27.65364996267451</c:v>
                </c:pt>
                <c:pt idx="32">
                  <c:v>26.590616368507817</c:v>
                </c:pt>
                <c:pt idx="33">
                  <c:v>25.435799947057411</c:v>
                </c:pt>
                <c:pt idx="34">
                  <c:v>24.194015446888447</c:v>
                </c:pt>
                <c:pt idx="35">
                  <c:v>22.861121937895408</c:v>
                </c:pt>
                <c:pt idx="36">
                  <c:v>21.442963726643153</c:v>
                </c:pt>
                <c:pt idx="37">
                  <c:v>19.935480798515275</c:v>
                </c:pt>
                <c:pt idx="38">
                  <c:v>18.34722657766573</c:v>
                </c:pt>
                <c:pt idx="39">
                  <c:v>16.666371121610869</c:v>
                </c:pt>
                <c:pt idx="40">
                  <c:v>14.905914751295363</c:v>
                </c:pt>
                <c:pt idx="41">
                  <c:v>13.057800744610285</c:v>
                </c:pt>
                <c:pt idx="42">
                  <c:v>11.116959424625788</c:v>
                </c:pt>
                <c:pt idx="43">
                  <c:v>9.1106328661466733</c:v>
                </c:pt>
                <c:pt idx="44">
                  <c:v>7.0089108840561938</c:v>
                </c:pt>
                <c:pt idx="45">
                  <c:v>4.8399716509061328</c:v>
                </c:pt>
                <c:pt idx="46">
                  <c:v>2.5953025709515485</c:v>
                </c:pt>
                <c:pt idx="47">
                  <c:v>0.24993638912556077</c:v>
                </c:pt>
                <c:pt idx="48">
                  <c:v>0</c:v>
                </c:pt>
                <c:pt idx="49">
                  <c:v>0</c:v>
                </c:pt>
                <c:pt idx="50">
                  <c:v>0</c:v>
                </c:pt>
                <c:pt idx="51">
                  <c:v>0</c:v>
                </c:pt>
                <c:pt idx="52">
                  <c:v>0</c:v>
                </c:pt>
                <c:pt idx="53">
                  <c:v>0</c:v>
                </c:pt>
                <c:pt idx="54">
                  <c:v>0</c:v>
                </c:pt>
              </c:numCache>
            </c:numRef>
          </c:val>
          <c:smooth val="0"/>
          <c:extLst>
            <c:ext xmlns:c16="http://schemas.microsoft.com/office/drawing/2014/chart" uri="{C3380CC4-5D6E-409C-BE32-E72D297353CC}">
              <c16:uniqueId val="{00000000-174B-47E1-80AD-C7FFD3EE9474}"/>
            </c:ext>
          </c:extLst>
        </c:ser>
        <c:ser>
          <c:idx val="1"/>
          <c:order val="1"/>
          <c:tx>
            <c:v>Median</c:v>
          </c:tx>
          <c:spPr>
            <a:ln w="28575">
              <a:solidFill>
                <a:srgbClr val="0E4F92"/>
              </a:solidFill>
              <a:prstDash val="solid"/>
            </a:ln>
          </c:spPr>
          <c:marker>
            <c:symbol val="none"/>
          </c:marker>
          <c:cat>
            <c:strRef>
              <c:f>Results!$B$122:$B$176</c:f>
              <c:strCache>
                <c:ptCount val="55"/>
                <c:pt idx="0">
                  <c:v>0.1</c:v>
                </c:pt>
                <c:pt idx="1">
                  <c:v>0.2</c:v>
                </c:pt>
                <c:pt idx="2">
                  <c:v>0.3</c:v>
                </c:pt>
                <c:pt idx="3">
                  <c:v>0.4</c:v>
                </c:pt>
                <c:pt idx="4">
                  <c:v>0.5</c:v>
                </c:pt>
                <c:pt idx="5">
                  <c:v>0.6</c:v>
                </c:pt>
                <c:pt idx="6">
                  <c:v>0.7</c:v>
                </c:pt>
                <c:pt idx="7">
                  <c:v>0.8</c:v>
                </c:pt>
                <c:pt idx="8">
                  <c:v>0.9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strCache>
            </c:strRef>
          </c:cat>
          <c:val>
            <c:numRef>
              <c:f>Results!$D$122:$D$176</c:f>
              <c:numCache>
                <c:formatCode>#,##0.00</c:formatCode>
                <c:ptCount val="55"/>
                <c:pt idx="0">
                  <c:v>12.111324707079451</c:v>
                </c:pt>
                <c:pt idx="1">
                  <c:v>14.104401809306522</c:v>
                </c:pt>
                <c:pt idx="2">
                  <c:v>15.98033165477184</c:v>
                </c:pt>
                <c:pt idx="3">
                  <c:v>17.738330963992968</c:v>
                </c:pt>
                <c:pt idx="4">
                  <c:v>19.381732680719516</c:v>
                </c:pt>
                <c:pt idx="5">
                  <c:v>20.912348617668929</c:v>
                </c:pt>
                <c:pt idx="6">
                  <c:v>22.32999731771632</c:v>
                </c:pt>
                <c:pt idx="7">
                  <c:v>23.636513860448154</c:v>
                </c:pt>
                <c:pt idx="8">
                  <c:v>24.83110856609661</c:v>
                </c:pt>
                <c:pt idx="9">
                  <c:v>25.91580206838896</c:v>
                </c:pt>
                <c:pt idx="10">
                  <c:v>26.892819618297224</c:v>
                </c:pt>
                <c:pt idx="11">
                  <c:v>27.764785384096594</c:v>
                </c:pt>
                <c:pt idx="12">
                  <c:v>28.529191570946125</c:v>
                </c:pt>
                <c:pt idx="13">
                  <c:v>29.192000335638429</c:v>
                </c:pt>
                <c:pt idx="14">
                  <c:v>29.749004049085222</c:v>
                </c:pt>
                <c:pt idx="15">
                  <c:v>30.203454419151857</c:v>
                </c:pt>
                <c:pt idx="16">
                  <c:v>30.553152385875578</c:v>
                </c:pt>
                <c:pt idx="17">
                  <c:v>30.804015363575761</c:v>
                </c:pt>
                <c:pt idx="18">
                  <c:v>30.956362212313969</c:v>
                </c:pt>
                <c:pt idx="19">
                  <c:v>31.008782157113739</c:v>
                </c:pt>
                <c:pt idx="20">
                  <c:v>30.963099876076647</c:v>
                </c:pt>
                <c:pt idx="21">
                  <c:v>30.819495713043214</c:v>
                </c:pt>
                <c:pt idx="22">
                  <c:v>30.577846395752285</c:v>
                </c:pt>
                <c:pt idx="23">
                  <c:v>30.244215672067948</c:v>
                </c:pt>
                <c:pt idx="24">
                  <c:v>29.816672287516706</c:v>
                </c:pt>
                <c:pt idx="25">
                  <c:v>29.294765742102079</c:v>
                </c:pt>
                <c:pt idx="26">
                  <c:v>28.679186918205215</c:v>
                </c:pt>
                <c:pt idx="27">
                  <c:v>27.971824026179096</c:v>
                </c:pt>
                <c:pt idx="28">
                  <c:v>27.174834622337777</c:v>
                </c:pt>
                <c:pt idx="29">
                  <c:v>26.287269381819577</c:v>
                </c:pt>
                <c:pt idx="30">
                  <c:v>25.310175480497932</c:v>
                </c:pt>
                <c:pt idx="31">
                  <c:v>24.245192448391204</c:v>
                </c:pt>
                <c:pt idx="32">
                  <c:v>23.092679625986417</c:v>
                </c:pt>
                <c:pt idx="33">
                  <c:v>21.853490830204507</c:v>
                </c:pt>
                <c:pt idx="34">
                  <c:v>20.529919769422524</c:v>
                </c:pt>
                <c:pt idx="35">
                  <c:v>19.118050880000283</c:v>
                </c:pt>
                <c:pt idx="36">
                  <c:v>17.623882238192209</c:v>
                </c:pt>
                <c:pt idx="37">
                  <c:v>16.049668590839591</c:v>
                </c:pt>
                <c:pt idx="38">
                  <c:v>14.393691516111838</c:v>
                </c:pt>
                <c:pt idx="39">
                  <c:v>12.649479430651251</c:v>
                </c:pt>
                <c:pt idx="40">
                  <c:v>10.82870847882055</c:v>
                </c:pt>
                <c:pt idx="41">
                  <c:v>8.9231651479546397</c:v>
                </c:pt>
                <c:pt idx="42">
                  <c:v>6.9494925215401979</c:v>
                </c:pt>
                <c:pt idx="43">
                  <c:v>4.8955945054656933</c:v>
                </c:pt>
                <c:pt idx="44">
                  <c:v>2.7540314557801517</c:v>
                </c:pt>
                <c:pt idx="45">
                  <c:v>0.54108711978197477</c:v>
                </c:pt>
                <c:pt idx="46">
                  <c:v>0</c:v>
                </c:pt>
                <c:pt idx="47">
                  <c:v>0</c:v>
                </c:pt>
                <c:pt idx="48">
                  <c:v>0</c:v>
                </c:pt>
                <c:pt idx="49">
                  <c:v>0</c:v>
                </c:pt>
                <c:pt idx="50">
                  <c:v>0</c:v>
                </c:pt>
                <c:pt idx="51">
                  <c:v>0</c:v>
                </c:pt>
                <c:pt idx="52">
                  <c:v>0</c:v>
                </c:pt>
                <c:pt idx="53">
                  <c:v>0</c:v>
                </c:pt>
                <c:pt idx="54">
                  <c:v>0</c:v>
                </c:pt>
              </c:numCache>
            </c:numRef>
          </c:val>
          <c:smooth val="0"/>
          <c:extLst>
            <c:ext xmlns:c16="http://schemas.microsoft.com/office/drawing/2014/chart" uri="{C3380CC4-5D6E-409C-BE32-E72D297353CC}">
              <c16:uniqueId val="{00000001-174B-47E1-80AD-C7FFD3EE9474}"/>
            </c:ext>
          </c:extLst>
        </c:ser>
        <c:ser>
          <c:idx val="2"/>
          <c:order val="2"/>
          <c:tx>
            <c:v>Mean</c:v>
          </c:tx>
          <c:spPr>
            <a:ln w="19050">
              <a:solidFill>
                <a:srgbClr val="B45309"/>
              </a:solidFill>
              <a:prstDash val="solid"/>
            </a:ln>
          </c:spPr>
          <c:marker>
            <c:symbol val="none"/>
          </c:marker>
          <c:cat>
            <c:strRef>
              <c:f>Results!$B$122:$B$176</c:f>
              <c:strCache>
                <c:ptCount val="55"/>
                <c:pt idx="0">
                  <c:v>0.1</c:v>
                </c:pt>
                <c:pt idx="1">
                  <c:v>0.2</c:v>
                </c:pt>
                <c:pt idx="2">
                  <c:v>0.3</c:v>
                </c:pt>
                <c:pt idx="3">
                  <c:v>0.4</c:v>
                </c:pt>
                <c:pt idx="4">
                  <c:v>0.5</c:v>
                </c:pt>
                <c:pt idx="5">
                  <c:v>0.6</c:v>
                </c:pt>
                <c:pt idx="6">
                  <c:v>0.7</c:v>
                </c:pt>
                <c:pt idx="7">
                  <c:v>0.8</c:v>
                </c:pt>
                <c:pt idx="8">
                  <c:v>0.9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strCache>
            </c:strRef>
          </c:cat>
          <c:val>
            <c:numRef>
              <c:f>Results!$F$122:$F$176</c:f>
              <c:numCache>
                <c:formatCode>#,##0.00</c:formatCode>
                <c:ptCount val="55"/>
                <c:pt idx="0">
                  <c:v>12.111903094913727</c:v>
                </c:pt>
                <c:pt idx="1">
                  <c:v>14.105097926454349</c:v>
                </c:pt>
                <c:pt idx="2">
                  <c:v>15.980788217693028</c:v>
                </c:pt>
                <c:pt idx="3">
                  <c:v>17.74016444282773</c:v>
                </c:pt>
                <c:pt idx="4">
                  <c:v>19.384403985494977</c:v>
                </c:pt>
                <c:pt idx="5">
                  <c:v>20.914671295026547</c:v>
                </c:pt>
                <c:pt idx="6">
                  <c:v>22.332118040678935</c:v>
                </c:pt>
                <c:pt idx="7">
                  <c:v>23.637883263866375</c:v>
                </c:pt>
                <c:pt idx="8">
                  <c:v>24.833093528423895</c:v>
                </c:pt>
                <c:pt idx="9">
                  <c:v>25.918863068927781</c:v>
                </c:pt>
                <c:pt idx="10">
                  <c:v>26.896293937103298</c:v>
                </c:pt>
                <c:pt idx="11">
                  <c:v>27.766476146343784</c:v>
                </c:pt>
                <c:pt idx="12">
                  <c:v>28.53048781436792</c:v>
                </c:pt>
                <c:pt idx="13">
                  <c:v>29.189395304043934</c:v>
                </c:pt>
                <c:pt idx="14">
                  <c:v>29.744253362402524</c:v>
                </c:pt>
                <c:pt idx="15">
                  <c:v>30.196105257865369</c:v>
                </c:pt>
                <c:pt idx="16">
                  <c:v>30.545982915718298</c:v>
                </c:pt>
                <c:pt idx="17">
                  <c:v>30.794907051843165</c:v>
                </c:pt>
                <c:pt idx="18">
                  <c:v>30.943887304746038</c:v>
                </c:pt>
                <c:pt idx="19">
                  <c:v>30.993922365891827</c:v>
                </c:pt>
                <c:pt idx="20">
                  <c:v>30.946000108381892</c:v>
                </c:pt>
                <c:pt idx="21">
                  <c:v>30.801097713987708</c:v>
                </c:pt>
                <c:pt idx="22">
                  <c:v>30.560181798565406</c:v>
                </c:pt>
                <c:pt idx="23">
                  <c:v>30.224208535880109</c:v>
                </c:pt>
                <c:pt idx="24">
                  <c:v>29.794123779850946</c:v>
                </c:pt>
                <c:pt idx="25">
                  <c:v>29.270863185250587</c:v>
                </c:pt>
                <c:pt idx="26">
                  <c:v>28.655352326868158</c:v>
                </c:pt>
                <c:pt idx="27">
                  <c:v>27.94850681717022</c:v>
                </c:pt>
                <c:pt idx="28">
                  <c:v>27.15123242246554</c:v>
                </c:pt>
                <c:pt idx="29">
                  <c:v>26.264425177609059</c:v>
                </c:pt>
                <c:pt idx="30">
                  <c:v>25.28897149925286</c:v>
                </c:pt>
                <c:pt idx="31">
                  <c:v>24.225748297672176</c:v>
                </c:pt>
                <c:pt idx="32">
                  <c:v>23.075623087181523</c:v>
                </c:pt>
                <c:pt idx="33">
                  <c:v>21.839454095161031</c:v>
                </c:pt>
                <c:pt idx="34">
                  <c:v>20.518090369714571</c:v>
                </c:pt>
                <c:pt idx="35">
                  <c:v>19.112371885974113</c:v>
                </c:pt>
                <c:pt idx="36">
                  <c:v>17.623129651072343</c:v>
                </c:pt>
                <c:pt idx="37">
                  <c:v>16.05118580779893</c:v>
                </c:pt>
                <c:pt idx="38">
                  <c:v>14.397353736959845</c:v>
                </c:pt>
                <c:pt idx="39">
                  <c:v>12.662438158459127</c:v>
                </c:pt>
                <c:pt idx="40">
                  <c:v>10.847235231114041</c:v>
                </c:pt>
                <c:pt idx="41">
                  <c:v>8.9525326512293972</c:v>
                </c:pt>
                <c:pt idx="42">
                  <c:v>6.9803513730832574</c:v>
                </c:pt>
                <c:pt idx="43">
                  <c:v>4.9451911899295968</c:v>
                </c:pt>
                <c:pt idx="44">
                  <c:v>2.9546992479697041</c:v>
                </c:pt>
                <c:pt idx="45">
                  <c:v>1.3275451540909711</c:v>
                </c:pt>
                <c:pt idx="46">
                  <c:v>0.39662182946987484</c:v>
                </c:pt>
                <c:pt idx="47">
                  <c:v>7.3309186177978533E-2</c:v>
                </c:pt>
                <c:pt idx="48">
                  <c:v>9.090786908848977E-3</c:v>
                </c:pt>
                <c:pt idx="49">
                  <c:v>1.1041810426474948E-3</c:v>
                </c:pt>
                <c:pt idx="50">
                  <c:v>0</c:v>
                </c:pt>
                <c:pt idx="51">
                  <c:v>0</c:v>
                </c:pt>
                <c:pt idx="52">
                  <c:v>0</c:v>
                </c:pt>
                <c:pt idx="53">
                  <c:v>0</c:v>
                </c:pt>
                <c:pt idx="54">
                  <c:v>0</c:v>
                </c:pt>
              </c:numCache>
            </c:numRef>
          </c:val>
          <c:smooth val="0"/>
          <c:extLst>
            <c:ext xmlns:c16="http://schemas.microsoft.com/office/drawing/2014/chart" uri="{C3380CC4-5D6E-409C-BE32-E72D297353CC}">
              <c16:uniqueId val="{00000002-174B-47E1-80AD-C7FFD3EE9474}"/>
            </c:ext>
          </c:extLst>
        </c:ser>
        <c:ser>
          <c:idx val="3"/>
          <c:order val="3"/>
          <c:tx>
            <c:v>5th percentile</c:v>
          </c:tx>
          <c:spPr>
            <a:ln w="15875">
              <a:solidFill>
                <a:srgbClr val="0E4F92"/>
              </a:solidFill>
              <a:prstDash val="dash"/>
            </a:ln>
          </c:spPr>
          <c:marker>
            <c:symbol val="none"/>
          </c:marker>
          <c:cat>
            <c:strRef>
              <c:f>Results!$B$122:$B$176</c:f>
              <c:strCache>
                <c:ptCount val="55"/>
                <c:pt idx="0">
                  <c:v>0.1</c:v>
                </c:pt>
                <c:pt idx="1">
                  <c:v>0.2</c:v>
                </c:pt>
                <c:pt idx="2">
                  <c:v>0.3</c:v>
                </c:pt>
                <c:pt idx="3">
                  <c:v>0.4</c:v>
                </c:pt>
                <c:pt idx="4">
                  <c:v>0.5</c:v>
                </c:pt>
                <c:pt idx="5">
                  <c:v>0.6</c:v>
                </c:pt>
                <c:pt idx="6">
                  <c:v>0.7</c:v>
                </c:pt>
                <c:pt idx="7">
                  <c:v>0.8</c:v>
                </c:pt>
                <c:pt idx="8">
                  <c:v>0.9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strCache>
            </c:strRef>
          </c:cat>
          <c:val>
            <c:numRef>
              <c:f>Results!$C$122:$C$176</c:f>
              <c:numCache>
                <c:formatCode>#,##0.00</c:formatCode>
                <c:ptCount val="55"/>
                <c:pt idx="0">
                  <c:v>12.014374135615736</c:v>
                </c:pt>
                <c:pt idx="1">
                  <c:v>13.910757048313783</c:v>
                </c:pt>
                <c:pt idx="2">
                  <c:v>15.690067038265973</c:v>
                </c:pt>
                <c:pt idx="3">
                  <c:v>17.351414902228882</c:v>
                </c:pt>
                <c:pt idx="4">
                  <c:v>18.895486030332915</c:v>
                </c:pt>
                <c:pt idx="5">
                  <c:v>20.324170359109505</c:v>
                </c:pt>
                <c:pt idx="6">
                  <c:v>21.637198860334834</c:v>
                </c:pt>
                <c:pt idx="7">
                  <c:v>22.836540007182677</c:v>
                </c:pt>
                <c:pt idx="8">
                  <c:v>23.925303061149567</c:v>
                </c:pt>
                <c:pt idx="9">
                  <c:v>24.899105160520101</c:v>
                </c:pt>
                <c:pt idx="10">
                  <c:v>25.761825724173278</c:v>
                </c:pt>
                <c:pt idx="11">
                  <c:v>26.514228347568707</c:v>
                </c:pt>
                <c:pt idx="12">
                  <c:v>27.162341865218018</c:v>
                </c:pt>
                <c:pt idx="13">
                  <c:v>27.705846982774066</c:v>
                </c:pt>
                <c:pt idx="14">
                  <c:v>28.140190184469539</c:v>
                </c:pt>
                <c:pt idx="15">
                  <c:v>28.474344255100085</c:v>
                </c:pt>
                <c:pt idx="16">
                  <c:v>28.707472525181917</c:v>
                </c:pt>
                <c:pt idx="17">
                  <c:v>28.838176914570965</c:v>
                </c:pt>
                <c:pt idx="18">
                  <c:v>28.878279380198645</c:v>
                </c:pt>
                <c:pt idx="19">
                  <c:v>28.817259283320428</c:v>
                </c:pt>
                <c:pt idx="20">
                  <c:v>28.654740566383122</c:v>
                </c:pt>
                <c:pt idx="21">
                  <c:v>28.400668976105923</c:v>
                </c:pt>
                <c:pt idx="22">
                  <c:v>28.047236854783236</c:v>
                </c:pt>
                <c:pt idx="23">
                  <c:v>27.600698164302599</c:v>
                </c:pt>
                <c:pt idx="24">
                  <c:v>27.067214362519966</c:v>
                </c:pt>
                <c:pt idx="25">
                  <c:v>26.438245324773693</c:v>
                </c:pt>
                <c:pt idx="26">
                  <c:v>25.722223981517441</c:v>
                </c:pt>
                <c:pt idx="27">
                  <c:v>24.918076134798561</c:v>
                </c:pt>
                <c:pt idx="28">
                  <c:v>24.02585176538469</c:v>
                </c:pt>
                <c:pt idx="29">
                  <c:v>23.0469340477256</c:v>
                </c:pt>
                <c:pt idx="30">
                  <c:v>21.987425152780972</c:v>
                </c:pt>
                <c:pt idx="31">
                  <c:v>20.840306927658084</c:v>
                </c:pt>
                <c:pt idx="32">
                  <c:v>19.609335169533622</c:v>
                </c:pt>
                <c:pt idx="33">
                  <c:v>18.302582380616848</c:v>
                </c:pt>
                <c:pt idx="34">
                  <c:v>16.901959870107817</c:v>
                </c:pt>
                <c:pt idx="35">
                  <c:v>15.434674434827548</c:v>
                </c:pt>
                <c:pt idx="36">
                  <c:v>13.884352261047706</c:v>
                </c:pt>
                <c:pt idx="37">
                  <c:v>12.248180860797422</c:v>
                </c:pt>
                <c:pt idx="38">
                  <c:v>10.537502611593291</c:v>
                </c:pt>
                <c:pt idx="39">
                  <c:v>8.7524428392164459</c:v>
                </c:pt>
                <c:pt idx="40">
                  <c:v>6.8977406200398912</c:v>
                </c:pt>
                <c:pt idx="41">
                  <c:v>4.9812931875395616</c:v>
                </c:pt>
                <c:pt idx="42">
                  <c:v>2.9703936935638988</c:v>
                </c:pt>
                <c:pt idx="43">
                  <c:v>0.89997050564385384</c:v>
                </c:pt>
                <c:pt idx="44">
                  <c:v>0</c:v>
                </c:pt>
                <c:pt idx="45">
                  <c:v>0</c:v>
                </c:pt>
                <c:pt idx="46">
                  <c:v>0</c:v>
                </c:pt>
                <c:pt idx="47">
                  <c:v>0</c:v>
                </c:pt>
                <c:pt idx="48">
                  <c:v>0</c:v>
                </c:pt>
                <c:pt idx="49">
                  <c:v>0</c:v>
                </c:pt>
                <c:pt idx="50">
                  <c:v>0</c:v>
                </c:pt>
                <c:pt idx="51">
                  <c:v>0</c:v>
                </c:pt>
                <c:pt idx="52">
                  <c:v>0</c:v>
                </c:pt>
                <c:pt idx="53">
                  <c:v>0</c:v>
                </c:pt>
                <c:pt idx="54">
                  <c:v>0</c:v>
                </c:pt>
              </c:numCache>
            </c:numRef>
          </c:val>
          <c:smooth val="0"/>
          <c:extLst>
            <c:ext xmlns:c16="http://schemas.microsoft.com/office/drawing/2014/chart" uri="{C3380CC4-5D6E-409C-BE32-E72D297353CC}">
              <c16:uniqueId val="{00000003-174B-47E1-80AD-C7FFD3EE947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5"/>
        <c:tickMarkSkip val="5"/>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Height (m)</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Results!$B$118:$B$119</c:f>
              <c:strCache>
                <c:ptCount val="2"/>
                <c:pt idx="0">
                  <c:v>Air friction</c:v>
                </c:pt>
                <c:pt idx="1">
                  <c:v>Launch speed</c:v>
                </c:pt>
              </c:strCache>
            </c:strRef>
          </c:cat>
          <c:val>
            <c:numRef>
              <c:f>Results!$F$118:$F$119</c:f>
              <c:numCache>
                <c:formatCode>#,##0.0_);\(#,##0.0\);"–"_)</c:formatCode>
                <c:ptCount val="2"/>
                <c:pt idx="0">
                  <c:v>5.0071867799652878</c:v>
                </c:pt>
                <c:pt idx="1">
                  <c:v>3.7829935005476543</c:v>
                </c:pt>
              </c:numCache>
            </c:numRef>
          </c:val>
          <c:extLst>
            <c:ext xmlns:c16="http://schemas.microsoft.com/office/drawing/2014/chart" uri="{C3380CC4-5D6E-409C-BE32-E72D297353CC}">
              <c16:uniqueId val="{00000000-AD01-4BCD-B08D-59F2BFD418F4}"/>
            </c:ext>
          </c:extLst>
        </c:ser>
        <c:ser>
          <c:idx val="1"/>
          <c:order val="1"/>
          <c:tx>
            <c:v>Lowest group mean</c:v>
          </c:tx>
          <c:spPr>
            <a:solidFill>
              <a:srgbClr val="B91C1C"/>
            </a:solidFill>
            <a:ln>
              <a:noFill/>
              <a:prstDash val="solid"/>
            </a:ln>
          </c:spPr>
          <c:invertIfNegative val="0"/>
          <c:cat>
            <c:strRef>
              <c:f>Results!$B$118:$B$119</c:f>
              <c:strCache>
                <c:ptCount val="2"/>
                <c:pt idx="0">
                  <c:v>Air friction</c:v>
                </c:pt>
                <c:pt idx="1">
                  <c:v>Launch speed</c:v>
                </c:pt>
              </c:strCache>
            </c:strRef>
          </c:cat>
          <c:val>
            <c:numRef>
              <c:f>Results!$G$118:$G$119</c:f>
              <c:numCache>
                <c:formatCode>#,##0.0_);\(#,##0.0\);"–"_)</c:formatCode>
                <c:ptCount val="2"/>
                <c:pt idx="0">
                  <c:v>-6.0809418799879609</c:v>
                </c:pt>
                <c:pt idx="1">
                  <c:v>-3.6525391994274088</c:v>
                </c:pt>
              </c:numCache>
            </c:numRef>
          </c:val>
          <c:extLst>
            <c:ext xmlns:c16="http://schemas.microsoft.com/office/drawing/2014/chart" uri="{C3380CC4-5D6E-409C-BE32-E72D297353CC}">
              <c16:uniqueId val="{00000001-AD01-4BCD-B08D-59F2BFD418F4}"/>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21</xdr:row>
      <xdr:rowOff>0</xdr:rowOff>
    </xdr:from>
    <xdr:ext cx="5400000" cy="252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160000"/>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26.25" x14ac:dyDescent="0.45">
      <c r="B9" s="9" t="s">
        <v>9</v>
      </c>
      <c r="C9" s="11" t="s">
        <v>10</v>
      </c>
    </row>
    <row r="10" spans="1:4" ht="26.25"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75" t="s">
        <v>20</v>
      </c>
      <c r="C16" s="7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x14ac:dyDescent="0.45">
      <c r="B31" s="9" t="s">
        <v>29</v>
      </c>
      <c r="C31" s="10" t="s">
        <v>30</v>
      </c>
    </row>
    <row r="32" spans="2:3" x14ac:dyDescent="0.45">
      <c r="B32" s="9" t="s">
        <v>31</v>
      </c>
      <c r="C32" s="10" t="s">
        <v>32</v>
      </c>
    </row>
    <row r="33" spans="2:3" ht="12" customHeight="1" x14ac:dyDescent="0.45"/>
    <row r="34" spans="2:3" ht="22.05" customHeight="1" x14ac:dyDescent="0.5">
      <c r="B34" s="7" t="s">
        <v>33</v>
      </c>
      <c r="C34" s="8"/>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ht="12" customHeight="1" x14ac:dyDescent="0.45"/>
    <row r="46" spans="2:3" ht="22.05" customHeight="1" x14ac:dyDescent="0.5">
      <c r="B46" s="7" t="s">
        <v>51</v>
      </c>
      <c r="C46" s="8"/>
    </row>
    <row r="47" spans="2:3" x14ac:dyDescent="0.45">
      <c r="B47" s="15" t="s">
        <v>52</v>
      </c>
      <c r="C47" s="12" t="s">
        <v>53</v>
      </c>
    </row>
    <row r="48" spans="2:3" x14ac:dyDescent="0.45">
      <c r="B48" s="16" t="s">
        <v>54</v>
      </c>
      <c r="C48" s="12" t="s">
        <v>55</v>
      </c>
    </row>
    <row r="49" spans="2:3" x14ac:dyDescent="0.45">
      <c r="B49" s="17" t="s">
        <v>56</v>
      </c>
      <c r="C49" s="12" t="s">
        <v>57</v>
      </c>
    </row>
    <row r="50" spans="2:3" x14ac:dyDescent="0.45">
      <c r="B50" s="18" t="s">
        <v>58</v>
      </c>
      <c r="C50" s="12" t="s">
        <v>59</v>
      </c>
    </row>
    <row r="51" spans="2:3" x14ac:dyDescent="0.45">
      <c r="B51" s="19"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ht="26.25"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ht="12" customHeight="1" x14ac:dyDescent="0.45"/>
    <row r="68" spans="2:3" ht="22.05" customHeight="1" x14ac:dyDescent="0.5">
      <c r="B68" s="7" t="s">
        <v>83</v>
      </c>
      <c r="C68" s="8"/>
    </row>
    <row r="69" spans="2:3" x14ac:dyDescent="0.45">
      <c r="B69" s="9" t="s">
        <v>84</v>
      </c>
      <c r="C69" s="10" t="s">
        <v>85</v>
      </c>
    </row>
    <row r="70" spans="2:3" ht="16.05" customHeight="1" x14ac:dyDescent="0.45"/>
    <row r="71" spans="2:3" x14ac:dyDescent="0.45">
      <c r="B71" s="73" t="s">
        <v>86</v>
      </c>
      <c r="C71" s="74"/>
    </row>
  </sheetData>
  <mergeCells count="2">
    <mergeCell ref="B71:C71"/>
    <mergeCell ref="B16:C16"/>
  </mergeCells>
  <hyperlinks>
    <hyperlink ref="D4" location="'Inputs'!A1" display="Next:  Inputs  ▸" xr:uid="{00000000-0004-0000-0000-000000000000}"/>
    <hyperlink ref="B40" location="'Inputs'!A1" display="Inputs" xr:uid="{00000000-0004-0000-0000-000001000000}"/>
    <hyperlink ref="B41" location="'Fit'!A1" display="Fit" xr:uid="{00000000-0004-0000-0000-000002000000}"/>
    <hyperlink ref="B42" location="'Flight'!A1" display="Flight" xr:uid="{00000000-0004-0000-0000-000003000000}"/>
    <hyperlink ref="B43" location="'Trajectory'!A1" display="Trajectory" xr:uid="{00000000-0004-0000-0000-000004000000}"/>
    <hyperlink ref="B44"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87</v>
      </c>
      <c r="C3" s="1"/>
      <c r="D3" s="1"/>
      <c r="E3" s="1"/>
      <c r="F3" s="1"/>
      <c r="G3" s="1"/>
      <c r="H3" s="1"/>
      <c r="I3" s="1"/>
      <c r="J3" s="1"/>
    </row>
    <row r="4" spans="1:10" ht="20" customHeight="1" x14ac:dyDescent="0.45">
      <c r="A4" s="5"/>
      <c r="B4" s="22" t="s">
        <v>88</v>
      </c>
      <c r="C4" s="5"/>
      <c r="D4" s="5"/>
      <c r="E4" s="5"/>
      <c r="F4" s="5"/>
      <c r="G4" s="5"/>
      <c r="H4" s="5"/>
      <c r="I4" s="5"/>
      <c r="J4" s="6" t="s">
        <v>89</v>
      </c>
    </row>
    <row r="5" spans="1:10" ht="8" customHeight="1" x14ac:dyDescent="0.45"/>
    <row r="6" spans="1:10" ht="20" customHeight="1" x14ac:dyDescent="0.45">
      <c r="B6" s="76" t="s">
        <v>90</v>
      </c>
      <c r="C6" s="74"/>
      <c r="D6" s="74"/>
      <c r="E6" s="74"/>
      <c r="F6" s="74"/>
      <c r="G6" s="74"/>
      <c r="H6" s="74"/>
      <c r="I6" s="74"/>
      <c r="J6" s="74"/>
    </row>
    <row r="7" spans="1:10" ht="6" customHeight="1" x14ac:dyDescent="0.45"/>
    <row r="8" spans="1:10" ht="22.05" customHeight="1" x14ac:dyDescent="0.5">
      <c r="B8" s="7" t="s">
        <v>91</v>
      </c>
      <c r="C8" s="8"/>
      <c r="D8" s="8"/>
      <c r="E8" s="8"/>
      <c r="F8" s="8"/>
      <c r="G8" s="8"/>
      <c r="H8" s="8"/>
      <c r="I8" s="8"/>
      <c r="J8" s="8"/>
    </row>
    <row r="9" spans="1:10" ht="18" customHeight="1" x14ac:dyDescent="0.45">
      <c r="B9" s="13" t="s">
        <v>92</v>
      </c>
    </row>
    <row r="10" spans="1:10" ht="18" customHeight="1" x14ac:dyDescent="0.45">
      <c r="B10" s="23" t="s">
        <v>93</v>
      </c>
      <c r="C10" s="23" t="s">
        <v>94</v>
      </c>
      <c r="D10" s="24" t="s">
        <v>95</v>
      </c>
      <c r="E10" s="23" t="s">
        <v>96</v>
      </c>
      <c r="F10" s="24" t="s">
        <v>97</v>
      </c>
      <c r="G10" s="24" t="s">
        <v>98</v>
      </c>
      <c r="H10" s="24" t="s">
        <v>99</v>
      </c>
      <c r="I10" s="24" t="s">
        <v>100</v>
      </c>
      <c r="J10" s="23" t="s">
        <v>101</v>
      </c>
    </row>
    <row r="11" spans="1:10" x14ac:dyDescent="0.45">
      <c r="B11" s="25" t="s">
        <v>102</v>
      </c>
      <c r="C11" s="26" t="s">
        <v>103</v>
      </c>
      <c r="D11" s="27" cm="1">
        <f t="array" aca="1" ref="D11" ca="1">_xll.VoseInput("Launch speed","m/s")+_xll.VoseLognormal(F11,G11)</f>
        <v>23.749505793941708</v>
      </c>
      <c r="E11" s="26" t="s">
        <v>104</v>
      </c>
      <c r="F11" s="28">
        <v>25</v>
      </c>
      <c r="G11" s="28">
        <v>0.7</v>
      </c>
      <c r="H11" s="29" t="s">
        <v>105</v>
      </c>
      <c r="I11" s="30"/>
      <c r="J11" s="31" t="s">
        <v>106</v>
      </c>
    </row>
    <row r="12" spans="1:10" x14ac:dyDescent="0.45">
      <c r="B12" s="25" t="s">
        <v>107</v>
      </c>
      <c r="C12" s="26" t="s">
        <v>108</v>
      </c>
      <c r="D12" s="32" cm="1">
        <f t="array" aca="1" ref="D12" ca="1">_xll.VoseInput("Air friction","per second")+_xll.VoseLognormal(F12,G12)</f>
        <v>7.8192031904354947E-2</v>
      </c>
      <c r="E12" s="26" t="s">
        <v>104</v>
      </c>
      <c r="F12" s="33">
        <v>0.1</v>
      </c>
      <c r="G12" s="33">
        <v>2.9000000000000001E-2</v>
      </c>
      <c r="H12" s="29" t="s">
        <v>105</v>
      </c>
      <c r="I12" s="30"/>
      <c r="J12" s="31" t="s">
        <v>109</v>
      </c>
    </row>
    <row r="13" spans="1:10" ht="8" customHeight="1" x14ac:dyDescent="0.45"/>
    <row r="14" spans="1:10" ht="22.05" customHeight="1" x14ac:dyDescent="0.5">
      <c r="B14" s="7" t="s">
        <v>110</v>
      </c>
      <c r="C14" s="8"/>
      <c r="D14" s="8"/>
      <c r="E14" s="8"/>
      <c r="F14" s="8"/>
      <c r="G14" s="8"/>
      <c r="H14" s="8"/>
      <c r="I14" s="8"/>
      <c r="J14" s="8"/>
    </row>
    <row r="15" spans="1:10" ht="18" customHeight="1" x14ac:dyDescent="0.45">
      <c r="B15" s="23" t="s">
        <v>93</v>
      </c>
      <c r="C15" s="23" t="s">
        <v>94</v>
      </c>
      <c r="D15" s="24" t="s">
        <v>95</v>
      </c>
      <c r="E15" s="23" t="s">
        <v>96</v>
      </c>
      <c r="F15" s="5"/>
      <c r="G15" s="5"/>
      <c r="H15" s="5"/>
      <c r="I15" s="5"/>
      <c r="J15" s="23" t="s">
        <v>101</v>
      </c>
    </row>
    <row r="16" spans="1:10" x14ac:dyDescent="0.45">
      <c r="B16" s="25" t="s">
        <v>111</v>
      </c>
      <c r="C16" s="26" t="s">
        <v>112</v>
      </c>
      <c r="D16" s="34">
        <v>60</v>
      </c>
      <c r="E16" s="26" t="s">
        <v>113</v>
      </c>
      <c r="F16" s="30"/>
      <c r="G16" s="30"/>
      <c r="H16" s="30"/>
      <c r="I16" s="30"/>
      <c r="J16" s="31"/>
    </row>
    <row r="17" spans="2:10" x14ac:dyDescent="0.45">
      <c r="B17" s="25" t="s">
        <v>114</v>
      </c>
      <c r="C17" s="26" t="s">
        <v>115</v>
      </c>
      <c r="D17" s="35">
        <v>10</v>
      </c>
      <c r="E17" s="26" t="s">
        <v>113</v>
      </c>
      <c r="F17" s="30"/>
      <c r="G17" s="30"/>
      <c r="H17" s="30"/>
      <c r="I17" s="30"/>
      <c r="J17" s="31"/>
    </row>
    <row r="18" spans="2:10" x14ac:dyDescent="0.45">
      <c r="B18" s="25" t="s">
        <v>116</v>
      </c>
      <c r="C18" s="26" t="s">
        <v>117</v>
      </c>
      <c r="D18" s="28">
        <v>9.81</v>
      </c>
      <c r="E18" s="26" t="s">
        <v>113</v>
      </c>
      <c r="F18" s="30"/>
      <c r="G18" s="30"/>
      <c r="H18" s="30"/>
      <c r="I18" s="30"/>
      <c r="J18" s="31"/>
    </row>
    <row r="19" spans="2:10" x14ac:dyDescent="0.45">
      <c r="B19" s="25" t="s">
        <v>118</v>
      </c>
      <c r="C19" s="26" t="s">
        <v>119</v>
      </c>
      <c r="D19" s="33">
        <v>0.01</v>
      </c>
      <c r="E19" s="26" t="s">
        <v>113</v>
      </c>
      <c r="F19" s="30"/>
      <c r="G19" s="30"/>
      <c r="H19" s="30"/>
      <c r="I19" s="30"/>
      <c r="J19" s="31" t="s">
        <v>120</v>
      </c>
    </row>
    <row r="20" spans="2:10" x14ac:dyDescent="0.45">
      <c r="B20" s="25" t="s">
        <v>121</v>
      </c>
      <c r="C20" s="26" t="s">
        <v>115</v>
      </c>
      <c r="D20" s="34">
        <v>50</v>
      </c>
      <c r="E20" s="26" t="s">
        <v>113</v>
      </c>
      <c r="F20" s="30"/>
      <c r="G20" s="30"/>
      <c r="H20" s="30"/>
      <c r="I20" s="30"/>
      <c r="J20" s="31"/>
    </row>
    <row r="21" spans="2:10" ht="8" customHeight="1" x14ac:dyDescent="0.45"/>
  </sheetData>
  <mergeCells count="1">
    <mergeCell ref="B6:J6"/>
  </mergeCells>
  <dataValidations count="3">
    <dataValidation type="whole" showErrorMessage="1" errorTitle="Whole number" error="Enter a whole number from 1 to 89." sqref="D16" xr:uid="{00000000-0002-0000-0100-000000000000}">
      <formula1>1</formula1>
      <formula2>89</formula2>
    </dataValidation>
    <dataValidation type="decimal" showErrorMessage="1" errorTitle="Value" error="Enter a value of zero or more." sqref="D17" xr:uid="{00000000-0002-0000-0100-000001000000}">
      <formula1>0</formula1>
      <formula2>1000000000000</formula2>
    </dataValidation>
    <dataValidation type="decimal" operator="greaterThan" showErrorMessage="1" errorTitle="Positive value" error="Enter a value greater than zero." sqref="D18:D20" xr:uid="{00000000-0002-0000-0100-000002000000}">
      <formula1>0</formula1>
    </dataValidation>
  </dataValidations>
  <hyperlinks>
    <hyperlink ref="B4" location="'About'!A1" display="◂  About" xr:uid="{00000000-0004-0000-0100-000000000000}"/>
    <hyperlink ref="J4" location="'Fit'!A1" display="Next:  Fi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H7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50" customWidth="1"/>
    <col min="3" max="6" width="11" customWidth="1"/>
    <col min="7" max="7" width="3" customWidth="1"/>
    <col min="8" max="8" width="60"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122</v>
      </c>
      <c r="C3" s="1"/>
      <c r="D3" s="1"/>
      <c r="E3" s="1"/>
      <c r="F3" s="1"/>
      <c r="G3" s="1"/>
      <c r="H3" s="1"/>
    </row>
    <row r="4" spans="1:8" ht="20" customHeight="1" x14ac:dyDescent="0.45">
      <c r="A4" s="5"/>
      <c r="B4" s="22" t="s">
        <v>123</v>
      </c>
      <c r="C4" s="5"/>
      <c r="D4" s="5"/>
      <c r="E4" s="5"/>
      <c r="F4" s="5"/>
      <c r="G4" s="5"/>
      <c r="H4" s="6" t="s">
        <v>124</v>
      </c>
    </row>
    <row r="5" spans="1:8" ht="8" customHeight="1" x14ac:dyDescent="0.45"/>
    <row r="6" spans="1:8" ht="22.05" customHeight="1" x14ac:dyDescent="0.5">
      <c r="B6" s="7" t="s">
        <v>125</v>
      </c>
      <c r="C6" s="8"/>
      <c r="D6" s="8"/>
      <c r="E6" s="8"/>
      <c r="F6" s="8"/>
    </row>
    <row r="7" spans="1:8" ht="18" customHeight="1" x14ac:dyDescent="0.45">
      <c r="B7" s="13" t="s">
        <v>126</v>
      </c>
    </row>
    <row r="8" spans="1:8" ht="18" customHeight="1" x14ac:dyDescent="0.45">
      <c r="B8" s="23" t="s">
        <v>127</v>
      </c>
      <c r="C8" s="24" t="s">
        <v>128</v>
      </c>
      <c r="D8" s="24" t="s">
        <v>129</v>
      </c>
      <c r="E8" s="5"/>
      <c r="F8" s="5"/>
    </row>
    <row r="9" spans="1:8" x14ac:dyDescent="0.45">
      <c r="B9" s="35">
        <v>1</v>
      </c>
      <c r="C9" s="28">
        <v>11.9</v>
      </c>
      <c r="D9" s="28">
        <v>25.91</v>
      </c>
      <c r="E9" s="30"/>
      <c r="F9" s="30"/>
      <c r="H9" s="36" t="s">
        <v>130</v>
      </c>
    </row>
    <row r="10" spans="1:8" x14ac:dyDescent="0.45">
      <c r="B10" s="35">
        <v>2</v>
      </c>
      <c r="C10" s="28">
        <v>22.67</v>
      </c>
      <c r="D10" s="28">
        <v>30.98</v>
      </c>
      <c r="E10" s="30"/>
      <c r="F10" s="30"/>
    </row>
    <row r="11" spans="1:8" x14ac:dyDescent="0.45">
      <c r="B11" s="35">
        <v>3</v>
      </c>
      <c r="C11" s="28">
        <v>32.409999999999997</v>
      </c>
      <c r="D11" s="28">
        <v>26.23</v>
      </c>
      <c r="E11" s="30"/>
      <c r="F11" s="30"/>
    </row>
    <row r="12" spans="1:8" x14ac:dyDescent="0.45">
      <c r="B12" s="35">
        <v>4</v>
      </c>
      <c r="C12" s="28">
        <v>41.23</v>
      </c>
      <c r="D12" s="28">
        <v>12.59</v>
      </c>
      <c r="E12" s="30"/>
      <c r="F12" s="30"/>
    </row>
    <row r="13" spans="1:8" ht="8" customHeight="1" x14ac:dyDescent="0.45"/>
    <row r="14" spans="1:8" ht="22.05" customHeight="1" x14ac:dyDescent="0.5">
      <c r="B14" s="7" t="s">
        <v>131</v>
      </c>
      <c r="C14" s="8"/>
      <c r="D14" s="8"/>
      <c r="E14" s="8"/>
      <c r="F14" s="8"/>
    </row>
    <row r="15" spans="1:8" ht="18" customHeight="1" x14ac:dyDescent="0.45">
      <c r="B15" s="13" t="s">
        <v>132</v>
      </c>
    </row>
    <row r="16" spans="1:8" x14ac:dyDescent="0.45">
      <c r="B16" s="25" t="s">
        <v>133</v>
      </c>
      <c r="C16" s="37">
        <f>INDEX(GridK,MATCH(MIN(GridSSE),GridSSE,0))</f>
        <v>9.8000000000000004E-2</v>
      </c>
      <c r="D16" s="30"/>
      <c r="E16" s="30"/>
      <c r="F16" s="30"/>
      <c r="H16" s="36" t="s">
        <v>134</v>
      </c>
    </row>
    <row r="17" spans="2:8" x14ac:dyDescent="0.45">
      <c r="B17" s="38" t="s">
        <v>135</v>
      </c>
      <c r="C17" s="39" cm="1">
        <f t="array" ref="C17">C16-0.002/2*(INDEX(GridSSE,MATCH(MIN(GridSSE),GridSSE,0)+1)-INDEX(GridSSE,MATCH(MIN(GridSSE),GridSSE,0)-1))/(INDEX(GridSSE,MATCH(MIN(GridSSE),GridSSE,0)+1)-2*INDEX(GridSSE,MATCH(MIN(GridSSE),GridSSE,0))+INDEX(GridSSE,MATCH(MIN(GridSSE),GridSSE,0)-1))</f>
        <v>9.8386456882700354E-2</v>
      </c>
      <c r="D17" s="30"/>
      <c r="E17" s="30"/>
      <c r="F17" s="30"/>
      <c r="H17" s="36" t="s">
        <v>136</v>
      </c>
    </row>
    <row r="18" spans="2:8" x14ac:dyDescent="0.45">
      <c r="B18" s="25" t="s">
        <v>137</v>
      </c>
      <c r="C18" s="37">
        <f>(LaunchV_Lo*COS(RADIANS(Angle))*(1-EXP(-FitK*INDEX(ObsT,1)))/FitK-INDEX(ObsX,1))^2+(Height0+(LaunchV_Lo*SIN(RADIANS(Angle))+Gravity/FitK)*(1-EXP(-FitK*INDEX(ObsT,1)))/FitK-Gravity/FitK*INDEX(ObsT,1)-INDEX(ObsY,1))^2+(LaunchV_Lo*COS(RADIANS(Angle))*(1-EXP(-FitK*INDEX(ObsT,2)))/FitK-INDEX(ObsX,2))^2+(Height0+(LaunchV_Lo*SIN(RADIANS(Angle))+Gravity/FitK)*(1-EXP(-FitK*INDEX(ObsT,2)))/FitK-Gravity/FitK*INDEX(ObsT,2)-INDEX(ObsY,2))^2+(LaunchV_Lo*COS(RADIANS(Angle))*(1-EXP(-FitK*INDEX(ObsT,3)))/FitK-INDEX(ObsX,3))^2+(Height0+(LaunchV_Lo*SIN(RADIANS(Angle))+Gravity/FitK)*(1-EXP(-FitK*INDEX(ObsT,3)))/FitK-Gravity/FitK*INDEX(ObsT,3)-INDEX(ObsY,3))^2+(LaunchV_Lo*COS(RADIANS(Angle))*(1-EXP(-FitK*INDEX(ObsT,4)))/FitK-INDEX(ObsX,4))^2+(Height0+(LaunchV_Lo*SIN(RADIANS(Angle))+Gravity/FitK)*(1-EXP(-FitK*INDEX(ObsT,4)))/FitK-Gravity/FitK*INDEX(ObsT,4)-INDEX(ObsY,4))^2</f>
        <v>4.3824061465645867E-2</v>
      </c>
      <c r="D18" s="30"/>
      <c r="E18" s="30"/>
      <c r="F18" s="30"/>
    </row>
    <row r="19" spans="2:8" x14ac:dyDescent="0.45">
      <c r="B19" s="25" t="s">
        <v>138</v>
      </c>
      <c r="C19" s="40">
        <f>(LaunchV_Lo*COS(RADIANS(Angle))*(1-EXP(-0.3*INDEX(ObsT,1)))/0.3-INDEX(ObsX,1))^2+(Height0+(LaunchV_Lo*SIN(RADIANS(Angle))+Gravity/0.3)*(1-EXP(-0.3*INDEX(ObsT,1)))/0.3-Gravity/0.3*INDEX(ObsT,1)-INDEX(ObsY,1))^2+(LaunchV_Lo*COS(RADIANS(Angle))*(1-EXP(-0.3*INDEX(ObsT,2)))/0.3-INDEX(ObsX,2))^2+(Height0+(LaunchV_Lo*SIN(RADIANS(Angle))+Gravity/0.3)*(1-EXP(-0.3*INDEX(ObsT,2)))/0.3-Gravity/0.3*INDEX(ObsT,2)-INDEX(ObsY,2))^2+(LaunchV_Lo*COS(RADIANS(Angle))*(1-EXP(-0.3*INDEX(ObsT,3)))/0.3-INDEX(ObsX,3))^2+(Height0+(LaunchV_Lo*SIN(RADIANS(Angle))+Gravity/0.3)*(1-EXP(-0.3*INDEX(ObsT,3)))/0.3-Gravity/0.3*INDEX(ObsT,3)-INDEX(ObsY,3))^2+(LaunchV_Lo*COS(RADIANS(Angle))*(1-EXP(-0.3*INDEX(ObsT,4)))/0.3-INDEX(ObsX,4))^2+(Height0+(LaunchV_Lo*SIN(RADIANS(Angle))+Gravity/0.3)*(1-EXP(-0.3*INDEX(ObsT,4)))/0.3-Gravity/0.3*INDEX(ObsT,4)-INDEX(ObsY,4))^2</f>
        <v>338.79180304198212</v>
      </c>
      <c r="D19" s="30"/>
      <c r="E19" s="30"/>
      <c r="F19" s="30"/>
      <c r="H19" s="36" t="s">
        <v>139</v>
      </c>
    </row>
    <row r="20" spans="2:8" ht="6" customHeight="1" x14ac:dyDescent="0.45"/>
    <row r="21" spans="2:8" ht="18" customHeight="1" x14ac:dyDescent="0.45">
      <c r="B21" s="23" t="s">
        <v>63</v>
      </c>
      <c r="C21" s="24" t="s">
        <v>140</v>
      </c>
      <c r="D21" s="5"/>
      <c r="E21" s="5"/>
      <c r="F21" s="5"/>
    </row>
    <row r="22" spans="2:8" x14ac:dyDescent="0.45">
      <c r="B22" s="41">
        <v>0.05</v>
      </c>
      <c r="C22" s="37">
        <f t="shared" ref="C22:C53" si="0">(LaunchV_Lo*COS(RADIANS(Angle))*(1-EXP(-B22*INDEX(ObsT,1)))/B22-INDEX(ObsX,1))^2+(Height0+(LaunchV_Lo*SIN(RADIANS(Angle))+Gravity/B22)*(1-EXP(-B22*INDEX(ObsT,1)))/B22-Gravity/B22*INDEX(ObsT,1)-INDEX(ObsY,1))^2+(LaunchV_Lo*COS(RADIANS(Angle))*(1-EXP(-B22*INDEX(ObsT,2)))/B22-INDEX(ObsX,2))^2+(Height0+(LaunchV_Lo*SIN(RADIANS(Angle))+Gravity/B22)*(1-EXP(-B22*INDEX(ObsT,2)))/B22-Gravity/B22*INDEX(ObsT,2)-INDEX(ObsY,2))^2+(LaunchV_Lo*COS(RADIANS(Angle))*(1-EXP(-B22*INDEX(ObsT,3)))/B22-INDEX(ObsX,3))^2+(Height0+(LaunchV_Lo*SIN(RADIANS(Angle))+Gravity/B22)*(1-EXP(-B22*INDEX(ObsT,3)))/B22-Gravity/B22*INDEX(ObsT,3)-INDEX(ObsY,3))^2+(LaunchV_Lo*COS(RADIANS(Angle))*(1-EXP(-B22*INDEX(ObsT,4)))/B22-INDEX(ObsX,4))^2+(Height0+(LaunchV_Lo*SIN(RADIANS(Angle))+Gravity/B22)*(1-EXP(-B22*INDEX(ObsT,4)))/B22-Gravity/B22*INDEX(ObsT,4)-INDEX(ObsY,4))^2</f>
        <v>35.611194252327749</v>
      </c>
    </row>
    <row r="23" spans="2:8" x14ac:dyDescent="0.45">
      <c r="B23" s="41">
        <v>5.1999999999999998E-2</v>
      </c>
      <c r="C23" s="37">
        <f t="shared" si="0"/>
        <v>32.56023627563696</v>
      </c>
    </row>
    <row r="24" spans="2:8" x14ac:dyDescent="0.45">
      <c r="B24" s="41">
        <v>5.3999999999999999E-2</v>
      </c>
      <c r="C24" s="37">
        <f t="shared" si="0"/>
        <v>29.660770431468691</v>
      </c>
    </row>
    <row r="25" spans="2:8" x14ac:dyDescent="0.45">
      <c r="B25" s="41">
        <v>5.6000000000000001E-2</v>
      </c>
      <c r="C25" s="37">
        <f t="shared" si="0"/>
        <v>26.910602895625434</v>
      </c>
    </row>
    <row r="26" spans="2:8" x14ac:dyDescent="0.45">
      <c r="B26" s="41">
        <v>5.8000000000000003E-2</v>
      </c>
      <c r="C26" s="37">
        <f t="shared" si="0"/>
        <v>24.307568145768098</v>
      </c>
    </row>
    <row r="27" spans="2:8" x14ac:dyDescent="0.45">
      <c r="B27" s="41">
        <v>0.06</v>
      </c>
      <c r="C27" s="37">
        <f t="shared" si="0"/>
        <v>21.84952860180012</v>
      </c>
    </row>
    <row r="28" spans="2:8" x14ac:dyDescent="0.45">
      <c r="B28" s="41">
        <v>6.2E-2</v>
      </c>
      <c r="C28" s="37">
        <f t="shared" si="0"/>
        <v>19.534374270868504</v>
      </c>
    </row>
    <row r="29" spans="2:8" x14ac:dyDescent="0.45">
      <c r="B29" s="41">
        <v>6.4000000000000001E-2</v>
      </c>
      <c r="C29" s="37">
        <f t="shared" si="0"/>
        <v>17.360022396907002</v>
      </c>
    </row>
    <row r="30" spans="2:8" x14ac:dyDescent="0.45">
      <c r="B30" s="41">
        <v>6.6000000000000003E-2</v>
      </c>
      <c r="C30" s="37">
        <f t="shared" si="0"/>
        <v>15.324417114683381</v>
      </c>
    </row>
    <row r="31" spans="2:8" x14ac:dyDescent="0.45">
      <c r="B31" s="41">
        <v>6.8000000000000005E-2</v>
      </c>
      <c r="C31" s="37">
        <f t="shared" si="0"/>
        <v>13.42552910825896</v>
      </c>
    </row>
    <row r="32" spans="2:8" x14ac:dyDescent="0.45">
      <c r="B32" s="41">
        <v>7.0000000000000007E-2</v>
      </c>
      <c r="C32" s="37">
        <f t="shared" si="0"/>
        <v>11.661355273841084</v>
      </c>
    </row>
    <row r="33" spans="2:3" x14ac:dyDescent="0.45">
      <c r="B33" s="41">
        <v>7.1999999999999995E-2</v>
      </c>
      <c r="C33" s="37">
        <f t="shared" si="0"/>
        <v>10.029918386936291</v>
      </c>
    </row>
    <row r="34" spans="2:3" x14ac:dyDescent="0.45">
      <c r="B34" s="41">
        <v>7.3999999999999996E-2</v>
      </c>
      <c r="C34" s="37">
        <f t="shared" si="0"/>
        <v>8.5292667737735623</v>
      </c>
    </row>
    <row r="35" spans="2:3" x14ac:dyDescent="0.45">
      <c r="B35" s="41">
        <v>7.5999999999999998E-2</v>
      </c>
      <c r="C35" s="37">
        <f t="shared" si="0"/>
        <v>7.1574739869371973</v>
      </c>
    </row>
    <row r="36" spans="2:3" x14ac:dyDescent="0.45">
      <c r="B36" s="41">
        <v>7.8E-2</v>
      </c>
      <c r="C36" s="37">
        <f t="shared" si="0"/>
        <v>5.9126384851364184</v>
      </c>
    </row>
    <row r="37" spans="2:3" x14ac:dyDescent="0.45">
      <c r="B37" s="41">
        <v>0.08</v>
      </c>
      <c r="C37" s="37">
        <f t="shared" si="0"/>
        <v>4.7928833170863898</v>
      </c>
    </row>
    <row r="38" spans="2:3" x14ac:dyDescent="0.45">
      <c r="B38" s="41">
        <v>8.2000000000000003E-2</v>
      </c>
      <c r="C38" s="37">
        <f t="shared" si="0"/>
        <v>3.7963558094258008</v>
      </c>
    </row>
    <row r="39" spans="2:3" x14ac:dyDescent="0.45">
      <c r="B39" s="41">
        <v>8.4000000000000005E-2</v>
      </c>
      <c r="C39" s="37">
        <f t="shared" si="0"/>
        <v>2.9212272586260895</v>
      </c>
    </row>
    <row r="40" spans="2:3" x14ac:dyDescent="0.45">
      <c r="B40" s="41">
        <v>8.5999999999999993E-2</v>
      </c>
      <c r="C40" s="37">
        <f t="shared" si="0"/>
        <v>2.1656926268414827</v>
      </c>
    </row>
    <row r="41" spans="2:3" x14ac:dyDescent="0.45">
      <c r="B41" s="41">
        <v>8.7999999999999995E-2</v>
      </c>
      <c r="C41" s="37">
        <f t="shared" si="0"/>
        <v>1.5279702416493077</v>
      </c>
    </row>
    <row r="42" spans="2:3" x14ac:dyDescent="0.45">
      <c r="B42" s="41">
        <v>0.09</v>
      </c>
      <c r="C42" s="37">
        <f t="shared" si="0"/>
        <v>1.0063014996245372</v>
      </c>
    </row>
    <row r="43" spans="2:3" x14ac:dyDescent="0.45">
      <c r="B43" s="41">
        <v>9.1999999999999998E-2</v>
      </c>
      <c r="C43" s="37">
        <f t="shared" si="0"/>
        <v>0.59895057370503713</v>
      </c>
    </row>
    <row r="44" spans="2:3" x14ac:dyDescent="0.45">
      <c r="B44" s="41">
        <v>9.4E-2</v>
      </c>
      <c r="C44" s="37">
        <f t="shared" si="0"/>
        <v>0.30420412429475729</v>
      </c>
    </row>
    <row r="45" spans="2:3" x14ac:dyDescent="0.45">
      <c r="B45" s="41">
        <v>9.6000000000000002E-2</v>
      </c>
      <c r="C45" s="37">
        <f t="shared" si="0"/>
        <v>0.12037101405848118</v>
      </c>
    </row>
    <row r="46" spans="2:3" x14ac:dyDescent="0.45">
      <c r="B46" s="41">
        <v>9.8000000000000004E-2</v>
      </c>
      <c r="C46" s="37">
        <f t="shared" si="0"/>
        <v>4.5782026358290352E-2</v>
      </c>
    </row>
    <row r="47" spans="2:3" x14ac:dyDescent="0.45">
      <c r="B47" s="41">
        <v>0.1</v>
      </c>
      <c r="C47" s="37">
        <f t="shared" si="0"/>
        <v>7.8789587286307652E-2</v>
      </c>
    </row>
    <row r="48" spans="2:3" x14ac:dyDescent="0.45">
      <c r="B48" s="41">
        <v>0.10199999999999999</v>
      </c>
      <c r="C48" s="37">
        <f t="shared" si="0"/>
        <v>0.21776749124594574</v>
      </c>
    </row>
    <row r="49" spans="2:3" x14ac:dyDescent="0.45">
      <c r="B49" s="41">
        <v>0.104</v>
      </c>
      <c r="C49" s="37">
        <f t="shared" si="0"/>
        <v>0.46111063003652719</v>
      </c>
    </row>
    <row r="50" spans="2:3" x14ac:dyDescent="0.45">
      <c r="B50" s="41">
        <v>0.106</v>
      </c>
      <c r="C50" s="37">
        <f t="shared" si="0"/>
        <v>0.80723472539493379</v>
      </c>
    </row>
    <row r="51" spans="2:3" x14ac:dyDescent="0.45">
      <c r="B51" s="41">
        <v>0.108</v>
      </c>
      <c r="C51" s="37">
        <f t="shared" si="0"/>
        <v>1.254576064950488</v>
      </c>
    </row>
    <row r="52" spans="2:3" x14ac:dyDescent="0.45">
      <c r="B52" s="41">
        <v>0.11</v>
      </c>
      <c r="C52" s="37">
        <f t="shared" si="0"/>
        <v>1.801591241548969</v>
      </c>
    </row>
    <row r="53" spans="2:3" x14ac:dyDescent="0.45">
      <c r="B53" s="41">
        <v>0.112</v>
      </c>
      <c r="C53" s="37">
        <f t="shared" si="0"/>
        <v>2.4467568958995165</v>
      </c>
    </row>
    <row r="54" spans="2:3" x14ac:dyDescent="0.45">
      <c r="B54" s="41">
        <v>0.114</v>
      </c>
      <c r="C54" s="37">
        <f t="shared" ref="C54:C85" si="1">(LaunchV_Lo*COS(RADIANS(Angle))*(1-EXP(-B54*INDEX(ObsT,1)))/B54-INDEX(ObsX,1))^2+(Height0+(LaunchV_Lo*SIN(RADIANS(Angle))+Gravity/B54)*(1-EXP(-B54*INDEX(ObsT,1)))/B54-Gravity/B54*INDEX(ObsT,1)-INDEX(ObsY,1))^2+(LaunchV_Lo*COS(RADIANS(Angle))*(1-EXP(-B54*INDEX(ObsT,2)))/B54-INDEX(ObsX,2))^2+(Height0+(LaunchV_Lo*SIN(RADIANS(Angle))+Gravity/B54)*(1-EXP(-B54*INDEX(ObsT,2)))/B54-Gravity/B54*INDEX(ObsT,2)-INDEX(ObsY,2))^2+(LaunchV_Lo*COS(RADIANS(Angle))*(1-EXP(-B54*INDEX(ObsT,3)))/B54-INDEX(ObsX,3))^2+(Height0+(LaunchV_Lo*SIN(RADIANS(Angle))+Gravity/B54)*(1-EXP(-B54*INDEX(ObsT,3)))/B54-Gravity/B54*INDEX(ObsT,3)-INDEX(ObsY,3))^2+(LaunchV_Lo*COS(RADIANS(Angle))*(1-EXP(-B54*INDEX(ObsT,4)))/B54-INDEX(ObsX,4))^2+(Height0+(LaunchV_Lo*SIN(RADIANS(Angle))+Gravity/B54)*(1-EXP(-B54*INDEX(ObsT,4)))/B54-Gravity/B54*INDEX(ObsT,4)-INDEX(ObsY,4))^2</f>
        <v>3.1885694625071404</v>
      </c>
    </row>
    <row r="55" spans="2:3" x14ac:dyDescent="0.45">
      <c r="B55" s="41">
        <v>0.11600000000000001</v>
      </c>
      <c r="C55" s="37">
        <f t="shared" si="1"/>
        <v>4.0255449188408949</v>
      </c>
    </row>
    <row r="56" spans="2:3" x14ac:dyDescent="0.45">
      <c r="B56" s="41">
        <v>0.11799999999999999</v>
      </c>
      <c r="C56" s="37">
        <f t="shared" si="1"/>
        <v>4.956218537702628</v>
      </c>
    </row>
    <row r="57" spans="2:3" x14ac:dyDescent="0.45">
      <c r="B57" s="41">
        <v>0.12</v>
      </c>
      <c r="C57" s="37">
        <f t="shared" si="1"/>
        <v>5.9791446427505068</v>
      </c>
    </row>
    <row r="58" spans="2:3" x14ac:dyDescent="0.45">
      <c r="B58" s="41">
        <v>0.122</v>
      </c>
      <c r="C58" s="37">
        <f t="shared" si="1"/>
        <v>7.0928963671377625</v>
      </c>
    </row>
    <row r="59" spans="2:3" x14ac:dyDescent="0.45">
      <c r="B59" s="41">
        <v>0.124</v>
      </c>
      <c r="C59" s="37">
        <f t="shared" si="1"/>
        <v>8.2960654152276998</v>
      </c>
    </row>
    <row r="60" spans="2:3" x14ac:dyDescent="0.45">
      <c r="B60" s="41">
        <v>0.126</v>
      </c>
      <c r="C60" s="37">
        <f t="shared" si="1"/>
        <v>9.5872618273445021</v>
      </c>
    </row>
    <row r="61" spans="2:3" x14ac:dyDescent="0.45">
      <c r="B61" s="41">
        <v>0.128</v>
      </c>
      <c r="C61" s="37">
        <f t="shared" si="1"/>
        <v>10.965113747517632</v>
      </c>
    </row>
    <row r="62" spans="2:3" x14ac:dyDescent="0.45">
      <c r="B62" s="41">
        <v>0.13</v>
      </c>
      <c r="C62" s="37">
        <f t="shared" si="1"/>
        <v>12.42826719418704</v>
      </c>
    </row>
    <row r="63" spans="2:3" x14ac:dyDescent="0.45">
      <c r="B63" s="41">
        <v>0.13200000000000001</v>
      </c>
      <c r="C63" s="37">
        <f t="shared" si="1"/>
        <v>13.975385833824163</v>
      </c>
    </row>
    <row r="64" spans="2:3" x14ac:dyDescent="0.45">
      <c r="B64" s="41">
        <v>0.13400000000000001</v>
      </c>
      <c r="C64" s="37">
        <f t="shared" si="1"/>
        <v>15.605150757439661</v>
      </c>
    </row>
    <row r="65" spans="2:3" x14ac:dyDescent="0.45">
      <c r="B65" s="41">
        <v>0.13600000000000001</v>
      </c>
      <c r="C65" s="37">
        <f t="shared" si="1"/>
        <v>17.316260259929436</v>
      </c>
    </row>
    <row r="66" spans="2:3" x14ac:dyDescent="0.45">
      <c r="B66" s="41">
        <v>0.13800000000000001</v>
      </c>
      <c r="C66" s="37">
        <f t="shared" si="1"/>
        <v>19.107429622230654</v>
      </c>
    </row>
    <row r="67" spans="2:3" x14ac:dyDescent="0.45">
      <c r="B67" s="41">
        <v>0.14000000000000001</v>
      </c>
      <c r="C67" s="37">
        <f t="shared" si="1"/>
        <v>20.977390896254988</v>
      </c>
    </row>
    <row r="68" spans="2:3" x14ac:dyDescent="0.45">
      <c r="B68" s="41">
        <v>0.14199999999999999</v>
      </c>
      <c r="C68" s="37">
        <f t="shared" si="1"/>
        <v>22.924892692544628</v>
      </c>
    </row>
    <row r="69" spans="2:3" x14ac:dyDescent="0.45">
      <c r="B69" s="41">
        <v>0.14399999999999999</v>
      </c>
      <c r="C69" s="37">
        <f t="shared" si="1"/>
        <v>24.948699970643929</v>
      </c>
    </row>
    <row r="70" spans="2:3" x14ac:dyDescent="0.45">
      <c r="B70" s="41">
        <v>0.14599999999999999</v>
      </c>
      <c r="C70" s="37">
        <f t="shared" si="1"/>
        <v>27.047593832123376</v>
      </c>
    </row>
    <row r="71" spans="2:3" x14ac:dyDescent="0.45">
      <c r="B71" s="41">
        <v>0.14799999999999999</v>
      </c>
      <c r="C71" s="37">
        <f t="shared" si="1"/>
        <v>29.220371316243899</v>
      </c>
    </row>
    <row r="72" spans="2:3" x14ac:dyDescent="0.45">
      <c r="B72" s="41">
        <v>0.15</v>
      </c>
      <c r="C72" s="37">
        <f t="shared" si="1"/>
        <v>31.465845198212513</v>
      </c>
    </row>
  </sheetData>
  <hyperlinks>
    <hyperlink ref="B4" location="'Inputs'!A1" display="◂  Inputs" xr:uid="{00000000-0004-0000-0200-000000000000}"/>
    <hyperlink ref="H4" location="'Flight'!A1" display="Next:  Flight  ▸" xr:uid="{00000000-0004-0000-0200-000001000000}"/>
  </hyperlinks>
  <printOptions horizontalCentered="1"/>
  <pageMargins left="0.4" right="0.4" top="0.5" bottom="0.6" header="0.25" footer="0.25"/>
  <pageSetup paperSize="9" scale="87" fitToHeight="0" orientation="landscape" r:id="rId1"/>
  <headerFooter>
    <oddFooter>&amp;L&amp;K3F5876&amp;8&amp;F · &amp;A&amp;R&amp;K3F5876&amp;8Page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F55"/>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40" customWidth="1"/>
    <col min="3" max="4" width="14" customWidth="1"/>
    <col min="5" max="5" width="3" customWidth="1"/>
    <col min="6" max="6" width="8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141</v>
      </c>
      <c r="C3" s="1"/>
      <c r="D3" s="1"/>
      <c r="E3" s="1"/>
      <c r="F3" s="1"/>
    </row>
    <row r="4" spans="1:6" ht="20" customHeight="1" x14ac:dyDescent="0.45">
      <c r="A4" s="5"/>
      <c r="B4" s="22" t="s">
        <v>142</v>
      </c>
      <c r="C4" s="5"/>
      <c r="D4" s="5"/>
      <c r="E4" s="5"/>
      <c r="F4" s="6" t="s">
        <v>143</v>
      </c>
    </row>
    <row r="5" spans="1:6" ht="8" customHeight="1" x14ac:dyDescent="0.45"/>
    <row r="6" spans="1:6" ht="22.05" customHeight="1" x14ac:dyDescent="0.5">
      <c r="B6" s="7" t="s">
        <v>144</v>
      </c>
      <c r="C6" s="8"/>
      <c r="D6" s="8"/>
    </row>
    <row r="7" spans="1:6" ht="18" customHeight="1" x14ac:dyDescent="0.45">
      <c r="B7" s="13" t="s">
        <v>145</v>
      </c>
    </row>
    <row r="8" spans="1:6" x14ac:dyDescent="0.45">
      <c r="B8" s="25" t="s">
        <v>146</v>
      </c>
      <c r="C8" s="30"/>
      <c r="D8" s="30"/>
      <c r="F8" s="36" t="s">
        <v>147</v>
      </c>
    </row>
    <row r="9" spans="1:6" x14ac:dyDescent="0.45">
      <c r="B9" s="25" t="s">
        <v>148</v>
      </c>
      <c r="C9" s="30"/>
      <c r="D9" s="30"/>
      <c r="F9" s="36" t="s">
        <v>149</v>
      </c>
    </row>
    <row r="10" spans="1:6" x14ac:dyDescent="0.45">
      <c r="B10" s="25" t="s">
        <v>150</v>
      </c>
      <c r="C10" s="30"/>
      <c r="D10" s="30"/>
      <c r="F10" s="36" t="s">
        <v>151</v>
      </c>
    </row>
    <row r="11" spans="1:6" x14ac:dyDescent="0.45">
      <c r="B11" s="25" t="s">
        <v>152</v>
      </c>
      <c r="C11" s="30"/>
      <c r="D11" s="30"/>
    </row>
    <row r="12" spans="1:6" ht="8" customHeight="1" x14ac:dyDescent="0.45"/>
    <row r="13" spans="1:6" ht="22.05" customHeight="1" x14ac:dyDescent="0.5">
      <c r="B13" s="7" t="s">
        <v>153</v>
      </c>
      <c r="C13" s="8"/>
      <c r="D13" s="8"/>
    </row>
    <row r="14" spans="1:6" ht="18" customHeight="1" x14ac:dyDescent="0.45">
      <c r="B14" s="13" t="s">
        <v>154</v>
      </c>
    </row>
    <row r="15" spans="1:6" x14ac:dyDescent="0.45">
      <c r="B15" s="38" t="s">
        <v>155</v>
      </c>
      <c r="C15" s="42">
        <f ca="1">LaunchV*COS(RADIANS(Angle))</f>
        <v>11.874752896970856</v>
      </c>
      <c r="D15" s="30"/>
      <c r="F15" s="36" t="s">
        <v>156</v>
      </c>
    </row>
    <row r="16" spans="1:6" x14ac:dyDescent="0.45">
      <c r="B16" s="38" t="s">
        <v>157</v>
      </c>
      <c r="C16" s="42">
        <f ca="1">LaunchV*SIN(RADIANS(Angle))</f>
        <v>20.56767534487923</v>
      </c>
      <c r="D16" s="30"/>
      <c r="F16" s="36" t="s">
        <v>158</v>
      </c>
    </row>
    <row r="17" spans="2:6" x14ac:dyDescent="0.45">
      <c r="B17" s="38" t="s">
        <v>159</v>
      </c>
      <c r="C17" s="42">
        <v>0</v>
      </c>
      <c r="D17" s="30"/>
      <c r="F17" s="36" t="s">
        <v>160</v>
      </c>
    </row>
    <row r="18" spans="2:6" x14ac:dyDescent="0.45">
      <c r="B18" s="38" t="s">
        <v>161</v>
      </c>
      <c r="C18" s="42">
        <f>Height0</f>
        <v>10</v>
      </c>
      <c r="D18" s="30"/>
      <c r="F18" s="36" t="s">
        <v>162</v>
      </c>
    </row>
    <row r="19" spans="2:6" x14ac:dyDescent="0.45">
      <c r="B19" s="38" t="s">
        <v>163</v>
      </c>
      <c r="C19" s="42">
        <f>Gravity</f>
        <v>9.81</v>
      </c>
      <c r="D19" s="30"/>
      <c r="F19" s="36" t="s">
        <v>164</v>
      </c>
    </row>
    <row r="20" spans="2:6" x14ac:dyDescent="0.45">
      <c r="B20" s="38" t="s">
        <v>63</v>
      </c>
      <c r="C20" s="42">
        <f ca="1">Friction</f>
        <v>7.8192031904354947E-2</v>
      </c>
      <c r="D20" s="30"/>
      <c r="F20" s="36" t="s">
        <v>165</v>
      </c>
    </row>
    <row r="21" spans="2:6" ht="8" customHeight="1" x14ac:dyDescent="0.45"/>
    <row r="22" spans="2:6" ht="22.05" customHeight="1" x14ac:dyDescent="0.5">
      <c r="B22" s="7" t="s">
        <v>166</v>
      </c>
      <c r="C22" s="8"/>
      <c r="D22" s="8"/>
    </row>
    <row r="23" spans="2:6" ht="18" customHeight="1" x14ac:dyDescent="0.45">
      <c r="B23" s="13" t="s">
        <v>167</v>
      </c>
    </row>
    <row r="24" spans="2:6" x14ac:dyDescent="0.45">
      <c r="B24" s="25" t="s">
        <v>168</v>
      </c>
      <c r="C24" s="43">
        <f ca="1">MATCH(TRUE,INDEX(ODE_Y&lt;=0,0),0)-1</f>
        <v>44</v>
      </c>
      <c r="D24" s="30"/>
      <c r="F24" s="36" t="s">
        <v>169</v>
      </c>
    </row>
    <row r="25" spans="2:6" x14ac:dyDescent="0.45">
      <c r="B25" s="38" t="s">
        <v>170</v>
      </c>
      <c r="C25" s="44" cm="1">
        <f t="array" aca="1" ref="C25" ca="1">INDEX(ODE_T,C24)+(INDEX(ODE_T,C24+1)-INDEX(ODE_T,C24))*INDEX(ODE_Y,C24)/(INDEX(ODE_Y,C24)-INDEX(ODE_Y,C24+1))</f>
        <v>4.4824105910003729</v>
      </c>
      <c r="D25" s="30"/>
      <c r="F25" s="36" t="s">
        <v>171</v>
      </c>
    </row>
    <row r="26" spans="2:6" x14ac:dyDescent="0.45">
      <c r="B26" s="38" t="s">
        <v>65</v>
      </c>
      <c r="C26" s="44" cm="1">
        <f t="array" aca="1" ref="C26" ca="1">INDEX(ODE_X,C24)+(INDEX(ODE_X,C24+1)-INDEX(ODE_X,C24))*INDEX(ODE_Y,C24)/(INDEX(ODE_Y,C24)-INDEX(ODE_Y,C24+1))</f>
        <v>44.917374903450586</v>
      </c>
      <c r="D26" s="30"/>
      <c r="F26" s="36" t="s">
        <v>172</v>
      </c>
    </row>
    <row r="27" spans="2:6" x14ac:dyDescent="0.45">
      <c r="B27" s="25" t="s">
        <v>173</v>
      </c>
      <c r="C27" s="45">
        <f ca="1">MAX(ODE_Y)</f>
        <v>29.553321452149113</v>
      </c>
      <c r="D27" s="30"/>
      <c r="F27" s="36" t="s">
        <v>174</v>
      </c>
    </row>
    <row r="28" spans="2:6" ht="8" customHeight="1" x14ac:dyDescent="0.45"/>
    <row r="29" spans="2:6" ht="22.05" customHeight="1" x14ac:dyDescent="0.5">
      <c r="B29" s="7" t="s">
        <v>175</v>
      </c>
      <c r="C29" s="8"/>
      <c r="D29" s="8"/>
    </row>
    <row r="30" spans="2:6" ht="18" customHeight="1" x14ac:dyDescent="0.45">
      <c r="B30" s="13" t="s">
        <v>176</v>
      </c>
    </row>
    <row r="31" spans="2:6" x14ac:dyDescent="0.45">
      <c r="B31" s="25" t="s">
        <v>177</v>
      </c>
      <c r="C31" s="46">
        <f ca="1">(Vy0+SQRT(Vy0^2+2*Gravity*Height0))/Gravity</f>
        <v>4.6332306910288974</v>
      </c>
      <c r="D31" s="30"/>
      <c r="F31" s="36" t="s">
        <v>178</v>
      </c>
    </row>
    <row r="32" spans="2:6" x14ac:dyDescent="0.45">
      <c r="B32" s="25" t="s">
        <v>179</v>
      </c>
      <c r="C32" s="46">
        <f t="shared" ref="C32:C37" ca="1" si="0">C31-(Height0+(Vy0+Gravity/Friction)*(1-EXP(-Friction*C31))/Friction-Gravity/Friction*C31)/((Vy0+Gravity/Friction)*EXP(-Friction*C31)-Gravity/Friction)</f>
        <v>4.4774003561062772</v>
      </c>
      <c r="D32" s="30"/>
      <c r="F32" s="36" t="s">
        <v>180</v>
      </c>
    </row>
    <row r="33" spans="2:6" x14ac:dyDescent="0.45">
      <c r="B33" s="25" t="s">
        <v>181</v>
      </c>
      <c r="C33" s="46">
        <f t="shared" ca="1" si="0"/>
        <v>4.4731065296039354</v>
      </c>
      <c r="D33" s="30"/>
    </row>
    <row r="34" spans="2:6" x14ac:dyDescent="0.45">
      <c r="B34" s="25" t="s">
        <v>182</v>
      </c>
      <c r="C34" s="46">
        <f t="shared" ca="1" si="0"/>
        <v>4.4731032375299726</v>
      </c>
      <c r="D34" s="30"/>
    </row>
    <row r="35" spans="2:6" x14ac:dyDescent="0.45">
      <c r="B35" s="25" t="s">
        <v>183</v>
      </c>
      <c r="C35" s="46">
        <f t="shared" ca="1" si="0"/>
        <v>4.4731032375280355</v>
      </c>
      <c r="D35" s="30"/>
    </row>
    <row r="36" spans="2:6" x14ac:dyDescent="0.45">
      <c r="B36" s="25" t="s">
        <v>184</v>
      </c>
      <c r="C36" s="46">
        <f t="shared" ca="1" si="0"/>
        <v>4.4731032375280302</v>
      </c>
      <c r="D36" s="30"/>
    </row>
    <row r="37" spans="2:6" x14ac:dyDescent="0.45">
      <c r="B37" s="25" t="s">
        <v>185</v>
      </c>
      <c r="C37" s="46">
        <f t="shared" ca="1" si="0"/>
        <v>4.4731032375280302</v>
      </c>
      <c r="D37" s="30"/>
    </row>
    <row r="38" spans="2:6" x14ac:dyDescent="0.45">
      <c r="B38" s="38" t="s">
        <v>186</v>
      </c>
      <c r="C38" s="45">
        <f ca="1">Vx0*(1-EXP(-Friction*C37))/Friction</f>
        <v>44.822419196158336</v>
      </c>
      <c r="D38" s="30"/>
      <c r="F38" s="36" t="s">
        <v>187</v>
      </c>
    </row>
    <row r="39" spans="2:6" x14ac:dyDescent="0.45">
      <c r="B39" s="25" t="s">
        <v>188</v>
      </c>
      <c r="C39" s="45">
        <f ca="1">(Height0+(Vy0+Gravity/Friction)*(1-EXP(-Friction*LN(1+Friction*Vy0/Gravity)/Friction))/Friction-Gravity/Friction*LN(1+Friction*Vy0/Gravity)/Friction)</f>
        <v>29.46095947110831</v>
      </c>
      <c r="D39" s="30"/>
    </row>
    <row r="40" spans="2:6" x14ac:dyDescent="0.45">
      <c r="B40" s="25" t="s">
        <v>189</v>
      </c>
      <c r="C40" s="45">
        <f ca="1">ODE_Range-C38</f>
        <v>9.4955707292250224E-2</v>
      </c>
      <c r="D40" s="30"/>
      <c r="F40" s="36" t="s">
        <v>190</v>
      </c>
    </row>
    <row r="41" spans="2:6" ht="8" customHeight="1" x14ac:dyDescent="0.45"/>
    <row r="42" spans="2:6" ht="22.05" customHeight="1" x14ac:dyDescent="0.5">
      <c r="B42" s="7" t="s">
        <v>191</v>
      </c>
      <c r="C42" s="8"/>
      <c r="D42" s="8"/>
    </row>
    <row r="43" spans="2:6" ht="18" customHeight="1" x14ac:dyDescent="0.45">
      <c r="B43" s="13" t="s">
        <v>192</v>
      </c>
    </row>
    <row r="44" spans="2:6" ht="18" customHeight="1" x14ac:dyDescent="0.45">
      <c r="B44" s="47" t="s">
        <v>193</v>
      </c>
      <c r="C44" s="47" t="s">
        <v>94</v>
      </c>
      <c r="D44" s="48" t="s">
        <v>194</v>
      </c>
      <c r="F44" s="49" t="s">
        <v>195</v>
      </c>
    </row>
    <row r="45" spans="2:6" x14ac:dyDescent="0.45">
      <c r="B45" s="25" t="s">
        <v>65</v>
      </c>
      <c r="C45" s="26" t="s">
        <v>115</v>
      </c>
      <c r="D45" s="50" cm="1">
        <f t="array" aca="1" ref="D45" ca="1">_xll.VoseOutput("Range","m")+ODE_Range</f>
        <v>44.917374903450586</v>
      </c>
      <c r="F45" s="36"/>
    </row>
    <row r="46" spans="2:6" x14ac:dyDescent="0.45">
      <c r="B46" s="25" t="s">
        <v>170</v>
      </c>
      <c r="C46" s="26" t="s">
        <v>119</v>
      </c>
      <c r="D46" s="51" cm="1">
        <f t="array" aca="1" ref="D46" ca="1">_xll.VoseOutput("Flight time","s")+ODE_Time</f>
        <v>4.4824105910003729</v>
      </c>
      <c r="F46" s="36"/>
    </row>
    <row r="47" spans="2:6" x14ac:dyDescent="0.45">
      <c r="B47" s="25" t="s">
        <v>173</v>
      </c>
      <c r="C47" s="26" t="s">
        <v>115</v>
      </c>
      <c r="D47" s="50" cm="1">
        <f t="array" aca="1" ref="D47" ca="1">_xll.VoseOutput("Maximum height","m")+ODE_Height</f>
        <v>29.553321452149113</v>
      </c>
      <c r="F47" s="36"/>
    </row>
    <row r="48" spans="2:6" x14ac:dyDescent="0.45">
      <c r="B48" s="25" t="s">
        <v>196</v>
      </c>
      <c r="C48" s="26" t="s">
        <v>115</v>
      </c>
      <c r="D48" s="50" cm="1">
        <f t="array" aca="1" ref="D48" ca="1">_xll.VoseOutput("Range, exact","m")+Exact_Range</f>
        <v>44.822419196158336</v>
      </c>
      <c r="F48" s="36"/>
    </row>
    <row r="49" spans="2:4" ht="8" customHeight="1" x14ac:dyDescent="0.45"/>
    <row r="50" spans="2:4" ht="22.05" customHeight="1" x14ac:dyDescent="0.5">
      <c r="B50" s="7" t="s">
        <v>197</v>
      </c>
      <c r="C50" s="8"/>
      <c r="D50" s="8"/>
    </row>
    <row r="51" spans="2:4" ht="18" customHeight="1" x14ac:dyDescent="0.45">
      <c r="B51" s="13" t="s">
        <v>198</v>
      </c>
    </row>
    <row r="52" spans="2:4" x14ac:dyDescent="0.45">
      <c r="B52" s="25" t="s">
        <v>199</v>
      </c>
      <c r="C52" s="30"/>
      <c r="D52" s="52" t="str">
        <f ca="1">IF(ISNUMBER(ODE_Time),"OK","CHECK")</f>
        <v>OK</v>
      </c>
    </row>
    <row r="53" spans="2:4" x14ac:dyDescent="0.45">
      <c r="B53" s="25" t="s">
        <v>200</v>
      </c>
      <c r="C53" s="30"/>
      <c r="D53" s="52" t="str">
        <f ca="1">IF(ABS((Height0+(Vy0+Gravity/Friction)*(1-EXP(-Friction*Exact_Time))/Friction-Gravity/Friction*Exact_Time))&lt;0.0001,"OK","CHECK")</f>
        <v>OK</v>
      </c>
    </row>
    <row r="54" spans="2:4" x14ac:dyDescent="0.45">
      <c r="B54" s="25" t="s">
        <v>201</v>
      </c>
      <c r="C54" s="30"/>
      <c r="D54" s="52" t="str">
        <f ca="1">IF(ABS(ODE_Err)&lt;0.01*Exact_Range,"OK","CHECK")</f>
        <v>OK</v>
      </c>
    </row>
    <row r="55" spans="2:4" ht="14" customHeight="1" x14ac:dyDescent="0.45"/>
  </sheetData>
  <conditionalFormatting sqref="D52:D54">
    <cfRule type="expression" dxfId="5" priority="1">
      <formula>D52="CHECK"</formula>
    </cfRule>
  </conditionalFormatting>
  <hyperlinks>
    <hyperlink ref="B4" location="'Fit'!A1" display="◂  Fit" xr:uid="{00000000-0004-0000-0300-000000000000}"/>
    <hyperlink ref="F4" location="'Trajectory'!A1" display="Next:  Trajectory  ▸" xr:uid="{00000000-0004-0000-0300-000001000000}"/>
  </hyperlinks>
  <printOptions horizontalCentered="1"/>
  <pageMargins left="0.4" right="0.4" top="0.5" bottom="0.6" header="0.25" footer="0.25"/>
  <pageSetup paperSize="9" scale="90"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BT20"/>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72" width="6.19921875" customWidth="1"/>
  </cols>
  <sheetData>
    <row r="1" spans="1:72" ht="6" customHeight="1" x14ac:dyDescent="0.45"/>
    <row r="2" spans="1:72"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3" t="s">
        <v>1</v>
      </c>
    </row>
    <row r="3" spans="1:72" ht="20" customHeight="1" x14ac:dyDescent="0.45">
      <c r="A3" s="1"/>
      <c r="B3" s="4" t="s">
        <v>202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row>
    <row r="4" spans="1:72" ht="20" customHeight="1" x14ac:dyDescent="0.45">
      <c r="A4" s="5"/>
      <c r="B4" s="22" t="s">
        <v>203</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6" t="s">
        <v>204</v>
      </c>
    </row>
    <row r="5" spans="1:72" ht="8" customHeight="1" x14ac:dyDescent="0.45"/>
    <row r="6" spans="1:72" ht="22.05" customHeight="1" x14ac:dyDescent="0.5">
      <c r="B6" s="7" t="s">
        <v>205</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row>
    <row r="7" spans="1:72" ht="18" customHeight="1" x14ac:dyDescent="0.45">
      <c r="B7" s="13" t="s">
        <v>206</v>
      </c>
    </row>
    <row r="8" spans="1:72" x14ac:dyDescent="0.45">
      <c r="B8" s="53" t="s">
        <v>207</v>
      </c>
      <c r="C8" s="54">
        <v>0.1</v>
      </c>
      <c r="D8" s="54">
        <v>0.2</v>
      </c>
      <c r="E8" s="54">
        <v>0.3</v>
      </c>
      <c r="F8" s="54">
        <v>0.4</v>
      </c>
      <c r="G8" s="54">
        <v>0.5</v>
      </c>
      <c r="H8" s="54">
        <v>0.6</v>
      </c>
      <c r="I8" s="54">
        <v>0.7</v>
      </c>
      <c r="J8" s="54">
        <v>0.8</v>
      </c>
      <c r="K8" s="54">
        <v>0.9</v>
      </c>
      <c r="L8" s="54">
        <v>1</v>
      </c>
      <c r="M8" s="54">
        <v>1.1000000000000001</v>
      </c>
      <c r="N8" s="54">
        <v>1.2</v>
      </c>
      <c r="O8" s="54">
        <v>1.3</v>
      </c>
      <c r="P8" s="54">
        <v>1.4</v>
      </c>
      <c r="Q8" s="54">
        <v>1.5</v>
      </c>
      <c r="R8" s="54">
        <v>1.6</v>
      </c>
      <c r="S8" s="54">
        <v>1.7</v>
      </c>
      <c r="T8" s="54">
        <v>1.8</v>
      </c>
      <c r="U8" s="54">
        <v>1.9</v>
      </c>
      <c r="V8" s="54">
        <v>2</v>
      </c>
      <c r="W8" s="54">
        <v>2.1</v>
      </c>
      <c r="X8" s="54">
        <v>2.2000000000000002</v>
      </c>
      <c r="Y8" s="54">
        <v>2.2999999999999998</v>
      </c>
      <c r="Z8" s="54">
        <v>2.4</v>
      </c>
      <c r="AA8" s="54">
        <v>2.5</v>
      </c>
      <c r="AB8" s="54">
        <v>2.6</v>
      </c>
      <c r="AC8" s="54">
        <v>2.7</v>
      </c>
      <c r="AD8" s="54">
        <v>2.8</v>
      </c>
      <c r="AE8" s="54">
        <v>2.9</v>
      </c>
      <c r="AF8" s="54">
        <v>3</v>
      </c>
      <c r="AG8" s="54">
        <v>3.1</v>
      </c>
      <c r="AH8" s="54">
        <v>3.2</v>
      </c>
      <c r="AI8" s="54">
        <v>3.3</v>
      </c>
      <c r="AJ8" s="54">
        <v>3.4</v>
      </c>
      <c r="AK8" s="54">
        <v>3.5</v>
      </c>
      <c r="AL8" s="54">
        <v>3.6</v>
      </c>
      <c r="AM8" s="54">
        <v>3.7</v>
      </c>
      <c r="AN8" s="54">
        <v>3.8</v>
      </c>
      <c r="AO8" s="54">
        <v>3.9</v>
      </c>
      <c r="AP8" s="54">
        <v>4</v>
      </c>
      <c r="AQ8" s="54">
        <v>4.0999999999999996</v>
      </c>
      <c r="AR8" s="54">
        <v>4.2</v>
      </c>
      <c r="AS8" s="54">
        <v>4.3</v>
      </c>
      <c r="AT8" s="54">
        <v>4.4000000000000004</v>
      </c>
      <c r="AU8" s="54">
        <v>4.5</v>
      </c>
      <c r="AV8" s="54">
        <v>4.5999999999999996</v>
      </c>
      <c r="AW8" s="54">
        <v>4.7</v>
      </c>
      <c r="AX8" s="54">
        <v>4.8</v>
      </c>
      <c r="AY8" s="54">
        <v>4.9000000000000004</v>
      </c>
      <c r="AZ8" s="54">
        <v>5</v>
      </c>
      <c r="BA8" s="54">
        <v>5.0999999999999996</v>
      </c>
      <c r="BB8" s="54">
        <v>5.2</v>
      </c>
      <c r="BC8" s="54">
        <v>5.3</v>
      </c>
      <c r="BD8" s="54">
        <v>5.4</v>
      </c>
      <c r="BE8" s="54">
        <v>5.5</v>
      </c>
      <c r="BF8" s="54">
        <v>5.6</v>
      </c>
      <c r="BG8" s="54">
        <v>5.7</v>
      </c>
      <c r="BH8" s="54">
        <v>5.8</v>
      </c>
      <c r="BI8" s="54">
        <v>5.9</v>
      </c>
      <c r="BJ8" s="54">
        <v>6</v>
      </c>
      <c r="BK8" s="54">
        <v>6.1</v>
      </c>
      <c r="BL8" s="54">
        <v>6.2</v>
      </c>
      <c r="BM8" s="54">
        <v>6.3</v>
      </c>
      <c r="BN8" s="54">
        <v>6.4</v>
      </c>
      <c r="BO8" s="54">
        <v>6.5</v>
      </c>
      <c r="BP8" s="54">
        <v>6.6</v>
      </c>
      <c r="BQ8" s="54">
        <v>6.7</v>
      </c>
      <c r="BR8" s="54">
        <v>6.8</v>
      </c>
      <c r="BS8" s="54">
        <v>6.9</v>
      </c>
      <c r="BT8" s="54">
        <v>7</v>
      </c>
    </row>
    <row r="9" spans="1:72" ht="8" customHeight="1" x14ac:dyDescent="0.45"/>
    <row r="10" spans="1:72" ht="22.05" customHeight="1" x14ac:dyDescent="0.5">
      <c r="B10" s="7" t="s">
        <v>208</v>
      </c>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row>
    <row r="11" spans="1:72" ht="18" customHeight="1" x14ac:dyDescent="0.45">
      <c r="B11" s="13" t="s">
        <v>209</v>
      </c>
    </row>
    <row r="12" spans="1:72" x14ac:dyDescent="0.45">
      <c r="B12" s="55" t="str">
        <f t="array" aca="1" ref="B12:BT16" ca="1">_xll.VoseODE("Missile",ODE_Eqs,0,ODEStep,TimeStamps,ODE_Names,ODE_Init)</f>
        <v xml:space="preserve"> </v>
      </c>
      <c r="C12" s="56" t="str">
        <f ca="1"/>
        <v>T=0.1</v>
      </c>
      <c r="D12" s="56" t="str">
        <f ca="1"/>
        <v>T=0.2</v>
      </c>
      <c r="E12" s="56" t="str">
        <f ca="1"/>
        <v>T=0.3</v>
      </c>
      <c r="F12" s="56" t="str">
        <f ca="1"/>
        <v>T=0.4</v>
      </c>
      <c r="G12" s="56" t="str">
        <f ca="1"/>
        <v>T=0.5</v>
      </c>
      <c r="H12" s="56" t="str">
        <f ca="1"/>
        <v>T=0.6</v>
      </c>
      <c r="I12" s="56" t="str">
        <f ca="1"/>
        <v>T=0.7</v>
      </c>
      <c r="J12" s="56" t="str">
        <f ca="1"/>
        <v>T=0.8</v>
      </c>
      <c r="K12" s="56" t="str">
        <f ca="1"/>
        <v>T=0.9</v>
      </c>
      <c r="L12" s="56" t="str">
        <f ca="1"/>
        <v>T=1</v>
      </c>
      <c r="M12" s="56" t="str">
        <f ca="1"/>
        <v>T=1.1</v>
      </c>
      <c r="N12" s="56" t="str">
        <f ca="1"/>
        <v>T=1.2</v>
      </c>
      <c r="O12" s="56" t="str">
        <f ca="1"/>
        <v>T=1.3</v>
      </c>
      <c r="P12" s="56" t="str">
        <f ca="1"/>
        <v>T=1.4</v>
      </c>
      <c r="Q12" s="56" t="str">
        <f ca="1"/>
        <v>T=1.5</v>
      </c>
      <c r="R12" s="56" t="str">
        <f ca="1"/>
        <v>T=1.6</v>
      </c>
      <c r="S12" s="56" t="str">
        <f ca="1"/>
        <v>T=1.7</v>
      </c>
      <c r="T12" s="56" t="str">
        <f ca="1"/>
        <v>T=1.8</v>
      </c>
      <c r="U12" s="56" t="str">
        <f ca="1"/>
        <v>T=1.9</v>
      </c>
      <c r="V12" s="56" t="str">
        <f ca="1"/>
        <v>T=2</v>
      </c>
      <c r="W12" s="56" t="str">
        <f ca="1"/>
        <v>T=2.1</v>
      </c>
      <c r="X12" s="56" t="str">
        <f ca="1"/>
        <v>T=2.2</v>
      </c>
      <c r="Y12" s="56" t="str">
        <f ca="1"/>
        <v>T=2.3</v>
      </c>
      <c r="Z12" s="56" t="str">
        <f ca="1"/>
        <v>T=2.4</v>
      </c>
      <c r="AA12" s="56" t="str">
        <f ca="1"/>
        <v>T=2.5</v>
      </c>
      <c r="AB12" s="56" t="str">
        <f ca="1"/>
        <v>T=2.6</v>
      </c>
      <c r="AC12" s="56" t="str">
        <f ca="1"/>
        <v>T=2.7</v>
      </c>
      <c r="AD12" s="56" t="str">
        <f ca="1"/>
        <v>T=2.8</v>
      </c>
      <c r="AE12" s="56" t="str">
        <f ca="1"/>
        <v>T=2.9</v>
      </c>
      <c r="AF12" s="56" t="str">
        <f ca="1"/>
        <v>T=3</v>
      </c>
      <c r="AG12" s="56" t="str">
        <f ca="1"/>
        <v>T=3.1</v>
      </c>
      <c r="AH12" s="56" t="str">
        <f ca="1"/>
        <v>T=3.2</v>
      </c>
      <c r="AI12" s="56" t="str">
        <f ca="1"/>
        <v>T=3.3</v>
      </c>
      <c r="AJ12" s="56" t="str">
        <f ca="1"/>
        <v>T=3.4</v>
      </c>
      <c r="AK12" s="56" t="str">
        <f ca="1"/>
        <v>T=3.5</v>
      </c>
      <c r="AL12" s="56" t="str">
        <f ca="1"/>
        <v>T=3.6</v>
      </c>
      <c r="AM12" s="56" t="str">
        <f ca="1"/>
        <v>T=3.7</v>
      </c>
      <c r="AN12" s="56" t="str">
        <f ca="1"/>
        <v>T=3.8</v>
      </c>
      <c r="AO12" s="56" t="str">
        <f ca="1"/>
        <v>T=3.9</v>
      </c>
      <c r="AP12" s="56" t="str">
        <f ca="1"/>
        <v>T=4</v>
      </c>
      <c r="AQ12" s="56" t="str">
        <f ca="1"/>
        <v>T=4.1</v>
      </c>
      <c r="AR12" s="56" t="str">
        <f ca="1"/>
        <v>T=4.2</v>
      </c>
      <c r="AS12" s="56" t="str">
        <f ca="1"/>
        <v>T=4.3</v>
      </c>
      <c r="AT12" s="56" t="str">
        <f ca="1"/>
        <v>T=4.4</v>
      </c>
      <c r="AU12" s="56" t="str">
        <f ca="1"/>
        <v>T=4.5</v>
      </c>
      <c r="AV12" s="56" t="str">
        <f ca="1"/>
        <v>T=4.6</v>
      </c>
      <c r="AW12" s="56" t="str">
        <f ca="1"/>
        <v>T=4.7</v>
      </c>
      <c r="AX12" s="56" t="str">
        <f ca="1"/>
        <v>T=4.8</v>
      </c>
      <c r="AY12" s="56" t="str">
        <f ca="1"/>
        <v>T=4.9</v>
      </c>
      <c r="AZ12" s="56" t="str">
        <f ca="1"/>
        <v>T=5</v>
      </c>
      <c r="BA12" s="56" t="str">
        <f ca="1"/>
        <v>T=5.1</v>
      </c>
      <c r="BB12" s="56" t="str">
        <f ca="1"/>
        <v>T=5.2</v>
      </c>
      <c r="BC12" s="56" t="str">
        <f ca="1"/>
        <v>T=5.3</v>
      </c>
      <c r="BD12" s="56" t="str">
        <f ca="1"/>
        <v>T=5.4</v>
      </c>
      <c r="BE12" s="56" t="str">
        <f ca="1"/>
        <v>T=5.5</v>
      </c>
      <c r="BF12" s="56" t="str">
        <f ca="1"/>
        <v>T=5.6</v>
      </c>
      <c r="BG12" s="56" t="str">
        <f ca="1"/>
        <v>T=5.7</v>
      </c>
      <c r="BH12" s="56" t="str">
        <f ca="1"/>
        <v>T=5.8</v>
      </c>
      <c r="BI12" s="56" t="str">
        <f ca="1"/>
        <v>T=5.9</v>
      </c>
      <c r="BJ12" s="56" t="str">
        <f ca="1"/>
        <v>T=6</v>
      </c>
      <c r="BK12" s="56" t="str">
        <f ca="1"/>
        <v>T=6.1</v>
      </c>
      <c r="BL12" s="56" t="str">
        <f ca="1"/>
        <v>T=6.2</v>
      </c>
      <c r="BM12" s="56" t="str">
        <f ca="1"/>
        <v>T=6.3</v>
      </c>
      <c r="BN12" s="56" t="str">
        <f ca="1"/>
        <v>T=6.4</v>
      </c>
      <c r="BO12" s="56" t="str">
        <f ca="1"/>
        <v>T=6.5</v>
      </c>
      <c r="BP12" s="56" t="str">
        <f ca="1"/>
        <v>T=6.6</v>
      </c>
      <c r="BQ12" s="56" t="str">
        <f ca="1"/>
        <v>T=6.7</v>
      </c>
      <c r="BR12" s="56" t="str">
        <f ca="1"/>
        <v>T=6.8</v>
      </c>
      <c r="BS12" s="56" t="str">
        <f ca="1"/>
        <v>T=6.9</v>
      </c>
      <c r="BT12" s="56" t="str">
        <f ca="1"/>
        <v>T=7</v>
      </c>
    </row>
    <row r="13" spans="1:72" x14ac:dyDescent="0.45">
      <c r="B13" s="55" t="str">
        <f ca="1"/>
        <v>VX</v>
      </c>
      <c r="C13" s="57">
        <f ca="1"/>
        <v>11.782263857759171</v>
      </c>
      <c r="D13" s="57">
        <f ca="1"/>
        <v>11.690495189105807</v>
      </c>
      <c r="E13" s="57">
        <f ca="1"/>
        <v>11.599441280251412</v>
      </c>
      <c r="F13" s="57">
        <f ca="1"/>
        <v>11.50909656413724</v>
      </c>
      <c r="G13" s="57">
        <f ca="1"/>
        <v>11.419455517064749</v>
      </c>
      <c r="H13" s="57">
        <f ca="1"/>
        <v>11.330512658357911</v>
      </c>
      <c r="I13" s="57">
        <f ca="1"/>
        <v>11.242262550028107</v>
      </c>
      <c r="J13" s="57">
        <f ca="1"/>
        <v>11.154699796441642</v>
      </c>
      <c r="K13" s="57">
        <f ca="1"/>
        <v>11.067819043989875</v>
      </c>
      <c r="L13" s="57">
        <f ca="1"/>
        <v>10.98161498076187</v>
      </c>
      <c r="M13" s="57">
        <f ca="1"/>
        <v>10.896082336219649</v>
      </c>
      <c r="N13" s="57">
        <f ca="1"/>
        <v>10.811215880875938</v>
      </c>
      <c r="O13" s="57">
        <f ca="1"/>
        <v>10.727010425974438</v>
      </c>
      <c r="P13" s="57">
        <f ca="1"/>
        <v>10.643460823172584</v>
      </c>
      <c r="Q13" s="57">
        <f ca="1"/>
        <v>10.560561964226764</v>
      </c>
      <c r="R13" s="57">
        <f ca="1"/>
        <v>10.478308780680022</v>
      </c>
      <c r="S13" s="57">
        <f ca="1"/>
        <v>10.396696243552139</v>
      </c>
      <c r="T13" s="57">
        <f ca="1"/>
        <v>10.315719363032196</v>
      </c>
      <c r="U13" s="57">
        <f ca="1"/>
        <v>10.235373188173465</v>
      </c>
      <c r="V13" s="57">
        <f ca="1"/>
        <v>10.15565280659073</v>
      </c>
      <c r="W13" s="57">
        <f ca="1"/>
        <v>10.076553344159926</v>
      </c>
      <c r="X13" s="57">
        <f ca="1"/>
        <v>9.998069964720143</v>
      </c>
      <c r="Y13" s="57">
        <f ca="1"/>
        <v>9.9201978697779367</v>
      </c>
      <c r="Z13" s="57">
        <f ca="1"/>
        <v>9.8429322982139489</v>
      </c>
      <c r="AA13" s="57">
        <f ca="1"/>
        <v>9.7662685259918174</v>
      </c>
      <c r="AB13" s="57">
        <f ca="1"/>
        <v>9.6902018658693372</v>
      </c>
      <c r="AC13" s="57">
        <f ca="1"/>
        <v>9.6147276671118895</v>
      </c>
      <c r="AD13" s="57">
        <f ca="1"/>
        <v>9.539841315208097</v>
      </c>
      <c r="AE13" s="57">
        <f ca="1"/>
        <v>9.4655382315876722</v>
      </c>
      <c r="AF13" s="57">
        <f ca="1"/>
        <v>9.3918138733415049</v>
      </c>
      <c r="AG13" s="57">
        <f ca="1"/>
        <v>9.3186637329438966</v>
      </c>
      <c r="AH13" s="57">
        <f ca="1"/>
        <v>9.2460833379769714</v>
      </c>
      <c r="AI13" s="57">
        <f ca="1"/>
        <v>9.1740682508572409</v>
      </c>
      <c r="AJ13" s="57">
        <f ca="1"/>
        <v>9.1026140685642627</v>
      </c>
      <c r="AK13" s="57">
        <f ca="1"/>
        <v>9.0317164223714705</v>
      </c>
      <c r="AL13" s="57">
        <f ca="1"/>
        <v>8.9613709775790475</v>
      </c>
      <c r="AM13" s="57">
        <f ca="1"/>
        <v>8.891573433248908</v>
      </c>
      <c r="AN13" s="57">
        <f ca="1"/>
        <v>8.8223195219417434</v>
      </c>
      <c r="AO13" s="57">
        <f ca="1"/>
        <v>8.7536050094560984</v>
      </c>
      <c r="AP13" s="57">
        <f ca="1"/>
        <v>8.6854256945694956</v>
      </c>
      <c r="AQ13" s="57">
        <f ca="1"/>
        <v>8.6177774087815742</v>
      </c>
      <c r="AR13" s="57">
        <f ca="1"/>
        <v>8.5506560160592322</v>
      </c>
      <c r="AS13" s="57">
        <f ca="1"/>
        <v>8.4840574125837325</v>
      </c>
      <c r="AT13" s="57">
        <f ca="1"/>
        <v>8.4179775264998025</v>
      </c>
      <c r="AU13" s="57">
        <f ca="1"/>
        <v>8.3524123176666887</v>
      </c>
      <c r="AV13" s="57">
        <f ca="1"/>
        <v>8.2873577774111293</v>
      </c>
      <c r="AW13" s="57">
        <f ca="1"/>
        <v>8.2228099282822633</v>
      </c>
      <c r="AX13" s="57">
        <f ca="1"/>
        <v>8.1587648238084594</v>
      </c>
      <c r="AY13" s="57">
        <f ca="1"/>
        <v>8.0952185482560122</v>
      </c>
      <c r="AZ13" s="57">
        <f ca="1"/>
        <v>8.0321672163897482</v>
      </c>
      <c r="BA13" s="57">
        <f ca="1"/>
        <v>7.9696069732354697</v>
      </c>
      <c r="BB13" s="57">
        <f ca="1"/>
        <v>7.9075339938442673</v>
      </c>
      <c r="BC13" s="57">
        <f ca="1"/>
        <v>7.8459444830586627</v>
      </c>
      <c r="BD13" s="57">
        <f ca="1"/>
        <v>7.7848346752805639</v>
      </c>
      <c r="BE13" s="57">
        <f ca="1"/>
        <v>7.7242008342410449</v>
      </c>
      <c r="BF13" s="57">
        <f ca="1"/>
        <v>7.6640392527719019</v>
      </c>
      <c r="BG13" s="57">
        <f ca="1"/>
        <v>7.6043462525790035</v>
      </c>
      <c r="BH13" s="57">
        <f ca="1"/>
        <v>7.5451181840173902</v>
      </c>
      <c r="BI13" s="57">
        <f ca="1"/>
        <v>7.4863514258681407</v>
      </c>
      <c r="BJ13" s="57">
        <f ca="1"/>
        <v>7.428042385116969</v>
      </c>
      <c r="BK13" s="57">
        <f ca="1"/>
        <v>7.3701874967345438</v>
      </c>
      <c r="BL13" s="57">
        <f ca="1"/>
        <v>7.3127832234585224</v>
      </c>
      <c r="BM13" s="57">
        <f ca="1"/>
        <v>7.255826055577284</v>
      </c>
      <c r="BN13" s="57">
        <f ca="1"/>
        <v>7.1993125107153402</v>
      </c>
      <c r="BO13" s="57">
        <f ca="1"/>
        <v>7.1432391336204306</v>
      </c>
      <c r="BP13" s="57">
        <f ca="1"/>
        <v>7.0876024959522566</v>
      </c>
      <c r="BQ13" s="57">
        <f ca="1"/>
        <v>7.0323991960728813</v>
      </c>
      <c r="BR13" s="57">
        <f ca="1"/>
        <v>6.9776258588387474</v>
      </c>
      <c r="BS13" s="57">
        <f ca="1"/>
        <v>6.9232791353943197</v>
      </c>
      <c r="BT13" s="57">
        <f ca="1"/>
        <v>6.8693557029673382</v>
      </c>
    </row>
    <row r="14" spans="1:72" x14ac:dyDescent="0.45">
      <c r="B14" s="55" t="str">
        <f ca="1"/>
        <v>VY</v>
      </c>
      <c r="C14" s="57">
        <f ca="1"/>
        <v>19.430304972116733</v>
      </c>
      <c r="D14" s="57">
        <f ca="1"/>
        <v>18.301793250470379</v>
      </c>
      <c r="E14" s="57">
        <f ca="1"/>
        <v>17.182071182451324</v>
      </c>
      <c r="F14" s="57">
        <f ca="1"/>
        <v>16.071070307972359</v>
      </c>
      <c r="G14" s="57">
        <f ca="1"/>
        <v>14.968722700162223</v>
      </c>
      <c r="H14" s="57">
        <f ca="1"/>
        <v>13.874960961212537</v>
      </c>
      <c r="I14" s="57">
        <f ca="1"/>
        <v>12.789718218257097</v>
      </c>
      <c r="J14" s="57">
        <f ca="1"/>
        <v>11.712928119283246</v>
      </c>
      <c r="K14" s="57">
        <f ca="1"/>
        <v>10.644524829075086</v>
      </c>
      <c r="L14" s="57">
        <f ca="1"/>
        <v>9.5844430251883104</v>
      </c>
      <c r="M14" s="57">
        <f ca="1"/>
        <v>8.5326178939563633</v>
      </c>
      <c r="N14" s="57">
        <f ca="1"/>
        <v>7.4889851265277221</v>
      </c>
      <c r="O14" s="57">
        <f ca="1"/>
        <v>6.4534809149340333</v>
      </c>
      <c r="P14" s="57">
        <f ca="1"/>
        <v>5.4260419481888835</v>
      </c>
      <c r="Q14" s="57">
        <f ca="1"/>
        <v>4.4066054084169419</v>
      </c>
      <c r="R14" s="57">
        <f ca="1"/>
        <v>3.3951089670132668</v>
      </c>
      <c r="S14" s="57">
        <f ca="1"/>
        <v>2.391490780832513</v>
      </c>
      <c r="T14" s="57">
        <f ca="1"/>
        <v>1.3956894884078306</v>
      </c>
      <c r="U14" s="57">
        <f ca="1"/>
        <v>0.40764420619920999</v>
      </c>
      <c r="V14" s="57">
        <f ca="1"/>
        <v>-0.57270547512895564</v>
      </c>
      <c r="W14" s="57">
        <f ca="1"/>
        <v>-1.5454194944013111</v>
      </c>
      <c r="X14" s="57">
        <f ca="1"/>
        <v>-2.5105573235962138</v>
      </c>
      <c r="Y14" s="57">
        <f ca="1"/>
        <v>-3.4681779714818628</v>
      </c>
      <c r="Z14" s="57">
        <f ca="1"/>
        <v>-4.4183399872241216</v>
      </c>
      <c r="AA14" s="57">
        <f ca="1"/>
        <v>-5.3611014639662065</v>
      </c>
      <c r="AB14" s="57">
        <f ca="1"/>
        <v>-6.2965200423805365</v>
      </c>
      <c r="AC14" s="57">
        <f ca="1"/>
        <v>-7.2246529141928901</v>
      </c>
      <c r="AD14" s="57">
        <f ca="1"/>
        <v>-8.1455568256791206</v>
      </c>
      <c r="AE14" s="57">
        <f ca="1"/>
        <v>-9.0592880811346426</v>
      </c>
      <c r="AF14" s="57">
        <f ca="1"/>
        <v>-9.9659025463168831</v>
      </c>
      <c r="AG14" s="57">
        <f ca="1"/>
        <v>-10.865455651860934</v>
      </c>
      <c r="AH14" s="57">
        <f ca="1"/>
        <v>-11.758002396668598</v>
      </c>
      <c r="AI14" s="57">
        <f ca="1"/>
        <v>-12.643597351271026</v>
      </c>
      <c r="AJ14" s="57">
        <f ca="1"/>
        <v>-13.522294661165175</v>
      </c>
      <c r="AK14" s="57">
        <f ca="1"/>
        <v>-14.394148050124283</v>
      </c>
      <c r="AL14" s="57">
        <f ca="1"/>
        <v>-15.259210823482555</v>
      </c>
      <c r="AM14" s="57">
        <f ca="1"/>
        <v>-16.117535871394253</v>
      </c>
      <c r="AN14" s="57">
        <f ca="1"/>
        <v>-16.969175672067426</v>
      </c>
      <c r="AO14" s="57">
        <f ca="1"/>
        <v>-17.814182294972429</v>
      </c>
      <c r="AP14" s="57">
        <f ca="1"/>
        <v>-18.652607404025474</v>
      </c>
      <c r="AQ14" s="57">
        <f ca="1"/>
        <v>-19.484502260747366</v>
      </c>
      <c r="AR14" s="57">
        <f ca="1"/>
        <v>-20.309917727397661</v>
      </c>
      <c r="AS14" s="57">
        <f ca="1"/>
        <v>-21.128904270084366</v>
      </c>
      <c r="AT14" s="57">
        <f ca="1"/>
        <v>-21.941511961849489</v>
      </c>
      <c r="AU14" s="57">
        <f ca="1"/>
        <v>-22.747790485730494</v>
      </c>
      <c r="AV14" s="57">
        <f ca="1"/>
        <v>-23.547789137797935</v>
      </c>
      <c r="AW14" s="57">
        <f ca="1"/>
        <v>-24.341556830169431</v>
      </c>
      <c r="AX14" s="57">
        <f ca="1"/>
        <v>-25.129142094000162</v>
      </c>
      <c r="AY14" s="57">
        <f ca="1"/>
        <v>-25.910593082450095</v>
      </c>
      <c r="AZ14" s="57">
        <f ca="1"/>
        <v>-26.685957573628052</v>
      </c>
      <c r="BA14" s="57">
        <f ca="1"/>
        <v>-27.455282973512897</v>
      </c>
      <c r="BB14" s="57">
        <f ca="1"/>
        <v>-28.218616318851957</v>
      </c>
      <c r="BC14" s="57">
        <f ca="1"/>
        <v>-28.976004280036815</v>
      </c>
      <c r="BD14" s="57">
        <f ca="1"/>
        <v>-29.727493163956801</v>
      </c>
      <c r="BE14" s="57">
        <f ca="1"/>
        <v>-30.473128916830184</v>
      </c>
      <c r="BF14" s="57">
        <f ca="1"/>
        <v>-31.212957127013333</v>
      </c>
      <c r="BG14" s="57">
        <f ca="1"/>
        <v>-31.947023027788006</v>
      </c>
      <c r="BH14" s="57">
        <f ca="1"/>
        <v>-32.675371500126921</v>
      </c>
      <c r="BI14" s="57">
        <f ca="1"/>
        <v>-33.398047075437802</v>
      </c>
      <c r="BJ14" s="57">
        <f ca="1"/>
        <v>-34.115093938286016</v>
      </c>
      <c r="BK14" s="57">
        <f ca="1"/>
        <v>-34.826555929096045</v>
      </c>
      <c r="BL14" s="57">
        <f ca="1"/>
        <v>-35.532476546831916</v>
      </c>
      <c r="BM14" s="57">
        <f ca="1"/>
        <v>-36.232898951656708</v>
      </c>
      <c r="BN14" s="57">
        <f ca="1"/>
        <v>-36.927865967571364</v>
      </c>
      <c r="BO14" s="57">
        <f ca="1"/>
        <v>-37.617420085033018</v>
      </c>
      <c r="BP14" s="57">
        <f ca="1"/>
        <v>-38.30160346355283</v>
      </c>
      <c r="BQ14" s="57">
        <f ca="1"/>
        <v>-38.980457934273645</v>
      </c>
      <c r="BR14" s="57">
        <f ca="1"/>
        <v>-39.654025002527533</v>
      </c>
      <c r="BS14" s="57">
        <f ca="1"/>
        <v>-40.322345850373473</v>
      </c>
      <c r="BT14" s="57">
        <f ca="1"/>
        <v>-40.985461339115218</v>
      </c>
    </row>
    <row r="15" spans="1:72" x14ac:dyDescent="0.45">
      <c r="B15" s="55" t="str">
        <f ca="1"/>
        <v>X</v>
      </c>
      <c r="C15" s="57">
        <f ca="1"/>
        <v>1.1833073166163288</v>
      </c>
      <c r="D15" s="57">
        <f ca="1"/>
        <v>2.3573981924565364</v>
      </c>
      <c r="E15" s="57">
        <f ca="1"/>
        <v>3.5223444117303435</v>
      </c>
      <c r="F15" s="57">
        <f ca="1"/>
        <v>4.6782171995408826</v>
      </c>
      <c r="G15" s="57">
        <f ca="1"/>
        <v>5.8250872262394164</v>
      </c>
      <c r="H15" s="57">
        <f ca="1"/>
        <v>6.9630246117461416</v>
      </c>
      <c r="I15" s="57">
        <f ca="1"/>
        <v>8.0920989298373396</v>
      </c>
      <c r="J15" s="57">
        <f ca="1"/>
        <v>9.212379212399135</v>
      </c>
      <c r="K15" s="57">
        <f ca="1"/>
        <v>10.323933953648119</v>
      </c>
      <c r="L15" s="57">
        <f ca="1"/>
        <v>11.426831114319111</v>
      </c>
      <c r="M15" s="57">
        <f ca="1"/>
        <v>12.521138125820277</v>
      </c>
      <c r="N15" s="57">
        <f ca="1"/>
        <v>13.606921894355928</v>
      </c>
      <c r="O15" s="57">
        <f ca="1"/>
        <v>14.684248805017162</v>
      </c>
      <c r="P15" s="57">
        <f ca="1"/>
        <v>15.75318472584067</v>
      </c>
      <c r="Q15" s="57">
        <f ca="1"/>
        <v>16.813795011835932</v>
      </c>
      <c r="R15" s="57">
        <f ca="1"/>
        <v>17.866144508981034</v>
      </c>
      <c r="S15" s="57">
        <f ca="1"/>
        <v>18.910297558187363</v>
      </c>
      <c r="T15" s="57">
        <f ca="1"/>
        <v>19.946317999233422</v>
      </c>
      <c r="U15" s="57">
        <f ca="1"/>
        <v>20.974269174668034</v>
      </c>
      <c r="V15" s="57">
        <f ca="1"/>
        <v>21.994213933683088</v>
      </c>
      <c r="W15" s="57">
        <f ca="1"/>
        <v>23.00621463595618</v>
      </c>
      <c r="X15" s="57">
        <f ca="1"/>
        <v>24.010333155463293</v>
      </c>
      <c r="Y15" s="57">
        <f ca="1"/>
        <v>25.006630884261781</v>
      </c>
      <c r="Z15" s="57">
        <f ca="1"/>
        <v>25.995168736243897</v>
      </c>
      <c r="AA15" s="57">
        <f ca="1"/>
        <v>26.976007150861086</v>
      </c>
      <c r="AB15" s="57">
        <f ca="1"/>
        <v>27.949206096819264</v>
      </c>
      <c r="AC15" s="57">
        <f ca="1"/>
        <v>28.914825075745338</v>
      </c>
      <c r="AD15" s="57">
        <f ca="1"/>
        <v>29.87292312582511</v>
      </c>
      <c r="AE15" s="57">
        <f ca="1"/>
        <v>30.823558825412938</v>
      </c>
      <c r="AF15" s="57">
        <f ca="1"/>
        <v>31.766790296613198</v>
      </c>
      <c r="AG15" s="57">
        <f ca="1"/>
        <v>32.70267520883386</v>
      </c>
      <c r="AH15" s="57">
        <f ca="1"/>
        <v>33.631270782312491</v>
      </c>
      <c r="AI15" s="57">
        <f ca="1"/>
        <v>34.552633791614639</v>
      </c>
      <c r="AJ15" s="57">
        <f ca="1"/>
        <v>35.46682056910506</v>
      </c>
      <c r="AK15" s="57">
        <f ca="1"/>
        <v>36.373887008391939</v>
      </c>
      <c r="AL15" s="57">
        <f ca="1"/>
        <v>37.273888567744152</v>
      </c>
      <c r="AM15" s="57">
        <f ca="1"/>
        <v>38.166880273482072</v>
      </c>
      <c r="AN15" s="57">
        <f ca="1"/>
        <v>39.052916723341902</v>
      </c>
      <c r="AO15" s="57">
        <f ca="1"/>
        <v>39.932052089813716</v>
      </c>
      <c r="AP15" s="57">
        <f ca="1"/>
        <v>40.804340123453649</v>
      </c>
      <c r="AQ15" s="57">
        <f ca="1"/>
        <v>41.669834156170168</v>
      </c>
      <c r="AR15" s="57">
        <f ca="1"/>
        <v>42.52858710448487</v>
      </c>
      <c r="AS15" s="57">
        <f ca="1"/>
        <v>43.38065147276771</v>
      </c>
      <c r="AT15" s="57">
        <f ca="1"/>
        <v>44.226079356447237</v>
      </c>
      <c r="AU15" s="57">
        <f ca="1"/>
        <v>45.064922445195648</v>
      </c>
      <c r="AV15" s="57">
        <f ca="1"/>
        <v>45.897232026089107</v>
      </c>
      <c r="AW15" s="57">
        <f ca="1"/>
        <v>46.723058986743538</v>
      </c>
      <c r="AX15" s="57">
        <f ca="1"/>
        <v>47.542453818425791</v>
      </c>
      <c r="AY15" s="57">
        <f ca="1"/>
        <v>48.355466619140763</v>
      </c>
      <c r="AZ15" s="57">
        <f ca="1"/>
        <v>49.162147096694362</v>
      </c>
      <c r="BA15" s="57">
        <f ca="1"/>
        <v>49.962544571732707</v>
      </c>
      <c r="BB15" s="57">
        <f ca="1"/>
        <v>50.756707980757561</v>
      </c>
      <c r="BC15" s="57">
        <f ca="1"/>
        <v>51.544685879118305</v>
      </c>
      <c r="BD15" s="57">
        <f ca="1"/>
        <v>52.326526443980676</v>
      </c>
      <c r="BE15" s="57">
        <f ca="1"/>
        <v>53.102277477272317</v>
      </c>
      <c r="BF15" s="57">
        <f ca="1"/>
        <v>53.871986408605359</v>
      </c>
      <c r="BG15" s="57">
        <f ca="1"/>
        <v>54.635700298176324</v>
      </c>
      <c r="BH15" s="57">
        <f ca="1"/>
        <v>55.39346583964339</v>
      </c>
      <c r="BI15" s="57">
        <f ca="1"/>
        <v>56.145329362981215</v>
      </c>
      <c r="BJ15" s="57">
        <f ca="1"/>
        <v>56.891336837313631</v>
      </c>
      <c r="BK15" s="57">
        <f ca="1"/>
        <v>57.631533873724152</v>
      </c>
      <c r="BL15" s="57">
        <f ca="1"/>
        <v>58.365965728044671</v>
      </c>
      <c r="BM15" s="57">
        <f ca="1"/>
        <v>59.094677303622376</v>
      </c>
      <c r="BN15" s="57">
        <f ca="1"/>
        <v>59.817713154065224</v>
      </c>
      <c r="BO15" s="57">
        <f ca="1"/>
        <v>60.535117485965891</v>
      </c>
      <c r="BP15" s="57">
        <f ca="1"/>
        <v>61.246934161604621</v>
      </c>
      <c r="BQ15" s="57">
        <f ca="1"/>
        <v>61.953206701630933</v>
      </c>
      <c r="BR15" s="57">
        <f ca="1"/>
        <v>62.653978287724534</v>
      </c>
      <c r="BS15" s="57">
        <f ca="1"/>
        <v>63.349291765235421</v>
      </c>
      <c r="BT15" s="57">
        <f ca="1"/>
        <v>64.039189645803447</v>
      </c>
    </row>
    <row r="16" spans="1:72" x14ac:dyDescent="0.45">
      <c r="B16" s="55" t="str">
        <f ca="1"/>
        <v>Y</v>
      </c>
      <c r="C16" s="57">
        <f ca="1"/>
        <v>12.005512497816232</v>
      </c>
      <c r="D16" s="57">
        <f ca="1"/>
        <v>13.897687169113494</v>
      </c>
      <c r="E16" s="57">
        <f ca="1"/>
        <v>15.677406769665488</v>
      </c>
      <c r="F16" s="57">
        <f ca="1"/>
        <v>17.345547179714771</v>
      </c>
      <c r="G16" s="57">
        <f ca="1"/>
        <v>18.902977457524297</v>
      </c>
      <c r="H16" s="57">
        <f ca="1"/>
        <v>20.350559892511853</v>
      </c>
      <c r="I16" s="57">
        <f ca="1"/>
        <v>21.689150057970643</v>
      </c>
      <c r="J16" s="57">
        <f ca="1"/>
        <v>22.919596863379255</v>
      </c>
      <c r="K16" s="57">
        <f ca="1"/>
        <v>24.042742606304213</v>
      </c>
      <c r="L16" s="57">
        <f ca="1"/>
        <v>25.059423023898258</v>
      </c>
      <c r="M16" s="57">
        <f ca="1"/>
        <v>25.970467343997505</v>
      </c>
      <c r="N16" s="57">
        <f ca="1"/>
        <v>26.776698335820655</v>
      </c>
      <c r="O16" s="57">
        <f ca="1"/>
        <v>27.478932360273319</v>
      </c>
      <c r="P16" s="57">
        <f ca="1"/>
        <v>28.077979419860515</v>
      </c>
      <c r="Q16" s="57">
        <f ca="1"/>
        <v>28.574643208210432</v>
      </c>
      <c r="R16" s="57">
        <f ca="1"/>
        <v>28.969721159212451</v>
      </c>
      <c r="S16" s="57">
        <f ca="1"/>
        <v>29.264004495772458</v>
      </c>
      <c r="T16" s="57">
        <f ca="1"/>
        <v>29.458278278188406</v>
      </c>
      <c r="U16" s="57">
        <f ca="1"/>
        <v>29.553321452149113</v>
      </c>
      <c r="V16" s="57">
        <f ca="1"/>
        <v>29.549906896359168</v>
      </c>
      <c r="W16" s="57">
        <f ca="1"/>
        <v>29.448801469792947</v>
      </c>
      <c r="X16" s="57">
        <f ca="1"/>
        <v>29.250766058580581</v>
      </c>
      <c r="Y16" s="57">
        <f ca="1"/>
        <v>28.956555622528679</v>
      </c>
      <c r="Z16" s="57">
        <f ca="1"/>
        <v>28.566919241278793</v>
      </c>
      <c r="AA16" s="57">
        <f ca="1"/>
        <v>28.082600160106317</v>
      </c>
      <c r="AB16" s="57">
        <f ca="1"/>
        <v>27.50433583536271</v>
      </c>
      <c r="AC16" s="57">
        <f ca="1"/>
        <v>26.832857979563748</v>
      </c>
      <c r="AD16" s="57">
        <f ca="1"/>
        <v>26.0688926061266</v>
      </c>
      <c r="AE16" s="57">
        <f ca="1"/>
        <v>25.213160073758477</v>
      </c>
      <c r="AF16" s="57">
        <f ca="1"/>
        <v>24.266375130499579</v>
      </c>
      <c r="AG16" s="57">
        <f ca="1"/>
        <v>23.229246957422902</v>
      </c>
      <c r="AH16" s="57">
        <f ca="1"/>
        <v>22.102479211993796</v>
      </c>
      <c r="AI16" s="57">
        <f ca="1"/>
        <v>20.886770071091746</v>
      </c>
      <c r="AJ16" s="57">
        <f ca="1"/>
        <v>19.582812273697076</v>
      </c>
      <c r="AK16" s="57">
        <f ca="1"/>
        <v>18.191293163245174</v>
      </c>
      <c r="AL16" s="57">
        <f ca="1"/>
        <v>16.712894729650877</v>
      </c>
      <c r="AM16" s="57">
        <f ca="1"/>
        <v>15.148293651005467</v>
      </c>
      <c r="AN16" s="57">
        <f ca="1"/>
        <v>13.498161334948955</v>
      </c>
      <c r="AO16" s="57">
        <f ca="1"/>
        <v>11.763163959720114</v>
      </c>
      <c r="AP16" s="57">
        <f ca="1"/>
        <v>9.9439625148867741</v>
      </c>
      <c r="AQ16" s="57">
        <f ca="1"/>
        <v>8.0412128417589077</v>
      </c>
      <c r="AR16" s="57">
        <f ca="1"/>
        <v>6.0555656734868828</v>
      </c>
      <c r="AS16" s="57">
        <f ca="1"/>
        <v>3.9876666748475418</v>
      </c>
      <c r="AT16" s="57">
        <f ca="1"/>
        <v>1.8381564817202123</v>
      </c>
      <c r="AU16" s="57">
        <f ca="1"/>
        <v>-0.39232925974460431</v>
      </c>
      <c r="AV16" s="57">
        <f ca="1"/>
        <v>-2.7031598542616662</v>
      </c>
      <c r="AW16" s="57">
        <f ca="1"/>
        <v>-5.0937095188501909</v>
      </c>
      <c r="AX16" s="57">
        <f ca="1"/>
        <v>-7.5633573445731912</v>
      </c>
      <c r="AY16" s="57">
        <f ca="1"/>
        <v>-10.111487258575087</v>
      </c>
      <c r="AZ16" s="57">
        <f ca="1"/>
        <v>-12.737487986414783</v>
      </c>
      <c r="BA16" s="57">
        <f ca="1"/>
        <v>-15.44075301469219</v>
      </c>
      <c r="BB16" s="57">
        <f ca="1"/>
        <v>-18.220680553965945</v>
      </c>
      <c r="BC16" s="57">
        <f ca="1"/>
        <v>-21.076673501959664</v>
      </c>
      <c r="BD16" s="57">
        <f ca="1"/>
        <v>-24.00813940705515</v>
      </c>
      <c r="BE16" s="57">
        <f ca="1"/>
        <v>-27.014490432069653</v>
      </c>
      <c r="BF16" s="57">
        <f ca="1"/>
        <v>-30.095143318315383</v>
      </c>
      <c r="BG16" s="57">
        <f ca="1"/>
        <v>-33.249519349938915</v>
      </c>
      <c r="BH16" s="57">
        <f ca="1"/>
        <v>-36.477044318538375</v>
      </c>
      <c r="BI16" s="57">
        <f ca="1"/>
        <v>-39.77714848805617</v>
      </c>
      <c r="BJ16" s="57">
        <f ca="1"/>
        <v>-43.149266559945225</v>
      </c>
      <c r="BK16" s="57">
        <f ca="1"/>
        <v>-46.592837638606468</v>
      </c>
      <c r="BL16" s="57">
        <f ca="1"/>
        <v>-50.107305197095478</v>
      </c>
      <c r="BM16" s="57">
        <f ca="1"/>
        <v>-53.692117043096388</v>
      </c>
      <c r="BN16" s="57">
        <f ca="1"/>
        <v>-57.346725285160623</v>
      </c>
      <c r="BO16" s="57">
        <f ca="1"/>
        <v>-61.070586299208735</v>
      </c>
      <c r="BP16" s="57">
        <f ca="1"/>
        <v>-64.863160695293061</v>
      </c>
      <c r="BQ16" s="57">
        <f ca="1"/>
        <v>-68.723913284619314</v>
      </c>
      <c r="BR16" s="57">
        <f ca="1"/>
        <v>-72.652313046824972</v>
      </c>
      <c r="BS16" s="57">
        <f ca="1"/>
        <v>-76.647833097512603</v>
      </c>
      <c r="BT16" s="57">
        <f ca="1"/>
        <v>-80.709950656035957</v>
      </c>
    </row>
    <row r="17" spans="2:72" ht="8" customHeight="1" x14ac:dyDescent="0.45"/>
    <row r="18" spans="2:72" ht="22.05" customHeight="1" x14ac:dyDescent="0.5">
      <c r="B18" s="7" t="s">
        <v>210</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row>
    <row r="19" spans="2:72" ht="18" customHeight="1" x14ac:dyDescent="0.45">
      <c r="B19" s="13" t="s">
        <v>211</v>
      </c>
    </row>
    <row r="20" spans="2:72" x14ac:dyDescent="0.45">
      <c r="B20" s="38" t="s">
        <v>212</v>
      </c>
      <c r="C20" s="56">
        <f t="shared" ref="C20:AH20" ca="1" si="0">MAX(C16,0)</f>
        <v>12.005512497816232</v>
      </c>
      <c r="D20" s="56">
        <f t="shared" ca="1" si="0"/>
        <v>13.897687169113494</v>
      </c>
      <c r="E20" s="56">
        <f t="shared" ca="1" si="0"/>
        <v>15.677406769665488</v>
      </c>
      <c r="F20" s="56">
        <f t="shared" ca="1" si="0"/>
        <v>17.345547179714771</v>
      </c>
      <c r="G20" s="56">
        <f t="shared" ca="1" si="0"/>
        <v>18.902977457524297</v>
      </c>
      <c r="H20" s="56">
        <f t="shared" ca="1" si="0"/>
        <v>20.350559892511853</v>
      </c>
      <c r="I20" s="56">
        <f t="shared" ca="1" si="0"/>
        <v>21.689150057970643</v>
      </c>
      <c r="J20" s="56">
        <f t="shared" ca="1" si="0"/>
        <v>22.919596863379255</v>
      </c>
      <c r="K20" s="56">
        <f t="shared" ca="1" si="0"/>
        <v>24.042742606304213</v>
      </c>
      <c r="L20" s="56">
        <f t="shared" ca="1" si="0"/>
        <v>25.059423023898258</v>
      </c>
      <c r="M20" s="56">
        <f t="shared" ca="1" si="0"/>
        <v>25.970467343997505</v>
      </c>
      <c r="N20" s="56">
        <f t="shared" ca="1" si="0"/>
        <v>26.776698335820655</v>
      </c>
      <c r="O20" s="56">
        <f t="shared" ca="1" si="0"/>
        <v>27.478932360273319</v>
      </c>
      <c r="P20" s="56">
        <f t="shared" ca="1" si="0"/>
        <v>28.077979419860515</v>
      </c>
      <c r="Q20" s="56">
        <f t="shared" ca="1" si="0"/>
        <v>28.574643208210432</v>
      </c>
      <c r="R20" s="56">
        <f t="shared" ca="1" si="0"/>
        <v>28.969721159212451</v>
      </c>
      <c r="S20" s="56">
        <f t="shared" ca="1" si="0"/>
        <v>29.264004495772458</v>
      </c>
      <c r="T20" s="56">
        <f t="shared" ca="1" si="0"/>
        <v>29.458278278188406</v>
      </c>
      <c r="U20" s="56">
        <f t="shared" ca="1" si="0"/>
        <v>29.553321452149113</v>
      </c>
      <c r="V20" s="56">
        <f t="shared" ca="1" si="0"/>
        <v>29.549906896359168</v>
      </c>
      <c r="W20" s="56">
        <f t="shared" ca="1" si="0"/>
        <v>29.448801469792947</v>
      </c>
      <c r="X20" s="56">
        <f t="shared" ca="1" si="0"/>
        <v>29.250766058580581</v>
      </c>
      <c r="Y20" s="56">
        <f t="shared" ca="1" si="0"/>
        <v>28.956555622528679</v>
      </c>
      <c r="Z20" s="56">
        <f t="shared" ca="1" si="0"/>
        <v>28.566919241278793</v>
      </c>
      <c r="AA20" s="56">
        <f t="shared" ca="1" si="0"/>
        <v>28.082600160106317</v>
      </c>
      <c r="AB20" s="56">
        <f t="shared" ca="1" si="0"/>
        <v>27.50433583536271</v>
      </c>
      <c r="AC20" s="56">
        <f t="shared" ca="1" si="0"/>
        <v>26.832857979563748</v>
      </c>
      <c r="AD20" s="56">
        <f t="shared" ca="1" si="0"/>
        <v>26.0688926061266</v>
      </c>
      <c r="AE20" s="56">
        <f t="shared" ca="1" si="0"/>
        <v>25.213160073758477</v>
      </c>
      <c r="AF20" s="56">
        <f t="shared" ca="1" si="0"/>
        <v>24.266375130499579</v>
      </c>
      <c r="AG20" s="56">
        <f t="shared" ca="1" si="0"/>
        <v>23.229246957422902</v>
      </c>
      <c r="AH20" s="56">
        <f t="shared" ca="1" si="0"/>
        <v>22.102479211993796</v>
      </c>
      <c r="AI20" s="56">
        <f t="shared" ref="AI20:BN20" ca="1" si="1">MAX(AI16,0)</f>
        <v>20.886770071091746</v>
      </c>
      <c r="AJ20" s="56">
        <f t="shared" ca="1" si="1"/>
        <v>19.582812273697076</v>
      </c>
      <c r="AK20" s="56">
        <f t="shared" ca="1" si="1"/>
        <v>18.191293163245174</v>
      </c>
      <c r="AL20" s="56">
        <f t="shared" ca="1" si="1"/>
        <v>16.712894729650877</v>
      </c>
      <c r="AM20" s="56">
        <f t="shared" ca="1" si="1"/>
        <v>15.148293651005467</v>
      </c>
      <c r="AN20" s="56">
        <f t="shared" ca="1" si="1"/>
        <v>13.498161334948955</v>
      </c>
      <c r="AO20" s="56">
        <f t="shared" ca="1" si="1"/>
        <v>11.763163959720114</v>
      </c>
      <c r="AP20" s="56">
        <f t="shared" ca="1" si="1"/>
        <v>9.9439625148867741</v>
      </c>
      <c r="AQ20" s="56">
        <f t="shared" ca="1" si="1"/>
        <v>8.0412128417589077</v>
      </c>
      <c r="AR20" s="56">
        <f t="shared" ca="1" si="1"/>
        <v>6.0555656734868828</v>
      </c>
      <c r="AS20" s="56">
        <f t="shared" ca="1" si="1"/>
        <v>3.9876666748475418</v>
      </c>
      <c r="AT20" s="56">
        <f t="shared" ca="1" si="1"/>
        <v>1.8381564817202123</v>
      </c>
      <c r="AU20" s="56">
        <f t="shared" ca="1" si="1"/>
        <v>0</v>
      </c>
      <c r="AV20" s="56">
        <f t="shared" ca="1" si="1"/>
        <v>0</v>
      </c>
      <c r="AW20" s="56">
        <f t="shared" ca="1" si="1"/>
        <v>0</v>
      </c>
      <c r="AX20" s="56">
        <f t="shared" ca="1" si="1"/>
        <v>0</v>
      </c>
      <c r="AY20" s="56">
        <f t="shared" ca="1" si="1"/>
        <v>0</v>
      </c>
      <c r="AZ20" s="56">
        <f t="shared" ca="1" si="1"/>
        <v>0</v>
      </c>
      <c r="BA20" s="56">
        <f t="shared" ca="1" si="1"/>
        <v>0</v>
      </c>
      <c r="BB20" s="56">
        <f t="shared" ca="1" si="1"/>
        <v>0</v>
      </c>
      <c r="BC20" s="56">
        <f t="shared" ca="1" si="1"/>
        <v>0</v>
      </c>
      <c r="BD20" s="56">
        <f t="shared" ca="1" si="1"/>
        <v>0</v>
      </c>
      <c r="BE20" s="56">
        <f t="shared" ca="1" si="1"/>
        <v>0</v>
      </c>
      <c r="BF20" s="56">
        <f t="shared" ca="1" si="1"/>
        <v>0</v>
      </c>
      <c r="BG20" s="56">
        <f t="shared" ca="1" si="1"/>
        <v>0</v>
      </c>
      <c r="BH20" s="56">
        <f t="shared" ca="1" si="1"/>
        <v>0</v>
      </c>
      <c r="BI20" s="56">
        <f t="shared" ca="1" si="1"/>
        <v>0</v>
      </c>
      <c r="BJ20" s="56">
        <f t="shared" ca="1" si="1"/>
        <v>0</v>
      </c>
      <c r="BK20" s="56">
        <f t="shared" ca="1" si="1"/>
        <v>0</v>
      </c>
      <c r="BL20" s="56">
        <f t="shared" ca="1" si="1"/>
        <v>0</v>
      </c>
      <c r="BM20" s="56">
        <f t="shared" ca="1" si="1"/>
        <v>0</v>
      </c>
      <c r="BN20" s="56">
        <f t="shared" ca="1" si="1"/>
        <v>0</v>
      </c>
      <c r="BO20" s="56">
        <f t="shared" ref="BO20:BT20" ca="1" si="2">MAX(BO16,0)</f>
        <v>0</v>
      </c>
      <c r="BP20" s="56">
        <f t="shared" ca="1" si="2"/>
        <v>0</v>
      </c>
      <c r="BQ20" s="56">
        <f t="shared" ca="1" si="2"/>
        <v>0</v>
      </c>
      <c r="BR20" s="56">
        <f t="shared" ca="1" si="2"/>
        <v>0</v>
      </c>
      <c r="BS20" s="56">
        <f t="shared" ca="1" si="2"/>
        <v>0</v>
      </c>
      <c r="BT20" s="56">
        <f t="shared" ca="1" si="2"/>
        <v>0</v>
      </c>
    </row>
  </sheetData>
  <hyperlinks>
    <hyperlink ref="B4" location="'Flight'!A1" display="◂  Flight" xr:uid="{00000000-0004-0000-0400-000000000000}"/>
    <hyperlink ref="BT4" location="'Results'!A1" display="Next:  Results  ▸" xr:uid="{00000000-0004-0000-0400-000001000000}"/>
  </hyperlinks>
  <printOptions horizontalCentered="1"/>
  <pageMargins left="0.4" right="0.4" top="0.5" bottom="0.6" header="0.25" footer="0.25"/>
  <pageSetup paperSize="9" scale="92" fitToWidth="3" orientation="landscape" r:id="rId1"/>
  <headerFooter>
    <oddFooter>&amp;L&amp;K3F5876&amp;8&amp;F · &amp;A&amp;R&amp;K3F5876&amp;8Page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7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213</v>
      </c>
      <c r="C3" s="1"/>
      <c r="D3" s="1"/>
      <c r="E3" s="1"/>
      <c r="F3" s="1"/>
      <c r="G3" s="1"/>
      <c r="H3" s="1"/>
      <c r="I3" s="1"/>
      <c r="J3" s="1"/>
      <c r="K3" s="1"/>
      <c r="L3" s="1"/>
      <c r="M3" s="1"/>
      <c r="N3" s="1"/>
      <c r="O3" s="1"/>
      <c r="P3" s="1"/>
      <c r="Q3" s="1"/>
      <c r="R3" s="1"/>
    </row>
    <row r="4" spans="1:18" ht="20" customHeight="1" x14ac:dyDescent="0.45">
      <c r="A4" s="5"/>
      <c r="B4" s="22" t="s">
        <v>214</v>
      </c>
      <c r="C4" s="5"/>
      <c r="D4" s="5"/>
      <c r="E4" s="5"/>
      <c r="F4" s="5"/>
      <c r="G4" s="5"/>
      <c r="H4" s="5"/>
      <c r="I4" s="5"/>
      <c r="J4" s="5"/>
      <c r="K4" s="5"/>
      <c r="L4" s="5"/>
      <c r="M4" s="5"/>
      <c r="N4" s="5"/>
      <c r="O4" s="5"/>
      <c r="P4" s="5"/>
      <c r="Q4" s="5"/>
      <c r="R4" s="5"/>
    </row>
    <row r="5" spans="1:18" ht="8" customHeight="1" x14ac:dyDescent="0.45"/>
    <row r="6" spans="1:18" ht="26" customHeight="1" x14ac:dyDescent="0.45">
      <c r="B6" s="58" t="str" cm="1">
        <f t="array" aca="1" ref="B6" ca="1">IF(ISNUMBER(_xll.VoseSimMean(FlightRange)),"✔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9"/>
      <c r="D6" s="59"/>
      <c r="E6" s="59"/>
      <c r="F6" s="59"/>
      <c r="G6" s="59"/>
    </row>
    <row r="7" spans="1:18" x14ac:dyDescent="0.45">
      <c r="B7" s="36"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215</v>
      </c>
      <c r="C9" s="8"/>
      <c r="D9" s="8"/>
      <c r="E9" s="8"/>
      <c r="F9" s="8"/>
      <c r="G9" s="8"/>
      <c r="I9" s="60" t="s">
        <v>65</v>
      </c>
      <c r="J9" s="8"/>
      <c r="K9" s="8"/>
      <c r="L9" s="8"/>
      <c r="M9" s="8"/>
      <c r="N9" s="8"/>
      <c r="O9" s="8"/>
      <c r="P9" s="8"/>
      <c r="Q9" s="8"/>
      <c r="R9" s="8"/>
    </row>
    <row r="10" spans="1:18" ht="18" customHeight="1" x14ac:dyDescent="0.45">
      <c r="B10" s="13" t="s">
        <v>216</v>
      </c>
    </row>
    <row r="11" spans="1:18" ht="18" customHeight="1" x14ac:dyDescent="0.45">
      <c r="B11" s="23" t="s">
        <v>217</v>
      </c>
      <c r="C11" s="23" t="s">
        <v>94</v>
      </c>
      <c r="D11" s="24" t="s">
        <v>218</v>
      </c>
      <c r="E11" s="24" t="s">
        <v>219</v>
      </c>
      <c r="F11" s="24" t="s">
        <v>220</v>
      </c>
      <c r="G11" s="24" t="s">
        <v>100</v>
      </c>
    </row>
    <row r="12" spans="1:18" x14ac:dyDescent="0.45">
      <c r="B12" s="25" t="s">
        <v>65</v>
      </c>
      <c r="C12" s="26" t="s">
        <v>115</v>
      </c>
      <c r="D12" s="61" cm="1">
        <f t="array" aca="1" ref="D12" ca="1">_xll.VoseSimPercentile(FlightRange,0.05)</f>
        <v>40.117965255519302</v>
      </c>
      <c r="E12" s="61" cm="1">
        <f t="array" aca="1" ref="E12" ca="1">_xll.VoseSimPercentile(FlightRange,0.5)</f>
        <v>46.544199014063231</v>
      </c>
      <c r="F12" s="61" cm="1">
        <f t="array" aca="1" ref="F12" ca="1">_xll.VoseSimPercentile(FlightRange,0.95)</f>
        <v>52.609976650589303</v>
      </c>
      <c r="G12" s="61" cm="1">
        <f t="array" aca="1" ref="G12" ca="1">_xll.VoseSimMean(FlightRange)</f>
        <v>46.464113857442619</v>
      </c>
    </row>
    <row r="13" spans="1:18" x14ac:dyDescent="0.45">
      <c r="B13" s="25" t="s">
        <v>170</v>
      </c>
      <c r="C13" s="26" t="s">
        <v>119</v>
      </c>
      <c r="D13" s="62" cm="1">
        <f t="array" aca="1" ref="D13" ca="1">_xll.VoseSimPercentile(FlightTime,0.05)</f>
        <v>4.4418948890750283</v>
      </c>
      <c r="E13" s="62" cm="1">
        <f t="array" aca="1" ref="E13" ca="1">_xll.VoseSimPercentile(FlightTime,0.5)</f>
        <v>4.6236944122221537</v>
      </c>
      <c r="F13" s="62" cm="1">
        <f t="array" aca="1" ref="F13" ca="1">_xll.VoseSimPercentile(FlightTime,0.95)</f>
        <v>4.810053684066645</v>
      </c>
      <c r="G13" s="62" cm="1">
        <f t="array" aca="1" ref="G13" ca="1">_xll.VoseSimMean(FlightTime)</f>
        <v>4.6246675779482578</v>
      </c>
    </row>
    <row r="14" spans="1:18" x14ac:dyDescent="0.45">
      <c r="B14" s="25" t="s">
        <v>173</v>
      </c>
      <c r="C14" s="26" t="s">
        <v>115</v>
      </c>
      <c r="D14" s="61" cm="1">
        <f t="array" aca="1" ref="D14" ca="1">_xll.VoseSimPercentile(MaxHeight,0.05)</f>
        <v>28.87969105336375</v>
      </c>
      <c r="E14" s="61" cm="1">
        <f t="array" aca="1" ref="E14" ca="1">_xll.VoseSimPercentile(MaxHeight,0.5)</f>
        <v>31.008782157113739</v>
      </c>
      <c r="F14" s="61" cm="1">
        <f t="array" aca="1" ref="F14" ca="1">_xll.VoseSimPercentile(MaxHeight,0.95)</f>
        <v>33.230036002277863</v>
      </c>
      <c r="G14" s="61" cm="1">
        <f t="array" aca="1" ref="G14" ca="1">_xll.VoseSimMean(MaxHeight)</f>
        <v>31.016154814234493</v>
      </c>
    </row>
    <row r="15" spans="1:18" x14ac:dyDescent="0.45">
      <c r="B15" s="25" t="s">
        <v>221</v>
      </c>
      <c r="C15" s="26"/>
      <c r="D15" s="30"/>
      <c r="E15" s="30"/>
      <c r="F15" s="30"/>
      <c r="G15" s="63" cm="1">
        <f t="array" aca="1" ref="G15" ca="1">1-_xll.VoseSimProbability(FlightRange,RangeMark)</f>
        <v>0.17778222177782221</v>
      </c>
    </row>
    <row r="16" spans="1:18" ht="8" customHeight="1" x14ac:dyDescent="0.45"/>
    <row r="17" spans="2:18" ht="22.05" customHeight="1" x14ac:dyDescent="0.5">
      <c r="B17" s="7" t="s">
        <v>222</v>
      </c>
      <c r="C17" s="8"/>
      <c r="D17" s="8"/>
      <c r="E17" s="8"/>
      <c r="F17" s="8"/>
      <c r="G17" s="8"/>
    </row>
    <row r="18" spans="2:18" ht="18" customHeight="1" x14ac:dyDescent="0.45">
      <c r="B18" s="13" t="s">
        <v>223</v>
      </c>
    </row>
    <row r="19" spans="2:18" ht="18" customHeight="1" x14ac:dyDescent="0.45">
      <c r="B19" s="23" t="s">
        <v>217</v>
      </c>
      <c r="C19" s="23" t="s">
        <v>94</v>
      </c>
      <c r="D19" s="24" t="s">
        <v>194</v>
      </c>
      <c r="E19" s="5"/>
      <c r="F19" s="5"/>
      <c r="G19" s="5"/>
    </row>
    <row r="20" spans="2:18" x14ac:dyDescent="0.45">
      <c r="B20" s="25" t="s">
        <v>224</v>
      </c>
      <c r="C20" s="26" t="s">
        <v>115</v>
      </c>
      <c r="D20" s="64" cm="1">
        <f t="array" aca="1" ref="D20" ca="1">_xll.VoseSimMean(FlightRange)</f>
        <v>46.464113857442619</v>
      </c>
      <c r="E20" s="30"/>
      <c r="F20" s="30"/>
      <c r="G20" s="30"/>
    </row>
    <row r="21" spans="2:18" x14ac:dyDescent="0.45">
      <c r="B21" s="25" t="s">
        <v>225</v>
      </c>
      <c r="C21" s="26" t="s">
        <v>115</v>
      </c>
      <c r="D21" s="64" cm="1">
        <f t="array" aca="1" ref="D21" ca="1">_xll.VoseSimMean(RangeExact)</f>
        <v>46.36655713203605</v>
      </c>
      <c r="E21" s="30"/>
      <c r="F21" s="30"/>
      <c r="G21" s="30"/>
    </row>
    <row r="22" spans="2:18" x14ac:dyDescent="0.45">
      <c r="B22" s="65" t="s">
        <v>226</v>
      </c>
      <c r="C22" s="26" t="s">
        <v>108</v>
      </c>
      <c r="D22" s="42">
        <f>FitK</f>
        <v>9.8386456882700354E-2</v>
      </c>
      <c r="E22" s="30"/>
      <c r="F22" s="30"/>
      <c r="G22" s="30"/>
    </row>
    <row r="23" spans="2:18" x14ac:dyDescent="0.45">
      <c r="B23" s="65" t="s">
        <v>227</v>
      </c>
      <c r="C23" s="26" t="s">
        <v>108</v>
      </c>
      <c r="D23" s="42">
        <f>Friction_Lo</f>
        <v>0.1</v>
      </c>
      <c r="E23" s="30"/>
      <c r="F23" s="30"/>
      <c r="G23" s="30"/>
    </row>
    <row r="24" spans="2:18" ht="8" customHeight="1" x14ac:dyDescent="0.45"/>
    <row r="25" spans="2:18" ht="18" customHeight="1" x14ac:dyDescent="0.45">
      <c r="B25" s="23" t="s">
        <v>228</v>
      </c>
      <c r="C25" s="24" t="s">
        <v>229</v>
      </c>
      <c r="D25" s="24" t="s">
        <v>230</v>
      </c>
      <c r="E25" s="66" t="s">
        <v>231</v>
      </c>
      <c r="F25" s="5"/>
      <c r="G25" s="5"/>
      <c r="I25" s="60" t="s">
        <v>232</v>
      </c>
      <c r="J25" s="8"/>
      <c r="K25" s="8"/>
      <c r="L25" s="8"/>
      <c r="M25" s="8"/>
      <c r="N25" s="8"/>
      <c r="O25" s="8"/>
      <c r="P25" s="8"/>
      <c r="Q25" s="8"/>
      <c r="R25" s="8"/>
    </row>
    <row r="26" spans="2:18" x14ac:dyDescent="0.45">
      <c r="B26" s="25" t="str">
        <f t="array" aca="1" ref="B26:E27" ca="1">_xll.VoseSimSensitivityMean(FlightRange,10,1,FALSE)</f>
        <v>Air friction</v>
      </c>
      <c r="C26" s="61">
        <f ca="1"/>
        <v>40.383171977454658</v>
      </c>
      <c r="D26" s="61">
        <f ca="1"/>
        <v>51.471300637407907</v>
      </c>
      <c r="E26" s="67">
        <f ca="1"/>
        <v>1</v>
      </c>
      <c r="F26" s="30"/>
      <c r="G26" s="30"/>
    </row>
    <row r="27" spans="2:18" x14ac:dyDescent="0.45">
      <c r="B27" s="25" t="str">
        <f ca="1"/>
        <v>Launch speed</v>
      </c>
      <c r="C27" s="61">
        <f ca="1"/>
        <v>42.811574658015211</v>
      </c>
      <c r="D27" s="61">
        <f ca="1"/>
        <v>50.247107357990274</v>
      </c>
      <c r="E27" s="67">
        <f ca="1"/>
        <v>2</v>
      </c>
      <c r="F27" s="30"/>
      <c r="G27" s="30"/>
    </row>
    <row r="41" spans="9:18" x14ac:dyDescent="0.45">
      <c r="I41" s="60" t="s">
        <v>233</v>
      </c>
      <c r="J41" s="8"/>
      <c r="K41" s="8"/>
      <c r="L41" s="8"/>
      <c r="M41" s="8"/>
      <c r="N41" s="8"/>
      <c r="O41" s="8"/>
      <c r="P41" s="8"/>
      <c r="Q41" s="8"/>
      <c r="R41" s="8"/>
    </row>
    <row r="55" spans="2:7" ht="22.05" customHeight="1" x14ac:dyDescent="0.5">
      <c r="B55" s="7" t="s">
        <v>234</v>
      </c>
      <c r="C55" s="8"/>
      <c r="D55" s="8"/>
      <c r="E55" s="8"/>
      <c r="F55" s="8"/>
      <c r="G55" s="8"/>
    </row>
    <row r="56" spans="2:7" ht="32" customHeight="1" x14ac:dyDescent="0.45">
      <c r="B56" s="75" t="s">
        <v>235</v>
      </c>
      <c r="C56" s="74"/>
      <c r="D56" s="74"/>
      <c r="E56" s="74"/>
      <c r="F56" s="74"/>
      <c r="G56" s="74"/>
    </row>
    <row r="57" spans="2:7" ht="32" customHeight="1" x14ac:dyDescent="0.45">
      <c r="B57" s="75" t="s">
        <v>236</v>
      </c>
      <c r="C57" s="74"/>
      <c r="D57" s="74"/>
      <c r="E57" s="74"/>
      <c r="F57" s="74"/>
      <c r="G57" s="74"/>
    </row>
    <row r="58" spans="2:7" ht="32" customHeight="1" x14ac:dyDescent="0.45">
      <c r="B58" s="75" t="s">
        <v>237</v>
      </c>
      <c r="C58" s="74"/>
      <c r="D58" s="74"/>
      <c r="E58" s="74"/>
      <c r="F58" s="74"/>
      <c r="G58" s="74"/>
    </row>
    <row r="59" spans="2:7" ht="32" customHeight="1" x14ac:dyDescent="0.45">
      <c r="B59" s="75" t="s">
        <v>238</v>
      </c>
      <c r="C59" s="74"/>
      <c r="D59" s="74"/>
      <c r="E59" s="74"/>
      <c r="F59" s="74"/>
      <c r="G59" s="74"/>
    </row>
    <row r="60" spans="2:7" ht="14" customHeight="1" x14ac:dyDescent="0.45"/>
    <row r="61" spans="2:7" ht="14" customHeight="1" x14ac:dyDescent="0.45"/>
    <row r="62" spans="2:7" ht="22.05" customHeight="1" x14ac:dyDescent="0.5">
      <c r="B62" s="7" t="s">
        <v>239</v>
      </c>
      <c r="C62" s="8"/>
      <c r="D62" s="8"/>
      <c r="E62" s="8"/>
      <c r="F62" s="8"/>
      <c r="G62" s="8"/>
    </row>
    <row r="63" spans="2:7" ht="18" customHeight="1" x14ac:dyDescent="0.45">
      <c r="B63" s="13" t="s">
        <v>240</v>
      </c>
    </row>
    <row r="64" spans="2:7" ht="28.05" hidden="1" customHeight="1" outlineLevel="1" x14ac:dyDescent="0.45">
      <c r="B64" s="24" t="s">
        <v>241</v>
      </c>
      <c r="C64" s="24" t="s">
        <v>242</v>
      </c>
      <c r="D64" s="24" t="s">
        <v>243</v>
      </c>
      <c r="E64" s="24" t="s">
        <v>244</v>
      </c>
      <c r="F64" s="24" t="s">
        <v>245</v>
      </c>
      <c r="G64" s="5"/>
    </row>
    <row r="65" spans="2:6" hidden="1" outlineLevel="1" x14ac:dyDescent="0.45">
      <c r="B65" s="68">
        <v>0.01</v>
      </c>
      <c r="C65" s="68">
        <f t="shared" ref="C65:C96" si="0">1-B65</f>
        <v>0.99</v>
      </c>
      <c r="D65" s="69" cm="1">
        <f t="array" aca="1" ref="D65" ca="1">IF(ISNUMBER(_xll.VoseSimPercentile(FlightRange,$B65)),_xll.VoseSimPercentile(FlightRange,$B65),NA())</f>
        <v>37.147525722149737</v>
      </c>
      <c r="E65" s="69" cm="1">
        <f t="array" aca="1" ref="E65" ca="1">IF(ISNUMBER(_xll.VoseSimPercentile(RangeExact,$B65)),_xll.VoseSimPercentile(RangeExact,$B65),NA())</f>
        <v>37.058872935269996</v>
      </c>
      <c r="F65" s="69">
        <f t="shared" ref="F65:F96" si="1">RangeMark</f>
        <v>50</v>
      </c>
    </row>
    <row r="66" spans="2:6" hidden="1" outlineLevel="1" x14ac:dyDescent="0.45">
      <c r="B66" s="68">
        <v>0.03</v>
      </c>
      <c r="C66" s="68">
        <f t="shared" si="0"/>
        <v>0.97</v>
      </c>
      <c r="D66" s="69" cm="1">
        <f t="array" aca="1" ref="D66" ca="1">IF(ISNUMBER(_xll.VoseSimPercentile(FlightRange,$B66)),_xll.VoseSimPercentile(FlightRange,$B66),NA())</f>
        <v>39.241362710553275</v>
      </c>
      <c r="E66" s="69" cm="1">
        <f t="array" aca="1" ref="E66" ca="1">IF(ISNUMBER(_xll.VoseSimPercentile(RangeExact,$B66)),_xll.VoseSimPercentile(RangeExact,$B66),NA())</f>
        <v>39.151204273662877</v>
      </c>
      <c r="F66" s="69">
        <f t="shared" si="1"/>
        <v>50</v>
      </c>
    </row>
    <row r="67" spans="2:6" hidden="1" outlineLevel="1" x14ac:dyDescent="0.45">
      <c r="B67" s="68">
        <v>0.05</v>
      </c>
      <c r="C67" s="68">
        <f t="shared" si="0"/>
        <v>0.95</v>
      </c>
      <c r="D67" s="69" cm="1">
        <f t="array" aca="1" ref="D67" ca="1">IF(ISNUMBER(_xll.VoseSimPercentile(FlightRange,$B67)),_xll.VoseSimPercentile(FlightRange,$B67),NA())</f>
        <v>40.117965255519302</v>
      </c>
      <c r="E67" s="69" cm="1">
        <f t="array" aca="1" ref="E67" ca="1">IF(ISNUMBER(_xll.VoseSimPercentile(RangeExact,$B67)),_xll.VoseSimPercentile(RangeExact,$B67),NA())</f>
        <v>40.028805187742044</v>
      </c>
      <c r="F67" s="69">
        <f t="shared" si="1"/>
        <v>50</v>
      </c>
    </row>
    <row r="68" spans="2:6" hidden="1" outlineLevel="1" x14ac:dyDescent="0.45">
      <c r="B68" s="68">
        <v>7.0000000000000007E-2</v>
      </c>
      <c r="C68" s="68">
        <f t="shared" si="0"/>
        <v>0.92999999999999994</v>
      </c>
      <c r="D68" s="69" cm="1">
        <f t="array" aca="1" ref="D68" ca="1">IF(ISNUMBER(_xll.VoseSimPercentile(FlightRange,$B68)),_xll.VoseSimPercentile(FlightRange,$B68),NA())</f>
        <v>40.706656243967942</v>
      </c>
      <c r="E68" s="69" cm="1">
        <f t="array" aca="1" ref="E68" ca="1">IF(ISNUMBER(_xll.VoseSimPercentile(RangeExact,$B68)),_xll.VoseSimPercentile(RangeExact,$B68),NA())</f>
        <v>40.618389145222309</v>
      </c>
      <c r="F68" s="69">
        <f t="shared" si="1"/>
        <v>50</v>
      </c>
    </row>
    <row r="69" spans="2:6" hidden="1" outlineLevel="1" x14ac:dyDescent="0.45">
      <c r="B69" s="68">
        <v>0.09</v>
      </c>
      <c r="C69" s="68">
        <f t="shared" si="0"/>
        <v>0.91</v>
      </c>
      <c r="D69" s="69" cm="1">
        <f t="array" aca="1" ref="D69" ca="1">IF(ISNUMBER(_xll.VoseSimPercentile(FlightRange,$B69)),_xll.VoseSimPercentile(FlightRange,$B69),NA())</f>
        <v>41.271510289965917</v>
      </c>
      <c r="E69" s="69" cm="1">
        <f t="array" aca="1" ref="E69" ca="1">IF(ISNUMBER(_xll.VoseSimPercentile(RangeExact,$B69)),_xll.VoseSimPercentile(RangeExact,$B69),NA())</f>
        <v>41.180398303094428</v>
      </c>
      <c r="F69" s="69">
        <f t="shared" si="1"/>
        <v>50</v>
      </c>
    </row>
    <row r="70" spans="2:6" hidden="1" outlineLevel="1" x14ac:dyDescent="0.45">
      <c r="B70" s="68">
        <v>0.11</v>
      </c>
      <c r="C70" s="68">
        <f t="shared" si="0"/>
        <v>0.89</v>
      </c>
      <c r="D70" s="69" cm="1">
        <f t="array" aca="1" ref="D70" ca="1">IF(ISNUMBER(_xll.VoseSimPercentile(FlightRange,$B70)),_xll.VoseSimPercentile(FlightRange,$B70),NA())</f>
        <v>41.710760291856964</v>
      </c>
      <c r="E70" s="69" cm="1">
        <f t="array" aca="1" ref="E70" ca="1">IF(ISNUMBER(_xll.VoseSimPercentile(RangeExact,$B70)),_xll.VoseSimPercentile(RangeExact,$B70),NA())</f>
        <v>41.620519105412441</v>
      </c>
      <c r="F70" s="69">
        <f t="shared" si="1"/>
        <v>50</v>
      </c>
    </row>
    <row r="71" spans="2:6" hidden="1" outlineLevel="1" x14ac:dyDescent="0.45">
      <c r="B71" s="68">
        <v>0.13</v>
      </c>
      <c r="C71" s="68">
        <f t="shared" si="0"/>
        <v>0.87</v>
      </c>
      <c r="D71" s="69" cm="1">
        <f t="array" aca="1" ref="D71" ca="1">IF(ISNUMBER(_xll.VoseSimPercentile(FlightRange,$B71)),_xll.VoseSimPercentile(FlightRange,$B71),NA())</f>
        <v>42.103471222925251</v>
      </c>
      <c r="E71" s="69" cm="1">
        <f t="array" aca="1" ref="E71" ca="1">IF(ISNUMBER(_xll.VoseSimPercentile(RangeExact,$B71)),_xll.VoseSimPercentile(RangeExact,$B71),NA())</f>
        <v>42.012878329001694</v>
      </c>
      <c r="F71" s="69">
        <f t="shared" si="1"/>
        <v>50</v>
      </c>
    </row>
    <row r="72" spans="2:6" hidden="1" outlineLevel="1" x14ac:dyDescent="0.45">
      <c r="B72" s="68">
        <v>0.15</v>
      </c>
      <c r="C72" s="68">
        <f t="shared" si="0"/>
        <v>0.85</v>
      </c>
      <c r="D72" s="69" cm="1">
        <f t="array" aca="1" ref="D72" ca="1">IF(ISNUMBER(_xll.VoseSimPercentile(FlightRange,$B72)),_xll.VoseSimPercentile(FlightRange,$B72),NA())</f>
        <v>42.468089716854429</v>
      </c>
      <c r="E72" s="69" cm="1">
        <f t="array" aca="1" ref="E72" ca="1">IF(ISNUMBER(_xll.VoseSimPercentile(RangeExact,$B72)),_xll.VoseSimPercentile(RangeExact,$B72),NA())</f>
        <v>42.375540683797873</v>
      </c>
      <c r="F72" s="69">
        <f t="shared" si="1"/>
        <v>50</v>
      </c>
    </row>
    <row r="73" spans="2:6" hidden="1" outlineLevel="1" x14ac:dyDescent="0.45">
      <c r="B73" s="68">
        <v>0.17</v>
      </c>
      <c r="C73" s="68">
        <f t="shared" si="0"/>
        <v>0.83</v>
      </c>
      <c r="D73" s="69" cm="1">
        <f t="array" aca="1" ref="D73" ca="1">IF(ISNUMBER(_xll.VoseSimPercentile(FlightRange,$B73)),_xll.VoseSimPercentile(FlightRange,$B73),NA())</f>
        <v>42.795831008549676</v>
      </c>
      <c r="E73" s="69" cm="1">
        <f t="array" aca="1" ref="E73" ca="1">IF(ISNUMBER(_xll.VoseSimPercentile(RangeExact,$B73)),_xll.VoseSimPercentile(RangeExact,$B73),NA())</f>
        <v>42.703322599716472</v>
      </c>
      <c r="F73" s="69">
        <f t="shared" si="1"/>
        <v>50</v>
      </c>
    </row>
    <row r="74" spans="2:6" hidden="1" outlineLevel="1" x14ac:dyDescent="0.45">
      <c r="B74" s="68">
        <v>0.19</v>
      </c>
      <c r="C74" s="68">
        <f t="shared" si="0"/>
        <v>0.81</v>
      </c>
      <c r="D74" s="69" cm="1">
        <f t="array" aca="1" ref="D74" ca="1">IF(ISNUMBER(_xll.VoseSimPercentile(FlightRange,$B74)),_xll.VoseSimPercentile(FlightRange,$B74),NA())</f>
        <v>43.128883251273592</v>
      </c>
      <c r="E74" s="69" cm="1">
        <f t="array" aca="1" ref="E74" ca="1">IF(ISNUMBER(_xll.VoseSimPercentile(RangeExact,$B74)),_xll.VoseSimPercentile(RangeExact,$B74),NA())</f>
        <v>43.03537288519491</v>
      </c>
      <c r="F74" s="69">
        <f t="shared" si="1"/>
        <v>50</v>
      </c>
    </row>
    <row r="75" spans="2:6" hidden="1" outlineLevel="1" x14ac:dyDescent="0.45">
      <c r="B75" s="68">
        <v>0.21</v>
      </c>
      <c r="C75" s="68">
        <f t="shared" si="0"/>
        <v>0.79</v>
      </c>
      <c r="D75" s="69" cm="1">
        <f t="array" aca="1" ref="D75" ca="1">IF(ISNUMBER(_xll.VoseSimPercentile(FlightRange,$B75)),_xll.VoseSimPercentile(FlightRange,$B75),NA())</f>
        <v>43.418326033850093</v>
      </c>
      <c r="E75" s="69" cm="1">
        <f t="array" aca="1" ref="E75" ca="1">IF(ISNUMBER(_xll.VoseSimPercentile(RangeExact,$B75)),_xll.VoseSimPercentile(RangeExact,$B75),NA())</f>
        <v>43.324547158091406</v>
      </c>
      <c r="F75" s="69">
        <f t="shared" si="1"/>
        <v>50</v>
      </c>
    </row>
    <row r="76" spans="2:6" hidden="1" outlineLevel="1" x14ac:dyDescent="0.45">
      <c r="B76" s="68">
        <v>0.23</v>
      </c>
      <c r="C76" s="68">
        <f t="shared" si="0"/>
        <v>0.77</v>
      </c>
      <c r="D76" s="69" cm="1">
        <f t="array" aca="1" ref="D76" ca="1">IF(ISNUMBER(_xll.VoseSimPercentile(FlightRange,$B76)),_xll.VoseSimPercentile(FlightRange,$B76),NA())</f>
        <v>43.695392551714889</v>
      </c>
      <c r="E76" s="69" cm="1">
        <f t="array" aca="1" ref="E76" ca="1">IF(ISNUMBER(_xll.VoseSimPercentile(RangeExact,$B76)),_xll.VoseSimPercentile(RangeExact,$B76),NA())</f>
        <v>43.59934615235715</v>
      </c>
      <c r="F76" s="69">
        <f t="shared" si="1"/>
        <v>50</v>
      </c>
    </row>
    <row r="77" spans="2:6" hidden="1" outlineLevel="1" x14ac:dyDescent="0.45">
      <c r="B77" s="68">
        <v>0.25</v>
      </c>
      <c r="C77" s="68">
        <f t="shared" si="0"/>
        <v>0.75</v>
      </c>
      <c r="D77" s="69" cm="1">
        <f t="array" aca="1" ref="D77" ca="1">IF(ISNUMBER(_xll.VoseSimPercentile(FlightRange,$B77)),_xll.VoseSimPercentile(FlightRange,$B77),NA())</f>
        <v>43.946564592249949</v>
      </c>
      <c r="E77" s="69" cm="1">
        <f t="array" aca="1" ref="E77" ca="1">IF(ISNUMBER(_xll.VoseSimPercentile(RangeExact,$B77)),_xll.VoseSimPercentile(RangeExact,$B77),NA())</f>
        <v>43.851458131731398</v>
      </c>
      <c r="F77" s="69">
        <f t="shared" si="1"/>
        <v>50</v>
      </c>
    </row>
    <row r="78" spans="2:6" hidden="1" outlineLevel="1" x14ac:dyDescent="0.45">
      <c r="B78" s="68">
        <v>0.27</v>
      </c>
      <c r="C78" s="68">
        <f t="shared" si="0"/>
        <v>0.73</v>
      </c>
      <c r="D78" s="69" cm="1">
        <f t="array" aca="1" ref="D78" ca="1">IF(ISNUMBER(_xll.VoseSimPercentile(FlightRange,$B78)),_xll.VoseSimPercentile(FlightRange,$B78),NA())</f>
        <v>44.203230855715546</v>
      </c>
      <c r="E78" s="69" cm="1">
        <f t="array" aca="1" ref="E78" ca="1">IF(ISNUMBER(_xll.VoseSimPercentile(RangeExact,$B78)),_xll.VoseSimPercentile(RangeExact,$B78),NA())</f>
        <v>44.108386376146889</v>
      </c>
      <c r="F78" s="69">
        <f t="shared" si="1"/>
        <v>50</v>
      </c>
    </row>
    <row r="79" spans="2:6" hidden="1" outlineLevel="1" x14ac:dyDescent="0.45">
      <c r="B79" s="68">
        <v>0.28999999999999998</v>
      </c>
      <c r="C79" s="68">
        <f t="shared" si="0"/>
        <v>0.71</v>
      </c>
      <c r="D79" s="69" cm="1">
        <f t="array" aca="1" ref="D79" ca="1">IF(ISNUMBER(_xll.VoseSimPercentile(FlightRange,$B79)),_xll.VoseSimPercentile(FlightRange,$B79),NA())</f>
        <v>44.414715515315102</v>
      </c>
      <c r="E79" s="69" cm="1">
        <f t="array" aca="1" ref="E79" ca="1">IF(ISNUMBER(_xll.VoseSimPercentile(RangeExact,$B79)),_xll.VoseSimPercentile(RangeExact,$B79),NA())</f>
        <v>44.319307124439234</v>
      </c>
      <c r="F79" s="69">
        <f t="shared" si="1"/>
        <v>50</v>
      </c>
    </row>
    <row r="80" spans="2:6" hidden="1" outlineLevel="1" x14ac:dyDescent="0.45">
      <c r="B80" s="68">
        <v>0.31</v>
      </c>
      <c r="C80" s="68">
        <f t="shared" si="0"/>
        <v>0.69</v>
      </c>
      <c r="D80" s="69" cm="1">
        <f t="array" aca="1" ref="D80" ca="1">IF(ISNUMBER(_xll.VoseSimPercentile(FlightRange,$B80)),_xll.VoseSimPercentile(FlightRange,$B80),NA())</f>
        <v>44.632571239479113</v>
      </c>
      <c r="E80" s="69" cm="1">
        <f t="array" aca="1" ref="E80" ca="1">IF(ISNUMBER(_xll.VoseSimPercentile(RangeExact,$B80)),_xll.VoseSimPercentile(RangeExact,$B80),NA())</f>
        <v>44.537602549181479</v>
      </c>
      <c r="F80" s="69">
        <f t="shared" si="1"/>
        <v>50</v>
      </c>
    </row>
    <row r="81" spans="2:6" hidden="1" outlineLevel="1" x14ac:dyDescent="0.45">
      <c r="B81" s="68">
        <v>0.33</v>
      </c>
      <c r="C81" s="68">
        <f t="shared" si="0"/>
        <v>0.66999999999999993</v>
      </c>
      <c r="D81" s="69" cm="1">
        <f t="array" aca="1" ref="D81" ca="1">IF(ISNUMBER(_xll.VoseSimPercentile(FlightRange,$B81)),_xll.VoseSimPercentile(FlightRange,$B81),NA())</f>
        <v>44.828633286207456</v>
      </c>
      <c r="E81" s="69" cm="1">
        <f t="array" aca="1" ref="E81" ca="1">IF(ISNUMBER(_xll.VoseSimPercentile(RangeExact,$B81)),_xll.VoseSimPercentile(RangeExact,$B81),NA())</f>
        <v>44.732637763973152</v>
      </c>
      <c r="F81" s="69">
        <f t="shared" si="1"/>
        <v>50</v>
      </c>
    </row>
    <row r="82" spans="2:6" hidden="1" outlineLevel="1" x14ac:dyDescent="0.45">
      <c r="B82" s="68">
        <v>0.35</v>
      </c>
      <c r="C82" s="68">
        <f t="shared" si="0"/>
        <v>0.65</v>
      </c>
      <c r="D82" s="69" cm="1">
        <f t="array" aca="1" ref="D82" ca="1">IF(ISNUMBER(_xll.VoseSimPercentile(FlightRange,$B82)),_xll.VoseSimPercentile(FlightRange,$B82),NA())</f>
        <v>45.063190795279475</v>
      </c>
      <c r="E82" s="69" cm="1">
        <f t="array" aca="1" ref="E82" ca="1">IF(ISNUMBER(_xll.VoseSimPercentile(RangeExact,$B82)),_xll.VoseSimPercentile(RangeExact,$B82),NA())</f>
        <v>44.967370043405062</v>
      </c>
      <c r="F82" s="69">
        <f t="shared" si="1"/>
        <v>50</v>
      </c>
    </row>
    <row r="83" spans="2:6" hidden="1" outlineLevel="1" x14ac:dyDescent="0.45">
      <c r="B83" s="68">
        <v>0.37</v>
      </c>
      <c r="C83" s="68">
        <f t="shared" si="0"/>
        <v>0.63</v>
      </c>
      <c r="D83" s="69" cm="1">
        <f t="array" aca="1" ref="D83" ca="1">IF(ISNUMBER(_xll.VoseSimPercentile(FlightRange,$B83)),_xll.VoseSimPercentile(FlightRange,$B83),NA())</f>
        <v>45.271160806381303</v>
      </c>
      <c r="E83" s="69" cm="1">
        <f t="array" aca="1" ref="E83" ca="1">IF(ISNUMBER(_xll.VoseSimPercentile(RangeExact,$B83)),_xll.VoseSimPercentile(RangeExact,$B83),NA())</f>
        <v>45.175216768321491</v>
      </c>
      <c r="F83" s="69">
        <f t="shared" si="1"/>
        <v>50</v>
      </c>
    </row>
    <row r="84" spans="2:6" hidden="1" outlineLevel="1" x14ac:dyDescent="0.45">
      <c r="B84" s="68">
        <v>0.39</v>
      </c>
      <c r="C84" s="68">
        <f t="shared" si="0"/>
        <v>0.61</v>
      </c>
      <c r="D84" s="69" cm="1">
        <f t="array" aca="1" ref="D84" ca="1">IF(ISNUMBER(_xll.VoseSimPercentile(FlightRange,$B84)),_xll.VoseSimPercentile(FlightRange,$B84),NA())</f>
        <v>45.476917011573335</v>
      </c>
      <c r="E84" s="69" cm="1">
        <f t="array" aca="1" ref="E84" ca="1">IF(ISNUMBER(_xll.VoseSimPercentile(RangeExact,$B84)),_xll.VoseSimPercentile(RangeExact,$B84),NA())</f>
        <v>45.380886150830221</v>
      </c>
      <c r="F84" s="69">
        <f t="shared" si="1"/>
        <v>50</v>
      </c>
    </row>
    <row r="85" spans="2:6" hidden="1" outlineLevel="1" x14ac:dyDescent="0.45">
      <c r="B85" s="68">
        <v>0.41</v>
      </c>
      <c r="C85" s="68">
        <f t="shared" si="0"/>
        <v>0.59000000000000008</v>
      </c>
      <c r="D85" s="69" cm="1">
        <f t="array" aca="1" ref="D85" ca="1">IF(ISNUMBER(_xll.VoseSimPercentile(FlightRange,$B85)),_xll.VoseSimPercentile(FlightRange,$B85),NA())</f>
        <v>45.683121157317423</v>
      </c>
      <c r="E85" s="69" cm="1">
        <f t="array" aca="1" ref="E85" ca="1">IF(ISNUMBER(_xll.VoseSimPercentile(RangeExact,$B85)),_xll.VoseSimPercentile(RangeExact,$B85),NA())</f>
        <v>45.585250437937788</v>
      </c>
      <c r="F85" s="69">
        <f t="shared" si="1"/>
        <v>50</v>
      </c>
    </row>
    <row r="86" spans="2:6" hidden="1" outlineLevel="1" x14ac:dyDescent="0.45">
      <c r="B86" s="68">
        <v>0.43</v>
      </c>
      <c r="C86" s="68">
        <f t="shared" si="0"/>
        <v>0.57000000000000006</v>
      </c>
      <c r="D86" s="69" cm="1">
        <f t="array" aca="1" ref="D86" ca="1">IF(ISNUMBER(_xll.VoseSimPercentile(FlightRange,$B86)),_xll.VoseSimPercentile(FlightRange,$B86),NA())</f>
        <v>45.886183534710959</v>
      </c>
      <c r="E86" s="69" cm="1">
        <f t="array" aca="1" ref="E86" ca="1">IF(ISNUMBER(_xll.VoseSimPercentile(RangeExact,$B86)),_xll.VoseSimPercentile(RangeExact,$B86),NA())</f>
        <v>45.78797690083735</v>
      </c>
      <c r="F86" s="69">
        <f t="shared" si="1"/>
        <v>50</v>
      </c>
    </row>
    <row r="87" spans="2:6" hidden="1" outlineLevel="1" x14ac:dyDescent="0.45">
      <c r="B87" s="68">
        <v>0.45</v>
      </c>
      <c r="C87" s="68">
        <f t="shared" si="0"/>
        <v>0.55000000000000004</v>
      </c>
      <c r="D87" s="69" cm="1">
        <f t="array" aca="1" ref="D87" ca="1">IF(ISNUMBER(_xll.VoseSimPercentile(FlightRange,$B87)),_xll.VoseSimPercentile(FlightRange,$B87),NA())</f>
        <v>46.088853505982975</v>
      </c>
      <c r="E87" s="69" cm="1">
        <f t="array" aca="1" ref="E87" ca="1">IF(ISNUMBER(_xll.VoseSimPercentile(RangeExact,$B87)),_xll.VoseSimPercentile(RangeExact,$B87),NA())</f>
        <v>45.991987690025645</v>
      </c>
      <c r="F87" s="69">
        <f t="shared" si="1"/>
        <v>50</v>
      </c>
    </row>
    <row r="88" spans="2:6" hidden="1" outlineLevel="1" x14ac:dyDescent="0.45">
      <c r="B88" s="68">
        <v>0.47</v>
      </c>
      <c r="C88" s="68">
        <f t="shared" si="0"/>
        <v>0.53</v>
      </c>
      <c r="D88" s="69" cm="1">
        <f t="array" aca="1" ref="D88" ca="1">IF(ISNUMBER(_xll.VoseSimPercentile(FlightRange,$B88)),_xll.VoseSimPercentile(FlightRange,$B88),NA())</f>
        <v>46.268203519624436</v>
      </c>
      <c r="E88" s="69" cm="1">
        <f t="array" aca="1" ref="E88" ca="1">IF(ISNUMBER(_xll.VoseSimPercentile(RangeExact,$B88)),_xll.VoseSimPercentile(RangeExact,$B88),NA())</f>
        <v>46.171435325868323</v>
      </c>
      <c r="F88" s="69">
        <f t="shared" si="1"/>
        <v>50</v>
      </c>
    </row>
    <row r="89" spans="2:6" hidden="1" outlineLevel="1" x14ac:dyDescent="0.45">
      <c r="B89" s="68">
        <v>0.49</v>
      </c>
      <c r="C89" s="68">
        <f t="shared" si="0"/>
        <v>0.51</v>
      </c>
      <c r="D89" s="69" cm="1">
        <f t="array" aca="1" ref="D89" ca="1">IF(ISNUMBER(_xll.VoseSimPercentile(FlightRange,$B89)),_xll.VoseSimPercentile(FlightRange,$B89),NA())</f>
        <v>46.442199181239204</v>
      </c>
      <c r="E89" s="69" cm="1">
        <f t="array" aca="1" ref="E89" ca="1">IF(ISNUMBER(_xll.VoseSimPercentile(RangeExact,$B89)),_xll.VoseSimPercentile(RangeExact,$B89),NA())</f>
        <v>46.34567909753077</v>
      </c>
      <c r="F89" s="69">
        <f t="shared" si="1"/>
        <v>50</v>
      </c>
    </row>
    <row r="90" spans="2:6" hidden="1" outlineLevel="1" x14ac:dyDescent="0.45">
      <c r="B90" s="68">
        <v>0.51</v>
      </c>
      <c r="C90" s="68">
        <f t="shared" si="0"/>
        <v>0.49</v>
      </c>
      <c r="D90" s="69" cm="1">
        <f t="array" aca="1" ref="D90" ca="1">IF(ISNUMBER(_xll.VoseSimPercentile(FlightRange,$B90)),_xll.VoseSimPercentile(FlightRange,$B90),NA())</f>
        <v>46.640289170408906</v>
      </c>
      <c r="E90" s="69" cm="1">
        <f t="array" aca="1" ref="E90" ca="1">IF(ISNUMBER(_xll.VoseSimPercentile(RangeExact,$B90)),_xll.VoseSimPercentile(RangeExact,$B90),NA())</f>
        <v>46.543227594943872</v>
      </c>
      <c r="F90" s="69">
        <f t="shared" si="1"/>
        <v>50</v>
      </c>
    </row>
    <row r="91" spans="2:6" hidden="1" outlineLevel="1" x14ac:dyDescent="0.45">
      <c r="B91" s="68">
        <v>0.53</v>
      </c>
      <c r="C91" s="68">
        <f t="shared" si="0"/>
        <v>0.47</v>
      </c>
      <c r="D91" s="69" cm="1">
        <f t="array" aca="1" ref="D91" ca="1">IF(ISNUMBER(_xll.VoseSimPercentile(FlightRange,$B91)),_xll.VoseSimPercentile(FlightRange,$B91),NA())</f>
        <v>46.826711736702499</v>
      </c>
      <c r="E91" s="69" cm="1">
        <f t="array" aca="1" ref="E91" ca="1">IF(ISNUMBER(_xll.VoseSimPercentile(RangeExact,$B91)),_xll.VoseSimPercentile(RangeExact,$B91),NA())</f>
        <v>46.727122490957733</v>
      </c>
      <c r="F91" s="69">
        <f t="shared" si="1"/>
        <v>50</v>
      </c>
    </row>
    <row r="92" spans="2:6" hidden="1" outlineLevel="1" x14ac:dyDescent="0.45">
      <c r="B92" s="68">
        <v>0.55000000000000004</v>
      </c>
      <c r="C92" s="68">
        <f t="shared" si="0"/>
        <v>0.44999999999999996</v>
      </c>
      <c r="D92" s="69" cm="1">
        <f t="array" aca="1" ref="D92" ca="1">IF(ISNUMBER(_xll.VoseSimPercentile(FlightRange,$B92)),_xll.VoseSimPercentile(FlightRange,$B92),NA())</f>
        <v>46.999372190063269</v>
      </c>
      <c r="E92" s="69" cm="1">
        <f t="array" aca="1" ref="E92" ca="1">IF(ISNUMBER(_xll.VoseSimPercentile(RangeExact,$B92)),_xll.VoseSimPercentile(RangeExact,$B92),NA())</f>
        <v>46.901680620320697</v>
      </c>
      <c r="F92" s="69">
        <f t="shared" si="1"/>
        <v>50</v>
      </c>
    </row>
    <row r="93" spans="2:6" hidden="1" outlineLevel="1" x14ac:dyDescent="0.45">
      <c r="B93" s="68">
        <v>0.56999999999999995</v>
      </c>
      <c r="C93" s="68">
        <f t="shared" si="0"/>
        <v>0.43000000000000005</v>
      </c>
      <c r="D93" s="69" cm="1">
        <f t="array" aca="1" ref="D93" ca="1">IF(ISNUMBER(_xll.VoseSimPercentile(FlightRange,$B93)),_xll.VoseSimPercentile(FlightRange,$B93),NA())</f>
        <v>47.201565573925969</v>
      </c>
      <c r="E93" s="69" cm="1">
        <f t="array" aca="1" ref="E93" ca="1">IF(ISNUMBER(_xll.VoseSimPercentile(RangeExact,$B93)),_xll.VoseSimPercentile(RangeExact,$B93),NA())</f>
        <v>47.100984417825281</v>
      </c>
      <c r="F93" s="69">
        <f t="shared" si="1"/>
        <v>50</v>
      </c>
    </row>
    <row r="94" spans="2:6" hidden="1" outlineLevel="1" x14ac:dyDescent="0.45">
      <c r="B94" s="68">
        <v>0.59</v>
      </c>
      <c r="C94" s="68">
        <f t="shared" si="0"/>
        <v>0.41000000000000003</v>
      </c>
      <c r="D94" s="69" cm="1">
        <f t="array" aca="1" ref="D94" ca="1">IF(ISNUMBER(_xll.VoseSimPercentile(FlightRange,$B94)),_xll.VoseSimPercentile(FlightRange,$B94),NA())</f>
        <v>47.387578219695932</v>
      </c>
      <c r="E94" s="69" cm="1">
        <f t="array" aca="1" ref="E94" ca="1">IF(ISNUMBER(_xll.VoseSimPercentile(RangeExact,$B94)),_xll.VoseSimPercentile(RangeExact,$B94),NA())</f>
        <v>47.288461112706962</v>
      </c>
      <c r="F94" s="69">
        <f t="shared" si="1"/>
        <v>50</v>
      </c>
    </row>
    <row r="95" spans="2:6" hidden="1" outlineLevel="1" x14ac:dyDescent="0.45">
      <c r="B95" s="68">
        <v>0.61</v>
      </c>
      <c r="C95" s="68">
        <f t="shared" si="0"/>
        <v>0.39</v>
      </c>
      <c r="D95" s="69" cm="1">
        <f t="array" aca="1" ref="D95" ca="1">IF(ISNUMBER(_xll.VoseSimPercentile(FlightRange,$B95)),_xll.VoseSimPercentile(FlightRange,$B95),NA())</f>
        <v>47.597937290659075</v>
      </c>
      <c r="E95" s="69" cm="1">
        <f t="array" aca="1" ref="E95" ca="1">IF(ISNUMBER(_xll.VoseSimPercentile(RangeExact,$B95)),_xll.VoseSimPercentile(RangeExact,$B95),NA())</f>
        <v>47.49984455451964</v>
      </c>
      <c r="F95" s="69">
        <f t="shared" si="1"/>
        <v>50</v>
      </c>
    </row>
    <row r="96" spans="2:6" hidden="1" outlineLevel="1" x14ac:dyDescent="0.45">
      <c r="B96" s="68">
        <v>0.63</v>
      </c>
      <c r="C96" s="68">
        <f t="shared" si="0"/>
        <v>0.37</v>
      </c>
      <c r="D96" s="69" cm="1">
        <f t="array" aca="1" ref="D96" ca="1">IF(ISNUMBER(_xll.VoseSimPercentile(FlightRange,$B96)),_xll.VoseSimPercentile(FlightRange,$B96),NA())</f>
        <v>47.80510211074747</v>
      </c>
      <c r="E96" s="69" cm="1">
        <f t="array" aca="1" ref="E96" ca="1">IF(ISNUMBER(_xll.VoseSimPercentile(RangeExact,$B96)),_xll.VoseSimPercentile(RangeExact,$B96),NA())</f>
        <v>47.706811896529558</v>
      </c>
      <c r="F96" s="69">
        <f t="shared" si="1"/>
        <v>50</v>
      </c>
    </row>
    <row r="97" spans="2:6" hidden="1" outlineLevel="1" x14ac:dyDescent="0.45">
      <c r="B97" s="68">
        <v>0.65</v>
      </c>
      <c r="C97" s="68">
        <f t="shared" ref="C97:C128" si="2">1-B97</f>
        <v>0.35</v>
      </c>
      <c r="D97" s="69" cm="1">
        <f t="array" aca="1" ref="D97" ca="1">IF(ISNUMBER(_xll.VoseSimPercentile(FlightRange,$B97)),_xll.VoseSimPercentile(FlightRange,$B97),NA())</f>
        <v>47.987077892961587</v>
      </c>
      <c r="E97" s="69" cm="1">
        <f t="array" aca="1" ref="E97" ca="1">IF(ISNUMBER(_xll.VoseSimPercentile(RangeExact,$B97)),_xll.VoseSimPercentile(RangeExact,$B97),NA())</f>
        <v>47.888154800826499</v>
      </c>
      <c r="F97" s="69">
        <f t="shared" ref="F97:F114" si="3">RangeMark</f>
        <v>50</v>
      </c>
    </row>
    <row r="98" spans="2:6" hidden="1" outlineLevel="1" x14ac:dyDescent="0.45">
      <c r="B98" s="68">
        <v>0.67</v>
      </c>
      <c r="C98" s="68">
        <f t="shared" si="2"/>
        <v>0.32999999999999996</v>
      </c>
      <c r="D98" s="69" cm="1">
        <f t="array" aca="1" ref="D98" ca="1">IF(ISNUMBER(_xll.VoseSimPercentile(FlightRange,$B98)),_xll.VoseSimPercentile(FlightRange,$B98),NA())</f>
        <v>48.173176740888195</v>
      </c>
      <c r="E98" s="69" cm="1">
        <f t="array" aca="1" ref="E98" ca="1">IF(ISNUMBER(_xll.VoseSimPercentile(RangeExact,$B98)),_xll.VoseSimPercentile(RangeExact,$B98),NA())</f>
        <v>48.075211742475453</v>
      </c>
      <c r="F98" s="69">
        <f t="shared" si="3"/>
        <v>50</v>
      </c>
    </row>
    <row r="99" spans="2:6" hidden="1" outlineLevel="1" x14ac:dyDescent="0.45">
      <c r="B99" s="68">
        <v>0.69</v>
      </c>
      <c r="C99" s="68">
        <f t="shared" si="2"/>
        <v>0.31000000000000005</v>
      </c>
      <c r="D99" s="69" cm="1">
        <f t="array" aca="1" ref="D99" ca="1">IF(ISNUMBER(_xll.VoseSimPercentile(FlightRange,$B99)),_xll.VoseSimPercentile(FlightRange,$B99),NA())</f>
        <v>48.394151828339609</v>
      </c>
      <c r="E99" s="69" cm="1">
        <f t="array" aca="1" ref="E99" ca="1">IF(ISNUMBER(_xll.VoseSimPercentile(RangeExact,$B99)),_xll.VoseSimPercentile(RangeExact,$B99),NA())</f>
        <v>48.294583316782621</v>
      </c>
      <c r="F99" s="69">
        <f t="shared" si="3"/>
        <v>50</v>
      </c>
    </row>
    <row r="100" spans="2:6" hidden="1" outlineLevel="1" x14ac:dyDescent="0.45">
      <c r="B100" s="68">
        <v>0.71</v>
      </c>
      <c r="C100" s="68">
        <f t="shared" si="2"/>
        <v>0.29000000000000004</v>
      </c>
      <c r="D100" s="69" cm="1">
        <f t="array" aca="1" ref="D100" ca="1">IF(ISNUMBER(_xll.VoseSimPercentile(FlightRange,$B100)),_xll.VoseSimPercentile(FlightRange,$B100),NA())</f>
        <v>48.644486961293218</v>
      </c>
      <c r="E100" s="69" cm="1">
        <f t="array" aca="1" ref="E100" ca="1">IF(ISNUMBER(_xll.VoseSimPercentile(RangeExact,$B100)),_xll.VoseSimPercentile(RangeExact,$B100),NA())</f>
        <v>48.544524321520036</v>
      </c>
      <c r="F100" s="69">
        <f t="shared" si="3"/>
        <v>50</v>
      </c>
    </row>
    <row r="101" spans="2:6" hidden="1" outlineLevel="1" x14ac:dyDescent="0.45">
      <c r="B101" s="68">
        <v>0.73</v>
      </c>
      <c r="C101" s="68">
        <f t="shared" si="2"/>
        <v>0.27</v>
      </c>
      <c r="D101" s="69" cm="1">
        <f t="array" aca="1" ref="D101" ca="1">IF(ISNUMBER(_xll.VoseSimPercentile(FlightRange,$B101)),_xll.VoseSimPercentile(FlightRange,$B101),NA())</f>
        <v>48.83424290865193</v>
      </c>
      <c r="E101" s="69" cm="1">
        <f t="array" aca="1" ref="E101" ca="1">IF(ISNUMBER(_xll.VoseSimPercentile(RangeExact,$B101)),_xll.VoseSimPercentile(RangeExact,$B101),NA())</f>
        <v>48.73572678951642</v>
      </c>
      <c r="F101" s="69">
        <f t="shared" si="3"/>
        <v>50</v>
      </c>
    </row>
    <row r="102" spans="2:6" hidden="1" outlineLevel="1" x14ac:dyDescent="0.45">
      <c r="B102" s="68">
        <v>0.75</v>
      </c>
      <c r="C102" s="68">
        <f t="shared" si="2"/>
        <v>0.25</v>
      </c>
      <c r="D102" s="69" cm="1">
        <f t="array" aca="1" ref="D102" ca="1">IF(ISNUMBER(_xll.VoseSimPercentile(FlightRange,$B102)),_xll.VoseSimPercentile(FlightRange,$B102),NA())</f>
        <v>49.066600493852953</v>
      </c>
      <c r="E102" s="69" cm="1">
        <f t="array" aca="1" ref="E102" ca="1">IF(ISNUMBER(_xll.VoseSimPercentile(RangeExact,$B102)),_xll.VoseSimPercentile(RangeExact,$B102),NA())</f>
        <v>48.965809736548813</v>
      </c>
      <c r="F102" s="69">
        <f t="shared" si="3"/>
        <v>50</v>
      </c>
    </row>
    <row r="103" spans="2:6" hidden="1" outlineLevel="1" x14ac:dyDescent="0.45">
      <c r="B103" s="68">
        <v>0.77</v>
      </c>
      <c r="C103" s="68">
        <f t="shared" si="2"/>
        <v>0.22999999999999998</v>
      </c>
      <c r="D103" s="69" cm="1">
        <f t="array" aca="1" ref="D103" ca="1">IF(ISNUMBER(_xll.VoseSimPercentile(FlightRange,$B103)),_xll.VoseSimPercentile(FlightRange,$B103),NA())</f>
        <v>49.305636785877134</v>
      </c>
      <c r="E103" s="69" cm="1">
        <f t="array" aca="1" ref="E103" ca="1">IF(ISNUMBER(_xll.VoseSimPercentile(RangeExact,$B103)),_xll.VoseSimPercentile(RangeExact,$B103),NA())</f>
        <v>49.205837639170802</v>
      </c>
      <c r="F103" s="69">
        <f t="shared" si="3"/>
        <v>50</v>
      </c>
    </row>
    <row r="104" spans="2:6" hidden="1" outlineLevel="1" x14ac:dyDescent="0.45">
      <c r="B104" s="68">
        <v>0.79</v>
      </c>
      <c r="C104" s="68">
        <f t="shared" si="2"/>
        <v>0.20999999999999996</v>
      </c>
      <c r="D104" s="69" cm="1">
        <f t="array" aca="1" ref="D104" ca="1">IF(ISNUMBER(_xll.VoseSimPercentile(FlightRange,$B104)),_xll.VoseSimPercentile(FlightRange,$B104),NA())</f>
        <v>49.583797791736579</v>
      </c>
      <c r="E104" s="69" cm="1">
        <f t="array" aca="1" ref="E104" ca="1">IF(ISNUMBER(_xll.VoseSimPercentile(RangeExact,$B104)),_xll.VoseSimPercentile(RangeExact,$B104),NA())</f>
        <v>49.483532732957151</v>
      </c>
      <c r="F104" s="69">
        <f t="shared" si="3"/>
        <v>50</v>
      </c>
    </row>
    <row r="105" spans="2:6" hidden="1" outlineLevel="1" x14ac:dyDescent="0.45">
      <c r="B105" s="68">
        <v>0.81</v>
      </c>
      <c r="C105" s="68">
        <f t="shared" si="2"/>
        <v>0.18999999999999995</v>
      </c>
      <c r="D105" s="69" cm="1">
        <f t="array" aca="1" ref="D105" ca="1">IF(ISNUMBER(_xll.VoseSimPercentile(FlightRange,$B105)),_xll.VoseSimPercentile(FlightRange,$B105),NA())</f>
        <v>49.828095901978976</v>
      </c>
      <c r="E105" s="69" cm="1">
        <f t="array" aca="1" ref="E105" ca="1">IF(ISNUMBER(_xll.VoseSimPercentile(RangeExact,$B105)),_xll.VoseSimPercentile(RangeExact,$B105),NA())</f>
        <v>49.726405299951267</v>
      </c>
      <c r="F105" s="69">
        <f t="shared" si="3"/>
        <v>50</v>
      </c>
    </row>
    <row r="106" spans="2:6" hidden="1" outlineLevel="1" x14ac:dyDescent="0.45">
      <c r="B106" s="68">
        <v>0.83</v>
      </c>
      <c r="C106" s="68">
        <f t="shared" si="2"/>
        <v>0.17000000000000004</v>
      </c>
      <c r="D106" s="69" cm="1">
        <f t="array" aca="1" ref="D106" ca="1">IF(ISNUMBER(_xll.VoseSimPercentile(FlightRange,$B106)),_xll.VoseSimPercentile(FlightRange,$B106),NA())</f>
        <v>50.107754462721481</v>
      </c>
      <c r="E106" s="69" cm="1">
        <f t="array" aca="1" ref="E106" ca="1">IF(ISNUMBER(_xll.VoseSimPercentile(RangeExact,$B106)),_xll.VoseSimPercentile(RangeExact,$B106),NA())</f>
        <v>50.006614654589171</v>
      </c>
      <c r="F106" s="69">
        <f t="shared" si="3"/>
        <v>50</v>
      </c>
    </row>
    <row r="107" spans="2:6" hidden="1" outlineLevel="1" x14ac:dyDescent="0.45">
      <c r="B107" s="68">
        <v>0.85</v>
      </c>
      <c r="C107" s="68">
        <f t="shared" si="2"/>
        <v>0.15000000000000002</v>
      </c>
      <c r="D107" s="69" cm="1">
        <f t="array" aca="1" ref="D107" ca="1">IF(ISNUMBER(_xll.VoseSimPercentile(FlightRange,$B107)),_xll.VoseSimPercentile(FlightRange,$B107),NA())</f>
        <v>50.376918017552619</v>
      </c>
      <c r="E107" s="69" cm="1">
        <f t="array" aca="1" ref="E107" ca="1">IF(ISNUMBER(_xll.VoseSimPercentile(RangeExact,$B107)),_xll.VoseSimPercentile(RangeExact,$B107),NA())</f>
        <v>50.276144986618164</v>
      </c>
      <c r="F107" s="69">
        <f t="shared" si="3"/>
        <v>50</v>
      </c>
    </row>
    <row r="108" spans="2:6" hidden="1" outlineLevel="1" x14ac:dyDescent="0.45">
      <c r="B108" s="68">
        <v>0.87</v>
      </c>
      <c r="C108" s="68">
        <f t="shared" si="2"/>
        <v>0.13</v>
      </c>
      <c r="D108" s="69" cm="1">
        <f t="array" aca="1" ref="D108" ca="1">IF(ISNUMBER(_xll.VoseSimPercentile(FlightRange,$B108)),_xll.VoseSimPercentile(FlightRange,$B108),NA())</f>
        <v>50.698817494782737</v>
      </c>
      <c r="E108" s="69" cm="1">
        <f t="array" aca="1" ref="E108" ca="1">IF(ISNUMBER(_xll.VoseSimPercentile(RangeExact,$B108)),_xll.VoseSimPercentile(RangeExact,$B108),NA())</f>
        <v>50.596211443022952</v>
      </c>
      <c r="F108" s="69">
        <f t="shared" si="3"/>
        <v>50</v>
      </c>
    </row>
    <row r="109" spans="2:6" hidden="1" outlineLevel="1" x14ac:dyDescent="0.45">
      <c r="B109" s="68">
        <v>0.89</v>
      </c>
      <c r="C109" s="68">
        <f t="shared" si="2"/>
        <v>0.10999999999999999</v>
      </c>
      <c r="D109" s="69" cm="1">
        <f t="array" aca="1" ref="D109" ca="1">IF(ISNUMBER(_xll.VoseSimPercentile(FlightRange,$B109)),_xll.VoseSimPercentile(FlightRange,$B109),NA())</f>
        <v>51.04540087124375</v>
      </c>
      <c r="E109" s="69" cm="1">
        <f t="array" aca="1" ref="E109" ca="1">IF(ISNUMBER(_xll.VoseSimPercentile(RangeExact,$B109)),_xll.VoseSimPercentile(RangeExact,$B109),NA())</f>
        <v>50.94420080844305</v>
      </c>
      <c r="F109" s="69">
        <f t="shared" si="3"/>
        <v>50</v>
      </c>
    </row>
    <row r="110" spans="2:6" hidden="1" outlineLevel="1" x14ac:dyDescent="0.45">
      <c r="B110" s="68">
        <v>0.91</v>
      </c>
      <c r="C110" s="68">
        <f t="shared" si="2"/>
        <v>8.9999999999999969E-2</v>
      </c>
      <c r="D110" s="69" cm="1">
        <f t="array" aca="1" ref="D110" ca="1">IF(ISNUMBER(_xll.VoseSimPercentile(FlightRange,$B110)),_xll.VoseSimPercentile(FlightRange,$B110),NA())</f>
        <v>51.450610539748133</v>
      </c>
      <c r="E110" s="69" cm="1">
        <f t="array" aca="1" ref="E110" ca="1">IF(ISNUMBER(_xll.VoseSimPercentile(RangeExact,$B110)),_xll.VoseSimPercentile(RangeExact,$B110),NA())</f>
        <v>51.347805441875906</v>
      </c>
      <c r="F110" s="69">
        <f t="shared" si="3"/>
        <v>50</v>
      </c>
    </row>
    <row r="111" spans="2:6" hidden="1" outlineLevel="1" x14ac:dyDescent="0.45">
      <c r="B111" s="68">
        <v>0.93</v>
      </c>
      <c r="C111" s="68">
        <f t="shared" si="2"/>
        <v>6.9999999999999951E-2</v>
      </c>
      <c r="D111" s="69" cm="1">
        <f t="array" aca="1" ref="D111" ca="1">IF(ISNUMBER(_xll.VoseSimPercentile(FlightRange,$B111)),_xll.VoseSimPercentile(FlightRange,$B111),NA())</f>
        <v>51.965882290675872</v>
      </c>
      <c r="E111" s="69" cm="1">
        <f t="array" aca="1" ref="E111" ca="1">IF(ISNUMBER(_xll.VoseSimPercentile(RangeExact,$B111)),_xll.VoseSimPercentile(RangeExact,$B111),NA())</f>
        <v>51.863092603979595</v>
      </c>
      <c r="F111" s="69">
        <f t="shared" si="3"/>
        <v>50</v>
      </c>
    </row>
    <row r="112" spans="2:6" hidden="1" outlineLevel="1" x14ac:dyDescent="0.45">
      <c r="B112" s="68">
        <v>0.95</v>
      </c>
      <c r="C112" s="68">
        <f t="shared" si="2"/>
        <v>5.0000000000000044E-2</v>
      </c>
      <c r="D112" s="69" cm="1">
        <f t="array" aca="1" ref="D112" ca="1">IF(ISNUMBER(_xll.VoseSimPercentile(FlightRange,$B112)),_xll.VoseSimPercentile(FlightRange,$B112),NA())</f>
        <v>52.609976650589303</v>
      </c>
      <c r="E112" s="69" cm="1">
        <f t="array" aca="1" ref="E112" ca="1">IF(ISNUMBER(_xll.VoseSimPercentile(RangeExact,$B112)),_xll.VoseSimPercentile(RangeExact,$B112),NA())</f>
        <v>52.505167383092818</v>
      </c>
      <c r="F112" s="69">
        <f t="shared" si="3"/>
        <v>50</v>
      </c>
    </row>
    <row r="113" spans="2:7" hidden="1" outlineLevel="1" x14ac:dyDescent="0.45">
      <c r="B113" s="68">
        <v>0.97</v>
      </c>
      <c r="C113" s="68">
        <f t="shared" si="2"/>
        <v>3.0000000000000027E-2</v>
      </c>
      <c r="D113" s="69" cm="1">
        <f t="array" aca="1" ref="D113" ca="1">IF(ISNUMBER(_xll.VoseSimPercentile(FlightRange,$B113)),_xll.VoseSimPercentile(FlightRange,$B113),NA())</f>
        <v>53.480738740435854</v>
      </c>
      <c r="E113" s="69" cm="1">
        <f t="array" aca="1" ref="E113" ca="1">IF(ISNUMBER(_xll.VoseSimPercentile(RangeExact,$B113)),_xll.VoseSimPercentile(RangeExact,$B113),NA())</f>
        <v>53.374068595079514</v>
      </c>
      <c r="F113" s="69">
        <f t="shared" si="3"/>
        <v>50</v>
      </c>
    </row>
    <row r="114" spans="2:7" hidden="1" outlineLevel="1" x14ac:dyDescent="0.45">
      <c r="B114" s="68">
        <v>0.99</v>
      </c>
      <c r="C114" s="68">
        <f t="shared" si="2"/>
        <v>1.0000000000000009E-2</v>
      </c>
      <c r="D114" s="69" cm="1">
        <f t="array" aca="1" ref="D114" ca="1">IF(ISNUMBER(_xll.VoseSimPercentile(FlightRange,$B114)),_xll.VoseSimPercentile(FlightRange,$B114),NA())</f>
        <v>55.068240531911215</v>
      </c>
      <c r="E114" s="69" cm="1">
        <f t="array" aca="1" ref="E114" ca="1">IF(ISNUMBER(_xll.VoseSimPercentile(RangeExact,$B114)),_xll.VoseSimPercentile(RangeExact,$B114),NA())</f>
        <v>54.961845495650408</v>
      </c>
      <c r="F114" s="69">
        <f t="shared" si="3"/>
        <v>50</v>
      </c>
    </row>
    <row r="115" spans="2:7" hidden="1" outlineLevel="1" x14ac:dyDescent="0.45"/>
    <row r="116" spans="2:7" hidden="1" outlineLevel="1" x14ac:dyDescent="0.45">
      <c r="B116" s="70" t="s">
        <v>246</v>
      </c>
      <c r="D116" s="71" cm="1">
        <f t="array" aca="1" ref="D116" ca="1">_xll.VoseSimMean(FlightRange)</f>
        <v>46.464113857442619</v>
      </c>
    </row>
    <row r="117" spans="2:7" ht="18" hidden="1" customHeight="1" outlineLevel="1" x14ac:dyDescent="0.45">
      <c r="B117" s="23" t="s">
        <v>247</v>
      </c>
      <c r="C117" s="5"/>
      <c r="D117" s="5"/>
      <c r="E117" s="5"/>
      <c r="F117" s="24" t="s">
        <v>248</v>
      </c>
      <c r="G117" s="24" t="s">
        <v>249</v>
      </c>
    </row>
    <row r="118" spans="2:7" hidden="1" outlineLevel="1" x14ac:dyDescent="0.45">
      <c r="B118" s="72" t="str">
        <f ca="1">B26</f>
        <v>Air friction</v>
      </c>
      <c r="F118" s="40">
        <f ca="1">IFERROR(D26-$D$116,NA())</f>
        <v>5.0071867799652878</v>
      </c>
      <c r="G118" s="40">
        <f ca="1">IFERROR(C26-$D$116,NA())</f>
        <v>-6.0809418799879609</v>
      </c>
    </row>
    <row r="119" spans="2:7" hidden="1" outlineLevel="1" x14ac:dyDescent="0.45">
      <c r="B119" s="72" t="str">
        <f ca="1">B27</f>
        <v>Launch speed</v>
      </c>
      <c r="F119" s="40">
        <f ca="1">IFERROR(D27-$D$116,NA())</f>
        <v>3.7829935005476543</v>
      </c>
      <c r="G119" s="40">
        <f ca="1">IFERROR(C27-$D$116,NA())</f>
        <v>-3.6525391994274088</v>
      </c>
    </row>
    <row r="120" spans="2:7" hidden="1" outlineLevel="1" x14ac:dyDescent="0.45"/>
    <row r="121" spans="2:7" ht="28.05" hidden="1" customHeight="1" outlineLevel="1" x14ac:dyDescent="0.45">
      <c r="B121" s="23" t="s">
        <v>250</v>
      </c>
      <c r="C121" s="24" t="s">
        <v>251</v>
      </c>
      <c r="D121" s="24" t="s">
        <v>219</v>
      </c>
      <c r="E121" s="24" t="s">
        <v>252</v>
      </c>
      <c r="F121" s="24" t="s">
        <v>100</v>
      </c>
      <c r="G121" s="5"/>
    </row>
    <row r="122" spans="2:7" hidden="1" outlineLevel="1" x14ac:dyDescent="0.45">
      <c r="B122" s="72" t="s">
        <v>253</v>
      </c>
      <c r="C122" s="69" cm="1">
        <f t="array" aca="1" ref="C122" ca="1">IF(ISNUMBER(_xll.VoseSimPercentile(H_1,0.05)),_xll.VoseSimPercentile(H_1,0.05),NA())</f>
        <v>12.014374135615736</v>
      </c>
      <c r="D122" s="69" cm="1">
        <f t="array" aca="1" ref="D122" ca="1">IF(ISNUMBER(_xll.VoseSimPercentile(H_1,0.5)),_xll.VoseSimPercentile(H_1,0.5),NA())</f>
        <v>12.111324707079451</v>
      </c>
      <c r="E122" s="69" cm="1">
        <f t="array" aca="1" ref="E122" ca="1">IF(ISNUMBER(_xll.VoseSimPercentile(H_1,0.95)),_xll.VoseSimPercentile(H_1,0.95),NA())</f>
        <v>12.212804541139569</v>
      </c>
      <c r="F122" s="69" cm="1">
        <f t="array" aca="1" ref="F122" ca="1">IF(ISNUMBER(_xll.VoseSimMean(H_1)),_xll.VoseSimMean(H_1),NA())</f>
        <v>12.111903094913727</v>
      </c>
    </row>
    <row r="123" spans="2:7" hidden="1" outlineLevel="1" x14ac:dyDescent="0.45">
      <c r="B123" s="72" t="s">
        <v>254</v>
      </c>
      <c r="C123" s="69" cm="1">
        <f t="array" aca="1" ref="C123" ca="1">IF(ISNUMBER(_xll.VoseSimPercentile(H_2,0.05)),_xll.VoseSimPercentile(H_2,0.05),NA())</f>
        <v>13.910757048313783</v>
      </c>
      <c r="D123" s="69" cm="1">
        <f t="array" aca="1" ref="D123" ca="1">IF(ISNUMBER(_xll.VoseSimPercentile(H_2,0.5)),_xll.VoseSimPercentile(H_2,0.5),NA())</f>
        <v>14.104401809306522</v>
      </c>
      <c r="E123" s="69" cm="1">
        <f t="array" aca="1" ref="E123" ca="1">IF(ISNUMBER(_xll.VoseSimPercentile(H_2,0.95)),_xll.VoseSimPercentile(H_2,0.95),NA())</f>
        <v>14.306613877535174</v>
      </c>
      <c r="F123" s="69" cm="1">
        <f t="array" aca="1" ref="F123" ca="1">IF(ISNUMBER(_xll.VoseSimMean(H_2)),_xll.VoseSimMean(H_2),NA())</f>
        <v>14.105097926454349</v>
      </c>
    </row>
    <row r="124" spans="2:7" hidden="1" outlineLevel="1" x14ac:dyDescent="0.45">
      <c r="B124" s="72" t="s">
        <v>255</v>
      </c>
      <c r="C124" s="69" cm="1">
        <f t="array" aca="1" ref="C124" ca="1">IF(ISNUMBER(_xll.VoseSimPercentile(H_3,0.05)),_xll.VoseSimPercentile(H_3,0.05),NA())</f>
        <v>15.690067038265973</v>
      </c>
      <c r="D124" s="69" cm="1">
        <f t="array" aca="1" ref="D124" ca="1">IF(ISNUMBER(_xll.VoseSimPercentile(H_3,0.5)),_xll.VoseSimPercentile(H_3,0.5),NA())</f>
        <v>15.98033165477184</v>
      </c>
      <c r="E124" s="69" cm="1">
        <f t="array" aca="1" ref="E124" ca="1">IF(ISNUMBER(_xll.VoseSimPercentile(H_3,0.95)),_xll.VoseSimPercentile(H_3,0.95),NA())</f>
        <v>16.283264672321931</v>
      </c>
      <c r="F124" s="69" cm="1">
        <f t="array" aca="1" ref="F124" ca="1">IF(ISNUMBER(_xll.VoseSimMean(H_3)),_xll.VoseSimMean(H_3),NA())</f>
        <v>15.980788217693028</v>
      </c>
    </row>
    <row r="125" spans="2:7" hidden="1" outlineLevel="1" x14ac:dyDescent="0.45">
      <c r="B125" s="72" t="s">
        <v>256</v>
      </c>
      <c r="C125" s="69" cm="1">
        <f t="array" aca="1" ref="C125" ca="1">IF(ISNUMBER(_xll.VoseSimPercentile(H_4,0.05)),_xll.VoseSimPercentile(H_4,0.05),NA())</f>
        <v>17.351414902228882</v>
      </c>
      <c r="D125" s="69" cm="1">
        <f t="array" aca="1" ref="D125" ca="1">IF(ISNUMBER(_xll.VoseSimPercentile(H_4,0.5)),_xll.VoseSimPercentile(H_4,0.5),NA())</f>
        <v>17.738330963992968</v>
      </c>
      <c r="E125" s="69" cm="1">
        <f t="array" aca="1" ref="E125" ca="1">IF(ISNUMBER(_xll.VoseSimPercentile(H_4,0.95)),_xll.VoseSimPercentile(H_4,0.95),NA())</f>
        <v>18.143426366552777</v>
      </c>
      <c r="F125" s="69" cm="1">
        <f t="array" aca="1" ref="F125" ca="1">IF(ISNUMBER(_xll.VoseSimMean(H_4)),_xll.VoseSimMean(H_4),NA())</f>
        <v>17.74016444282773</v>
      </c>
    </row>
    <row r="126" spans="2:7" hidden="1" outlineLevel="1" x14ac:dyDescent="0.45">
      <c r="B126" s="72" t="s">
        <v>257</v>
      </c>
      <c r="C126" s="69" cm="1">
        <f t="array" aca="1" ref="C126" ca="1">IF(ISNUMBER(_xll.VoseSimPercentile(H_5,0.05)),_xll.VoseSimPercentile(H_5,0.05),NA())</f>
        <v>18.895486030332915</v>
      </c>
      <c r="D126" s="69" cm="1">
        <f t="array" aca="1" ref="D126" ca="1">IF(ISNUMBER(_xll.VoseSimPercentile(H_5,0.5)),_xll.VoseSimPercentile(H_5,0.5),NA())</f>
        <v>19.381732680719516</v>
      </c>
      <c r="E126" s="69" cm="1">
        <f t="array" aca="1" ref="E126" ca="1">IF(ISNUMBER(_xll.VoseSimPercentile(H_5,0.95)),_xll.VoseSimPercentile(H_5,0.95),NA())</f>
        <v>19.890362106990814</v>
      </c>
      <c r="F126" s="69" cm="1">
        <f t="array" aca="1" ref="F126" ca="1">IF(ISNUMBER(_xll.VoseSimMean(H_5)),_xll.VoseSimMean(H_5),NA())</f>
        <v>19.384403985494977</v>
      </c>
    </row>
    <row r="127" spans="2:7" hidden="1" outlineLevel="1" x14ac:dyDescent="0.45">
      <c r="B127" s="72" t="s">
        <v>258</v>
      </c>
      <c r="C127" s="69" cm="1">
        <f t="array" aca="1" ref="C127" ca="1">IF(ISNUMBER(_xll.VoseSimPercentile(H_6,0.05)),_xll.VoseSimPercentile(H_6,0.05),NA())</f>
        <v>20.324170359109505</v>
      </c>
      <c r="D127" s="69" cm="1">
        <f t="array" aca="1" ref="D127" ca="1">IF(ISNUMBER(_xll.VoseSimPercentile(H_6,0.5)),_xll.VoseSimPercentile(H_6,0.5),NA())</f>
        <v>20.912348617668929</v>
      </c>
      <c r="E127" s="69" cm="1">
        <f t="array" aca="1" ref="E127" ca="1">IF(ISNUMBER(_xll.VoseSimPercentile(H_6,0.95)),_xll.VoseSimPercentile(H_6,0.95),NA())</f>
        <v>21.521240275309601</v>
      </c>
      <c r="F127" s="69" cm="1">
        <f t="array" aca="1" ref="F127" ca="1">IF(ISNUMBER(_xll.VoseSimMean(H_6)),_xll.VoseSimMean(H_6),NA())</f>
        <v>20.914671295026547</v>
      </c>
    </row>
    <row r="128" spans="2:7" hidden="1" outlineLevel="1" x14ac:dyDescent="0.45">
      <c r="B128" s="72" t="s">
        <v>259</v>
      </c>
      <c r="C128" s="69" cm="1">
        <f t="array" aca="1" ref="C128" ca="1">IF(ISNUMBER(_xll.VoseSimPercentile(H_7,0.05)),_xll.VoseSimPercentile(H_7,0.05),NA())</f>
        <v>21.637198860334834</v>
      </c>
      <c r="D128" s="69" cm="1">
        <f t="array" aca="1" ref="D128" ca="1">IF(ISNUMBER(_xll.VoseSimPercentile(H_7,0.5)),_xll.VoseSimPercentile(H_7,0.5),NA())</f>
        <v>22.32999731771632</v>
      </c>
      <c r="E128" s="69" cm="1">
        <f t="array" aca="1" ref="E128" ca="1">IF(ISNUMBER(_xll.VoseSimPercentile(H_7,0.95)),_xll.VoseSimPercentile(H_7,0.95),NA())</f>
        <v>23.043061968705093</v>
      </c>
      <c r="F128" s="69" cm="1">
        <f t="array" aca="1" ref="F128" ca="1">IF(ISNUMBER(_xll.VoseSimMean(H_7)),_xll.VoseSimMean(H_7),NA())</f>
        <v>22.332118040678935</v>
      </c>
    </row>
    <row r="129" spans="2:6" hidden="1" outlineLevel="1" x14ac:dyDescent="0.45">
      <c r="B129" s="72" t="s">
        <v>260</v>
      </c>
      <c r="C129" s="69" cm="1">
        <f t="array" aca="1" ref="C129" ca="1">IF(ISNUMBER(_xll.VoseSimPercentile(H_8,0.05)),_xll.VoseSimPercentile(H_8,0.05),NA())</f>
        <v>22.836540007182677</v>
      </c>
      <c r="D129" s="69" cm="1">
        <f t="array" aca="1" ref="D129" ca="1">IF(ISNUMBER(_xll.VoseSimPercentile(H_8,0.5)),_xll.VoseSimPercentile(H_8,0.5),NA())</f>
        <v>23.636513860448154</v>
      </c>
      <c r="E129" s="69" cm="1">
        <f t="array" aca="1" ref="E129" ca="1">IF(ISNUMBER(_xll.VoseSimPercentile(H_8,0.95)),_xll.VoseSimPercentile(H_8,0.95),NA())</f>
        <v>24.450947779148738</v>
      </c>
      <c r="F129" s="69" cm="1">
        <f t="array" aca="1" ref="F129" ca="1">IF(ISNUMBER(_xll.VoseSimMean(H_8)),_xll.VoseSimMean(H_8),NA())</f>
        <v>23.637883263866375</v>
      </c>
    </row>
    <row r="130" spans="2:6" hidden="1" outlineLevel="1" x14ac:dyDescent="0.45">
      <c r="B130" s="72" t="s">
        <v>261</v>
      </c>
      <c r="C130" s="69" cm="1">
        <f t="array" aca="1" ref="C130" ca="1">IF(ISNUMBER(_xll.VoseSimPercentile(H_9,0.05)),_xll.VoseSimPercentile(H_9,0.05),NA())</f>
        <v>23.925303061149567</v>
      </c>
      <c r="D130" s="69" cm="1">
        <f t="array" aca="1" ref="D130" ca="1">IF(ISNUMBER(_xll.VoseSimPercentile(H_9,0.5)),_xll.VoseSimPercentile(H_9,0.5),NA())</f>
        <v>24.83110856609661</v>
      </c>
      <c r="E130" s="69" cm="1">
        <f t="array" aca="1" ref="E130" ca="1">IF(ISNUMBER(_xll.VoseSimPercentile(H_9,0.95)),_xll.VoseSimPercentile(H_9,0.95),NA())</f>
        <v>25.753279347860417</v>
      </c>
      <c r="F130" s="69" cm="1">
        <f t="array" aca="1" ref="F130" ca="1">IF(ISNUMBER(_xll.VoseSimMean(H_9)),_xll.VoseSimMean(H_9),NA())</f>
        <v>24.833093528423895</v>
      </c>
    </row>
    <row r="131" spans="2:6" hidden="1" outlineLevel="1" x14ac:dyDescent="0.45">
      <c r="B131" s="72" t="s">
        <v>262</v>
      </c>
      <c r="C131" s="69" cm="1">
        <f t="array" aca="1" ref="C131" ca="1">IF(ISNUMBER(_xll.VoseSimPercentile(H_10,0.05)),_xll.VoseSimPercentile(H_10,0.05),NA())</f>
        <v>24.899105160520101</v>
      </c>
      <c r="D131" s="69" cm="1">
        <f t="array" aca="1" ref="D131" ca="1">IF(ISNUMBER(_xll.VoseSimPercentile(H_10,0.5)),_xll.VoseSimPercentile(H_10,0.5),NA())</f>
        <v>25.91580206838896</v>
      </c>
      <c r="E131" s="69" cm="1">
        <f t="array" aca="1" ref="E131" ca="1">IF(ISNUMBER(_xll.VoseSimPercentile(H_10,0.95)),_xll.VoseSimPercentile(H_10,0.95),NA())</f>
        <v>26.945507513519452</v>
      </c>
      <c r="F131" s="69" cm="1">
        <f t="array" aca="1" ref="F131" ca="1">IF(ISNUMBER(_xll.VoseSimMean(H_10)),_xll.VoseSimMean(H_10),NA())</f>
        <v>25.918863068927781</v>
      </c>
    </row>
    <row r="132" spans="2:6" hidden="1" outlineLevel="1" x14ac:dyDescent="0.45">
      <c r="B132" s="72" t="s">
        <v>263</v>
      </c>
      <c r="C132" s="69" cm="1">
        <f t="array" aca="1" ref="C132" ca="1">IF(ISNUMBER(_xll.VoseSimPercentile(H_11,0.05)),_xll.VoseSimPercentile(H_11,0.05),NA())</f>
        <v>25.761825724173278</v>
      </c>
      <c r="D132" s="69" cm="1">
        <f t="array" aca="1" ref="D132" ca="1">IF(ISNUMBER(_xll.VoseSimPercentile(H_11,0.5)),_xll.VoseSimPercentile(H_11,0.5),NA())</f>
        <v>26.892819618297224</v>
      </c>
      <c r="E132" s="69" cm="1">
        <f t="array" aca="1" ref="E132" ca="1">IF(ISNUMBER(_xll.VoseSimPercentile(H_11,0.95)),_xll.VoseSimPercentile(H_11,0.95),NA())</f>
        <v>28.040431169805554</v>
      </c>
      <c r="F132" s="69" cm="1">
        <f t="array" aca="1" ref="F132" ca="1">IF(ISNUMBER(_xll.VoseSimMean(H_11)),_xll.VoseSimMean(H_11),NA())</f>
        <v>26.896293937103298</v>
      </c>
    </row>
    <row r="133" spans="2:6" hidden="1" outlineLevel="1" x14ac:dyDescent="0.45">
      <c r="B133" s="72" t="s">
        <v>264</v>
      </c>
      <c r="C133" s="69" cm="1">
        <f t="array" aca="1" ref="C133" ca="1">IF(ISNUMBER(_xll.VoseSimPercentile(H_12,0.05)),_xll.VoseSimPercentile(H_12,0.05),NA())</f>
        <v>26.514228347568707</v>
      </c>
      <c r="D133" s="69" cm="1">
        <f t="array" aca="1" ref="D133" ca="1">IF(ISNUMBER(_xll.VoseSimPercentile(H_12,0.5)),_xll.VoseSimPercentile(H_12,0.5),NA())</f>
        <v>27.764785384096594</v>
      </c>
      <c r="E133" s="69" cm="1">
        <f t="array" aca="1" ref="E133" ca="1">IF(ISNUMBER(_xll.VoseSimPercentile(H_12,0.95)),_xll.VoseSimPercentile(H_12,0.95),NA())</f>
        <v>29.022831439790306</v>
      </c>
      <c r="F133" s="69" cm="1">
        <f t="array" aca="1" ref="F133" ca="1">IF(ISNUMBER(_xll.VoseSimMean(H_12)),_xll.VoseSimMean(H_12),NA())</f>
        <v>27.766476146343784</v>
      </c>
    </row>
    <row r="134" spans="2:6" hidden="1" outlineLevel="1" x14ac:dyDescent="0.45">
      <c r="B134" s="72" t="s">
        <v>265</v>
      </c>
      <c r="C134" s="69" cm="1">
        <f t="array" aca="1" ref="C134" ca="1">IF(ISNUMBER(_xll.VoseSimPercentile(H_13,0.05)),_xll.VoseSimPercentile(H_13,0.05),NA())</f>
        <v>27.162341865218018</v>
      </c>
      <c r="D134" s="69" cm="1">
        <f t="array" aca="1" ref="D134" ca="1">IF(ISNUMBER(_xll.VoseSimPercentile(H_13,0.5)),_xll.VoseSimPercentile(H_13,0.5),NA())</f>
        <v>28.529191570946125</v>
      </c>
      <c r="E134" s="69" cm="1">
        <f t="array" aca="1" ref="E134" ca="1">IF(ISNUMBER(_xll.VoseSimPercentile(H_13,0.95)),_xll.VoseSimPercentile(H_13,0.95),NA())</f>
        <v>29.899142757562878</v>
      </c>
      <c r="F134" s="69" cm="1">
        <f t="array" aca="1" ref="F134" ca="1">IF(ISNUMBER(_xll.VoseSimMean(H_13)),_xll.VoseSimMean(H_13),NA())</f>
        <v>28.53048781436792</v>
      </c>
    </row>
    <row r="135" spans="2:6" hidden="1" outlineLevel="1" x14ac:dyDescent="0.45">
      <c r="B135" s="72" t="s">
        <v>266</v>
      </c>
      <c r="C135" s="69" cm="1">
        <f t="array" aca="1" ref="C135" ca="1">IF(ISNUMBER(_xll.VoseSimPercentile(H_14,0.05)),_xll.VoseSimPercentile(H_14,0.05),NA())</f>
        <v>27.705846982774066</v>
      </c>
      <c r="D135" s="69" cm="1">
        <f t="array" aca="1" ref="D135" ca="1">IF(ISNUMBER(_xll.VoseSimPercentile(H_14,0.5)),_xll.VoseSimPercentile(H_14,0.5),NA())</f>
        <v>29.192000335638429</v>
      </c>
      <c r="E135" s="69" cm="1">
        <f t="array" aca="1" ref="E135" ca="1">IF(ISNUMBER(_xll.VoseSimPercentile(H_14,0.95)),_xll.VoseSimPercentile(H_14,0.95),NA())</f>
        <v>30.666930603150586</v>
      </c>
      <c r="F135" s="69" cm="1">
        <f t="array" aca="1" ref="F135" ca="1">IF(ISNUMBER(_xll.VoseSimMean(H_14)),_xll.VoseSimMean(H_14),NA())</f>
        <v>29.189395304043934</v>
      </c>
    </row>
    <row r="136" spans="2:6" hidden="1" outlineLevel="1" x14ac:dyDescent="0.45">
      <c r="B136" s="72" t="s">
        <v>267</v>
      </c>
      <c r="C136" s="69" cm="1">
        <f t="array" aca="1" ref="C136" ca="1">IF(ISNUMBER(_xll.VoseSimPercentile(H_15,0.05)),_xll.VoseSimPercentile(H_15,0.05),NA())</f>
        <v>28.140190184469539</v>
      </c>
      <c r="D136" s="69" cm="1">
        <f t="array" aca="1" ref="D136" ca="1">IF(ISNUMBER(_xll.VoseSimPercentile(H_15,0.5)),_xll.VoseSimPercentile(H_15,0.5),NA())</f>
        <v>29.749004049085222</v>
      </c>
      <c r="E136" s="69" cm="1">
        <f t="array" aca="1" ref="E136" ca="1">IF(ISNUMBER(_xll.VoseSimPercentile(H_15,0.95)),_xll.VoseSimPercentile(H_15,0.95),NA())</f>
        <v>31.33349752689881</v>
      </c>
      <c r="F136" s="69" cm="1">
        <f t="array" aca="1" ref="F136" ca="1">IF(ISNUMBER(_xll.VoseSimMean(H_15)),_xll.VoseSimMean(H_15),NA())</f>
        <v>29.744253362402524</v>
      </c>
    </row>
    <row r="137" spans="2:6" hidden="1" outlineLevel="1" x14ac:dyDescent="0.45">
      <c r="B137" s="72" t="s">
        <v>268</v>
      </c>
      <c r="C137" s="69" cm="1">
        <f t="array" aca="1" ref="C137" ca="1">IF(ISNUMBER(_xll.VoseSimPercentile(H_16,0.05)),_xll.VoseSimPercentile(H_16,0.05),NA())</f>
        <v>28.474344255100085</v>
      </c>
      <c r="D137" s="69" cm="1">
        <f t="array" aca="1" ref="D137" ca="1">IF(ISNUMBER(_xll.VoseSimPercentile(H_16,0.5)),_xll.VoseSimPercentile(H_16,0.5),NA())</f>
        <v>30.203454419151857</v>
      </c>
      <c r="E137" s="69" cm="1">
        <f t="array" aca="1" ref="E137" ca="1">IF(ISNUMBER(_xll.VoseSimPercentile(H_16,0.95)),_xll.VoseSimPercentile(H_16,0.95),NA())</f>
        <v>31.907543772329941</v>
      </c>
      <c r="F137" s="69" cm="1">
        <f t="array" aca="1" ref="F137" ca="1">IF(ISNUMBER(_xll.VoseSimMean(H_16)),_xll.VoseSimMean(H_16),NA())</f>
        <v>30.196105257865369</v>
      </c>
    </row>
    <row r="138" spans="2:6" hidden="1" outlineLevel="1" x14ac:dyDescent="0.45">
      <c r="B138" s="72" t="s">
        <v>269</v>
      </c>
      <c r="C138" s="69" cm="1">
        <f t="array" aca="1" ref="C138" ca="1">IF(ISNUMBER(_xll.VoseSimPercentile(H_17,0.05)),_xll.VoseSimPercentile(H_17,0.05),NA())</f>
        <v>28.707472525181917</v>
      </c>
      <c r="D138" s="69" cm="1">
        <f t="array" aca="1" ref="D138" ca="1">IF(ISNUMBER(_xll.VoseSimPercentile(H_17,0.5)),_xll.VoseSimPercentile(H_17,0.5),NA())</f>
        <v>30.553152385875578</v>
      </c>
      <c r="E138" s="69" cm="1">
        <f t="array" aca="1" ref="E138" ca="1">IF(ISNUMBER(_xll.VoseSimPercentile(H_17,0.95)),_xll.VoseSimPercentile(H_17,0.95),NA())</f>
        <v>32.368015350177458</v>
      </c>
      <c r="F138" s="69" cm="1">
        <f t="array" aca="1" ref="F138" ca="1">IF(ISNUMBER(_xll.VoseSimMean(H_17)),_xll.VoseSimMean(H_17),NA())</f>
        <v>30.545982915718298</v>
      </c>
    </row>
    <row r="139" spans="2:6" hidden="1" outlineLevel="1" x14ac:dyDescent="0.45">
      <c r="B139" s="72" t="s">
        <v>270</v>
      </c>
      <c r="C139" s="69" cm="1">
        <f t="array" aca="1" ref="C139" ca="1">IF(ISNUMBER(_xll.VoseSimPercentile(H_18,0.05)),_xll.VoseSimPercentile(H_18,0.05),NA())</f>
        <v>28.838176914570965</v>
      </c>
      <c r="D139" s="69" cm="1">
        <f t="array" aca="1" ref="D139" ca="1">IF(ISNUMBER(_xll.VoseSimPercentile(H_18,0.5)),_xll.VoseSimPercentile(H_18,0.5),NA())</f>
        <v>30.804015363575761</v>
      </c>
      <c r="E139" s="69" cm="1">
        <f t="array" aca="1" ref="E139" ca="1">IF(ISNUMBER(_xll.VoseSimPercentile(H_18,0.95)),_xll.VoseSimPercentile(H_18,0.95),NA())</f>
        <v>32.732214817376132</v>
      </c>
      <c r="F139" s="69" cm="1">
        <f t="array" aca="1" ref="F139" ca="1">IF(ISNUMBER(_xll.VoseSimMean(H_18)),_xll.VoseSimMean(H_18),NA())</f>
        <v>30.794907051843165</v>
      </c>
    </row>
    <row r="140" spans="2:6" hidden="1" outlineLevel="1" x14ac:dyDescent="0.45">
      <c r="B140" s="72" t="s">
        <v>271</v>
      </c>
      <c r="C140" s="69" cm="1">
        <f t="array" aca="1" ref="C140" ca="1">IF(ISNUMBER(_xll.VoseSimPercentile(H_19,0.05)),_xll.VoseSimPercentile(H_19,0.05),NA())</f>
        <v>28.878279380198645</v>
      </c>
      <c r="D140" s="69" cm="1">
        <f t="array" aca="1" ref="D140" ca="1">IF(ISNUMBER(_xll.VoseSimPercentile(H_19,0.5)),_xll.VoseSimPercentile(H_19,0.5),NA())</f>
        <v>30.956362212313969</v>
      </c>
      <c r="E140" s="69" cm="1">
        <f t="array" aca="1" ref="E140" ca="1">IF(ISNUMBER(_xll.VoseSimPercentile(H_19,0.95)),_xll.VoseSimPercentile(H_19,0.95),NA())</f>
        <v>32.997313464260579</v>
      </c>
      <c r="F140" s="69" cm="1">
        <f t="array" aca="1" ref="F140" ca="1">IF(ISNUMBER(_xll.VoseSimMean(H_19)),_xll.VoseSimMean(H_19),NA())</f>
        <v>30.943887304746038</v>
      </c>
    </row>
    <row r="141" spans="2:6" hidden="1" outlineLevel="1" x14ac:dyDescent="0.45">
      <c r="B141" s="72" t="s">
        <v>272</v>
      </c>
      <c r="C141" s="69" cm="1">
        <f t="array" aca="1" ref="C141" ca="1">IF(ISNUMBER(_xll.VoseSimPercentile(H_20,0.05)),_xll.VoseSimPercentile(H_20,0.05),NA())</f>
        <v>28.817259283320428</v>
      </c>
      <c r="D141" s="69" cm="1">
        <f t="array" aca="1" ref="D141" ca="1">IF(ISNUMBER(_xll.VoseSimPercentile(H_20,0.5)),_xll.VoseSimPercentile(H_20,0.5),NA())</f>
        <v>31.008782157113739</v>
      </c>
      <c r="E141" s="69" cm="1">
        <f t="array" aca="1" ref="E141" ca="1">IF(ISNUMBER(_xll.VoseSimPercentile(H_20,0.95)),_xll.VoseSimPercentile(H_20,0.95),NA())</f>
        <v>33.156801855575509</v>
      </c>
      <c r="F141" s="69" cm="1">
        <f t="array" aca="1" ref="F141" ca="1">IF(ISNUMBER(_xll.VoseSimMean(H_20)),_xll.VoseSimMean(H_20),NA())</f>
        <v>30.993922365891827</v>
      </c>
    </row>
    <row r="142" spans="2:6" hidden="1" outlineLevel="1" x14ac:dyDescent="0.45">
      <c r="B142" s="72" t="s">
        <v>273</v>
      </c>
      <c r="C142" s="69" cm="1">
        <f t="array" aca="1" ref="C142" ca="1">IF(ISNUMBER(_xll.VoseSimPercentile(H_21,0.05)),_xll.VoseSimPercentile(H_21,0.05),NA())</f>
        <v>28.654740566383122</v>
      </c>
      <c r="D142" s="69" cm="1">
        <f t="array" aca="1" ref="D142" ca="1">IF(ISNUMBER(_xll.VoseSimPercentile(H_21,0.5)),_xll.VoseSimPercentile(H_21,0.5),NA())</f>
        <v>30.963099876076647</v>
      </c>
      <c r="E142" s="69" cm="1">
        <f t="array" aca="1" ref="E142" ca="1">IF(ISNUMBER(_xll.VoseSimPercentile(H_21,0.95)),_xll.VoseSimPercentile(H_21,0.95),NA())</f>
        <v>33.230036002277863</v>
      </c>
      <c r="F142" s="69" cm="1">
        <f t="array" aca="1" ref="F142" ca="1">IF(ISNUMBER(_xll.VoseSimMean(H_21)),_xll.VoseSimMean(H_21),NA())</f>
        <v>30.946000108381892</v>
      </c>
    </row>
    <row r="143" spans="2:6" hidden="1" outlineLevel="1" x14ac:dyDescent="0.45">
      <c r="B143" s="72" t="s">
        <v>274</v>
      </c>
      <c r="C143" s="69" cm="1">
        <f t="array" aca="1" ref="C143" ca="1">IF(ISNUMBER(_xll.VoseSimPercentile(H_22,0.05)),_xll.VoseSimPercentile(H_22,0.05),NA())</f>
        <v>28.400668976105923</v>
      </c>
      <c r="D143" s="69" cm="1">
        <f t="array" aca="1" ref="D143" ca="1">IF(ISNUMBER(_xll.VoseSimPercentile(H_22,0.5)),_xll.VoseSimPercentile(H_22,0.5),NA())</f>
        <v>30.819495713043214</v>
      </c>
      <c r="E143" s="69" cm="1">
        <f t="array" aca="1" ref="E143" ca="1">IF(ISNUMBER(_xll.VoseSimPercentile(H_22,0.95)),_xll.VoseSimPercentile(H_22,0.95),NA())</f>
        <v>33.202588538455956</v>
      </c>
      <c r="F143" s="69" cm="1">
        <f t="array" aca="1" ref="F143" ca="1">IF(ISNUMBER(_xll.VoseSimMean(H_22)),_xll.VoseSimMean(H_22),NA())</f>
        <v>30.801097713987708</v>
      </c>
    </row>
    <row r="144" spans="2:6" hidden="1" outlineLevel="1" x14ac:dyDescent="0.45">
      <c r="B144" s="72" t="s">
        <v>275</v>
      </c>
      <c r="C144" s="69" cm="1">
        <f t="array" aca="1" ref="C144" ca="1">IF(ISNUMBER(_xll.VoseSimPercentile(H_23,0.05)),_xll.VoseSimPercentile(H_23,0.05),NA())</f>
        <v>28.047236854783236</v>
      </c>
      <c r="D144" s="69" cm="1">
        <f t="array" aca="1" ref="D144" ca="1">IF(ISNUMBER(_xll.VoseSimPercentile(H_23,0.5)),_xll.VoseSimPercentile(H_23,0.5),NA())</f>
        <v>30.577846395752285</v>
      </c>
      <c r="E144" s="69" cm="1">
        <f t="array" aca="1" ref="E144" ca="1">IF(ISNUMBER(_xll.VoseSimPercentile(H_23,0.95)),_xll.VoseSimPercentile(H_23,0.95),NA())</f>
        <v>33.071417837986971</v>
      </c>
      <c r="F144" s="69" cm="1">
        <f t="array" aca="1" ref="F144" ca="1">IF(ISNUMBER(_xll.VoseSimMean(H_23)),_xll.VoseSimMean(H_23),NA())</f>
        <v>30.560181798565406</v>
      </c>
    </row>
    <row r="145" spans="2:6" hidden="1" outlineLevel="1" x14ac:dyDescent="0.45">
      <c r="B145" s="72" t="s">
        <v>276</v>
      </c>
      <c r="C145" s="69" cm="1">
        <f t="array" aca="1" ref="C145" ca="1">IF(ISNUMBER(_xll.VoseSimPercentile(H_24,0.05)),_xll.VoseSimPercentile(H_24,0.05),NA())</f>
        <v>27.600698164302599</v>
      </c>
      <c r="D145" s="69" cm="1">
        <f t="array" aca="1" ref="D145" ca="1">IF(ISNUMBER(_xll.VoseSimPercentile(H_24,0.5)),_xll.VoseSimPercentile(H_24,0.5),NA())</f>
        <v>30.244215672067948</v>
      </c>
      <c r="E145" s="69" cm="1">
        <f t="array" aca="1" ref="E145" ca="1">IF(ISNUMBER(_xll.VoseSimPercentile(H_24,0.95)),_xll.VoseSimPercentile(H_24,0.95),NA())</f>
        <v>32.849965958687413</v>
      </c>
      <c r="F145" s="69" cm="1">
        <f t="array" aca="1" ref="F145" ca="1">IF(ISNUMBER(_xll.VoseSimMean(H_24)),_xll.VoseSimMean(H_24),NA())</f>
        <v>30.224208535880109</v>
      </c>
    </row>
    <row r="146" spans="2:6" hidden="1" outlineLevel="1" x14ac:dyDescent="0.45">
      <c r="B146" s="72" t="s">
        <v>277</v>
      </c>
      <c r="C146" s="69" cm="1">
        <f t="array" aca="1" ref="C146" ca="1">IF(ISNUMBER(_xll.VoseSimPercentile(H_25,0.05)),_xll.VoseSimPercentile(H_25,0.05),NA())</f>
        <v>27.067214362519966</v>
      </c>
      <c r="D146" s="69" cm="1">
        <f t="array" aca="1" ref="D146" ca="1">IF(ISNUMBER(_xll.VoseSimPercentile(H_25,0.5)),_xll.VoseSimPercentile(H_25,0.5),NA())</f>
        <v>29.816672287516706</v>
      </c>
      <c r="E146" s="69" cm="1">
        <f t="array" aca="1" ref="E146" ca="1">IF(ISNUMBER(_xll.VoseSimPercentile(H_25,0.95)),_xll.VoseSimPercentile(H_25,0.95),NA())</f>
        <v>32.528763433083476</v>
      </c>
      <c r="F146" s="69" cm="1">
        <f t="array" aca="1" ref="F146" ca="1">IF(ISNUMBER(_xll.VoseSimMean(H_25)),_xll.VoseSimMean(H_25),NA())</f>
        <v>29.794123779850946</v>
      </c>
    </row>
    <row r="147" spans="2:6" hidden="1" outlineLevel="1" x14ac:dyDescent="0.45">
      <c r="B147" s="72" t="s">
        <v>278</v>
      </c>
      <c r="C147" s="69" cm="1">
        <f t="array" aca="1" ref="C147" ca="1">IF(ISNUMBER(_xll.VoseSimPercentile(H_26,0.05)),_xll.VoseSimPercentile(H_26,0.05),NA())</f>
        <v>26.438245324773693</v>
      </c>
      <c r="D147" s="69" cm="1">
        <f t="array" aca="1" ref="D147" ca="1">IF(ISNUMBER(_xll.VoseSimPercentile(H_26,0.5)),_xll.VoseSimPercentile(H_26,0.5),NA())</f>
        <v>29.294765742102079</v>
      </c>
      <c r="E147" s="69" cm="1">
        <f t="array" aca="1" ref="E147" ca="1">IF(ISNUMBER(_xll.VoseSimPercentile(H_26,0.95)),_xll.VoseSimPercentile(H_26,0.95),NA())</f>
        <v>32.111930975752578</v>
      </c>
      <c r="F147" s="69" cm="1">
        <f t="array" aca="1" ref="F147" ca="1">IF(ISNUMBER(_xll.VoseSimMean(H_26)),_xll.VoseSimMean(H_26),NA())</f>
        <v>29.270863185250587</v>
      </c>
    </row>
    <row r="148" spans="2:6" hidden="1" outlineLevel="1" x14ac:dyDescent="0.45">
      <c r="B148" s="72" t="s">
        <v>279</v>
      </c>
      <c r="C148" s="69" cm="1">
        <f t="array" aca="1" ref="C148" ca="1">IF(ISNUMBER(_xll.VoseSimPercentile(H_27,0.05)),_xll.VoseSimPercentile(H_27,0.05),NA())</f>
        <v>25.722223981517441</v>
      </c>
      <c r="D148" s="69" cm="1">
        <f t="array" aca="1" ref="D148" ca="1">IF(ISNUMBER(_xll.VoseSimPercentile(H_27,0.5)),_xll.VoseSimPercentile(H_27,0.5),NA())</f>
        <v>28.679186918205215</v>
      </c>
      <c r="E148" s="69" cm="1">
        <f t="array" aca="1" ref="E148" ca="1">IF(ISNUMBER(_xll.VoseSimPercentile(H_27,0.95)),_xll.VoseSimPercentile(H_27,0.95),NA())</f>
        <v>31.601657445426721</v>
      </c>
      <c r="F148" s="69" cm="1">
        <f t="array" aca="1" ref="F148" ca="1">IF(ISNUMBER(_xll.VoseSimMean(H_27)),_xll.VoseSimMean(H_27),NA())</f>
        <v>28.655352326868158</v>
      </c>
    </row>
    <row r="149" spans="2:6" hidden="1" outlineLevel="1" x14ac:dyDescent="0.45">
      <c r="B149" s="72" t="s">
        <v>280</v>
      </c>
      <c r="C149" s="69" cm="1">
        <f t="array" aca="1" ref="C149" ca="1">IF(ISNUMBER(_xll.VoseSimPercentile(H_28,0.05)),_xll.VoseSimPercentile(H_28,0.05),NA())</f>
        <v>24.918076134798561</v>
      </c>
      <c r="D149" s="69" cm="1">
        <f t="array" aca="1" ref="D149" ca="1">IF(ISNUMBER(_xll.VoseSimPercentile(H_28,0.5)),_xll.VoseSimPercentile(H_28,0.5),NA())</f>
        <v>27.971824026179096</v>
      </c>
      <c r="E149" s="69" cm="1">
        <f t="array" aca="1" ref="E149" ca="1">IF(ISNUMBER(_xll.VoseSimPercentile(H_28,0.95)),_xll.VoseSimPercentile(H_28,0.95),NA())</f>
        <v>30.996880659975908</v>
      </c>
      <c r="F149" s="69" cm="1">
        <f t="array" aca="1" ref="F149" ca="1">IF(ISNUMBER(_xll.VoseSimMean(H_28)),_xll.VoseSimMean(H_28),NA())</f>
        <v>27.94850681717022</v>
      </c>
    </row>
    <row r="150" spans="2:6" hidden="1" outlineLevel="1" x14ac:dyDescent="0.45">
      <c r="B150" s="72" t="s">
        <v>281</v>
      </c>
      <c r="C150" s="69" cm="1">
        <f t="array" aca="1" ref="C150" ca="1">IF(ISNUMBER(_xll.VoseSimPercentile(H_29,0.05)),_xll.VoseSimPercentile(H_29,0.05),NA())</f>
        <v>24.02585176538469</v>
      </c>
      <c r="D150" s="69" cm="1">
        <f t="array" aca="1" ref="D150" ca="1">IF(ISNUMBER(_xll.VoseSimPercentile(H_29,0.5)),_xll.VoseSimPercentile(H_29,0.5),NA())</f>
        <v>27.174834622337777</v>
      </c>
      <c r="E150" s="69" cm="1">
        <f t="array" aca="1" ref="E150" ca="1">IF(ISNUMBER(_xll.VoseSimPercentile(H_29,0.95)),_xll.VoseSimPercentile(H_29,0.95),NA())</f>
        <v>30.300621482751392</v>
      </c>
      <c r="F150" s="69" cm="1">
        <f t="array" aca="1" ref="F150" ca="1">IF(ISNUMBER(_xll.VoseSimMean(H_29)),_xll.VoseSimMean(H_29),NA())</f>
        <v>27.15123242246554</v>
      </c>
    </row>
    <row r="151" spans="2:6" hidden="1" outlineLevel="1" x14ac:dyDescent="0.45">
      <c r="B151" s="72" t="s">
        <v>282</v>
      </c>
      <c r="C151" s="69" cm="1">
        <f t="array" aca="1" ref="C151" ca="1">IF(ISNUMBER(_xll.VoseSimPercentile(H_30,0.05)),_xll.VoseSimPercentile(H_30,0.05),NA())</f>
        <v>23.0469340477256</v>
      </c>
      <c r="D151" s="69" cm="1">
        <f t="array" aca="1" ref="D151" ca="1">IF(ISNUMBER(_xll.VoseSimPercentile(H_30,0.5)),_xll.VoseSimPercentile(H_30,0.5),NA())</f>
        <v>26.287269381819577</v>
      </c>
      <c r="E151" s="69" cm="1">
        <f t="array" aca="1" ref="E151" ca="1">IF(ISNUMBER(_xll.VoseSimPercentile(H_30,0.95)),_xll.VoseSimPercentile(H_30,0.95),NA())</f>
        <v>29.509044377895169</v>
      </c>
      <c r="F151" s="69" cm="1">
        <f t="array" aca="1" ref="F151" ca="1">IF(ISNUMBER(_xll.VoseSimMean(H_30)),_xll.VoseSimMean(H_30),NA())</f>
        <v>26.264425177609059</v>
      </c>
    </row>
    <row r="152" spans="2:6" hidden="1" outlineLevel="1" x14ac:dyDescent="0.45">
      <c r="B152" s="72" t="s">
        <v>283</v>
      </c>
      <c r="C152" s="69" cm="1">
        <f t="array" aca="1" ref="C152" ca="1">IF(ISNUMBER(_xll.VoseSimPercentile(H_31,0.05)),_xll.VoseSimPercentile(H_31,0.05),NA())</f>
        <v>21.987425152780972</v>
      </c>
      <c r="D152" s="69" cm="1">
        <f t="array" aca="1" ref="D152" ca="1">IF(ISNUMBER(_xll.VoseSimPercentile(H_31,0.5)),_xll.VoseSimPercentile(H_31,0.5),NA())</f>
        <v>25.310175480497932</v>
      </c>
      <c r="E152" s="69" cm="1">
        <f t="array" aca="1" ref="E152" ca="1">IF(ISNUMBER(_xll.VoseSimPercentile(H_31,0.95)),_xll.VoseSimPercentile(H_31,0.95),NA())</f>
        <v>28.627362932053366</v>
      </c>
      <c r="F152" s="69" cm="1">
        <f t="array" aca="1" ref="F152" ca="1">IF(ISNUMBER(_xll.VoseSimMean(H_31)),_xll.VoseSimMean(H_31),NA())</f>
        <v>25.28897149925286</v>
      </c>
    </row>
    <row r="153" spans="2:6" hidden="1" outlineLevel="1" x14ac:dyDescent="0.45">
      <c r="B153" s="72" t="s">
        <v>284</v>
      </c>
      <c r="C153" s="69" cm="1">
        <f t="array" aca="1" ref="C153" ca="1">IF(ISNUMBER(_xll.VoseSimPercentile(H_32,0.05)),_xll.VoseSimPercentile(H_32,0.05),NA())</f>
        <v>20.840306927658084</v>
      </c>
      <c r="D153" s="69" cm="1">
        <f t="array" aca="1" ref="D153" ca="1">IF(ISNUMBER(_xll.VoseSimPercentile(H_32,0.5)),_xll.VoseSimPercentile(H_32,0.5),NA())</f>
        <v>24.245192448391204</v>
      </c>
      <c r="E153" s="69" cm="1">
        <f t="array" aca="1" ref="E153" ca="1">IF(ISNUMBER(_xll.VoseSimPercentile(H_32,0.95)),_xll.VoseSimPercentile(H_32,0.95),NA())</f>
        <v>27.65364996267451</v>
      </c>
      <c r="F153" s="69" cm="1">
        <f t="array" aca="1" ref="F153" ca="1">IF(ISNUMBER(_xll.VoseSimMean(H_32)),_xll.VoseSimMean(H_32),NA())</f>
        <v>24.225748297672176</v>
      </c>
    </row>
    <row r="154" spans="2:6" hidden="1" outlineLevel="1" x14ac:dyDescent="0.45">
      <c r="B154" s="72" t="s">
        <v>285</v>
      </c>
      <c r="C154" s="69" cm="1">
        <f t="array" aca="1" ref="C154" ca="1">IF(ISNUMBER(_xll.VoseSimPercentile(H_33,0.05)),_xll.VoseSimPercentile(H_33,0.05),NA())</f>
        <v>19.609335169533622</v>
      </c>
      <c r="D154" s="69" cm="1">
        <f t="array" aca="1" ref="D154" ca="1">IF(ISNUMBER(_xll.VoseSimPercentile(H_33,0.5)),_xll.VoseSimPercentile(H_33,0.5),NA())</f>
        <v>23.092679625986417</v>
      </c>
      <c r="E154" s="69" cm="1">
        <f t="array" aca="1" ref="E154" ca="1">IF(ISNUMBER(_xll.VoseSimPercentile(H_33,0.95)),_xll.VoseSimPercentile(H_33,0.95),NA())</f>
        <v>26.590616368507817</v>
      </c>
      <c r="F154" s="69" cm="1">
        <f t="array" aca="1" ref="F154" ca="1">IF(ISNUMBER(_xll.VoseSimMean(H_33)),_xll.VoseSimMean(H_33),NA())</f>
        <v>23.075623087181523</v>
      </c>
    </row>
    <row r="155" spans="2:6" hidden="1" outlineLevel="1" x14ac:dyDescent="0.45">
      <c r="B155" s="72" t="s">
        <v>286</v>
      </c>
      <c r="C155" s="69" cm="1">
        <f t="array" aca="1" ref="C155" ca="1">IF(ISNUMBER(_xll.VoseSimPercentile(H_34,0.05)),_xll.VoseSimPercentile(H_34,0.05),NA())</f>
        <v>18.302582380616848</v>
      </c>
      <c r="D155" s="69" cm="1">
        <f t="array" aca="1" ref="D155" ca="1">IF(ISNUMBER(_xll.VoseSimPercentile(H_34,0.5)),_xll.VoseSimPercentile(H_34,0.5),NA())</f>
        <v>21.853490830204507</v>
      </c>
      <c r="E155" s="69" cm="1">
        <f t="array" aca="1" ref="E155" ca="1">IF(ISNUMBER(_xll.VoseSimPercentile(H_34,0.95)),_xll.VoseSimPercentile(H_34,0.95),NA())</f>
        <v>25.435799947057411</v>
      </c>
      <c r="F155" s="69" cm="1">
        <f t="array" aca="1" ref="F155" ca="1">IF(ISNUMBER(_xll.VoseSimMean(H_34)),_xll.VoseSimMean(H_34),NA())</f>
        <v>21.839454095161031</v>
      </c>
    </row>
    <row r="156" spans="2:6" hidden="1" outlineLevel="1" x14ac:dyDescent="0.45">
      <c r="B156" s="72" t="s">
        <v>287</v>
      </c>
      <c r="C156" s="69" cm="1">
        <f t="array" aca="1" ref="C156" ca="1">IF(ISNUMBER(_xll.VoseSimPercentile(H_35,0.05)),_xll.VoseSimPercentile(H_35,0.05),NA())</f>
        <v>16.901959870107817</v>
      </c>
      <c r="D156" s="69" cm="1">
        <f t="array" aca="1" ref="D156" ca="1">IF(ISNUMBER(_xll.VoseSimPercentile(H_35,0.5)),_xll.VoseSimPercentile(H_35,0.5),NA())</f>
        <v>20.529919769422524</v>
      </c>
      <c r="E156" s="69" cm="1">
        <f t="array" aca="1" ref="E156" ca="1">IF(ISNUMBER(_xll.VoseSimPercentile(H_35,0.95)),_xll.VoseSimPercentile(H_35,0.95),NA())</f>
        <v>24.194015446888447</v>
      </c>
      <c r="F156" s="69" cm="1">
        <f t="array" aca="1" ref="F156" ca="1">IF(ISNUMBER(_xll.VoseSimMean(H_35)),_xll.VoseSimMean(H_35),NA())</f>
        <v>20.518090369714571</v>
      </c>
    </row>
    <row r="157" spans="2:6" hidden="1" outlineLevel="1" x14ac:dyDescent="0.45">
      <c r="B157" s="72" t="s">
        <v>288</v>
      </c>
      <c r="C157" s="69" cm="1">
        <f t="array" aca="1" ref="C157" ca="1">IF(ISNUMBER(_xll.VoseSimPercentile(H_36,0.05)),_xll.VoseSimPercentile(H_36,0.05),NA())</f>
        <v>15.434674434827548</v>
      </c>
      <c r="D157" s="69" cm="1">
        <f t="array" aca="1" ref="D157" ca="1">IF(ISNUMBER(_xll.VoseSimPercentile(H_36,0.5)),_xll.VoseSimPercentile(H_36,0.5),NA())</f>
        <v>19.118050880000283</v>
      </c>
      <c r="E157" s="69" cm="1">
        <f t="array" aca="1" ref="E157" ca="1">IF(ISNUMBER(_xll.VoseSimPercentile(H_36,0.95)),_xll.VoseSimPercentile(H_36,0.95),NA())</f>
        <v>22.861121937895408</v>
      </c>
      <c r="F157" s="69" cm="1">
        <f t="array" aca="1" ref="F157" ca="1">IF(ISNUMBER(_xll.VoseSimMean(H_36)),_xll.VoseSimMean(H_36),NA())</f>
        <v>19.112371885974113</v>
      </c>
    </row>
    <row r="158" spans="2:6" hidden="1" outlineLevel="1" x14ac:dyDescent="0.45">
      <c r="B158" s="72" t="s">
        <v>289</v>
      </c>
      <c r="C158" s="69" cm="1">
        <f t="array" aca="1" ref="C158" ca="1">IF(ISNUMBER(_xll.VoseSimPercentile(H_37,0.05)),_xll.VoseSimPercentile(H_37,0.05),NA())</f>
        <v>13.884352261047706</v>
      </c>
      <c r="D158" s="69" cm="1">
        <f t="array" aca="1" ref="D158" ca="1">IF(ISNUMBER(_xll.VoseSimPercentile(H_37,0.5)),_xll.VoseSimPercentile(H_37,0.5),NA())</f>
        <v>17.623882238192209</v>
      </c>
      <c r="E158" s="69" cm="1">
        <f t="array" aca="1" ref="E158" ca="1">IF(ISNUMBER(_xll.VoseSimPercentile(H_37,0.95)),_xll.VoseSimPercentile(H_37,0.95),NA())</f>
        <v>21.442963726643153</v>
      </c>
      <c r="F158" s="69" cm="1">
        <f t="array" aca="1" ref="F158" ca="1">IF(ISNUMBER(_xll.VoseSimMean(H_37)),_xll.VoseSimMean(H_37),NA())</f>
        <v>17.623129651072343</v>
      </c>
    </row>
    <row r="159" spans="2:6" hidden="1" outlineLevel="1" x14ac:dyDescent="0.45">
      <c r="B159" s="72" t="s">
        <v>290</v>
      </c>
      <c r="C159" s="69" cm="1">
        <f t="array" aca="1" ref="C159" ca="1">IF(ISNUMBER(_xll.VoseSimPercentile(H_38,0.05)),_xll.VoseSimPercentile(H_38,0.05),NA())</f>
        <v>12.248180860797422</v>
      </c>
      <c r="D159" s="69" cm="1">
        <f t="array" aca="1" ref="D159" ca="1">IF(ISNUMBER(_xll.VoseSimPercentile(H_38,0.5)),_xll.VoseSimPercentile(H_38,0.5),NA())</f>
        <v>16.049668590839591</v>
      </c>
      <c r="E159" s="69" cm="1">
        <f t="array" aca="1" ref="E159" ca="1">IF(ISNUMBER(_xll.VoseSimPercentile(H_38,0.95)),_xll.VoseSimPercentile(H_38,0.95),NA())</f>
        <v>19.935480798515275</v>
      </c>
      <c r="F159" s="69" cm="1">
        <f t="array" aca="1" ref="F159" ca="1">IF(ISNUMBER(_xll.VoseSimMean(H_38)),_xll.VoseSimMean(H_38),NA())</f>
        <v>16.05118580779893</v>
      </c>
    </row>
    <row r="160" spans="2:6" hidden="1" outlineLevel="1" x14ac:dyDescent="0.45">
      <c r="B160" s="72" t="s">
        <v>291</v>
      </c>
      <c r="C160" s="69" cm="1">
        <f t="array" aca="1" ref="C160" ca="1">IF(ISNUMBER(_xll.VoseSimPercentile(H_39,0.05)),_xll.VoseSimPercentile(H_39,0.05),NA())</f>
        <v>10.537502611593291</v>
      </c>
      <c r="D160" s="69" cm="1">
        <f t="array" aca="1" ref="D160" ca="1">IF(ISNUMBER(_xll.VoseSimPercentile(H_39,0.5)),_xll.VoseSimPercentile(H_39,0.5),NA())</f>
        <v>14.393691516111838</v>
      </c>
      <c r="E160" s="69" cm="1">
        <f t="array" aca="1" ref="E160" ca="1">IF(ISNUMBER(_xll.VoseSimPercentile(H_39,0.95)),_xll.VoseSimPercentile(H_39,0.95),NA())</f>
        <v>18.34722657766573</v>
      </c>
      <c r="F160" s="69" cm="1">
        <f t="array" aca="1" ref="F160" ca="1">IF(ISNUMBER(_xll.VoseSimMean(H_39)),_xll.VoseSimMean(H_39),NA())</f>
        <v>14.397353736959845</v>
      </c>
    </row>
    <row r="161" spans="2:6" hidden="1" outlineLevel="1" x14ac:dyDescent="0.45">
      <c r="B161" s="72" t="s">
        <v>292</v>
      </c>
      <c r="C161" s="69" cm="1">
        <f t="array" aca="1" ref="C161" ca="1">IF(ISNUMBER(_xll.VoseSimPercentile(H_40,0.05)),_xll.VoseSimPercentile(H_40,0.05),NA())</f>
        <v>8.7524428392164459</v>
      </c>
      <c r="D161" s="69" cm="1">
        <f t="array" aca="1" ref="D161" ca="1">IF(ISNUMBER(_xll.VoseSimPercentile(H_40,0.5)),_xll.VoseSimPercentile(H_40,0.5),NA())</f>
        <v>12.649479430651251</v>
      </c>
      <c r="E161" s="69" cm="1">
        <f t="array" aca="1" ref="E161" ca="1">IF(ISNUMBER(_xll.VoseSimPercentile(H_40,0.95)),_xll.VoseSimPercentile(H_40,0.95),NA())</f>
        <v>16.666371121610869</v>
      </c>
      <c r="F161" s="69" cm="1">
        <f t="array" aca="1" ref="F161" ca="1">IF(ISNUMBER(_xll.VoseSimMean(H_40)),_xll.VoseSimMean(H_40),NA())</f>
        <v>12.662438158459127</v>
      </c>
    </row>
    <row r="162" spans="2:6" hidden="1" outlineLevel="1" x14ac:dyDescent="0.45">
      <c r="B162" s="72" t="s">
        <v>293</v>
      </c>
      <c r="C162" s="69" cm="1">
        <f t="array" aca="1" ref="C162" ca="1">IF(ISNUMBER(_xll.VoseSimPercentile(H_41,0.05)),_xll.VoseSimPercentile(H_41,0.05),NA())</f>
        <v>6.8977406200398912</v>
      </c>
      <c r="D162" s="69" cm="1">
        <f t="array" aca="1" ref="D162" ca="1">IF(ISNUMBER(_xll.VoseSimPercentile(H_41,0.5)),_xll.VoseSimPercentile(H_41,0.5),NA())</f>
        <v>10.82870847882055</v>
      </c>
      <c r="E162" s="69" cm="1">
        <f t="array" aca="1" ref="E162" ca="1">IF(ISNUMBER(_xll.VoseSimPercentile(H_41,0.95)),_xll.VoseSimPercentile(H_41,0.95),NA())</f>
        <v>14.905914751295363</v>
      </c>
      <c r="F162" s="69" cm="1">
        <f t="array" aca="1" ref="F162" ca="1">IF(ISNUMBER(_xll.VoseSimMean(H_41)),_xll.VoseSimMean(H_41),NA())</f>
        <v>10.847235231114041</v>
      </c>
    </row>
    <row r="163" spans="2:6" hidden="1" outlineLevel="1" x14ac:dyDescent="0.45">
      <c r="B163" s="72" t="s">
        <v>294</v>
      </c>
      <c r="C163" s="69" cm="1">
        <f t="array" aca="1" ref="C163" ca="1">IF(ISNUMBER(_xll.VoseSimPercentile(H_42,0.05)),_xll.VoseSimPercentile(H_42,0.05),NA())</f>
        <v>4.9812931875395616</v>
      </c>
      <c r="D163" s="69" cm="1">
        <f t="array" aca="1" ref="D163" ca="1">IF(ISNUMBER(_xll.VoseSimPercentile(H_42,0.5)),_xll.VoseSimPercentile(H_42,0.5),NA())</f>
        <v>8.9231651479546397</v>
      </c>
      <c r="E163" s="69" cm="1">
        <f t="array" aca="1" ref="E163" ca="1">IF(ISNUMBER(_xll.VoseSimPercentile(H_42,0.95)),_xll.VoseSimPercentile(H_42,0.95),NA())</f>
        <v>13.057800744610285</v>
      </c>
      <c r="F163" s="69" cm="1">
        <f t="array" aca="1" ref="F163" ca="1">IF(ISNUMBER(_xll.VoseSimMean(H_42)),_xll.VoseSimMean(H_42),NA())</f>
        <v>8.9525326512293972</v>
      </c>
    </row>
    <row r="164" spans="2:6" hidden="1" outlineLevel="1" x14ac:dyDescent="0.45">
      <c r="B164" s="72" t="s">
        <v>295</v>
      </c>
      <c r="C164" s="69" cm="1">
        <f t="array" aca="1" ref="C164" ca="1">IF(ISNUMBER(_xll.VoseSimPercentile(H_43,0.05)),_xll.VoseSimPercentile(H_43,0.05),NA())</f>
        <v>2.9703936935638988</v>
      </c>
      <c r="D164" s="69" cm="1">
        <f t="array" aca="1" ref="D164" ca="1">IF(ISNUMBER(_xll.VoseSimPercentile(H_43,0.5)),_xll.VoseSimPercentile(H_43,0.5),NA())</f>
        <v>6.9494925215401979</v>
      </c>
      <c r="E164" s="69" cm="1">
        <f t="array" aca="1" ref="E164" ca="1">IF(ISNUMBER(_xll.VoseSimPercentile(H_43,0.95)),_xll.VoseSimPercentile(H_43,0.95),NA())</f>
        <v>11.116959424625788</v>
      </c>
      <c r="F164" s="69" cm="1">
        <f t="array" aca="1" ref="F164" ca="1">IF(ISNUMBER(_xll.VoseSimMean(H_43)),_xll.VoseSimMean(H_43),NA())</f>
        <v>6.9803513730832574</v>
      </c>
    </row>
    <row r="165" spans="2:6" hidden="1" outlineLevel="1" x14ac:dyDescent="0.45">
      <c r="B165" s="72" t="s">
        <v>296</v>
      </c>
      <c r="C165" s="69" cm="1">
        <f t="array" aca="1" ref="C165" ca="1">IF(ISNUMBER(_xll.VoseSimPercentile(H_44,0.05)),_xll.VoseSimPercentile(H_44,0.05),NA())</f>
        <v>0.89997050564385384</v>
      </c>
      <c r="D165" s="69" cm="1">
        <f t="array" aca="1" ref="D165" ca="1">IF(ISNUMBER(_xll.VoseSimPercentile(H_44,0.5)),_xll.VoseSimPercentile(H_44,0.5),NA())</f>
        <v>4.8955945054656933</v>
      </c>
      <c r="E165" s="69" cm="1">
        <f t="array" aca="1" ref="E165" ca="1">IF(ISNUMBER(_xll.VoseSimPercentile(H_44,0.95)),_xll.VoseSimPercentile(H_44,0.95),NA())</f>
        <v>9.1106328661466733</v>
      </c>
      <c r="F165" s="69" cm="1">
        <f t="array" aca="1" ref="F165" ca="1">IF(ISNUMBER(_xll.VoseSimMean(H_44)),_xll.VoseSimMean(H_44),NA())</f>
        <v>4.9451911899295968</v>
      </c>
    </row>
    <row r="166" spans="2:6" hidden="1" outlineLevel="1" x14ac:dyDescent="0.45">
      <c r="B166" s="72" t="s">
        <v>297</v>
      </c>
      <c r="C166" s="69" cm="1">
        <f t="array" aca="1" ref="C166" ca="1">IF(ISNUMBER(_xll.VoseSimPercentile(H_45,0.05)),_xll.VoseSimPercentile(H_45,0.05),NA())</f>
        <v>0</v>
      </c>
      <c r="D166" s="69" cm="1">
        <f t="array" aca="1" ref="D166" ca="1">IF(ISNUMBER(_xll.VoseSimPercentile(H_45,0.5)),_xll.VoseSimPercentile(H_45,0.5),NA())</f>
        <v>2.7540314557801517</v>
      </c>
      <c r="E166" s="69" cm="1">
        <f t="array" aca="1" ref="E166" ca="1">IF(ISNUMBER(_xll.VoseSimPercentile(H_45,0.95)),_xll.VoseSimPercentile(H_45,0.95),NA())</f>
        <v>7.0089108840561938</v>
      </c>
      <c r="F166" s="69" cm="1">
        <f t="array" aca="1" ref="F166" ca="1">IF(ISNUMBER(_xll.VoseSimMean(H_45)),_xll.VoseSimMean(H_45),NA())</f>
        <v>2.9546992479697041</v>
      </c>
    </row>
    <row r="167" spans="2:6" hidden="1" outlineLevel="1" x14ac:dyDescent="0.45">
      <c r="B167" s="72" t="s">
        <v>298</v>
      </c>
      <c r="C167" s="69" cm="1">
        <f t="array" aca="1" ref="C167" ca="1">IF(ISNUMBER(_xll.VoseSimPercentile(H_46,0.05)),_xll.VoseSimPercentile(H_46,0.05),NA())</f>
        <v>0</v>
      </c>
      <c r="D167" s="69" cm="1">
        <f t="array" aca="1" ref="D167" ca="1">IF(ISNUMBER(_xll.VoseSimPercentile(H_46,0.5)),_xll.VoseSimPercentile(H_46,0.5),NA())</f>
        <v>0.54108711978197477</v>
      </c>
      <c r="E167" s="69" cm="1">
        <f t="array" aca="1" ref="E167" ca="1">IF(ISNUMBER(_xll.VoseSimPercentile(H_46,0.95)),_xll.VoseSimPercentile(H_46,0.95),NA())</f>
        <v>4.8399716509061328</v>
      </c>
      <c r="F167" s="69" cm="1">
        <f t="array" aca="1" ref="F167" ca="1">IF(ISNUMBER(_xll.VoseSimMean(H_46)),_xll.VoseSimMean(H_46),NA())</f>
        <v>1.3275451540909711</v>
      </c>
    </row>
    <row r="168" spans="2:6" hidden="1" outlineLevel="1" x14ac:dyDescent="0.45">
      <c r="B168" s="72" t="s">
        <v>299</v>
      </c>
      <c r="C168" s="69" cm="1">
        <f t="array" aca="1" ref="C168" ca="1">IF(ISNUMBER(_xll.VoseSimPercentile(H_47,0.05)),_xll.VoseSimPercentile(H_47,0.05),NA())</f>
        <v>0</v>
      </c>
      <c r="D168" s="69" cm="1">
        <f t="array" aca="1" ref="D168" ca="1">IF(ISNUMBER(_xll.VoseSimPercentile(H_47,0.5)),_xll.VoseSimPercentile(H_47,0.5),NA())</f>
        <v>0</v>
      </c>
      <c r="E168" s="69" cm="1">
        <f t="array" aca="1" ref="E168" ca="1">IF(ISNUMBER(_xll.VoseSimPercentile(H_47,0.95)),_xll.VoseSimPercentile(H_47,0.95),NA())</f>
        <v>2.5953025709515485</v>
      </c>
      <c r="F168" s="69" cm="1">
        <f t="array" aca="1" ref="F168" ca="1">IF(ISNUMBER(_xll.VoseSimMean(H_47)),_xll.VoseSimMean(H_47),NA())</f>
        <v>0.39662182946987484</v>
      </c>
    </row>
    <row r="169" spans="2:6" hidden="1" outlineLevel="1" x14ac:dyDescent="0.45">
      <c r="B169" s="72" t="s">
        <v>300</v>
      </c>
      <c r="C169" s="69" cm="1">
        <f t="array" aca="1" ref="C169" ca="1">IF(ISNUMBER(_xll.VoseSimPercentile(H_48,0.05)),_xll.VoseSimPercentile(H_48,0.05),NA())</f>
        <v>0</v>
      </c>
      <c r="D169" s="69" cm="1">
        <f t="array" aca="1" ref="D169" ca="1">IF(ISNUMBER(_xll.VoseSimPercentile(H_48,0.5)),_xll.VoseSimPercentile(H_48,0.5),NA())</f>
        <v>0</v>
      </c>
      <c r="E169" s="69" cm="1">
        <f t="array" aca="1" ref="E169" ca="1">IF(ISNUMBER(_xll.VoseSimPercentile(H_48,0.95)),_xll.VoseSimPercentile(H_48,0.95),NA())</f>
        <v>0.24993638912556077</v>
      </c>
      <c r="F169" s="69" cm="1">
        <f t="array" aca="1" ref="F169" ca="1">IF(ISNUMBER(_xll.VoseSimMean(H_48)),_xll.VoseSimMean(H_48),NA())</f>
        <v>7.3309186177978533E-2</v>
      </c>
    </row>
    <row r="170" spans="2:6" hidden="1" outlineLevel="1" x14ac:dyDescent="0.45">
      <c r="B170" s="72" t="s">
        <v>301</v>
      </c>
      <c r="C170" s="69" cm="1">
        <f t="array" aca="1" ref="C170" ca="1">IF(ISNUMBER(_xll.VoseSimPercentile(H_49,0.05)),_xll.VoseSimPercentile(H_49,0.05),NA())</f>
        <v>0</v>
      </c>
      <c r="D170" s="69" cm="1">
        <f t="array" aca="1" ref="D170" ca="1">IF(ISNUMBER(_xll.VoseSimPercentile(H_49,0.5)),_xll.VoseSimPercentile(H_49,0.5),NA())</f>
        <v>0</v>
      </c>
      <c r="E170" s="69" cm="1">
        <f t="array" aca="1" ref="E170" ca="1">IF(ISNUMBER(_xll.VoseSimPercentile(H_49,0.95)),_xll.VoseSimPercentile(H_49,0.95),NA())</f>
        <v>0</v>
      </c>
      <c r="F170" s="69" cm="1">
        <f t="array" aca="1" ref="F170" ca="1">IF(ISNUMBER(_xll.VoseSimMean(H_49)),_xll.VoseSimMean(H_49),NA())</f>
        <v>9.090786908848977E-3</v>
      </c>
    </row>
    <row r="171" spans="2:6" hidden="1" outlineLevel="1" x14ac:dyDescent="0.45">
      <c r="B171" s="72" t="s">
        <v>302</v>
      </c>
      <c r="C171" s="69" cm="1">
        <f t="array" aca="1" ref="C171" ca="1">IF(ISNUMBER(_xll.VoseSimPercentile(H_50,0.05)),_xll.VoseSimPercentile(H_50,0.05),NA())</f>
        <v>0</v>
      </c>
      <c r="D171" s="69" cm="1">
        <f t="array" aca="1" ref="D171" ca="1">IF(ISNUMBER(_xll.VoseSimPercentile(H_50,0.5)),_xll.VoseSimPercentile(H_50,0.5),NA())</f>
        <v>0</v>
      </c>
      <c r="E171" s="69" cm="1">
        <f t="array" aca="1" ref="E171" ca="1">IF(ISNUMBER(_xll.VoseSimPercentile(H_50,0.95)),_xll.VoseSimPercentile(H_50,0.95),NA())</f>
        <v>0</v>
      </c>
      <c r="F171" s="69" cm="1">
        <f t="array" aca="1" ref="F171" ca="1">IF(ISNUMBER(_xll.VoseSimMean(H_50)),_xll.VoseSimMean(H_50),NA())</f>
        <v>1.1041810426474948E-3</v>
      </c>
    </row>
    <row r="172" spans="2:6" hidden="1" outlineLevel="1" x14ac:dyDescent="0.45">
      <c r="B172" s="72" t="s">
        <v>303</v>
      </c>
      <c r="C172" s="69" cm="1">
        <f t="array" aca="1" ref="C172" ca="1">IF(ISNUMBER(_xll.VoseSimPercentile(H_51,0.05)),_xll.VoseSimPercentile(H_51,0.05),NA())</f>
        <v>0</v>
      </c>
      <c r="D172" s="69" cm="1">
        <f t="array" aca="1" ref="D172" ca="1">IF(ISNUMBER(_xll.VoseSimPercentile(H_51,0.5)),_xll.VoseSimPercentile(H_51,0.5),NA())</f>
        <v>0</v>
      </c>
      <c r="E172" s="69" cm="1">
        <f t="array" aca="1" ref="E172" ca="1">IF(ISNUMBER(_xll.VoseSimPercentile(H_51,0.95)),_xll.VoseSimPercentile(H_51,0.95),NA())</f>
        <v>0</v>
      </c>
      <c r="F172" s="69" cm="1">
        <f t="array" aca="1" ref="F172" ca="1">IF(ISNUMBER(_xll.VoseSimMean(H_51)),_xll.VoseSimMean(H_51),NA())</f>
        <v>0</v>
      </c>
    </row>
    <row r="173" spans="2:6" hidden="1" outlineLevel="1" x14ac:dyDescent="0.45">
      <c r="B173" s="72" t="s">
        <v>304</v>
      </c>
      <c r="C173" s="69" cm="1">
        <f t="array" aca="1" ref="C173" ca="1">IF(ISNUMBER(_xll.VoseSimPercentile(H_52,0.05)),_xll.VoseSimPercentile(H_52,0.05),NA())</f>
        <v>0</v>
      </c>
      <c r="D173" s="69" cm="1">
        <f t="array" aca="1" ref="D173" ca="1">IF(ISNUMBER(_xll.VoseSimPercentile(H_52,0.5)),_xll.VoseSimPercentile(H_52,0.5),NA())</f>
        <v>0</v>
      </c>
      <c r="E173" s="69" cm="1">
        <f t="array" aca="1" ref="E173" ca="1">IF(ISNUMBER(_xll.VoseSimPercentile(H_52,0.95)),_xll.VoseSimPercentile(H_52,0.95),NA())</f>
        <v>0</v>
      </c>
      <c r="F173" s="69" cm="1">
        <f t="array" aca="1" ref="F173" ca="1">IF(ISNUMBER(_xll.VoseSimMean(H_52)),_xll.VoseSimMean(H_52),NA())</f>
        <v>0</v>
      </c>
    </row>
    <row r="174" spans="2:6" hidden="1" outlineLevel="1" x14ac:dyDescent="0.45">
      <c r="B174" s="72" t="s">
        <v>305</v>
      </c>
      <c r="C174" s="69" cm="1">
        <f t="array" aca="1" ref="C174" ca="1">IF(ISNUMBER(_xll.VoseSimPercentile(H_53,0.05)),_xll.VoseSimPercentile(H_53,0.05),NA())</f>
        <v>0</v>
      </c>
      <c r="D174" s="69" cm="1">
        <f t="array" aca="1" ref="D174" ca="1">IF(ISNUMBER(_xll.VoseSimPercentile(H_53,0.5)),_xll.VoseSimPercentile(H_53,0.5),NA())</f>
        <v>0</v>
      </c>
      <c r="E174" s="69" cm="1">
        <f t="array" aca="1" ref="E174" ca="1">IF(ISNUMBER(_xll.VoseSimPercentile(H_53,0.95)),_xll.VoseSimPercentile(H_53,0.95),NA())</f>
        <v>0</v>
      </c>
      <c r="F174" s="69" cm="1">
        <f t="array" aca="1" ref="F174" ca="1">IF(ISNUMBER(_xll.VoseSimMean(H_53)),_xll.VoseSimMean(H_53),NA())</f>
        <v>0</v>
      </c>
    </row>
    <row r="175" spans="2:6" hidden="1" outlineLevel="1" x14ac:dyDescent="0.45">
      <c r="B175" s="72" t="s">
        <v>306</v>
      </c>
      <c r="C175" s="69" cm="1">
        <f t="array" aca="1" ref="C175" ca="1">IF(ISNUMBER(_xll.VoseSimPercentile(H_54,0.05)),_xll.VoseSimPercentile(H_54,0.05),NA())</f>
        <v>0</v>
      </c>
      <c r="D175" s="69" cm="1">
        <f t="array" aca="1" ref="D175" ca="1">IF(ISNUMBER(_xll.VoseSimPercentile(H_54,0.5)),_xll.VoseSimPercentile(H_54,0.5),NA())</f>
        <v>0</v>
      </c>
      <c r="E175" s="69" cm="1">
        <f t="array" aca="1" ref="E175" ca="1">IF(ISNUMBER(_xll.VoseSimPercentile(H_54,0.95)),_xll.VoseSimPercentile(H_54,0.95),NA())</f>
        <v>0</v>
      </c>
      <c r="F175" s="69" cm="1">
        <f t="array" aca="1" ref="F175" ca="1">IF(ISNUMBER(_xll.VoseSimMean(H_54)),_xll.VoseSimMean(H_54),NA())</f>
        <v>0</v>
      </c>
    </row>
    <row r="176" spans="2:6" hidden="1" outlineLevel="1" x14ac:dyDescent="0.45">
      <c r="B176" s="72" t="s">
        <v>307</v>
      </c>
      <c r="C176" s="69" cm="1">
        <f t="array" aca="1" ref="C176" ca="1">IF(ISNUMBER(_xll.VoseSimPercentile(H_55,0.05)),_xll.VoseSimPercentile(H_55,0.05),NA())</f>
        <v>0</v>
      </c>
      <c r="D176" s="69" cm="1">
        <f t="array" aca="1" ref="D176" ca="1">IF(ISNUMBER(_xll.VoseSimPercentile(H_55,0.5)),_xll.VoseSimPercentile(H_55,0.5),NA())</f>
        <v>0</v>
      </c>
      <c r="E176" s="69" cm="1">
        <f t="array" aca="1" ref="E176" ca="1">IF(ISNUMBER(_xll.VoseSimPercentile(H_55,0.95)),_xll.VoseSimPercentile(H_55,0.95),NA())</f>
        <v>0</v>
      </c>
      <c r="F176" s="69" cm="1">
        <f t="array" aca="1" ref="F176" ca="1">IF(ISNUMBER(_xll.VoseSimMean(H_55)),_xll.VoseSimMean(H_55),NA())</f>
        <v>0</v>
      </c>
    </row>
  </sheetData>
  <mergeCells count="4">
    <mergeCell ref="B58:G58"/>
    <mergeCell ref="B59:G59"/>
    <mergeCell ref="B56:G56"/>
    <mergeCell ref="B57:G57"/>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22:F176">
    <cfRule type="expression" dxfId="2" priority="5">
      <formula>ISNA(C122)</formula>
    </cfRule>
  </conditionalFormatting>
  <conditionalFormatting sqref="D65:F114">
    <cfRule type="expression" dxfId="1" priority="3">
      <formula>ISNA(D65)</formula>
    </cfRule>
  </conditionalFormatting>
  <conditionalFormatting sqref="F118:G119">
    <cfRule type="expression" dxfId="0" priority="4">
      <formula>ISNA(F118)</formula>
    </cfRule>
  </conditionalFormatting>
  <hyperlinks>
    <hyperlink ref="B4" location="'Trajectory'!A1" display="◂  Trajectory"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3B73-21FB-4209-A0D9-404ACDF4329D}">
  <dimension ref="A1:B1"/>
  <sheetViews>
    <sheetView workbookViewId="0"/>
  </sheetViews>
  <sheetFormatPr defaultRowHeight="14.25" x14ac:dyDescent="0.45"/>
  <sheetData>
    <row r="1" spans="1:2" x14ac:dyDescent="0.45">
      <c r="A1" s="77" t="s">
        <v>308</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A72A0-03F2-4529-8F56-5964899D1B17}">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D120-30B5-4EA8-81CB-569EA6056BE7}">
  <dimension ref="B3:B62"/>
  <sheetViews>
    <sheetView workbookViewId="0"/>
  </sheetViews>
  <sheetFormatPr defaultRowHeight="14.25" x14ac:dyDescent="0.45"/>
  <sheetData>
    <row r="3" spans="2:2" x14ac:dyDescent="0.45">
      <c r="B3">
        <v>2</v>
      </c>
    </row>
    <row r="4" spans="2:2" x14ac:dyDescent="0.45">
      <c r="B4">
        <v>8</v>
      </c>
    </row>
    <row r="5" spans="2:2" x14ac:dyDescent="0.45">
      <c r="B5">
        <v>34</v>
      </c>
    </row>
    <row r="6" spans="2:2" x14ac:dyDescent="0.45">
      <c r="B6">
        <v>146</v>
      </c>
    </row>
    <row r="7" spans="2:2" x14ac:dyDescent="0.45">
      <c r="B7">
        <v>365</v>
      </c>
    </row>
    <row r="8" spans="2:2" x14ac:dyDescent="0.45">
      <c r="B8">
        <v>579</v>
      </c>
    </row>
    <row r="9" spans="2:2" x14ac:dyDescent="0.45">
      <c r="B9">
        <v>528</v>
      </c>
    </row>
    <row r="10" spans="2:2" x14ac:dyDescent="0.45">
      <c r="B10">
        <v>258</v>
      </c>
    </row>
    <row r="11" spans="2:2" x14ac:dyDescent="0.45">
      <c r="B11">
        <v>70</v>
      </c>
    </row>
    <row r="12" spans="2:2" x14ac:dyDescent="0.45">
      <c r="B12">
        <v>10</v>
      </c>
    </row>
    <row r="13" spans="2:2" x14ac:dyDescent="0.45">
      <c r="B13">
        <v>4</v>
      </c>
    </row>
    <row r="14" spans="2:2" x14ac:dyDescent="0.45">
      <c r="B14">
        <v>21</v>
      </c>
    </row>
    <row r="15" spans="2:2" x14ac:dyDescent="0.45">
      <c r="B15">
        <v>123</v>
      </c>
    </row>
    <row r="16" spans="2:2" x14ac:dyDescent="0.45">
      <c r="B16">
        <v>352</v>
      </c>
    </row>
    <row r="17" spans="2:2" x14ac:dyDescent="0.45">
      <c r="B17">
        <v>518</v>
      </c>
    </row>
    <row r="18" spans="2:2" x14ac:dyDescent="0.45">
      <c r="B18">
        <v>522</v>
      </c>
    </row>
    <row r="19" spans="2:2" x14ac:dyDescent="0.45">
      <c r="B19">
        <v>314</v>
      </c>
    </row>
    <row r="20" spans="2:2" x14ac:dyDescent="0.45">
      <c r="B20">
        <v>118</v>
      </c>
    </row>
    <row r="21" spans="2:2" x14ac:dyDescent="0.45">
      <c r="B21">
        <v>21</v>
      </c>
    </row>
    <row r="22" spans="2:2" x14ac:dyDescent="0.45">
      <c r="B22">
        <v>7</v>
      </c>
    </row>
    <row r="23" spans="2:2" x14ac:dyDescent="0.45">
      <c r="B23">
        <v>3</v>
      </c>
    </row>
    <row r="24" spans="2:2" x14ac:dyDescent="0.45">
      <c r="B24">
        <v>11</v>
      </c>
    </row>
    <row r="25" spans="2:2" x14ac:dyDescent="0.45">
      <c r="B25">
        <v>71</v>
      </c>
    </row>
    <row r="26" spans="2:2" x14ac:dyDescent="0.45">
      <c r="B26">
        <v>273</v>
      </c>
    </row>
    <row r="27" spans="2:2" x14ac:dyDescent="0.45">
      <c r="B27">
        <v>496</v>
      </c>
    </row>
    <row r="28" spans="2:2" x14ac:dyDescent="0.45">
      <c r="B28">
        <v>567</v>
      </c>
    </row>
    <row r="29" spans="2:2" x14ac:dyDescent="0.45">
      <c r="B29">
        <v>388</v>
      </c>
    </row>
    <row r="30" spans="2:2" x14ac:dyDescent="0.45">
      <c r="B30">
        <v>141</v>
      </c>
    </row>
    <row r="31" spans="2:2" x14ac:dyDescent="0.45">
      <c r="B31">
        <v>42</v>
      </c>
    </row>
    <row r="32" spans="2:2" x14ac:dyDescent="0.45">
      <c r="B32">
        <v>8</v>
      </c>
    </row>
    <row r="33" spans="2:2" x14ac:dyDescent="0.45">
      <c r="B33">
        <v>2</v>
      </c>
    </row>
    <row r="34" spans="2:2" x14ac:dyDescent="0.45">
      <c r="B34">
        <v>8</v>
      </c>
    </row>
    <row r="35" spans="2:2" x14ac:dyDescent="0.45">
      <c r="B35">
        <v>34</v>
      </c>
    </row>
    <row r="36" spans="2:2" x14ac:dyDescent="0.45">
      <c r="B36">
        <v>146</v>
      </c>
    </row>
    <row r="37" spans="2:2" x14ac:dyDescent="0.45">
      <c r="B37">
        <v>365</v>
      </c>
    </row>
    <row r="38" spans="2:2" x14ac:dyDescent="0.45">
      <c r="B38">
        <v>579</v>
      </c>
    </row>
    <row r="39" spans="2:2" x14ac:dyDescent="0.45">
      <c r="B39">
        <v>528</v>
      </c>
    </row>
    <row r="40" spans="2:2" x14ac:dyDescent="0.45">
      <c r="B40">
        <v>258</v>
      </c>
    </row>
    <row r="41" spans="2:2" x14ac:dyDescent="0.45">
      <c r="B41">
        <v>70</v>
      </c>
    </row>
    <row r="42" spans="2:2" x14ac:dyDescent="0.45">
      <c r="B42">
        <v>10</v>
      </c>
    </row>
    <row r="43" spans="2:2" x14ac:dyDescent="0.45">
      <c r="B43">
        <v>16</v>
      </c>
    </row>
    <row r="44" spans="2:2" x14ac:dyDescent="0.45">
      <c r="B44">
        <v>97</v>
      </c>
    </row>
    <row r="45" spans="2:2" x14ac:dyDescent="0.45">
      <c r="B45">
        <v>307</v>
      </c>
    </row>
    <row r="46" spans="2:2" x14ac:dyDescent="0.45">
      <c r="B46">
        <v>547</v>
      </c>
    </row>
    <row r="47" spans="2:2" x14ac:dyDescent="0.45">
      <c r="B47">
        <v>553</v>
      </c>
    </row>
    <row r="48" spans="2:2" x14ac:dyDescent="0.45">
      <c r="B48">
        <v>320</v>
      </c>
    </row>
    <row r="49" spans="2:2" x14ac:dyDescent="0.45">
      <c r="B49">
        <v>127</v>
      </c>
    </row>
    <row r="50" spans="2:2" x14ac:dyDescent="0.45">
      <c r="B50">
        <v>30</v>
      </c>
    </row>
    <row r="51" spans="2:2" x14ac:dyDescent="0.45">
      <c r="B51">
        <v>1</v>
      </c>
    </row>
    <row r="52" spans="2:2" x14ac:dyDescent="0.45">
      <c r="B52">
        <v>2</v>
      </c>
    </row>
    <row r="53" spans="2:2" x14ac:dyDescent="0.45">
      <c r="B53">
        <v>186</v>
      </c>
    </row>
    <row r="54" spans="2:2" x14ac:dyDescent="0.45">
      <c r="B54">
        <v>716</v>
      </c>
    </row>
    <row r="55" spans="2:2" x14ac:dyDescent="0.45">
      <c r="B55">
        <v>650</v>
      </c>
    </row>
    <row r="56" spans="2:2" x14ac:dyDescent="0.45">
      <c r="B56">
        <v>318</v>
      </c>
    </row>
    <row r="57" spans="2:2" x14ac:dyDescent="0.45">
      <c r="B57">
        <v>90</v>
      </c>
    </row>
    <row r="58" spans="2:2" x14ac:dyDescent="0.45">
      <c r="B58">
        <v>29</v>
      </c>
    </row>
    <row r="59" spans="2:2" x14ac:dyDescent="0.45">
      <c r="B59">
        <v>8</v>
      </c>
    </row>
    <row r="60" spans="2:2" x14ac:dyDescent="0.45">
      <c r="B60">
        <v>1</v>
      </c>
    </row>
    <row r="61" spans="2:2" x14ac:dyDescent="0.45">
      <c r="B61">
        <v>1</v>
      </c>
    </row>
    <row r="62" spans="2:2" x14ac:dyDescent="0.45">
      <c r="B6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4FF13E5A-B11A-48EC-B7B5-F0E157C3EF1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117</vt:i4>
      </vt:variant>
    </vt:vector>
  </HeadingPairs>
  <TitlesOfParts>
    <vt:vector size="126" baseType="lpstr">
      <vt:lpstr>About</vt:lpstr>
      <vt:lpstr>Inputs</vt:lpstr>
      <vt:lpstr>Fit</vt:lpstr>
      <vt:lpstr>Flight</vt:lpstr>
      <vt:lpstr>Trajectory</vt:lpstr>
      <vt:lpstr>Results</vt:lpstr>
      <vt:lpstr>ModelRiskDSN</vt:lpstr>
      <vt:lpstr>ModelRiskSYS1</vt:lpstr>
      <vt:lpstr>ModelRiskCharts</vt:lpstr>
      <vt:lpstr>Angle</vt:lpstr>
      <vt:lpstr>Checks</vt:lpstr>
      <vt:lpstr>Exact_Height</vt:lpstr>
      <vt:lpstr>Exact_Range</vt:lpstr>
      <vt:lpstr>Exact_Time</vt:lpstr>
      <vt:lpstr>FitK</vt:lpstr>
      <vt:lpstr>FitSSE</vt:lpstr>
      <vt:lpstr>FlightRange</vt:lpstr>
      <vt:lpstr>FlightTime</vt:lpstr>
      <vt:lpstr>Friction</vt:lpstr>
      <vt:lpstr>Friction_Lo</vt:lpstr>
      <vt:lpstr>Friction_ML</vt:lpstr>
      <vt:lpstr>Gravity</vt:lpstr>
      <vt:lpstr>GridK</vt:lpstr>
      <vt:lpstr>GridSSE</vt:lpstr>
      <vt:lpstr>H_1</vt:lpstr>
      <vt:lpstr>H_10</vt:lpstr>
      <vt:lpstr>H_11</vt:lpstr>
      <vt:lpstr>H_12</vt:lpstr>
      <vt:lpstr>H_13</vt:lpstr>
      <vt:lpstr>H_14</vt:lpstr>
      <vt:lpstr>H_15</vt:lpstr>
      <vt:lpstr>H_16</vt:lpstr>
      <vt:lpstr>H_17</vt:lpstr>
      <vt:lpstr>H_18</vt:lpstr>
      <vt:lpstr>H_19</vt:lpstr>
      <vt:lpstr>H_2</vt:lpstr>
      <vt:lpstr>H_20</vt:lpstr>
      <vt:lpstr>H_21</vt:lpstr>
      <vt:lpstr>H_22</vt:lpstr>
      <vt:lpstr>H_23</vt:lpstr>
      <vt:lpstr>H_24</vt:lpstr>
      <vt:lpstr>H_25</vt:lpstr>
      <vt:lpstr>H_26</vt:lpstr>
      <vt:lpstr>H_27</vt:lpstr>
      <vt:lpstr>H_28</vt:lpstr>
      <vt:lpstr>H_29</vt:lpstr>
      <vt:lpstr>H_3</vt:lpstr>
      <vt:lpstr>H_30</vt:lpstr>
      <vt:lpstr>H_31</vt:lpstr>
      <vt:lpstr>H_32</vt:lpstr>
      <vt:lpstr>H_33</vt:lpstr>
      <vt:lpstr>H_34</vt:lpstr>
      <vt:lpstr>H_35</vt:lpstr>
      <vt:lpstr>H_36</vt:lpstr>
      <vt:lpstr>H_37</vt:lpstr>
      <vt:lpstr>H_38</vt:lpstr>
      <vt:lpstr>H_39</vt:lpstr>
      <vt:lpstr>H_4</vt:lpstr>
      <vt:lpstr>H_40</vt:lpstr>
      <vt:lpstr>H_41</vt:lpstr>
      <vt:lpstr>H_42</vt:lpstr>
      <vt:lpstr>H_43</vt:lpstr>
      <vt:lpstr>H_44</vt:lpstr>
      <vt:lpstr>H_45</vt:lpstr>
      <vt:lpstr>H_46</vt:lpstr>
      <vt:lpstr>H_47</vt:lpstr>
      <vt:lpstr>H_48</vt:lpstr>
      <vt:lpstr>H_49</vt:lpstr>
      <vt:lpstr>H_5</vt:lpstr>
      <vt:lpstr>H_50</vt:lpstr>
      <vt:lpstr>H_51</vt:lpstr>
      <vt:lpstr>H_52</vt:lpstr>
      <vt:lpstr>H_53</vt:lpstr>
      <vt:lpstr>H_54</vt:lpstr>
      <vt:lpstr>H_55</vt:lpstr>
      <vt:lpstr>H_56</vt:lpstr>
      <vt:lpstr>H_57</vt:lpstr>
      <vt:lpstr>H_58</vt:lpstr>
      <vt:lpstr>H_59</vt:lpstr>
      <vt:lpstr>H_6</vt:lpstr>
      <vt:lpstr>H_60</vt:lpstr>
      <vt:lpstr>H_61</vt:lpstr>
      <vt:lpstr>H_62</vt:lpstr>
      <vt:lpstr>H_63</vt:lpstr>
      <vt:lpstr>H_64</vt:lpstr>
      <vt:lpstr>H_65</vt:lpstr>
      <vt:lpstr>H_66</vt:lpstr>
      <vt:lpstr>H_67</vt:lpstr>
      <vt:lpstr>H_68</vt:lpstr>
      <vt:lpstr>H_69</vt:lpstr>
      <vt:lpstr>H_7</vt:lpstr>
      <vt:lpstr>H_70</vt:lpstr>
      <vt:lpstr>H_8</vt:lpstr>
      <vt:lpstr>H_9</vt:lpstr>
      <vt:lpstr>Height0</vt:lpstr>
      <vt:lpstr>LaunchV</vt:lpstr>
      <vt:lpstr>LaunchV_Lo</vt:lpstr>
      <vt:lpstr>LaunchV_ML</vt:lpstr>
      <vt:lpstr>MaxHeight</vt:lpstr>
      <vt:lpstr>ObsT</vt:lpstr>
      <vt:lpstr>ObsX</vt:lpstr>
      <vt:lpstr>ObsY</vt:lpstr>
      <vt:lpstr>ODE_Eqs</vt:lpstr>
      <vt:lpstr>ODE_Err</vt:lpstr>
      <vt:lpstr>ODE_Height</vt:lpstr>
      <vt:lpstr>ODE_Init</vt:lpstr>
      <vt:lpstr>ODE_Names</vt:lpstr>
      <vt:lpstr>ODE_Range</vt:lpstr>
      <vt:lpstr>ODE_T</vt:lpstr>
      <vt:lpstr>ODE_Time</vt:lpstr>
      <vt:lpstr>ODE_VX</vt:lpstr>
      <vt:lpstr>ODE_VY</vt:lpstr>
      <vt:lpstr>ODE_X</vt:lpstr>
      <vt:lpstr>ODE_Y</vt:lpstr>
      <vt:lpstr>ODEStep</vt:lpstr>
      <vt:lpstr>Fit!Print_Area</vt:lpstr>
      <vt:lpstr>Flight!Print_Area</vt:lpstr>
      <vt:lpstr>Results!Print_Area</vt:lpstr>
      <vt:lpstr>Trajectory!Print_Area</vt:lpstr>
      <vt:lpstr>Inputs!Print_Titles</vt:lpstr>
      <vt:lpstr>Results!Print_Titles</vt:lpstr>
      <vt:lpstr>RangeExact</vt:lpstr>
      <vt:lpstr>RangeMark</vt:lpstr>
      <vt:lpstr>TimeStamps</vt:lpstr>
      <vt:lpstr>Vx0</vt:lpstr>
      <vt:lpstr>Vy0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GU-27 Missile Flight: Differential Equations</dc:title>
  <dc:subject>ModelRisk industry example library — General use</dc:subject>
  <dc:creator>Vose Software</dc:creator>
  <cp:keywords>ModelRisk; Monte Carlo; General use</cp:keywords>
  <dc:description>A missile's flight from four differential equations (VoseODE) with uncertain speed and friction; friction fitted to observations; no Solver or macros.</dc:description>
  <cp:lastModifiedBy>Timour Koupeev</cp:lastModifiedBy>
  <cp:lastPrinted>2026-10-07T17:20:08Z</cp:lastPrinted>
  <dcterms:created xsi:type="dcterms:W3CDTF">2026-10-07T17:19:10Z</dcterms:created>
  <dcterms:modified xsi:type="dcterms:W3CDTF">2026-10-07T17:20:10Z</dcterms:modified>
</cp:coreProperties>
</file>