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1042D9FB-8628-4097-B68F-354E56ED618E}"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Cash flow" sheetId="3" r:id="rId3"/>
    <sheet name="Precision" sheetId="4" r:id="rId4"/>
    <sheet name="Results" sheetId="5" r:id="rId5"/>
    <sheet name="ModelRiskDSN" sheetId="6" state="hidden" r:id="rId6"/>
    <sheet name="ModelRiskSYS1" sheetId="7" state="hidden" r:id="rId7"/>
    <sheet name="ModelRiskCharts" sheetId="8" state="hidden" r:id="rId8"/>
  </sheets>
  <definedNames>
    <definedName name="CF_1">'Cash flow'!$C$17</definedName>
    <definedName name="CF_2">'Cash flow'!$D$17</definedName>
    <definedName name="CF_3">'Cash flow'!$E$17</definedName>
    <definedName name="CF_4">'Cash flow'!$F$17</definedName>
    <definedName name="CF_5">'Cash flow'!$G$17</definedName>
    <definedName name="CF_6">'Cash flow'!$H$17</definedName>
    <definedName name="CF_7">'Cash flow'!$I$17</definedName>
    <definedName name="CF_8">'Cash flow'!$J$17</definedName>
    <definedName name="CF_9">'Cash flow'!$K$17</definedName>
    <definedName name="Checks">Precision!$E$16:$E$18</definedName>
    <definedName name="Conf_Mean">Inputs!$D$28</definedName>
    <definedName name="Conf_P95">Inputs!$D$32</definedName>
    <definedName name="Conf_Prob">Inputs!$D$34</definedName>
    <definedName name="Conf_SD">Inputs!$D$30</definedName>
    <definedName name="CopU1">'Cash flow'!$C$8</definedName>
    <definedName name="CopU2">'Cash flow'!$C$9</definedName>
    <definedName name="Disc">Inputs!$D$20</definedName>
    <definedName name="Extra_Mean">Precision!$F$9</definedName>
    <definedName name="Extra_P95">Precision!$F$11</definedName>
    <definedName name="Extra_Prob">Precision!$F$12</definedName>
    <definedName name="Extra_SD">Precision!$F$10</definedName>
    <definedName name="FixCost">Inputs!$D$15</definedName>
    <definedName name="FixCost_Hi">Inputs!$H$15</definedName>
    <definedName name="FixCost_Lo">Inputs!$F$15</definedName>
    <definedName name="FixCost_ML">Inputs!$G$15</definedName>
    <definedName name="FrankDir">Inputs!$D$22</definedName>
    <definedName name="FrankTheta">Inputs!$D$21</definedName>
    <definedName name="Growth">Inputs!$D$14</definedName>
    <definedName name="Growth_Hi">Inputs!$H$14</definedName>
    <definedName name="Growth_Lo">Inputs!$F$14</definedName>
    <definedName name="Growth_ML">Inputs!$G$14</definedName>
    <definedName name="Met_Mean">Precision!$E$9</definedName>
    <definedName name="Met_P95">Precision!$E$11</definedName>
    <definedName name="Met_Prob">Precision!$E$12</definedName>
    <definedName name="Met_SD">Precision!$E$10</definedName>
    <definedName name="NPV">'Cash flow'!$D$24</definedName>
    <definedName name="Prec_Mean">Inputs!$D$27</definedName>
    <definedName name="Prec_P95">Inputs!$D$31</definedName>
    <definedName name="Prec_Prob">Inputs!$D$33</definedName>
    <definedName name="Prec_SD">Inputs!$D$29</definedName>
    <definedName name="Price">Inputs!$D$12</definedName>
    <definedName name="Price_Hi">Inputs!$H$12</definedName>
    <definedName name="Price_Lo">Inputs!$F$12</definedName>
    <definedName name="Price_ML">Inputs!$G$12</definedName>
    <definedName name="_xlnm.Print_Area" localSheetId="2">'Cash flow'!$A$1:$M$26</definedName>
    <definedName name="_xlnm.Print_Area" localSheetId="3">Precision!$A$1:$I$20</definedName>
    <definedName name="_xlnm.Print_Area" localSheetId="4">Results!$A$1:$R$49</definedName>
    <definedName name="_xlnm.Print_Titles" localSheetId="1">Inputs!$1:$4</definedName>
    <definedName name="_xlnm.Print_Titles" localSheetId="4">Results!$1:$4</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opWhenMet">Inputs!$D$35</definedName>
    <definedName name="Tax">Inputs!$D$19</definedName>
    <definedName name="VarCost">Inputs!$D$11</definedName>
    <definedName name="VarCost_Hi">Inputs!$H$11</definedName>
    <definedName name="VarCost_Lo">Inputs!$F$11</definedName>
    <definedName name="VarCost_ML">Inputs!$G$11</definedName>
    <definedName name="Vol0">Inputs!$D$13</definedName>
    <definedName name="Vol0_Hi">Inputs!$H$13</definedName>
    <definedName name="Vol0_Lo">Inputs!$F$13</definedName>
    <definedName name="Vol0_ML">Inputs!$G$13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4" i="5" l="1"/>
  <c r="C104" i="5"/>
  <c r="E103" i="5"/>
  <c r="C103" i="5"/>
  <c r="E102" i="5"/>
  <c r="C102" i="5"/>
  <c r="E101" i="5"/>
  <c r="C101" i="5"/>
  <c r="E100" i="5"/>
  <c r="C100" i="5"/>
  <c r="E99" i="5"/>
  <c r="C99" i="5"/>
  <c r="E98" i="5"/>
  <c r="C98" i="5"/>
  <c r="E97" i="5"/>
  <c r="C97" i="5"/>
  <c r="E96" i="5"/>
  <c r="C96" i="5"/>
  <c r="E95" i="5"/>
  <c r="C95" i="5"/>
  <c r="E94" i="5"/>
  <c r="C94" i="5"/>
  <c r="E93" i="5"/>
  <c r="C93" i="5"/>
  <c r="E92" i="5"/>
  <c r="C92" i="5"/>
  <c r="E91" i="5"/>
  <c r="C91" i="5"/>
  <c r="E90" i="5"/>
  <c r="C90" i="5"/>
  <c r="E89" i="5"/>
  <c r="C89" i="5"/>
  <c r="E88" i="5"/>
  <c r="C88" i="5"/>
  <c r="E87" i="5"/>
  <c r="C87" i="5"/>
  <c r="E86" i="5"/>
  <c r="C86" i="5"/>
  <c r="E85" i="5"/>
  <c r="C85" i="5"/>
  <c r="E84" i="5"/>
  <c r="C84" i="5"/>
  <c r="E83" i="5"/>
  <c r="C83" i="5"/>
  <c r="E82" i="5"/>
  <c r="C82" i="5"/>
  <c r="E81" i="5"/>
  <c r="C81" i="5"/>
  <c r="E80" i="5"/>
  <c r="C80" i="5"/>
  <c r="E79" i="5"/>
  <c r="C79" i="5"/>
  <c r="E78" i="5"/>
  <c r="C78" i="5"/>
  <c r="E77" i="5"/>
  <c r="C77" i="5"/>
  <c r="E76" i="5"/>
  <c r="C76" i="5"/>
  <c r="E75" i="5"/>
  <c r="C75" i="5"/>
  <c r="E74" i="5"/>
  <c r="C74" i="5"/>
  <c r="E73" i="5"/>
  <c r="C73" i="5"/>
  <c r="E72" i="5"/>
  <c r="C72" i="5"/>
  <c r="E71" i="5"/>
  <c r="C71" i="5"/>
  <c r="E70" i="5"/>
  <c r="C70" i="5"/>
  <c r="E69" i="5"/>
  <c r="C69" i="5"/>
  <c r="E68" i="5"/>
  <c r="C68" i="5"/>
  <c r="E67" i="5"/>
  <c r="C67" i="5"/>
  <c r="E66" i="5"/>
  <c r="C66" i="5"/>
  <c r="E65" i="5"/>
  <c r="C65" i="5"/>
  <c r="E64" i="5"/>
  <c r="C64" i="5"/>
  <c r="E63" i="5"/>
  <c r="C63" i="5"/>
  <c r="E62" i="5"/>
  <c r="C62" i="5"/>
  <c r="E61" i="5"/>
  <c r="C61" i="5"/>
  <c r="E60" i="5"/>
  <c r="C60" i="5"/>
  <c r="E59" i="5"/>
  <c r="C59" i="5"/>
  <c r="E58" i="5"/>
  <c r="C58" i="5"/>
  <c r="E57" i="5"/>
  <c r="C57" i="5"/>
  <c r="E56" i="5"/>
  <c r="C56" i="5"/>
  <c r="E55" i="5"/>
  <c r="C55" i="5"/>
  <c r="C26" i="5"/>
  <c r="C25" i="5"/>
  <c r="C24" i="5"/>
  <c r="C23" i="5"/>
  <c r="E18" i="4"/>
  <c r="E17" i="4"/>
  <c r="E16" i="4"/>
  <c r="D12" i="4"/>
  <c r="C12" i="4"/>
  <c r="D11" i="4"/>
  <c r="C11" i="4"/>
  <c r="D10" i="4"/>
  <c r="C10" i="4"/>
  <c r="D9" i="4"/>
  <c r="C9" i="4"/>
  <c r="K18" i="3"/>
  <c r="J18" i="3"/>
  <c r="I18" i="3"/>
  <c r="H18" i="3"/>
  <c r="G18" i="3"/>
  <c r="F18" i="3"/>
  <c r="E18" i="3"/>
  <c r="D18" i="3"/>
  <c r="C18" i="3"/>
  <c r="C8" i="3" a="1"/>
  <c r="C8" i="3" s="1"/>
  <c r="B7" i="5"/>
  <c r="D14" i="2" a="1"/>
  <c r="D11" i="2" a="1"/>
  <c r="D12" i="2" a="1"/>
  <c r="D13" i="2" a="1"/>
  <c r="C9" i="3" l="1"/>
  <c r="D13" i="2"/>
  <c r="C14" i="3" s="1"/>
  <c r="D12" i="2"/>
  <c r="D11" i="2"/>
  <c r="D14" i="2"/>
  <c r="D15" i="2" a="1"/>
  <c r="D15" i="2" l="1"/>
  <c r="C15" i="3"/>
  <c r="D14" i="3"/>
  <c r="D16" i="3" l="1"/>
  <c r="C16" i="3"/>
  <c r="F16" i="3"/>
  <c r="G16" i="3"/>
  <c r="H16" i="3"/>
  <c r="J16" i="3"/>
  <c r="K16" i="3"/>
  <c r="I16" i="3"/>
  <c r="E16" i="3"/>
  <c r="C17" i="3" a="1"/>
  <c r="C17" i="3" s="1"/>
  <c r="E14" i="3"/>
  <c r="D15" i="3"/>
  <c r="E107" i="5" a="1"/>
  <c r="F107" i="5" a="1"/>
  <c r="C107" i="5" a="1"/>
  <c r="D107" i="5" a="1"/>
  <c r="D17" i="3" l="1" a="1"/>
  <c r="D17" i="3" s="1"/>
  <c r="D19" i="3" s="1"/>
  <c r="D107" i="5"/>
  <c r="C107" i="5"/>
  <c r="F107" i="5"/>
  <c r="E107" i="5"/>
  <c r="C19" i="3"/>
  <c r="E15" i="3"/>
  <c r="E17" i="3" s="1" a="1"/>
  <c r="E17" i="3" s="1"/>
  <c r="F14" i="3"/>
  <c r="C108" i="5" a="1"/>
  <c r="D108" i="5" a="1"/>
  <c r="E108" i="5" a="1"/>
  <c r="F108" i="5" a="1"/>
  <c r="D109" i="5" a="1"/>
  <c r="C109" i="5" a="1"/>
  <c r="F109" i="5" a="1"/>
  <c r="E109" i="5" a="1"/>
  <c r="F108" i="5" l="1"/>
  <c r="E108" i="5"/>
  <c r="D108" i="5"/>
  <c r="C108" i="5"/>
  <c r="E109" i="5"/>
  <c r="F109" i="5"/>
  <c r="C109" i="5"/>
  <c r="D109" i="5"/>
  <c r="E19" i="3"/>
  <c r="G14" i="3"/>
  <c r="F15" i="3"/>
  <c r="F17" i="3" s="1" a="1"/>
  <c r="F17" i="3" s="1"/>
  <c r="D110" i="5" a="1"/>
  <c r="C110" i="5" a="1"/>
  <c r="F110" i="5" a="1"/>
  <c r="E110" i="5" a="1"/>
  <c r="E110" i="5" l="1"/>
  <c r="F110" i="5"/>
  <c r="C110" i="5"/>
  <c r="D110" i="5"/>
  <c r="F19" i="3"/>
  <c r="H14" i="3"/>
  <c r="G15" i="3"/>
  <c r="G17" i="3" s="1" a="1"/>
  <c r="G17" i="3" s="1"/>
  <c r="D111" i="5" a="1"/>
  <c r="C111" i="5" a="1"/>
  <c r="F111" i="5" a="1"/>
  <c r="E111" i="5" a="1"/>
  <c r="E111" i="5" l="1"/>
  <c r="F111" i="5"/>
  <c r="C111" i="5"/>
  <c r="D111" i="5"/>
  <c r="G19" i="3"/>
  <c r="H15" i="3"/>
  <c r="H17" i="3" s="1" a="1"/>
  <c r="H17" i="3" s="1"/>
  <c r="I14" i="3"/>
  <c r="D112" i="5" a="1"/>
  <c r="C112" i="5" a="1"/>
  <c r="F112" i="5" a="1"/>
  <c r="E112" i="5" a="1"/>
  <c r="E112" i="5" l="1"/>
  <c r="F112" i="5"/>
  <c r="C112" i="5"/>
  <c r="D112" i="5"/>
  <c r="H19" i="3"/>
  <c r="J14" i="3"/>
  <c r="I15" i="3"/>
  <c r="I17" i="3" s="1" a="1"/>
  <c r="I17" i="3" s="1"/>
  <c r="D113" i="5" a="1"/>
  <c r="C113" i="5" a="1"/>
  <c r="F113" i="5" a="1"/>
  <c r="E113" i="5" a="1"/>
  <c r="E113" i="5" l="1"/>
  <c r="F113" i="5"/>
  <c r="C113" i="5"/>
  <c r="D113" i="5"/>
  <c r="I19" i="3"/>
  <c r="J15" i="3"/>
  <c r="J17" i="3" s="1" a="1"/>
  <c r="J17" i="3" s="1"/>
  <c r="K14" i="3"/>
  <c r="K15" i="3" s="1"/>
  <c r="K17" i="3" s="1" a="1"/>
  <c r="K17" i="3" s="1"/>
  <c r="D114" i="5" a="1"/>
  <c r="C114" i="5" a="1"/>
  <c r="F114" i="5" a="1"/>
  <c r="E114" i="5" a="1"/>
  <c r="F115" i="5" a="1"/>
  <c r="E115" i="5" a="1"/>
  <c r="C115" i="5" a="1"/>
  <c r="D115" i="5" a="1"/>
  <c r="D115" i="5" l="1"/>
  <c r="C115" i="5"/>
  <c r="E115" i="5"/>
  <c r="F115" i="5"/>
  <c r="E114" i="5"/>
  <c r="F114" i="5"/>
  <c r="C114" i="5"/>
  <c r="D114" i="5"/>
  <c r="K19" i="3"/>
  <c r="J19" i="3"/>
  <c r="D24" i="3" l="1" a="1"/>
  <c r="D24" i="3" s="1"/>
  <c r="E12" i="4" a="1"/>
  <c r="E10" i="4" a="1"/>
  <c r="E11" i="4" a="1"/>
  <c r="E9" i="4" a="1"/>
  <c r="D96" i="5" a="1"/>
  <c r="D56" i="5" a="1"/>
  <c r="D59" i="5" a="1"/>
  <c r="D75" i="5" a="1"/>
  <c r="D90" i="5" a="1"/>
  <c r="D58" i="5" a="1"/>
  <c r="D101" i="5" a="1"/>
  <c r="D69" i="5" a="1"/>
  <c r="D86" i="5" a="1"/>
  <c r="D65" i="5" a="1"/>
  <c r="D61" i="5" a="1"/>
  <c r="D84" i="5" a="1"/>
  <c r="D95" i="5" a="1"/>
  <c r="D103" i="5" a="1"/>
  <c r="D13" i="5" a="1"/>
  <c r="D78" i="5" a="1"/>
  <c r="D18" i="5" a="1"/>
  <c r="D89" i="5" a="1"/>
  <c r="D57" i="5" a="1"/>
  <c r="D92" i="5" a="1"/>
  <c r="F25" i="5" a="1"/>
  <c r="D55" i="5" a="1"/>
  <c r="D25" i="5" a="1"/>
  <c r="F26" i="5" a="1"/>
  <c r="D97" i="5" a="1"/>
  <c r="D79" i="5" a="1"/>
  <c r="D88" i="5" a="1"/>
  <c r="D12" i="5" a="1"/>
  <c r="D23" i="5" a="1"/>
  <c r="D17" i="5" a="1"/>
  <c r="D82" i="5" a="1"/>
  <c r="F24" i="5" a="1"/>
  <c r="D93" i="5" a="1"/>
  <c r="D80" i="5" a="1"/>
  <c r="D87" i="5" a="1"/>
  <c r="D99" i="5" a="1"/>
  <c r="D74" i="5" a="1"/>
  <c r="D14" i="5" a="1"/>
  <c r="D85" i="5" a="1"/>
  <c r="D26" i="5" a="1"/>
  <c r="D104" i="5" a="1"/>
  <c r="D64" i="5" a="1"/>
  <c r="D98" i="5" a="1"/>
  <c r="D66" i="5" a="1"/>
  <c r="D63" i="5" a="1"/>
  <c r="D62" i="5" a="1"/>
  <c r="D73" i="5" a="1"/>
  <c r="D83" i="5" a="1"/>
  <c r="D15" i="5" a="1"/>
  <c r="D77" i="5" a="1"/>
  <c r="D76" i="5" a="1"/>
  <c r="D94" i="5" a="1"/>
  <c r="B6" i="5" a="1"/>
  <c r="F23" i="5" a="1"/>
  <c r="D68" i="5" a="1"/>
  <c r="D71" i="5" a="1"/>
  <c r="D91" i="5" a="1"/>
  <c r="D102" i="5" a="1"/>
  <c r="D70" i="5" a="1"/>
  <c r="D16" i="5" a="1"/>
  <c r="D81" i="5" a="1"/>
  <c r="D24" i="5" a="1"/>
  <c r="D67" i="5" a="1"/>
  <c r="D72" i="5" a="1"/>
  <c r="D100" i="5" a="1"/>
  <c r="D60" i="5" a="1"/>
  <c r="D60" i="5" l="1"/>
  <c r="D100" i="5"/>
  <c r="D72" i="5"/>
  <c r="D67" i="5"/>
  <c r="D24" i="5"/>
  <c r="D81" i="5"/>
  <c r="D16" i="5"/>
  <c r="D70" i="5"/>
  <c r="D102" i="5"/>
  <c r="D91" i="5"/>
  <c r="D71" i="5"/>
  <c r="D68" i="5"/>
  <c r="F23" i="5"/>
  <c r="B6" i="5"/>
  <c r="D94" i="5"/>
  <c r="D76" i="5"/>
  <c r="D77" i="5"/>
  <c r="D15" i="5"/>
  <c r="D83" i="5"/>
  <c r="D73" i="5"/>
  <c r="D62" i="5"/>
  <c r="D63" i="5"/>
  <c r="D66" i="5"/>
  <c r="D98" i="5"/>
  <c r="D64" i="5"/>
  <c r="D104" i="5"/>
  <c r="D26" i="5"/>
  <c r="D85" i="5"/>
  <c r="D14" i="5"/>
  <c r="D74" i="5"/>
  <c r="D99" i="5"/>
  <c r="D87" i="5"/>
  <c r="D80" i="5"/>
  <c r="D93" i="5"/>
  <c r="F24" i="5"/>
  <c r="D82" i="5"/>
  <c r="D17" i="5"/>
  <c r="D23" i="5"/>
  <c r="D12" i="5"/>
  <c r="D88" i="5"/>
  <c r="D79" i="5"/>
  <c r="D97" i="5"/>
  <c r="F26" i="5"/>
  <c r="D25" i="5"/>
  <c r="D55" i="5"/>
  <c r="F25" i="5"/>
  <c r="D92" i="5"/>
  <c r="D57" i="5"/>
  <c r="D89" i="5"/>
  <c r="D18" i="5"/>
  <c r="D78" i="5"/>
  <c r="D13" i="5"/>
  <c r="D103" i="5"/>
  <c r="D95" i="5"/>
  <c r="D84" i="5"/>
  <c r="D61" i="5"/>
  <c r="D65" i="5"/>
  <c r="D86" i="5"/>
  <c r="D69" i="5"/>
  <c r="D101" i="5"/>
  <c r="D58" i="5"/>
  <c r="D90" i="5"/>
  <c r="D75" i="5"/>
  <c r="D59" i="5"/>
  <c r="D56" i="5"/>
  <c r="D96" i="5"/>
  <c r="F9" i="4"/>
  <c r="G23" i="5" s="1"/>
  <c r="E9" i="4"/>
  <c r="E11" i="4"/>
  <c r="F11" i="4"/>
  <c r="G25" i="5" s="1"/>
  <c r="E10" i="4"/>
  <c r="F10" i="4"/>
  <c r="G24" i="5" s="1"/>
  <c r="F12" i="4"/>
  <c r="G26" i="5" s="1"/>
  <c r="E12" i="4"/>
  <c r="G12" i="4" a="1"/>
  <c r="G9" i="4" a="1"/>
  <c r="G10" i="4" a="1"/>
  <c r="G11" i="4" a="1"/>
  <c r="G11" i="4" l="1"/>
  <c r="G10" i="4"/>
  <c r="G9" i="4"/>
  <c r="G12" i="4"/>
  <c r="E25" i="5"/>
  <c r="E24" i="5"/>
  <c r="E23" i="5"/>
  <c r="E26"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<sst xmlns="http://schemas.openxmlformats.org/spreadsheetml/2006/main" count="302" uniqueCount="237">
  <si>
    <t>Precision Control: How Many Samples Are Enough</t>
  </si>
  <si>
    <t>ModelRisk example  ·  General use  ·  GU-26</t>
  </si>
  <si>
    <t>How precisely does a simulation know its mean, spread, percentiles and probabilities, and how many samples does each need?</t>
  </si>
  <si>
    <t>Next:  Inputs  ▸</t>
  </si>
  <si>
    <t>Model card</t>
  </si>
  <si>
    <t>Industry</t>
  </si>
  <si>
    <t>General use</t>
  </si>
  <si>
    <t>Difficulty</t>
  </si>
  <si>
    <t>★★☆☆☆   A small cash-flow model; the point is the precision of its results and the samples each answer needs.</t>
  </si>
  <si>
    <t>Business question</t>
  </si>
  <si>
    <t>A project's NPV is simulated. How many samples are needed to know its mean, its standard deviation, its 95th percentile and its chance of a loss to a stated precision, and can the simulation stop when they are reached?</t>
  </si>
  <si>
    <t>Who it is for</t>
  </si>
  <si>
    <t>Anyone who runs simulations and must say how precise the results are, or choose the number of samples.</t>
  </si>
  <si>
    <t>Main outputs</t>
  </si>
  <si>
    <t>The project's NPV: mean, spread, percentiles and the chance of a loss · for four precision requirements: met or not, the precision achieved, the samples needed (by formula) and ModelRisk's estimate of the extra samples · the net cash flow by year.</t>
  </si>
  <si>
    <t>ModelRisk techniques</t>
  </si>
  <si>
    <t>VosePrecisionMean, VosePrecisionStdev, VosePrecisionPercentile and VosePrecisionProbability (over two cells: met or not, and extra samples needed) · VoseSimStop to end a simulation when every requirement is met · VoseSimMSE for the standard error of the mean · a rotated Frank copula (VoseCopulaBiFrank) between two costs.</t>
  </si>
  <si>
    <t>File</t>
  </si>
  <si>
    <t>GU-26 Precision control how many samples are enough  ·  Version 1.0  ·  October 2026  ·  re-issues the example Precision Control  ·  built with ModelRisk 10</t>
  </si>
  <si>
    <t>The business question</t>
  </si>
  <si>
    <t>A small manufacturing project runs for nine years (2027–2035): sales start at an uncertain volume and grow at an uncertain rate, each unit sells at an uncertain price and costs an uncertain amount, and fixed costs are uncertain too. The NPV at 15% is simulated. Before reporting it, the analyst sets precision requirements, for example 99% confident that the mean is known to within $5 million, and checks them with ModelRisk's precision functions, which also say how many more samples each still needs. With precision control switched on, VoseSimStop ends the simulation as soon as every requirement is met.</t>
  </si>
  <si>
    <t>How the model works</t>
  </si>
  <si>
    <t>Four sheets after this one, read from left to right. Each one feeds the next.</t>
  </si>
  <si>
    <t>1  Inputs</t>
  </si>
  <si>
    <t>Triangular ranges for variable cost, price, first-year volume, growth and fixed costs; the tax and discount rates; the strength of the link between the two costs; four precision requirements.</t>
  </si>
  <si>
    <t>2  Cash flow</t>
  </si>
  <si>
    <t>Each year: volume × (price − variable cost) less fixed costs, after tax. The NPV discounts years 2028 on at 15%. Variable and fixed costs come from a rotated Frank copula: when one is high, the other tends to be low.</t>
  </si>
  <si>
    <t>3  Precision</t>
  </si>
  <si>
    <t>Each requirement as a VosePrecision function over two cells: TRUE or FALSE, and the extra samples it needs. VoseSimStop turns each into a stop condition, active when the switch on the Inputs sheet is 1.</t>
  </si>
  <si>
    <t>4  Results</t>
  </si>
  <si>
    <t>The NPV's statistics; for each requirement the precision achieved and the samples needed, by formula and as ModelRisk estimates them.</t>
  </si>
  <si>
    <t>How to use it</t>
  </si>
  <si>
    <t>Step 1</t>
  </si>
  <si>
    <t>Set the requirements on the Inputs sheet: a precision (in the NPV's units, or a probability) and a confidence.</t>
  </si>
  <si>
    <t>Step 2</t>
  </si>
  <si>
    <t>Run a simulation (10,000 samples with a fixed seed are set) and read which requirements are met. To stop automatically, switch precision control on (P% on the ModelRisk ribbon), set a large number of samples and start: the simulation ends when every VoseSimStop condition is met.</t>
  </si>
  <si>
    <t>Step 3</t>
  </si>
  <si>
    <t>Report each result with its precision, for example: mean NPV 170 ± 3 ($ million, 99% confidence).</t>
  </si>
  <si>
    <t>Workbook map</t>
  </si>
  <si>
    <t>Inputs</t>
  </si>
  <si>
    <t>Uncertain quantities and requirements.</t>
  </si>
  <si>
    <t>Cash flow</t>
  </si>
  <si>
    <t>Nine years; the NPV and its outputs.</t>
  </si>
  <si>
    <t>Precision</t>
  </si>
  <si>
    <t>The precision functions and stop conditions; checks.</t>
  </si>
  <si>
    <t>Results</t>
  </si>
  <si>
    <t>The NPV and each requirement.</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</si>
  <si>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</si>
  <si>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</si>
  <si>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</si>
  <si>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</si>
  <si>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</si>
  <si>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</si>
  <si>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</si>
  <si>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</si>
  <si>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</si>
  <si>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</si>
  <si>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</si>
  <si>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</si>
  <si>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 thousand per unit, $ million</t>
  </si>
  <si>
    <t>Price and variable cost per unit in $ thousand; fixed costs, cash flows and the NPV in $ million.</t>
  </si>
  <si>
    <t>Precision ± p at confidence c</t>
  </si>
  <si>
    <t>The true value (with endlessly many samples) lies within ± p of the simulated value with probability c.</t>
  </si>
  <si>
    <t>Key assumptions and limitations</t>
  </si>
  <si>
    <t>Net cash flow = (volume × (price − variable cost) ÷ 1,000 − fixed costs) × (1 − tax). The original's formula floored it at zero but compared amounts in different units, so the floor never applied: a loss year counts in full here too, as in the original's results.</t>
  </si>
  <si>
    <t>Years</t>
  </si>
  <si>
    <t>2027–2035 (the original ran 2012–2020).</t>
  </si>
  <si>
    <t>Precision formulas</t>
  </si>
  <si>
    <t>The samples needed by formula use the normal approximation for the mean and the probability, the kurtosis for the standard deviation, and the density at the percentile.</t>
  </si>
  <si>
    <t>Data</t>
  </si>
  <si>
    <t>The ranges, the copula (Frank 20, rotated) and the requirements are those of ModelRisk's earlier Precision Control example.</t>
  </si>
  <si>
    <t>ModelRisk build</t>
  </si>
  <si>
    <t>In the build this example was made with, a simulation ended early by VoseSimStop leaves VoseSimPercentile and VoseSimProbability without results ('No simulation results'), although the samples are saved. The stop conditions are therefore behind a switch, off by default.</t>
  </si>
  <si>
    <t>ModelRisk functions used</t>
  </si>
  <si>
    <t>VoseTriangle</t>
  </si>
  <si>
    <t>The five uncertain quantities, two of them through the copula's U.</t>
  </si>
  <si>
    <t>VoseCopulaBiFrank</t>
  </si>
  <si>
    <t>Two linked probabilities; direction 2 rotates the copula, so the link is opposite.</t>
  </si>
  <si>
    <t>VosePrecisionMean, VosePrecisionStdev, VosePrecisionPercentile, VosePrecisionProbability</t>
  </si>
  <si>
    <t>Whether a statistic is known to a precision with a confidence; over two cells, the extra samples needed.</t>
  </si>
  <si>
    <t>VoseSimStop</t>
  </si>
  <si>
    <t>Ends a simulation once all its conditions are met (precision control switched on).</t>
  </si>
  <si>
    <t>VoseSimMSE</t>
  </si>
  <si>
    <t>The standard error of the simulated mean.</t>
  </si>
  <si>
    <t>VoseSimMean, VoseSimStdev, VoseSimKurtosis, VoseSimPercentile, VoseSimProbability</t>
  </si>
  <si>
    <t>Statistics of the simulation.</t>
  </si>
  <si>
    <t>Further reading</t>
  </si>
  <si>
    <t>Vose, D. (2008). Risk Analysis: A Quantitative Guide, 3rd edition. Wiley: how many iterations to run.</t>
  </si>
  <si>
    <t>© 2026 Vose Software   ·   www.vosesoftware.com   ·   An illustrative example: the figures are invented for teaching and do not describe a real company, project or asset.</t>
  </si>
  <si>
    <t>INPUTS   ·   The project's uncertain quantities and the precision requirements. Change only the yellow cells.</t>
  </si>
  <si>
    <t>◂  About</t>
  </si>
  <si>
    <t>Next:  Cash flow  ▸</t>
  </si>
  <si>
    <t>How to read this sheet:  yellow cells are inputs.  Orange cells hold ModelRisk distributions and show the current random sample (press F9 to draw again).</t>
  </si>
  <si>
    <t>1   Costs, price and volume</t>
  </si>
  <si>
    <t>Triangular ranges: low, most likely, high.</t>
  </si>
  <si>
    <t>Assumption</t>
  </si>
  <si>
    <t>Unit</t>
  </si>
  <si>
    <t>Value in model</t>
  </si>
  <si>
    <t>Uncertainty</t>
  </si>
  <si>
    <t>Low</t>
  </si>
  <si>
    <t>Most likely</t>
  </si>
  <si>
    <t>High</t>
  </si>
  <si>
    <t>Mean</t>
  </si>
  <si>
    <t>Basis / source (illustrative)</t>
  </si>
  <si>
    <t>Variable cost per unit</t>
  </si>
  <si>
    <t>$ thousand</t>
  </si>
  <si>
    <t>Triangle · copula</t>
  </si>
  <si>
    <t>Linked to the fixed costs (Cash flow sheet)</t>
  </si>
  <si>
    <t>Sales price per unit</t>
  </si>
  <si>
    <t>Triangle</t>
  </si>
  <si>
    <t>Sales volume in 2027</t>
  </si>
  <si>
    <t>units</t>
  </si>
  <si>
    <t>Sales growth a year</t>
  </si>
  <si>
    <t>Applied every year after the first</t>
  </si>
  <si>
    <t>Fixed costs a year</t>
  </si>
  <si>
    <t>$ million</t>
  </si>
  <si>
    <t>High when the variable cost is low (copula)</t>
  </si>
  <si>
    <t>2   Tax, discounting and the link between the costs</t>
  </si>
  <si>
    <t>Tax rate</t>
  </si>
  <si>
    <t>Fixed</t>
  </si>
  <si>
    <t>Discount rate</t>
  </si>
  <si>
    <t>Years from 2028 discounted; 2027 counts in full</t>
  </si>
  <si>
    <t>Frank copula parameter  θ</t>
  </si>
  <si>
    <t>20: a strong link</t>
  </si>
  <si>
    <t>Copula direction</t>
  </si>
  <si>
    <t>1: both costs high together; 2: rotated, opposite</t>
  </si>
  <si>
    <t>3   Precision requirements on the NPV</t>
  </si>
  <si>
    <t>Precision ± in $ million (a probability for the chance of a loss).</t>
  </si>
  <si>
    <t>Mean: precision</t>
  </si>
  <si>
    <t>Mean: confidence</t>
  </si>
  <si>
    <t>Standard deviation: precision</t>
  </si>
  <si>
    <t>Standard deviation: confidence</t>
  </si>
  <si>
    <t>95th percentile: precision</t>
  </si>
  <si>
    <t>95th percentile: confidence</t>
  </si>
  <si>
    <t>Chance of a negative NPV: precision</t>
  </si>
  <si>
    <t>± 1 percentage point</t>
  </si>
  <si>
    <t>Chance of a negative NPV: confidence</t>
  </si>
  <si>
    <t>Stop the simulation when all are met</t>
  </si>
  <si>
    <t>1 = yes</t>
  </si>
  <si>
    <t>Needs precision control on (P% on the ModelRisk ribbon); see the Precision sheet</t>
  </si>
  <si>
    <t>CASH FLOW   ·   Nine years of the project, and its NPV.</t>
  </si>
  <si>
    <t>◂  Inputs</t>
  </si>
  <si>
    <t>Next:  Precision  ▸</t>
  </si>
  <si>
    <t>1   The link between the costs</t>
  </si>
  <si>
    <t>A bivariate Frank copula, rotated: variable and fixed costs move in opposite directions.</t>
  </si>
  <si>
    <t>U for the variable cost</t>
  </si>
  <si>
    <t>VoseCopulaBiFrank(θ, direction): two linked probabilities (an array)</t>
  </si>
  <si>
    <t>U for the fixed costs</t>
  </si>
  <si>
    <t>They are the U arguments of the two cost Triangles on the Inputs sheet</t>
  </si>
  <si>
    <t>2   Year by year</t>
  </si>
  <si>
    <t>$ million unless stated.</t>
  </si>
  <si>
    <t>2027</t>
  </si>
  <si>
    <t>2028</t>
  </si>
  <si>
    <t>2029</t>
  </si>
  <si>
    <t>2030</t>
  </si>
  <si>
    <t>2031</t>
  </si>
  <si>
    <t>2032</t>
  </si>
  <si>
    <t>2033</t>
  </si>
  <si>
    <t>2034</t>
  </si>
  <si>
    <t>2035</t>
  </si>
  <si>
    <t>Sales volume (units)</t>
  </si>
  <si>
    <t>Grows by the same uncertain rate every year</t>
  </si>
  <si>
    <t>Contribution</t>
  </si>
  <si>
    <t>Volume × (price − variable cost) ÷ 1,000</t>
  </si>
  <si>
    <t>Fixed costs</t>
  </si>
  <si>
    <t>Net cash flow after tax</t>
  </si>
  <si>
    <t>(Contribution − fixed costs) × (1 − tax): an output range</t>
  </si>
  <si>
    <t>Discount factor</t>
  </si>
  <si>
    <t>2027 counts in full; later years at the discount rate</t>
  </si>
  <si>
    <t>Present value</t>
  </si>
  <si>
    <t>3   Value in this iteration</t>
  </si>
  <si>
    <t>Key outputs, recorded by ModelRisk at every sample (VoseOutput). Their statistics appear on the Results sheet.</t>
  </si>
  <si>
    <t>Output</t>
  </si>
  <si>
    <t>Value</t>
  </si>
  <si>
    <t>Meaning</t>
  </si>
  <si>
    <t>NPV at the discount rate</t>
  </si>
  <si>
    <t>PRECISION   ·   Four requirements on the NPV: met or not, extra samples, stop conditions.</t>
  </si>
  <si>
    <t>◂  Cash flow</t>
  </si>
  <si>
    <t>Next:  Results  ▸</t>
  </si>
  <si>
    <t>1   Precision requirements</t>
  </si>
  <si>
    <t>Each over two cells: met (TRUE / FALSE) and the extra samples still needed.</t>
  </si>
  <si>
    <t>Statistic of the NPV</t>
  </si>
  <si>
    <t>Precision ±</t>
  </si>
  <si>
    <t>Confidence</t>
  </si>
  <si>
    <t>Met?</t>
  </si>
  <si>
    <t>Extra samples</t>
  </si>
  <si>
    <t>Stop condition</t>
  </si>
  <si>
    <t>VosePrecisionMean(NPV, precision, confidence) over E:F</t>
  </si>
  <si>
    <t>Standard deviation</t>
  </si>
  <si>
    <t>VosePrecisionStdev, VosePrecisionPercentile(NPV, 95%, …), VosePrecisionProbability(NPV, 0, …)</t>
  </si>
  <si>
    <t>95th percentile</t>
  </si>
  <si>
    <t>VoseSimStop(condition, name): switch at 1 + precision control on: stops once all four are met</t>
  </si>
  <si>
    <t>Chance of a negative NPV</t>
  </si>
  <si>
    <t>Switch at 0 here: in this ModelRisk build a stopped run leaves percentiles unavailable</t>
  </si>
  <si>
    <t>2   Model checks</t>
  </si>
  <si>
    <t>Should all read OK. A CHECK means an input has been set outside the range the model is built for.</t>
  </si>
  <si>
    <t>Every range is in order (low ≤ most likely ≤ high)</t>
  </si>
  <si>
    <t>Precisions are positive and confidences between 0 and 1</t>
  </si>
  <si>
    <t>The copula direction is 1 or 2</t>
  </si>
  <si>
    <t>RESULTS   ·   Filled in automatically from the last simulation. Run a simulation after changing any input.</t>
  </si>
  <si>
    <t>◂  Precision</t>
  </si>
  <si>
    <t>1   The NPV</t>
  </si>
  <si>
    <t>The NPV</t>
  </si>
  <si>
    <t>$ million.</t>
  </si>
  <si>
    <t>Measure</t>
  </si>
  <si>
    <t>5th percentile</t>
  </si>
  <si>
    <t>Median</t>
  </si>
  <si>
    <t>Samples in the last run</t>
  </si>
  <si>
    <t>samples</t>
  </si>
  <si>
    <t>2   Precision of each answer</t>
  </si>
  <si>
    <t>Required, achieved by the last run, and samples needed: by formula and as ModelRisk estimates them.</t>
  </si>
  <si>
    <t>Requirement</t>
  </si>
  <si>
    <t>Required ±</t>
  </si>
  <si>
    <t>Achieved ±</t>
  </si>
  <si>
    <t>Samples needed</t>
  </si>
  <si>
    <t>Extra (ModelRisk)</t>
  </si>
  <si>
    <t>Mean, at 99%</t>
  </si>
  <si>
    <t>Standard deviation, at 95%</t>
  </si>
  <si>
    <t>95th percentile, at 90%</t>
  </si>
  <si>
    <t>Chance of a negative NPV, at 95%</t>
  </si>
  <si>
    <t>Net cash flow by year — 10th / 50th / 90th percentile band</t>
  </si>
  <si>
    <t>3   How to read these results</t>
  </si>
  <si>
    <t>•  The project's NPV averages about 170 ($ million) with a 5.5% chance of being negative; nine times in ten it lies between about −4 and 380.</t>
  </si>
  <si>
    <t>•  How many samples are enough depends on the question. Knowing the mean to ± 5 with 99% confidence needs about 3,600 samples; the 95th percentile to ± 10 at 90% about 2,500 to 3,000 (it depends on how dense the results are there); the chance of a loss to ± 1 point at 95% about 2,000; the standard deviation to ± 10 only a few hundred. 10,000 samples meet all four.</t>
  </si>
  <si>
    <t>•  Report results with their precision, for example a mean NPV of 170 ± 3 ($ million, 99% confidence) after 10,000 samples. Halving the ± needs four times the samples.</t>
  </si>
  <si>
    <t>•  The VosePrecision functions check a requirement and, over two cells, estimate the extra samples still needed. Set the switch on the Inputs sheet to 1, switch precision control on (P% on the ModelRisk ribbon) and VoseSimStop ends the simulation as soon as every requirement is met: here after about 3,700 samples. In the ModelRisk build this example was made with, a simulation stopped that way leaves its percentiles and probabilities unavailable on this sheet ('No simulation results'), so the example ships with the switch at 0.</t>
  </si>
  <si>
    <t>•  The two costs are strongly opposite (rank correlation about −0.96): the original example's rotated Frank copula.</t>
  </si>
  <si>
    <t>Chart data</t>
  </si>
  <si>
    <t>Statistics of the last simulation behind the charts and the ranking above. Grouped: click + in the left margin to show them.</t>
  </si>
  <si>
    <t>Cumulative probability</t>
  </si>
  <si>
    <t>Exceedance</t>
  </si>
  <si>
    <t>NPV</t>
  </si>
  <si>
    <t>line at 0</t>
  </si>
  <si>
    <t>Period</t>
  </si>
  <si>
    <t>10th percentile</t>
  </si>
  <si>
    <t>90th percentile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</si>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</sst>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_);\(#,##0.0\);&quot;–&quot;_)"/>
    <numFmt numFmtId="165" formatCode="#,##0_);\(#,##0\);&quot;–&quot;_)"/>
    <numFmt numFmtId="166" formatCode="0.0%"/>
    <numFmt numFmtId="167" formatCode="0.000"/>
    <numFmt numFmtId="168" formatCode="#,##0.0_);\(#,##0.0\);&quot;–&quot;_);&quot;–&quot;"/>
    <numFmt numFmtId="169" formatCode="0.0%;\-0.0%;0.0%;&quot;–&quot;"/>
    <numFmt numFmtId="170" formatCode="#,##0_);\(#,##0\);&quot;–&quot;_);&quot;–&quot;"/>
    <numFmt numFmtId="171" formatCode="0.00%;\-0.00%;0.00%;&quot;–&quot;"/>
  </numFmts>
  <fonts count="22"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b/>
      <sz val="10"/>
      <color rgb="FF15803D"/>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9">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2" fillId="3" borderId="7" xfId="2" applyNumberFormat="1" applyBorder="1">
      <alignment horizontal="right" vertical="center"/>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2" fillId="3" borderId="7" xfId="2" applyNumberFormat="1" applyBorder="1">
      <alignment horizontal="right" vertical="center"/>
    </xf>
    <xf numFmtId="165" fontId="1" fillId="2" borderId="7" xfId="1" applyNumberFormat="1" applyBorder="1">
      <alignment horizontal="right" vertical="center"/>
    </xf>
    <xf numFmtId="166" fontId="2" fillId="3" borderId="7" xfId="2" applyNumberFormat="1" applyBorder="1">
      <alignment horizontal="right" vertical="center"/>
    </xf>
    <xf numFmtId="166" fontId="1" fillId="2" borderId="7" xfId="1" applyNumberFormat="1" applyBorder="1">
      <alignment horizontal="right" vertical="center"/>
    </xf>
    <xf numFmtId="9" fontId="1" fillId="2" borderId="7" xfId="1" applyNumberFormat="1" applyBorder="1">
      <alignment horizontal="right" vertical="center"/>
    </xf>
    <xf numFmtId="1" fontId="1" fillId="2" borderId="7" xfId="1" applyNumberFormat="1" applyBorder="1">
      <alignment horizontal="right" vertical="center"/>
    </xf>
    <xf numFmtId="167" fontId="2" fillId="3" borderId="7" xfId="2" applyNumberFormat="1" applyBorder="1">
      <alignment horizontal="right" vertical="center"/>
    </xf>
    <xf numFmtId="0" fontId="18" fillId="0" borderId="0" xfId="0" applyFont="1" applyAlignment="1">
      <alignment horizontal="left" vertical="center" indent="1"/>
    </xf>
    <xf numFmtId="165" fontId="3" fillId="0" borderId="8" xfId="3" applyNumberFormat="1" applyBorder="1">
      <alignment horizontal="right" vertical="center"/>
    </xf>
    <xf numFmtId="164" fontId="3" fillId="0" borderId="8" xfId="3" applyNumberFormat="1" applyBorder="1">
      <alignment horizontal="right" vertical="center"/>
    </xf>
    <xf numFmtId="0" fontId="12" fillId="0" borderId="6" xfId="0" applyFont="1" applyBorder="1" applyAlignment="1">
      <alignment horizontal="left" vertical="center" indent="1"/>
    </xf>
    <xf numFmtId="164" fontId="4" fillId="4" borderId="9" xfId="4" applyNumberFormat="1" applyBorder="1">
      <alignment horizontal="right" vertical="center"/>
    </xf>
    <xf numFmtId="167" fontId="3" fillId="0" borderId="8" xfId="3"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17" fillId="0" borderId="0" xfId="0" applyFont="1" applyAlignment="1">
      <alignment horizontal="left" vertical="center" indent="1"/>
    </xf>
    <xf numFmtId="9" fontId="3" fillId="0" borderId="8" xfId="3" applyNumberFormat="1" applyBorder="1">
      <alignment horizontal="right" vertical="center"/>
    </xf>
    <xf numFmtId="0" fontId="1" fillId="5" borderId="7" xfId="5" applyBorder="1">
      <alignment horizontal="right" vertical="center"/>
    </xf>
    <xf numFmtId="165" fontId="1" fillId="5" borderId="7" xfId="5" applyNumberFormat="1" applyBorder="1">
      <alignment horizontal="right" vertical="center"/>
    </xf>
    <xf numFmtId="0" fontId="3" fillId="0" borderId="8" xfId="3" applyBorder="1">
      <alignment horizontal="right" vertical="center"/>
    </xf>
    <xf numFmtId="166" fontId="3" fillId="0" borderId="8" xfId="3" applyNumberFormat="1" applyBorder="1">
      <alignment horizontal="right" vertical="center"/>
    </xf>
    <xf numFmtId="0" fontId="19"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21" fillId="0" borderId="5" xfId="0" applyFont="1" applyBorder="1"/>
    <xf numFmtId="168" fontId="1" fillId="5" borderId="7" xfId="5" applyNumberFormat="1" applyBorder="1">
      <alignment horizontal="right" vertical="center"/>
    </xf>
    <xf numFmtId="169" fontId="1" fillId="5" borderId="7" xfId="5" applyNumberFormat="1" applyBorder="1">
      <alignment horizontal="right" vertical="center"/>
    </xf>
    <xf numFmtId="170" fontId="1" fillId="5" borderId="7" xfId="5" applyNumberFormat="1" applyBorder="1">
      <alignment horizontal="right" vertical="center"/>
    </xf>
    <xf numFmtId="10" fontId="3" fillId="0" borderId="8" xfId="3" applyNumberFormat="1" applyBorder="1">
      <alignment horizontal="right" vertical="center"/>
    </xf>
    <xf numFmtId="171"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20" fillId="0" borderId="0" xfId="0" applyFont="1" applyAlignment="1">
      <alignment horizontal="left" vertical="center" indent="1"/>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NPV</c:v>
          </c:tx>
          <c:spPr>
            <a:ln w="25400">
              <a:solidFill>
                <a:srgbClr val="0E4F92"/>
              </a:solidFill>
              <a:prstDash val="solid"/>
            </a:ln>
          </c:spPr>
          <c:marker>
            <c:symbol val="none"/>
          </c:marker>
          <c:xVal>
            <c:numRef>
              <c:f>Results!$D$55:$D$104</c:f>
              <c:numCache>
                <c:formatCode>#,##0.00</c:formatCode>
                <c:ptCount val="50"/>
                <c:pt idx="0">
                  <c:v>-49.968489347146608</c:v>
                </c:pt>
                <c:pt idx="1">
                  <c:v>-19.870688658093144</c:v>
                </c:pt>
                <c:pt idx="2">
                  <c:v>-3.0982364453914668</c:v>
                </c:pt>
                <c:pt idx="3">
                  <c:v>11.730648631761705</c:v>
                </c:pt>
                <c:pt idx="4">
                  <c:v>21.437686493083735</c:v>
                </c:pt>
                <c:pt idx="5">
                  <c:v>31.72972015872665</c:v>
                </c:pt>
                <c:pt idx="6">
                  <c:v>40.683017126956727</c:v>
                </c:pt>
                <c:pt idx="7">
                  <c:v>49.191326436024397</c:v>
                </c:pt>
                <c:pt idx="8">
                  <c:v>57.729094634364543</c:v>
                </c:pt>
                <c:pt idx="9">
                  <c:v>65.945047232410928</c:v>
                </c:pt>
                <c:pt idx="10">
                  <c:v>73.201393902133589</c:v>
                </c:pt>
                <c:pt idx="11">
                  <c:v>80.243362470415207</c:v>
                </c:pt>
                <c:pt idx="12">
                  <c:v>87.473266074104103</c:v>
                </c:pt>
                <c:pt idx="13">
                  <c:v>93.409632439847726</c:v>
                </c:pt>
                <c:pt idx="14">
                  <c:v>99.271436405808217</c:v>
                </c:pt>
                <c:pt idx="15">
                  <c:v>105.08658922487682</c:v>
                </c:pt>
                <c:pt idx="16">
                  <c:v>110.89494432603765</c:v>
                </c:pt>
                <c:pt idx="17">
                  <c:v>117.28511240496825</c:v>
                </c:pt>
                <c:pt idx="18">
                  <c:v>123.63521743109493</c:v>
                </c:pt>
                <c:pt idx="19">
                  <c:v>129.39617180542967</c:v>
                </c:pt>
                <c:pt idx="20">
                  <c:v>134.88768032498325</c:v>
                </c:pt>
                <c:pt idx="21">
                  <c:v>140.43403497977656</c:v>
                </c:pt>
                <c:pt idx="22">
                  <c:v>145.80975656092505</c:v>
                </c:pt>
                <c:pt idx="23">
                  <c:v>151.16385139404835</c:v>
                </c:pt>
                <c:pt idx="24">
                  <c:v>157.35026572107222</c:v>
                </c:pt>
                <c:pt idx="25">
                  <c:v>162.83165152249413</c:v>
                </c:pt>
                <c:pt idx="26">
                  <c:v>168.46131271893478</c:v>
                </c:pt>
                <c:pt idx="27">
                  <c:v>174.68441518263893</c:v>
                </c:pt>
                <c:pt idx="28">
                  <c:v>180.84661585741816</c:v>
                </c:pt>
                <c:pt idx="29">
                  <c:v>187.72492531733016</c:v>
                </c:pt>
                <c:pt idx="30">
                  <c:v>193.92720477775632</c:v>
                </c:pt>
                <c:pt idx="31">
                  <c:v>201.248870592168</c:v>
                </c:pt>
                <c:pt idx="32">
                  <c:v>208.01110265503368</c:v>
                </c:pt>
                <c:pt idx="33">
                  <c:v>215.73854967480585</c:v>
                </c:pt>
                <c:pt idx="34">
                  <c:v>222.51291679351914</c:v>
                </c:pt>
                <c:pt idx="35">
                  <c:v>229.6914148086812</c:v>
                </c:pt>
                <c:pt idx="36">
                  <c:v>236.82857681351331</c:v>
                </c:pt>
                <c:pt idx="37">
                  <c:v>245.13980354129208</c:v>
                </c:pt>
                <c:pt idx="38">
                  <c:v>252.95671189963946</c:v>
                </c:pt>
                <c:pt idx="39">
                  <c:v>262.65069833908126</c:v>
                </c:pt>
                <c:pt idx="40">
                  <c:v>272.3253562462595</c:v>
                </c:pt>
                <c:pt idx="41">
                  <c:v>281.84770742267489</c:v>
                </c:pt>
                <c:pt idx="42">
                  <c:v>293.08422382805219</c:v>
                </c:pt>
                <c:pt idx="43">
                  <c:v>306.40652954334564</c:v>
                </c:pt>
                <c:pt idx="44">
                  <c:v>320.04513511094967</c:v>
                </c:pt>
                <c:pt idx="45">
                  <c:v>336.74482726307508</c:v>
                </c:pt>
                <c:pt idx="46">
                  <c:v>357.58100565642718</c:v>
                </c:pt>
                <c:pt idx="47">
                  <c:v>381.89689735391829</c:v>
                </c:pt>
                <c:pt idx="48">
                  <c:v>417.9718924801079</c:v>
                </c:pt>
                <c:pt idx="49">
                  <c:v>482.95161232552357</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4947-4777-A672-72E68CB09E7B}"/>
            </c:ext>
          </c:extLst>
        </c:ser>
        <c:ser>
          <c:idx val="1"/>
          <c:order val="1"/>
          <c:tx>
            <c:v>Zero</c:v>
          </c:tx>
          <c:spPr>
            <a:ln w="19050">
              <a:solidFill>
                <a:srgbClr val="B91C1C"/>
              </a:solidFill>
              <a:prstDash val="sysDash"/>
            </a:ln>
          </c:spPr>
          <c:marker>
            <c:symbol val="none"/>
          </c:marker>
          <c:xVal>
            <c:numRef>
              <c:f>Results!$E$55:$E$104</c:f>
              <c:numCache>
                <c:formatCode>#,##0.00</c:formatCode>
                <c:ptCount val="5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numCache>
            </c:numRef>
          </c:xVal>
          <c:yVal>
            <c:numRef>
              <c:f>Results!$B$55:$B$104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4947-4777-A672-72E68CB09E7B}"/>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NPV ($ million)</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strRef>
              <c:f>Results!$B$107:$B$115</c:f>
              <c:strCache>
                <c:ptCount val="9"/>
                <c:pt idx="0">
                  <c:v>2027</c:v>
                </c:pt>
                <c:pt idx="1">
                  <c:v>2028</c:v>
                </c:pt>
                <c:pt idx="2">
                  <c:v>2029</c:v>
                </c:pt>
                <c:pt idx="3">
                  <c:v>2030</c:v>
                </c:pt>
                <c:pt idx="4">
                  <c:v>2031</c:v>
                </c:pt>
                <c:pt idx="5">
                  <c:v>2032</c:v>
                </c:pt>
                <c:pt idx="6">
                  <c:v>2033</c:v>
                </c:pt>
                <c:pt idx="7">
                  <c:v>2034</c:v>
                </c:pt>
                <c:pt idx="8">
                  <c:v>2035</c:v>
                </c:pt>
              </c:strCache>
            </c:strRef>
          </c:cat>
          <c:val>
            <c:numRef>
              <c:f>Results!$E$107:$E$115</c:f>
              <c:numCache>
                <c:formatCode>#,##0.00</c:formatCode>
                <c:ptCount val="9"/>
                <c:pt idx="0">
                  <c:v>38.33012668221005</c:v>
                </c:pt>
                <c:pt idx="1">
                  <c:v>43.061170518667247</c:v>
                </c:pt>
                <c:pt idx="2">
                  <c:v>49.19308294717834</c:v>
                </c:pt>
                <c:pt idx="3">
                  <c:v>57.046857324871688</c:v>
                </c:pt>
                <c:pt idx="4">
                  <c:v>66.378314711976458</c:v>
                </c:pt>
                <c:pt idx="5">
                  <c:v>76.865261002343985</c:v>
                </c:pt>
                <c:pt idx="6">
                  <c:v>89.09736988169081</c:v>
                </c:pt>
                <c:pt idx="7">
                  <c:v>102.12965996983594</c:v>
                </c:pt>
                <c:pt idx="8">
                  <c:v>116.46775220553221</c:v>
                </c:pt>
              </c:numCache>
            </c:numRef>
          </c:val>
          <c:smooth val="0"/>
          <c:extLst>
            <c:ext xmlns:c16="http://schemas.microsoft.com/office/drawing/2014/chart" uri="{C3380CC4-5D6E-409C-BE32-E72D297353CC}">
              <c16:uniqueId val="{00000000-A4FD-462C-AF9E-E3712CAA7F5A}"/>
            </c:ext>
          </c:extLst>
        </c:ser>
        <c:ser>
          <c:idx val="1"/>
          <c:order val="1"/>
          <c:tx>
            <c:v>Median</c:v>
          </c:tx>
          <c:spPr>
            <a:ln w="28575">
              <a:solidFill>
                <a:srgbClr val="0E4F92"/>
              </a:solidFill>
              <a:prstDash val="solid"/>
            </a:ln>
          </c:spPr>
          <c:marker>
            <c:symbol val="none"/>
          </c:marker>
          <c:cat>
            <c:strRef>
              <c:f>Results!$B$107:$B$115</c:f>
              <c:strCache>
                <c:ptCount val="9"/>
                <c:pt idx="0">
                  <c:v>2027</c:v>
                </c:pt>
                <c:pt idx="1">
                  <c:v>2028</c:v>
                </c:pt>
                <c:pt idx="2">
                  <c:v>2029</c:v>
                </c:pt>
                <c:pt idx="3">
                  <c:v>2030</c:v>
                </c:pt>
                <c:pt idx="4">
                  <c:v>2031</c:v>
                </c:pt>
                <c:pt idx="5">
                  <c:v>2032</c:v>
                </c:pt>
                <c:pt idx="6">
                  <c:v>2033</c:v>
                </c:pt>
                <c:pt idx="7">
                  <c:v>2034</c:v>
                </c:pt>
                <c:pt idx="8">
                  <c:v>2035</c:v>
                </c:pt>
              </c:strCache>
            </c:strRef>
          </c:cat>
          <c:val>
            <c:numRef>
              <c:f>Results!$D$107:$D$115</c:f>
              <c:numCache>
                <c:formatCode>#,##0.00</c:formatCode>
                <c:ptCount val="9"/>
                <c:pt idx="0">
                  <c:v>17.100704351054262</c:v>
                </c:pt>
                <c:pt idx="1">
                  <c:v>20.725686232165348</c:v>
                </c:pt>
                <c:pt idx="2">
                  <c:v>24.461382543183149</c:v>
                </c:pt>
                <c:pt idx="3">
                  <c:v>28.080971451595754</c:v>
                </c:pt>
                <c:pt idx="4">
                  <c:v>32.106148538491759</c:v>
                </c:pt>
                <c:pt idx="5">
                  <c:v>36.22849603217167</c:v>
                </c:pt>
                <c:pt idx="6">
                  <c:v>40.544397144901446</c:v>
                </c:pt>
                <c:pt idx="7">
                  <c:v>44.725395846217062</c:v>
                </c:pt>
                <c:pt idx="8">
                  <c:v>49.362968077088453</c:v>
                </c:pt>
              </c:numCache>
            </c:numRef>
          </c:val>
          <c:smooth val="0"/>
          <c:extLst>
            <c:ext xmlns:c16="http://schemas.microsoft.com/office/drawing/2014/chart" uri="{C3380CC4-5D6E-409C-BE32-E72D297353CC}">
              <c16:uniqueId val="{00000001-A4FD-462C-AF9E-E3712CAA7F5A}"/>
            </c:ext>
          </c:extLst>
        </c:ser>
        <c:ser>
          <c:idx val="2"/>
          <c:order val="2"/>
          <c:tx>
            <c:v>Mean</c:v>
          </c:tx>
          <c:spPr>
            <a:ln w="19050">
              <a:solidFill>
                <a:srgbClr val="B45309"/>
              </a:solidFill>
              <a:prstDash val="solid"/>
            </a:ln>
          </c:spPr>
          <c:marker>
            <c:symbol val="none"/>
          </c:marker>
          <c:cat>
            <c:strRef>
              <c:f>Results!$B$107:$B$115</c:f>
              <c:strCache>
                <c:ptCount val="9"/>
                <c:pt idx="0">
                  <c:v>2027</c:v>
                </c:pt>
                <c:pt idx="1">
                  <c:v>2028</c:v>
                </c:pt>
                <c:pt idx="2">
                  <c:v>2029</c:v>
                </c:pt>
                <c:pt idx="3">
                  <c:v>2030</c:v>
                </c:pt>
                <c:pt idx="4">
                  <c:v>2031</c:v>
                </c:pt>
                <c:pt idx="5">
                  <c:v>2032</c:v>
                </c:pt>
                <c:pt idx="6">
                  <c:v>2033</c:v>
                </c:pt>
                <c:pt idx="7">
                  <c:v>2034</c:v>
                </c:pt>
                <c:pt idx="8">
                  <c:v>2035</c:v>
                </c:pt>
              </c:strCache>
            </c:strRef>
          </c:cat>
          <c:val>
            <c:numRef>
              <c:f>Results!$F$107:$F$115</c:f>
              <c:numCache>
                <c:formatCode>#,##0.00</c:formatCode>
                <c:ptCount val="9"/>
                <c:pt idx="0">
                  <c:v>18.098808221808486</c:v>
                </c:pt>
                <c:pt idx="1">
                  <c:v>21.754633769095161</c:v>
                </c:pt>
                <c:pt idx="2">
                  <c:v>25.665408833911872</c:v>
                </c:pt>
                <c:pt idx="3">
                  <c:v>29.848931836096902</c:v>
                </c:pt>
                <c:pt idx="4">
                  <c:v>34.324469985024557</c:v>
                </c:pt>
                <c:pt idx="5">
                  <c:v>39.112885634522897</c:v>
                </c:pt>
                <c:pt idx="6">
                  <c:v>44.236774177342042</c:v>
                </c:pt>
                <c:pt idx="7">
                  <c:v>49.720614567079096</c:v>
                </c:pt>
                <c:pt idx="8">
                  <c:v>55.590933661178347</c:v>
                </c:pt>
              </c:numCache>
            </c:numRef>
          </c:val>
          <c:smooth val="0"/>
          <c:extLst>
            <c:ext xmlns:c16="http://schemas.microsoft.com/office/drawing/2014/chart" uri="{C3380CC4-5D6E-409C-BE32-E72D297353CC}">
              <c16:uniqueId val="{00000002-A4FD-462C-AF9E-E3712CAA7F5A}"/>
            </c:ext>
          </c:extLst>
        </c:ser>
        <c:ser>
          <c:idx val="3"/>
          <c:order val="3"/>
          <c:tx>
            <c:v>10th percentile</c:v>
          </c:tx>
          <c:spPr>
            <a:ln w="15875">
              <a:solidFill>
                <a:srgbClr val="0E4F92"/>
              </a:solidFill>
              <a:prstDash val="dash"/>
            </a:ln>
          </c:spPr>
          <c:marker>
            <c:symbol val="none"/>
          </c:marker>
          <c:cat>
            <c:strRef>
              <c:f>Results!$B$107:$B$115</c:f>
              <c:strCache>
                <c:ptCount val="9"/>
                <c:pt idx="0">
                  <c:v>2027</c:v>
                </c:pt>
                <c:pt idx="1">
                  <c:v>2028</c:v>
                </c:pt>
                <c:pt idx="2">
                  <c:v>2029</c:v>
                </c:pt>
                <c:pt idx="3">
                  <c:v>2030</c:v>
                </c:pt>
                <c:pt idx="4">
                  <c:v>2031</c:v>
                </c:pt>
                <c:pt idx="5">
                  <c:v>2032</c:v>
                </c:pt>
                <c:pt idx="6">
                  <c:v>2033</c:v>
                </c:pt>
                <c:pt idx="7">
                  <c:v>2034</c:v>
                </c:pt>
                <c:pt idx="8">
                  <c:v>2035</c:v>
                </c:pt>
              </c:strCache>
            </c:strRef>
          </c:cat>
          <c:val>
            <c:numRef>
              <c:f>Results!$C$107:$C$115</c:f>
              <c:numCache>
                <c:formatCode>#,##0.00</c:formatCode>
                <c:ptCount val="9"/>
                <c:pt idx="0">
                  <c:v>-0.15575716225834385</c:v>
                </c:pt>
                <c:pt idx="1">
                  <c:v>2.0500902491625355</c:v>
                </c:pt>
                <c:pt idx="2">
                  <c:v>3.7803913994840315</c:v>
                </c:pt>
                <c:pt idx="3">
                  <c:v>4.6369276845183114</c:v>
                </c:pt>
                <c:pt idx="4">
                  <c:v>4.7856196253391419</c:v>
                </c:pt>
                <c:pt idx="5">
                  <c:v>4.6633594712487652</c:v>
                </c:pt>
                <c:pt idx="6">
                  <c:v>4.3735900969489023</c:v>
                </c:pt>
                <c:pt idx="7">
                  <c:v>3.8299510294999153</c:v>
                </c:pt>
                <c:pt idx="8">
                  <c:v>3.1063862799526007</c:v>
                </c:pt>
              </c:numCache>
            </c:numRef>
          </c:val>
          <c:smooth val="0"/>
          <c:extLst>
            <c:ext xmlns:c16="http://schemas.microsoft.com/office/drawing/2014/chart" uri="{C3380CC4-5D6E-409C-BE32-E72D297353CC}">
              <c16:uniqueId val="{00000003-A4FD-462C-AF9E-E3712CAA7F5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 million</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28</xdr:row>
      <xdr:rowOff>0</xdr:rowOff>
    </xdr:from>
    <xdr:ext cx="6263999" cy="252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57" customHeight="1" x14ac:dyDescent="0.45">
      <c r="B16" s="64" t="s">
        <v>20</v>
      </c>
      <c r="C16" s="65"/>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26.25" x14ac:dyDescent="0.45">
      <c r="B29" s="9" t="s">
        <v>25</v>
      </c>
      <c r="C29" s="10" t="s">
        <v>26</v>
      </c>
    </row>
    <row r="30" spans="2:3" ht="26.25" x14ac:dyDescent="0.45">
      <c r="B30" s="9" t="s">
        <v>27</v>
      </c>
      <c r="C30" s="10" t="s">
        <v>28</v>
      </c>
    </row>
    <row r="31" spans="2:3" x14ac:dyDescent="0.45">
      <c r="B31" s="9" t="s">
        <v>29</v>
      </c>
      <c r="C31" s="10" t="s">
        <v>30</v>
      </c>
    </row>
    <row r="32" spans="2:3" ht="12" customHeight="1" x14ac:dyDescent="0.45"/>
    <row r="33" spans="2:3" ht="22.05" customHeight="1" x14ac:dyDescent="0.5">
      <c r="B33" s="7" t="s">
        <v>31</v>
      </c>
      <c r="C33" s="8"/>
    </row>
    <row r="34" spans="2:3" x14ac:dyDescent="0.45">
      <c r="B34" s="9" t="s">
        <v>32</v>
      </c>
      <c r="C34" s="10" t="s">
        <v>33</v>
      </c>
    </row>
    <row r="35" spans="2:3" ht="26.25"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x14ac:dyDescent="0.45">
      <c r="B42" s="14" t="s">
        <v>45</v>
      </c>
      <c r="C42" s="10" t="s">
        <v>46</v>
      </c>
    </row>
    <row r="43" spans="2:3" ht="12" customHeight="1" x14ac:dyDescent="0.45"/>
    <row r="44" spans="2:3" ht="22.05" customHeight="1" x14ac:dyDescent="0.5">
      <c r="B44" s="7" t="s">
        <v>47</v>
      </c>
      <c r="C44" s="8"/>
    </row>
    <row r="45" spans="2:3" x14ac:dyDescent="0.45">
      <c r="B45" s="15" t="s">
        <v>48</v>
      </c>
      <c r="C45" s="12" t="s">
        <v>49</v>
      </c>
    </row>
    <row r="46" spans="2:3" x14ac:dyDescent="0.45">
      <c r="B46" s="16" t="s">
        <v>50</v>
      </c>
      <c r="C46" s="12" t="s">
        <v>51</v>
      </c>
    </row>
    <row r="47" spans="2:3" x14ac:dyDescent="0.45">
      <c r="B47" s="17" t="s">
        <v>52</v>
      </c>
      <c r="C47" s="12" t="s">
        <v>53</v>
      </c>
    </row>
    <row r="48" spans="2:3" x14ac:dyDescent="0.45">
      <c r="B48" s="18" t="s">
        <v>54</v>
      </c>
      <c r="C48" s="12" t="s">
        <v>55</v>
      </c>
    </row>
    <row r="49" spans="2:3" x14ac:dyDescent="0.45">
      <c r="B49" s="19" t="s">
        <v>56</v>
      </c>
      <c r="C49" s="12" t="s">
        <v>57</v>
      </c>
    </row>
    <row r="50" spans="2:3" ht="12" customHeight="1" x14ac:dyDescent="0.45"/>
    <row r="51" spans="2:3" ht="22.05" customHeight="1" x14ac:dyDescent="0.5">
      <c r="B51" s="7" t="s">
        <v>58</v>
      </c>
      <c r="C51" s="8"/>
    </row>
    <row r="52" spans="2:3" x14ac:dyDescent="0.45">
      <c r="B52" s="9" t="s">
        <v>59</v>
      </c>
      <c r="C52" s="10" t="s">
        <v>60</v>
      </c>
    </row>
    <row r="53" spans="2:3" x14ac:dyDescent="0.45">
      <c r="B53" s="9" t="s">
        <v>61</v>
      </c>
      <c r="C53" s="10" t="s">
        <v>62</v>
      </c>
    </row>
    <row r="54" spans="2:3" ht="12" customHeight="1" x14ac:dyDescent="0.45"/>
    <row r="55" spans="2:3" ht="22.05" customHeight="1" x14ac:dyDescent="0.5">
      <c r="B55" s="7" t="s">
        <v>63</v>
      </c>
      <c r="C55" s="8"/>
    </row>
    <row r="56" spans="2:3" ht="26.25" x14ac:dyDescent="0.45">
      <c r="B56" s="9" t="s">
        <v>41</v>
      </c>
      <c r="C56" s="10" t="s">
        <v>64</v>
      </c>
    </row>
    <row r="57" spans="2:3" x14ac:dyDescent="0.45">
      <c r="B57" s="9" t="s">
        <v>65</v>
      </c>
      <c r="C57" s="10" t="s">
        <v>66</v>
      </c>
    </row>
    <row r="58" spans="2:3" ht="26.25" x14ac:dyDescent="0.45">
      <c r="B58" s="9" t="s">
        <v>67</v>
      </c>
      <c r="C58" s="10" t="s">
        <v>68</v>
      </c>
    </row>
    <row r="59" spans="2:3" x14ac:dyDescent="0.45">
      <c r="B59" s="9" t="s">
        <v>69</v>
      </c>
      <c r="C59" s="10" t="s">
        <v>70</v>
      </c>
    </row>
    <row r="60" spans="2:3" ht="26.25" x14ac:dyDescent="0.45">
      <c r="B60" s="9" t="s">
        <v>71</v>
      </c>
      <c r="C60" s="10" t="s">
        <v>72</v>
      </c>
    </row>
    <row r="61" spans="2:3" ht="12" customHeight="1" x14ac:dyDescent="0.45"/>
    <row r="62" spans="2:3" ht="22.05" customHeight="1" x14ac:dyDescent="0.5">
      <c r="B62" s="7" t="s">
        <v>73</v>
      </c>
      <c r="C62" s="8"/>
    </row>
    <row r="63" spans="2:3" x14ac:dyDescent="0.45">
      <c r="B63" s="20" t="s">
        <v>74</v>
      </c>
      <c r="C63" s="10" t="s">
        <v>75</v>
      </c>
    </row>
    <row r="64" spans="2:3" x14ac:dyDescent="0.45">
      <c r="B64" s="20" t="s">
        <v>76</v>
      </c>
      <c r="C64" s="10" t="s">
        <v>77</v>
      </c>
    </row>
    <row r="65" spans="2:3" ht="52.5" x14ac:dyDescent="0.45">
      <c r="B65" s="20" t="s">
        <v>78</v>
      </c>
      <c r="C65" s="10" t="s">
        <v>79</v>
      </c>
    </row>
    <row r="66" spans="2:3" x14ac:dyDescent="0.45">
      <c r="B66" s="20" t="s">
        <v>80</v>
      </c>
      <c r="C66" s="10" t="s">
        <v>81</v>
      </c>
    </row>
    <row r="67" spans="2:3" x14ac:dyDescent="0.45">
      <c r="B67" s="20" t="s">
        <v>82</v>
      </c>
      <c r="C67" s="10" t="s">
        <v>83</v>
      </c>
    </row>
    <row r="68" spans="2:3" ht="52.5" x14ac:dyDescent="0.45">
      <c r="B68" s="20" t="s">
        <v>84</v>
      </c>
      <c r="C68" s="10" t="s">
        <v>85</v>
      </c>
    </row>
    <row r="69" spans="2:3" ht="12" customHeight="1" x14ac:dyDescent="0.45"/>
    <row r="70" spans="2:3" ht="22.05" customHeight="1" x14ac:dyDescent="0.5">
      <c r="B70" s="7" t="s">
        <v>86</v>
      </c>
      <c r="C70" s="8"/>
    </row>
    <row r="71" spans="2:3" x14ac:dyDescent="0.45">
      <c r="B71" s="9" t="s">
        <v>43</v>
      </c>
      <c r="C71" s="10" t="s">
        <v>87</v>
      </c>
    </row>
    <row r="72" spans="2:3" ht="16.05" customHeight="1" x14ac:dyDescent="0.45"/>
    <row r="73" spans="2:3" x14ac:dyDescent="0.45">
      <c r="B73" s="66" t="s">
        <v>88</v>
      </c>
      <c r="C73" s="65"/>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Cash flow'!A1" display="Cash flow" xr:uid="{00000000-0004-0000-0000-000002000000}"/>
    <hyperlink ref="B41" location="'Precision'!A1" display="Precision" xr:uid="{00000000-0004-0000-0000-000003000000}"/>
    <hyperlink ref="B42" location="'Results'!A1" display="Results" xr:uid="{00000000-0004-0000-0000-000004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6"/>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89</v>
      </c>
      <c r="C3" s="1"/>
      <c r="D3" s="1"/>
      <c r="E3" s="1"/>
      <c r="F3" s="1"/>
      <c r="G3" s="1"/>
      <c r="H3" s="1"/>
      <c r="I3" s="1"/>
      <c r="J3" s="1"/>
    </row>
    <row r="4" spans="1:10" ht="20" customHeight="1" x14ac:dyDescent="0.45">
      <c r="A4" s="5"/>
      <c r="B4" s="22" t="s">
        <v>90</v>
      </c>
      <c r="C4" s="5"/>
      <c r="D4" s="5"/>
      <c r="E4" s="5"/>
      <c r="F4" s="5"/>
      <c r="G4" s="5"/>
      <c r="H4" s="5"/>
      <c r="I4" s="5"/>
      <c r="J4" s="6" t="s">
        <v>91</v>
      </c>
    </row>
    <row r="5" spans="1:10" ht="8" customHeight="1" x14ac:dyDescent="0.45"/>
    <row r="6" spans="1:10" ht="20" customHeight="1" x14ac:dyDescent="0.45">
      <c r="B6" s="67" t="s">
        <v>92</v>
      </c>
      <c r="C6" s="65"/>
      <c r="D6" s="65"/>
      <c r="E6" s="65"/>
      <c r="F6" s="65"/>
      <c r="G6" s="65"/>
      <c r="H6" s="65"/>
      <c r="I6" s="65"/>
      <c r="J6" s="65"/>
    </row>
    <row r="7" spans="1:10" ht="6" customHeight="1" x14ac:dyDescent="0.45"/>
    <row r="8" spans="1:10" ht="22.05" customHeight="1" x14ac:dyDescent="0.5">
      <c r="B8" s="7" t="s">
        <v>93</v>
      </c>
      <c r="C8" s="8"/>
      <c r="D8" s="8"/>
      <c r="E8" s="8"/>
      <c r="F8" s="8"/>
      <c r="G8" s="8"/>
      <c r="H8" s="8"/>
      <c r="I8" s="8"/>
      <c r="J8" s="8"/>
    </row>
    <row r="9" spans="1:10" ht="18" customHeight="1" x14ac:dyDescent="0.45">
      <c r="B9" s="13" t="s">
        <v>94</v>
      </c>
    </row>
    <row r="10" spans="1:10" ht="18" customHeight="1" x14ac:dyDescent="0.45">
      <c r="B10" s="23" t="s">
        <v>95</v>
      </c>
      <c r="C10" s="23" t="s">
        <v>96</v>
      </c>
      <c r="D10" s="24" t="s">
        <v>97</v>
      </c>
      <c r="E10" s="23" t="s">
        <v>98</v>
      </c>
      <c r="F10" s="24" t="s">
        <v>99</v>
      </c>
      <c r="G10" s="24" t="s">
        <v>100</v>
      </c>
      <c r="H10" s="24" t="s">
        <v>101</v>
      </c>
      <c r="I10" s="24" t="s">
        <v>102</v>
      </c>
      <c r="J10" s="23" t="s">
        <v>103</v>
      </c>
    </row>
    <row r="11" spans="1:10" x14ac:dyDescent="0.45">
      <c r="B11" s="25" t="s">
        <v>104</v>
      </c>
      <c r="C11" s="26" t="s">
        <v>105</v>
      </c>
      <c r="D11" s="27" cm="1">
        <f t="array" aca="1" ref="D11" ca="1">_xll.VoseInput("Variable cost per unit","$ thousand")+_xll.VoseTriangle(F11,G11,H11,CopU1)</f>
        <v>112.18256211771923</v>
      </c>
      <c r="E11" s="26" t="s">
        <v>106</v>
      </c>
      <c r="F11" s="28">
        <v>107</v>
      </c>
      <c r="G11" s="28">
        <v>109</v>
      </c>
      <c r="H11" s="28">
        <v>114</v>
      </c>
      <c r="I11" s="29"/>
      <c r="J11" s="30" t="s">
        <v>107</v>
      </c>
    </row>
    <row r="12" spans="1:10" x14ac:dyDescent="0.45">
      <c r="B12" s="25" t="s">
        <v>108</v>
      </c>
      <c r="C12" s="26" t="s">
        <v>105</v>
      </c>
      <c r="D12" s="27" cm="1">
        <f t="array" aca="1" ref="D12" ca="1">_xll.VoseInput("Sales price per unit","$ thousand")+_xll.VoseTriangle(F12,G12,H12)</f>
        <v>252.00416919342121</v>
      </c>
      <c r="E12" s="26" t="s">
        <v>109</v>
      </c>
      <c r="F12" s="28">
        <v>236</v>
      </c>
      <c r="G12" s="28">
        <v>253</v>
      </c>
      <c r="H12" s="28">
        <v>259</v>
      </c>
      <c r="I12" s="29"/>
      <c r="J12" s="30"/>
    </row>
    <row r="13" spans="1:10" x14ac:dyDescent="0.45">
      <c r="B13" s="25" t="s">
        <v>110</v>
      </c>
      <c r="C13" s="26" t="s">
        <v>111</v>
      </c>
      <c r="D13" s="31" cm="1">
        <f t="array" aca="1" ref="D13" ca="1">_xll.VoseInput("Sales volume in 2027","units")+_xll.VoseTriangle(F13,G13,H13)</f>
        <v>1222.8035356185219</v>
      </c>
      <c r="E13" s="26" t="s">
        <v>109</v>
      </c>
      <c r="F13" s="32">
        <v>850</v>
      </c>
      <c r="G13" s="32">
        <v>1150</v>
      </c>
      <c r="H13" s="32">
        <v>1600</v>
      </c>
      <c r="I13" s="29"/>
      <c r="J13" s="30"/>
    </row>
    <row r="14" spans="1:10" x14ac:dyDescent="0.45">
      <c r="B14" s="25" t="s">
        <v>112</v>
      </c>
      <c r="C14" s="26"/>
      <c r="D14" s="33" cm="1">
        <f t="array" aca="1" ref="D14" ca="1">_xll.VoseInput("Sales growth a year","")+_xll.VoseTriangle(F14,G14,H14)</f>
        <v>1.6206140599721502E-2</v>
      </c>
      <c r="E14" s="26" t="s">
        <v>109</v>
      </c>
      <c r="F14" s="34">
        <v>-0.05</v>
      </c>
      <c r="G14" s="34">
        <v>0.03</v>
      </c>
      <c r="H14" s="34">
        <v>0.12</v>
      </c>
      <c r="I14" s="29"/>
      <c r="J14" s="30" t="s">
        <v>113</v>
      </c>
    </row>
    <row r="15" spans="1:10" x14ac:dyDescent="0.45">
      <c r="B15" s="25" t="s">
        <v>114</v>
      </c>
      <c r="C15" s="26" t="s">
        <v>115</v>
      </c>
      <c r="D15" s="27" cm="1">
        <f t="array" aca="1" ref="D15" ca="1">_xll.VoseInput("Fixed costs a year","$ million")+_xll.VoseTriangle(F15,G15,H15,CopU2)</f>
        <v>135.762803968474</v>
      </c>
      <c r="E15" s="26" t="s">
        <v>106</v>
      </c>
      <c r="F15" s="28">
        <v>135</v>
      </c>
      <c r="G15" s="28">
        <v>137</v>
      </c>
      <c r="H15" s="28">
        <v>146</v>
      </c>
      <c r="I15" s="29"/>
      <c r="J15" s="30" t="s">
        <v>116</v>
      </c>
    </row>
    <row r="16" spans="1:10" ht="8" customHeight="1" x14ac:dyDescent="0.45"/>
    <row r="17" spans="2:10" ht="22.05" customHeight="1" x14ac:dyDescent="0.5">
      <c r="B17" s="7" t="s">
        <v>117</v>
      </c>
      <c r="C17" s="8"/>
      <c r="D17" s="8"/>
      <c r="E17" s="8"/>
      <c r="F17" s="8"/>
      <c r="G17" s="8"/>
      <c r="H17" s="8"/>
      <c r="I17" s="8"/>
      <c r="J17" s="8"/>
    </row>
    <row r="18" spans="2:10" ht="18" customHeight="1" x14ac:dyDescent="0.45">
      <c r="B18" s="23" t="s">
        <v>95</v>
      </c>
      <c r="C18" s="23" t="s">
        <v>96</v>
      </c>
      <c r="D18" s="24" t="s">
        <v>97</v>
      </c>
      <c r="E18" s="23" t="s">
        <v>98</v>
      </c>
      <c r="F18" s="5"/>
      <c r="G18" s="5"/>
      <c r="H18" s="5"/>
      <c r="I18" s="5"/>
      <c r="J18" s="23" t="s">
        <v>103</v>
      </c>
    </row>
    <row r="19" spans="2:10" x14ac:dyDescent="0.45">
      <c r="B19" s="25" t="s">
        <v>118</v>
      </c>
      <c r="C19" s="26"/>
      <c r="D19" s="35">
        <v>0.35</v>
      </c>
      <c r="E19" s="26" t="s">
        <v>119</v>
      </c>
      <c r="F19" s="29"/>
      <c r="G19" s="29"/>
      <c r="H19" s="29"/>
      <c r="I19" s="29"/>
      <c r="J19" s="30"/>
    </row>
    <row r="20" spans="2:10" x14ac:dyDescent="0.45">
      <c r="B20" s="25" t="s">
        <v>120</v>
      </c>
      <c r="C20" s="26"/>
      <c r="D20" s="35">
        <v>0.15</v>
      </c>
      <c r="E20" s="26" t="s">
        <v>119</v>
      </c>
      <c r="F20" s="29"/>
      <c r="G20" s="29"/>
      <c r="H20" s="29"/>
      <c r="I20" s="29"/>
      <c r="J20" s="30" t="s">
        <v>121</v>
      </c>
    </row>
    <row r="21" spans="2:10" x14ac:dyDescent="0.45">
      <c r="B21" s="25" t="s">
        <v>122</v>
      </c>
      <c r="C21" s="26"/>
      <c r="D21" s="32">
        <v>20</v>
      </c>
      <c r="E21" s="26" t="s">
        <v>119</v>
      </c>
      <c r="F21" s="29"/>
      <c r="G21" s="29"/>
      <c r="H21" s="29"/>
      <c r="I21" s="29"/>
      <c r="J21" s="30" t="s">
        <v>123</v>
      </c>
    </row>
    <row r="22" spans="2:10" x14ac:dyDescent="0.45">
      <c r="B22" s="25" t="s">
        <v>124</v>
      </c>
      <c r="C22" s="26"/>
      <c r="D22" s="36">
        <v>2</v>
      </c>
      <c r="E22" s="26" t="s">
        <v>119</v>
      </c>
      <c r="F22" s="29"/>
      <c r="G22" s="29"/>
      <c r="H22" s="29"/>
      <c r="I22" s="29"/>
      <c r="J22" s="30" t="s">
        <v>125</v>
      </c>
    </row>
    <row r="23" spans="2:10" ht="8" customHeight="1" x14ac:dyDescent="0.45"/>
    <row r="24" spans="2:10" ht="22.05" customHeight="1" x14ac:dyDescent="0.5">
      <c r="B24" s="7" t="s">
        <v>126</v>
      </c>
      <c r="C24" s="8"/>
      <c r="D24" s="8"/>
      <c r="E24" s="8"/>
      <c r="F24" s="8"/>
      <c r="G24" s="8"/>
      <c r="H24" s="8"/>
      <c r="I24" s="8"/>
      <c r="J24" s="8"/>
    </row>
    <row r="25" spans="2:10" ht="18" customHeight="1" x14ac:dyDescent="0.45">
      <c r="B25" s="13" t="s">
        <v>127</v>
      </c>
    </row>
    <row r="26" spans="2:10" ht="18" customHeight="1" x14ac:dyDescent="0.45">
      <c r="B26" s="23" t="s">
        <v>95</v>
      </c>
      <c r="C26" s="23" t="s">
        <v>96</v>
      </c>
      <c r="D26" s="24" t="s">
        <v>97</v>
      </c>
      <c r="E26" s="23" t="s">
        <v>98</v>
      </c>
      <c r="F26" s="5"/>
      <c r="G26" s="5"/>
      <c r="H26" s="5"/>
      <c r="I26" s="5"/>
      <c r="J26" s="23" t="s">
        <v>103</v>
      </c>
    </row>
    <row r="27" spans="2:10" x14ac:dyDescent="0.45">
      <c r="B27" s="25" t="s">
        <v>128</v>
      </c>
      <c r="C27" s="26" t="s">
        <v>115</v>
      </c>
      <c r="D27" s="28">
        <v>5</v>
      </c>
      <c r="E27" s="26" t="s">
        <v>119</v>
      </c>
      <c r="F27" s="29"/>
      <c r="G27" s="29"/>
      <c r="H27" s="29"/>
      <c r="I27" s="29"/>
      <c r="J27" s="30"/>
    </row>
    <row r="28" spans="2:10" x14ac:dyDescent="0.45">
      <c r="B28" s="25" t="s">
        <v>129</v>
      </c>
      <c r="C28" s="26"/>
      <c r="D28" s="35">
        <v>0.99</v>
      </c>
      <c r="E28" s="26" t="s">
        <v>119</v>
      </c>
      <c r="F28" s="29"/>
      <c r="G28" s="29"/>
      <c r="H28" s="29"/>
      <c r="I28" s="29"/>
      <c r="J28" s="30"/>
    </row>
    <row r="29" spans="2:10" x14ac:dyDescent="0.45">
      <c r="B29" s="25" t="s">
        <v>130</v>
      </c>
      <c r="C29" s="26" t="s">
        <v>115</v>
      </c>
      <c r="D29" s="28">
        <v>10</v>
      </c>
      <c r="E29" s="26" t="s">
        <v>119</v>
      </c>
      <c r="F29" s="29"/>
      <c r="G29" s="29"/>
      <c r="H29" s="29"/>
      <c r="I29" s="29"/>
      <c r="J29" s="30"/>
    </row>
    <row r="30" spans="2:10" x14ac:dyDescent="0.45">
      <c r="B30" s="25" t="s">
        <v>131</v>
      </c>
      <c r="C30" s="26"/>
      <c r="D30" s="35">
        <v>0.95</v>
      </c>
      <c r="E30" s="26" t="s">
        <v>119</v>
      </c>
      <c r="F30" s="29"/>
      <c r="G30" s="29"/>
      <c r="H30" s="29"/>
      <c r="I30" s="29"/>
      <c r="J30" s="30"/>
    </row>
    <row r="31" spans="2:10" x14ac:dyDescent="0.45">
      <c r="B31" s="25" t="s">
        <v>132</v>
      </c>
      <c r="C31" s="26" t="s">
        <v>115</v>
      </c>
      <c r="D31" s="28">
        <v>10</v>
      </c>
      <c r="E31" s="26" t="s">
        <v>119</v>
      </c>
      <c r="F31" s="29"/>
      <c r="G31" s="29"/>
      <c r="H31" s="29"/>
      <c r="I31" s="29"/>
      <c r="J31" s="30"/>
    </row>
    <row r="32" spans="2:10" x14ac:dyDescent="0.45">
      <c r="B32" s="25" t="s">
        <v>133</v>
      </c>
      <c r="C32" s="26"/>
      <c r="D32" s="35">
        <v>0.9</v>
      </c>
      <c r="E32" s="26" t="s">
        <v>119</v>
      </c>
      <c r="F32" s="29"/>
      <c r="G32" s="29"/>
      <c r="H32" s="29"/>
      <c r="I32" s="29"/>
      <c r="J32" s="30"/>
    </row>
    <row r="33" spans="2:10" x14ac:dyDescent="0.45">
      <c r="B33" s="25" t="s">
        <v>134</v>
      </c>
      <c r="C33" s="26"/>
      <c r="D33" s="34">
        <v>0.01</v>
      </c>
      <c r="E33" s="26" t="s">
        <v>119</v>
      </c>
      <c r="F33" s="29"/>
      <c r="G33" s="29"/>
      <c r="H33" s="29"/>
      <c r="I33" s="29"/>
      <c r="J33" s="30" t="s">
        <v>135</v>
      </c>
    </row>
    <row r="34" spans="2:10" x14ac:dyDescent="0.45">
      <c r="B34" s="25" t="s">
        <v>136</v>
      </c>
      <c r="C34" s="26"/>
      <c r="D34" s="35">
        <v>0.95</v>
      </c>
      <c r="E34" s="26" t="s">
        <v>119</v>
      </c>
      <c r="F34" s="29"/>
      <c r="G34" s="29"/>
      <c r="H34" s="29"/>
      <c r="I34" s="29"/>
      <c r="J34" s="30"/>
    </row>
    <row r="35" spans="2:10" x14ac:dyDescent="0.45">
      <c r="B35" s="25" t="s">
        <v>137</v>
      </c>
      <c r="C35" s="26" t="s">
        <v>138</v>
      </c>
      <c r="D35" s="36">
        <v>0</v>
      </c>
      <c r="E35" s="26" t="s">
        <v>119</v>
      </c>
      <c r="F35" s="29"/>
      <c r="G35" s="29"/>
      <c r="H35" s="29"/>
      <c r="I35" s="29"/>
      <c r="J35" s="30" t="s">
        <v>139</v>
      </c>
    </row>
    <row r="36" spans="2:10" ht="8" customHeight="1" x14ac:dyDescent="0.45"/>
  </sheetData>
  <mergeCells count="1">
    <mergeCell ref="B6:J6"/>
  </mergeCells>
  <dataValidations count="4">
    <dataValidation type="decimal" showErrorMessage="1" errorTitle="Probability" error="Enter a value between 0% and 100%." sqref="D32:D34 D30 D28 D19:D20" xr:uid="{00000000-0002-0000-0100-000000000000}">
      <formula1>0</formula1>
      <formula2>1</formula2>
    </dataValidation>
    <dataValidation type="decimal" operator="greaterThan" showErrorMessage="1" errorTitle="Positive value" error="Enter a value greater than zero." sqref="D21 D31 D29 D27" xr:uid="{00000000-0002-0000-0100-000002000000}">
      <formula1>0</formula1>
    </dataValidation>
    <dataValidation type="whole" showErrorMessage="1" errorTitle="Whole number" error="Enter a whole number from 1 to 2." sqref="D22" xr:uid="{00000000-0002-0000-0100-000003000000}">
      <formula1>1</formula1>
      <formula2>2</formula2>
    </dataValidation>
    <dataValidation type="whole" showErrorMessage="1" errorTitle="Switch" error="Enter 1 (yes) or 0 (no)." sqref="D35" xr:uid="{00000000-0002-0000-0100-00000C000000}">
      <formula1>0</formula1>
      <formula2>1</formula2>
    </dataValidation>
  </dataValidations>
  <hyperlinks>
    <hyperlink ref="B4" location="'About'!A1" display="◂  About" xr:uid="{00000000-0004-0000-0100-000000000000}"/>
    <hyperlink ref="J4" location="'Cash flow'!A1" display="Next:  Cash flow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M25"/>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36" customWidth="1"/>
    <col min="3" max="11" width="10" customWidth="1"/>
    <col min="12" max="12" width="3" customWidth="1"/>
    <col min="13" max="13" width="52" customWidth="1"/>
  </cols>
  <sheetData>
    <row r="1" spans="1:13" ht="6" customHeight="1" x14ac:dyDescent="0.45"/>
    <row r="2" spans="1:13" ht="30" customHeight="1" x14ac:dyDescent="0.45">
      <c r="A2" s="1"/>
      <c r="B2" s="21" t="s">
        <v>0</v>
      </c>
      <c r="C2" s="1"/>
      <c r="D2" s="1"/>
      <c r="E2" s="1"/>
      <c r="F2" s="1"/>
      <c r="G2" s="1"/>
      <c r="H2" s="1"/>
      <c r="I2" s="1"/>
      <c r="J2" s="1"/>
      <c r="K2" s="1"/>
      <c r="L2" s="1"/>
      <c r="M2" s="3" t="s">
        <v>1</v>
      </c>
    </row>
    <row r="3" spans="1:13" ht="20" customHeight="1" x14ac:dyDescent="0.45">
      <c r="A3" s="1"/>
      <c r="B3" s="4" t="s">
        <v>140</v>
      </c>
      <c r="C3" s="1"/>
      <c r="D3" s="1"/>
      <c r="E3" s="1"/>
      <c r="F3" s="1"/>
      <c r="G3" s="1"/>
      <c r="H3" s="1"/>
      <c r="I3" s="1"/>
      <c r="J3" s="1"/>
      <c r="K3" s="1"/>
      <c r="L3" s="1"/>
      <c r="M3" s="1"/>
    </row>
    <row r="4" spans="1:13" ht="20" customHeight="1" x14ac:dyDescent="0.45">
      <c r="A4" s="5"/>
      <c r="B4" s="22" t="s">
        <v>141</v>
      </c>
      <c r="C4" s="5"/>
      <c r="D4" s="5"/>
      <c r="E4" s="5"/>
      <c r="F4" s="5"/>
      <c r="G4" s="5"/>
      <c r="H4" s="5"/>
      <c r="I4" s="5"/>
      <c r="J4" s="5"/>
      <c r="K4" s="5"/>
      <c r="L4" s="5"/>
      <c r="M4" s="6" t="s">
        <v>142</v>
      </c>
    </row>
    <row r="5" spans="1:13" ht="8" customHeight="1" x14ac:dyDescent="0.45"/>
    <row r="6" spans="1:13" ht="22.05" customHeight="1" x14ac:dyDescent="0.5">
      <c r="B6" s="7" t="s">
        <v>143</v>
      </c>
      <c r="C6" s="8"/>
      <c r="D6" s="8"/>
      <c r="E6" s="8"/>
      <c r="F6" s="8"/>
      <c r="G6" s="8"/>
      <c r="H6" s="8"/>
      <c r="I6" s="8"/>
      <c r="J6" s="8"/>
      <c r="K6" s="8"/>
    </row>
    <row r="7" spans="1:13" ht="18" customHeight="1" x14ac:dyDescent="0.45">
      <c r="B7" s="13" t="s">
        <v>144</v>
      </c>
    </row>
    <row r="8" spans="1:13" x14ac:dyDescent="0.45">
      <c r="B8" s="25" t="s">
        <v>145</v>
      </c>
      <c r="C8" s="37">
        <f t="array" aca="1" ref="C8:C9" ca="1">_xll.VoseCopulaBiFrank(FrankTheta,FrankDir)</f>
        <v>0.90562627268716533</v>
      </c>
      <c r="D8" s="29"/>
      <c r="E8" s="29"/>
      <c r="F8" s="29"/>
      <c r="G8" s="29"/>
      <c r="H8" s="29"/>
      <c r="I8" s="29"/>
      <c r="J8" s="29"/>
      <c r="K8" s="29"/>
      <c r="M8" s="38" t="s">
        <v>146</v>
      </c>
    </row>
    <row r="9" spans="1:13" x14ac:dyDescent="0.45">
      <c r="B9" s="25" t="s">
        <v>147</v>
      </c>
      <c r="C9" s="37">
        <f ca="1"/>
        <v>2.6448631559984892E-2</v>
      </c>
      <c r="D9" s="29"/>
      <c r="E9" s="29"/>
      <c r="F9" s="29"/>
      <c r="G9" s="29"/>
      <c r="H9" s="29"/>
      <c r="I9" s="29"/>
      <c r="J9" s="29"/>
      <c r="K9" s="29"/>
      <c r="M9" s="38" t="s">
        <v>148</v>
      </c>
    </row>
    <row r="10" spans="1:13" ht="8" customHeight="1" x14ac:dyDescent="0.45"/>
    <row r="11" spans="1:13" ht="22.05" customHeight="1" x14ac:dyDescent="0.5">
      <c r="B11" s="7" t="s">
        <v>149</v>
      </c>
      <c r="C11" s="8"/>
      <c r="D11" s="8"/>
      <c r="E11" s="8"/>
      <c r="F11" s="8"/>
      <c r="G11" s="8"/>
      <c r="H11" s="8"/>
      <c r="I11" s="8"/>
      <c r="J11" s="8"/>
      <c r="K11" s="8"/>
    </row>
    <row r="12" spans="1:13" ht="18" customHeight="1" x14ac:dyDescent="0.45">
      <c r="B12" s="13" t="s">
        <v>150</v>
      </c>
    </row>
    <row r="13" spans="1:13" ht="18" customHeight="1" x14ac:dyDescent="0.45">
      <c r="B13" s="23"/>
      <c r="C13" s="24" t="s">
        <v>151</v>
      </c>
      <c r="D13" s="24" t="s">
        <v>152</v>
      </c>
      <c r="E13" s="24" t="s">
        <v>153</v>
      </c>
      <c r="F13" s="24" t="s">
        <v>154</v>
      </c>
      <c r="G13" s="24" t="s">
        <v>155</v>
      </c>
      <c r="H13" s="24" t="s">
        <v>156</v>
      </c>
      <c r="I13" s="24" t="s">
        <v>157</v>
      </c>
      <c r="J13" s="24" t="s">
        <v>158</v>
      </c>
      <c r="K13" s="24" t="s">
        <v>159</v>
      </c>
    </row>
    <row r="14" spans="1:13" x14ac:dyDescent="0.45">
      <c r="B14" s="25" t="s">
        <v>160</v>
      </c>
      <c r="C14" s="39">
        <f ca="1">Vol0</f>
        <v>1222.8035356185219</v>
      </c>
      <c r="D14" s="39">
        <f t="shared" ref="D14:K14" ca="1" si="0">C14*(1+Growth)</f>
        <v>1242.6204616425923</v>
      </c>
      <c r="E14" s="39">
        <f t="shared" ca="1" si="0"/>
        <v>1262.7585435560632</v>
      </c>
      <c r="F14" s="39">
        <f t="shared" ca="1" si="0"/>
        <v>1283.2229860564323</v>
      </c>
      <c r="G14" s="39">
        <f t="shared" ca="1" si="0"/>
        <v>1304.0190781892575</v>
      </c>
      <c r="H14" s="39">
        <f t="shared" ca="1" si="0"/>
        <v>1325.1521947151118</v>
      </c>
      <c r="I14" s="39">
        <f t="shared" ca="1" si="0"/>
        <v>1346.6277974986945</v>
      </c>
      <c r="J14" s="39">
        <f t="shared" ca="1" si="0"/>
        <v>1368.4514369204517</v>
      </c>
      <c r="K14" s="39">
        <f t="shared" ca="1" si="0"/>
        <v>1390.6287533110756</v>
      </c>
      <c r="M14" s="38" t="s">
        <v>161</v>
      </c>
    </row>
    <row r="15" spans="1:13" x14ac:dyDescent="0.45">
      <c r="B15" s="25" t="s">
        <v>162</v>
      </c>
      <c r="C15" s="40">
        <f t="shared" ref="C15:K15" ca="1" si="1">C14*(Price-VarCost)/1000</f>
        <v>170.97435548803213</v>
      </c>
      <c r="D15" s="40">
        <f t="shared" ca="1" si="1"/>
        <v>173.74518993201798</v>
      </c>
      <c r="E15" s="40">
        <f t="shared" ca="1" si="1"/>
        <v>176.56092890858159</v>
      </c>
      <c r="F15" s="40">
        <f t="shared" ca="1" si="1"/>
        <v>179.4223001468915</v>
      </c>
      <c r="G15" s="40">
        <f t="shared" ca="1" si="1"/>
        <v>182.33004316979745</v>
      </c>
      <c r="H15" s="40">
        <f t="shared" ca="1" si="1"/>
        <v>185.28490948496048</v>
      </c>
      <c r="I15" s="40">
        <f t="shared" ca="1" si="1"/>
        <v>188.28766277908045</v>
      </c>
      <c r="J15" s="40">
        <f t="shared" ca="1" si="1"/>
        <v>191.3390791152712</v>
      </c>
      <c r="K15" s="40">
        <f t="shared" ca="1" si="1"/>
        <v>194.43994713363452</v>
      </c>
      <c r="M15" s="38" t="s">
        <v>163</v>
      </c>
    </row>
    <row r="16" spans="1:13" x14ac:dyDescent="0.45">
      <c r="B16" s="25" t="s">
        <v>164</v>
      </c>
      <c r="C16" s="40">
        <f t="shared" ref="C16:K16" ca="1" si="2">FixCost</f>
        <v>135.762803968474</v>
      </c>
      <c r="D16" s="40">
        <f t="shared" ca="1" si="2"/>
        <v>135.762803968474</v>
      </c>
      <c r="E16" s="40">
        <f t="shared" ca="1" si="2"/>
        <v>135.762803968474</v>
      </c>
      <c r="F16" s="40">
        <f t="shared" ca="1" si="2"/>
        <v>135.762803968474</v>
      </c>
      <c r="G16" s="40">
        <f t="shared" ca="1" si="2"/>
        <v>135.762803968474</v>
      </c>
      <c r="H16" s="40">
        <f t="shared" ca="1" si="2"/>
        <v>135.762803968474</v>
      </c>
      <c r="I16" s="40">
        <f t="shared" ca="1" si="2"/>
        <v>135.762803968474</v>
      </c>
      <c r="J16" s="40">
        <f t="shared" ca="1" si="2"/>
        <v>135.762803968474</v>
      </c>
      <c r="K16" s="40">
        <f t="shared" ca="1" si="2"/>
        <v>135.762803968474</v>
      </c>
    </row>
    <row r="17" spans="2:13" x14ac:dyDescent="0.45">
      <c r="B17" s="41" t="s">
        <v>165</v>
      </c>
      <c r="C17" s="42" cm="1">
        <f t="array" aca="1" ref="C17" ca="1">_xll.VoseOutput("Net cash flow 2027","$ million","Net cash flow",1)+(C15-C16)*(1-Tax)</f>
        <v>22.887508487712783</v>
      </c>
      <c r="D17" s="42" cm="1">
        <f t="array" aca="1" ref="D17" ca="1">_xll.VoseOutput("Net cash flow 2028","$ million","Net cash flow",2)+(D15-D16)*(1-Tax)</f>
        <v>24.688550876303584</v>
      </c>
      <c r="E17" s="42" cm="1">
        <f t="array" aca="1" ref="E17" ca="1">_xll.VoseOutput("Net cash flow 2029","$ million","Net cash flow",3)+(E15-E16)*(1-Tax)</f>
        <v>26.518781211069932</v>
      </c>
      <c r="F17" s="42" cm="1">
        <f t="array" aca="1" ref="F17" ca="1">_xll.VoseOutput("Net cash flow 2030","$ million","Net cash flow",4)+(F15-F16)*(1-Tax)</f>
        <v>28.378672515971374</v>
      </c>
      <c r="G17" s="42" cm="1">
        <f t="array" aca="1" ref="G17" ca="1">_xll.VoseOutput("Net cash flow 2031","$ million","Net cash flow",5)+(G15-G16)*(1-Tax)</f>
        <v>30.268705480860241</v>
      </c>
      <c r="H17" s="42" cm="1">
        <f t="array" aca="1" ref="H17" ca="1">_xll.VoseOutput("Net cash flow 2032","$ million","Net cash flow",6)+(H15-H16)*(1-Tax)</f>
        <v>32.18936858571621</v>
      </c>
      <c r="I17" s="42" cm="1">
        <f t="array" aca="1" ref="I17" ca="1">_xll.VoseOutput("Net cash flow 2033","$ million","Net cash flow",7)+(I15-I16)*(1-Tax)</f>
        <v>34.141158226894191</v>
      </c>
      <c r="J17" s="42" cm="1">
        <f t="array" aca="1" ref="J17" ca="1">_xll.VoseOutput("Net cash flow 2034","$ million","Net cash flow",8)+(J15-J16)*(1-Tax)</f>
        <v>36.124578845418185</v>
      </c>
      <c r="K17" s="42" cm="1">
        <f t="array" aca="1" ref="K17" ca="1">_xll.VoseOutput("Net cash flow 2035","$ million","Net cash flow",9)+(K15-K16)*(1-Tax)</f>
        <v>38.140143057354337</v>
      </c>
      <c r="M17" s="38" t="s">
        <v>166</v>
      </c>
    </row>
    <row r="18" spans="2:13" x14ac:dyDescent="0.45">
      <c r="B18" s="25" t="s">
        <v>167</v>
      </c>
      <c r="C18" s="43">
        <f>1/(1+Disc)^0</f>
        <v>1</v>
      </c>
      <c r="D18" s="43">
        <f>1/(1+Disc)^1</f>
        <v>0.86956521739130443</v>
      </c>
      <c r="E18" s="43">
        <f>1/(1+Disc)^2</f>
        <v>0.7561436672967865</v>
      </c>
      <c r="F18" s="43">
        <f>1/(1+Disc)^3</f>
        <v>0.65751623243198831</v>
      </c>
      <c r="G18" s="43">
        <f>1/(1+Disc)^4</f>
        <v>0.57175324559303342</v>
      </c>
      <c r="H18" s="43">
        <f>1/(1+Disc)^5</f>
        <v>0.49717673529828987</v>
      </c>
      <c r="I18" s="43">
        <f>1/(1+Disc)^6</f>
        <v>0.43232759591155645</v>
      </c>
      <c r="J18" s="43">
        <f>1/(1+Disc)^7</f>
        <v>0.37593703992309269</v>
      </c>
      <c r="K18" s="43">
        <f>1/(1+Disc)^8</f>
        <v>0.32690177384616753</v>
      </c>
      <c r="M18" s="38" t="s">
        <v>168</v>
      </c>
    </row>
    <row r="19" spans="2:13" x14ac:dyDescent="0.45">
      <c r="B19" s="25" t="s">
        <v>169</v>
      </c>
      <c r="C19" s="40">
        <f t="shared" ref="C19:K19" ca="1" si="3">C17*C18</f>
        <v>22.887508487712783</v>
      </c>
      <c r="D19" s="40">
        <f t="shared" ca="1" si="3"/>
        <v>21.468305109829206</v>
      </c>
      <c r="E19" s="40">
        <f t="shared" ca="1" si="3"/>
        <v>20.052008477179534</v>
      </c>
      <c r="F19" s="40">
        <f t="shared" ca="1" si="3"/>
        <v>18.659437834122713</v>
      </c>
      <c r="G19" s="40">
        <f t="shared" ca="1" si="3"/>
        <v>17.306230598581482</v>
      </c>
      <c r="H19" s="40">
        <f t="shared" ca="1" si="3"/>
        <v>16.003805184759717</v>
      </c>
      <c r="I19" s="40">
        <f t="shared" ca="1" si="3"/>
        <v>14.760164857869222</v>
      </c>
      <c r="J19" s="40">
        <f t="shared" ca="1" si="3"/>
        <v>13.580567239614886</v>
      </c>
      <c r="K19" s="40">
        <f t="shared" ca="1" si="3"/>
        <v>12.468080420195724</v>
      </c>
    </row>
    <row r="20" spans="2:13" ht="8" customHeight="1" x14ac:dyDescent="0.45"/>
    <row r="21" spans="2:13" ht="22.05" customHeight="1" x14ac:dyDescent="0.5">
      <c r="B21" s="7" t="s">
        <v>170</v>
      </c>
      <c r="C21" s="8"/>
      <c r="D21" s="8"/>
      <c r="E21" s="8"/>
      <c r="F21" s="8"/>
      <c r="G21" s="8"/>
      <c r="H21" s="8"/>
      <c r="I21" s="8"/>
      <c r="J21" s="8"/>
      <c r="K21" s="8"/>
    </row>
    <row r="22" spans="2:13" ht="18" customHeight="1" x14ac:dyDescent="0.45">
      <c r="B22" s="13" t="s">
        <v>171</v>
      </c>
    </row>
    <row r="23" spans="2:13" ht="18" customHeight="1" x14ac:dyDescent="0.45">
      <c r="B23" s="44" t="s">
        <v>172</v>
      </c>
      <c r="C23" s="44" t="s">
        <v>96</v>
      </c>
      <c r="D23" s="45" t="s">
        <v>173</v>
      </c>
      <c r="E23" s="5"/>
      <c r="F23" s="5"/>
      <c r="G23" s="5"/>
      <c r="H23" s="5"/>
      <c r="I23" s="5"/>
      <c r="J23" s="5"/>
      <c r="K23" s="5"/>
      <c r="M23" s="46" t="s">
        <v>174</v>
      </c>
    </row>
    <row r="24" spans="2:13" x14ac:dyDescent="0.45">
      <c r="B24" s="25" t="s">
        <v>175</v>
      </c>
      <c r="C24" s="26" t="s">
        <v>115</v>
      </c>
      <c r="D24" s="42" cm="1">
        <f t="array" aca="1" ref="D24" ca="1">_xll.VoseOutput("NPV","$ million")+SUM(C19:K19)</f>
        <v>157.18610820986524</v>
      </c>
      <c r="E24" s="29"/>
      <c r="F24" s="29"/>
      <c r="G24" s="29"/>
      <c r="H24" s="29"/>
      <c r="I24" s="29"/>
      <c r="J24" s="29"/>
      <c r="K24" s="29"/>
      <c r="M24" s="38"/>
    </row>
    <row r="25" spans="2:13" ht="8" customHeight="1" x14ac:dyDescent="0.45"/>
  </sheetData>
  <hyperlinks>
    <hyperlink ref="B4" location="'Inputs'!A1" display="◂  Inputs" xr:uid="{00000000-0004-0000-0200-000000000000}"/>
    <hyperlink ref="M4" location="'Precision'!A1" display="Next:  Precision  ▸" xr:uid="{00000000-0004-0000-0200-000001000000}"/>
  </hyperlinks>
  <printOptions horizontalCentered="1"/>
  <pageMargins left="0.4" right="0.4" top="0.5" bottom="0.6" header="0.25" footer="0.25"/>
  <pageSetup paperSize="9" scale="75"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I19"/>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34" customWidth="1"/>
    <col min="3" max="4" width="12" customWidth="1"/>
    <col min="5" max="5" width="18" customWidth="1"/>
    <col min="6" max="6" width="14" customWidth="1"/>
    <col min="7" max="7" width="22" customWidth="1"/>
    <col min="8" max="8" width="3" customWidth="1"/>
    <col min="9" max="9" width="70" customWidth="1"/>
  </cols>
  <sheetData>
    <row r="1" spans="1:9" ht="6" customHeight="1" x14ac:dyDescent="0.45"/>
    <row r="2" spans="1:9" ht="30" customHeight="1" x14ac:dyDescent="0.45">
      <c r="A2" s="1"/>
      <c r="B2" s="21" t="s">
        <v>0</v>
      </c>
      <c r="C2" s="1"/>
      <c r="D2" s="1"/>
      <c r="E2" s="1"/>
      <c r="F2" s="1"/>
      <c r="G2" s="1"/>
      <c r="H2" s="1"/>
      <c r="I2" s="3" t="s">
        <v>1</v>
      </c>
    </row>
    <row r="3" spans="1:9" ht="20" customHeight="1" x14ac:dyDescent="0.45">
      <c r="A3" s="1"/>
      <c r="B3" s="4" t="s">
        <v>176</v>
      </c>
      <c r="C3" s="1"/>
      <c r="D3" s="1"/>
      <c r="E3" s="1"/>
      <c r="F3" s="1"/>
      <c r="G3" s="1"/>
      <c r="H3" s="1"/>
      <c r="I3" s="1"/>
    </row>
    <row r="4" spans="1:9" ht="20" customHeight="1" x14ac:dyDescent="0.45">
      <c r="A4" s="5"/>
      <c r="B4" s="22" t="s">
        <v>177</v>
      </c>
      <c r="C4" s="5"/>
      <c r="D4" s="5"/>
      <c r="E4" s="5"/>
      <c r="F4" s="5"/>
      <c r="G4" s="5"/>
      <c r="H4" s="5"/>
      <c r="I4" s="6" t="s">
        <v>178</v>
      </c>
    </row>
    <row r="5" spans="1:9" ht="8" customHeight="1" x14ac:dyDescent="0.45"/>
    <row r="6" spans="1:9" ht="22.05" customHeight="1" x14ac:dyDescent="0.5">
      <c r="B6" s="7" t="s">
        <v>179</v>
      </c>
      <c r="C6" s="8"/>
      <c r="D6" s="8"/>
      <c r="E6" s="8"/>
      <c r="F6" s="8"/>
      <c r="G6" s="8"/>
    </row>
    <row r="7" spans="1:9" ht="18" customHeight="1" x14ac:dyDescent="0.45">
      <c r="B7" s="13" t="s">
        <v>180</v>
      </c>
    </row>
    <row r="8" spans="1:9" ht="18" customHeight="1" x14ac:dyDescent="0.45">
      <c r="B8" s="23" t="s">
        <v>181</v>
      </c>
      <c r="C8" s="24" t="s">
        <v>182</v>
      </c>
      <c r="D8" s="24" t="s">
        <v>183</v>
      </c>
      <c r="E8" s="24" t="s">
        <v>184</v>
      </c>
      <c r="F8" s="24" t="s">
        <v>185</v>
      </c>
      <c r="G8" s="24" t="s">
        <v>186</v>
      </c>
    </row>
    <row r="9" spans="1:9" x14ac:dyDescent="0.45">
      <c r="B9" s="41" t="s">
        <v>102</v>
      </c>
      <c r="C9" s="40">
        <f>Prec_Mean</f>
        <v>5</v>
      </c>
      <c r="D9" s="47">
        <f>Conf_Mean</f>
        <v>0.99</v>
      </c>
      <c r="E9" s="48" t="b">
        <f t="array" aca="1" ref="E9:F9" ca="1">_xll.VosePrecisionMean(NPV,Prec_Mean,Conf_Mean)</f>
        <v>1</v>
      </c>
      <c r="F9" s="49">
        <f ca="1"/>
        <v>0</v>
      </c>
      <c r="G9" s="50" t="str" cm="1">
        <f t="array" aca="1" ref="G9" ca="1">_xll.VoseSimStop(AND(StopWhenMet=1,E9=TRUE),"Mean")</f>
        <v>Continue simulation</v>
      </c>
      <c r="I9" s="38" t="s">
        <v>187</v>
      </c>
    </row>
    <row r="10" spans="1:9" x14ac:dyDescent="0.45">
      <c r="B10" s="41" t="s">
        <v>188</v>
      </c>
      <c r="C10" s="40">
        <f>Prec_SD</f>
        <v>10</v>
      </c>
      <c r="D10" s="47">
        <f>Conf_SD</f>
        <v>0.95</v>
      </c>
      <c r="E10" s="48" t="b">
        <f t="array" aca="1" ref="E10:F10" ca="1">_xll.VosePrecisionStdev(NPV,Prec_SD,Conf_SD)</f>
        <v>1</v>
      </c>
      <c r="F10" s="49">
        <f ca="1"/>
        <v>0</v>
      </c>
      <c r="G10" s="50" t="str" cm="1">
        <f t="array" aca="1" ref="G10" ca="1">_xll.VoseSimStop(AND(StopWhenMet=1,E10=TRUE),"Standard deviation")</f>
        <v>Continue simulation</v>
      </c>
      <c r="I10" s="38" t="s">
        <v>189</v>
      </c>
    </row>
    <row r="11" spans="1:9" x14ac:dyDescent="0.45">
      <c r="B11" s="41" t="s">
        <v>190</v>
      </c>
      <c r="C11" s="40">
        <f>Prec_P95</f>
        <v>10</v>
      </c>
      <c r="D11" s="47">
        <f>Conf_P95</f>
        <v>0.9</v>
      </c>
      <c r="E11" s="48" t="b">
        <f t="array" aca="1" ref="E11:F11" ca="1">_xll.VosePrecisionPercentile(NPV,0.95,Prec_P95,Conf_P95)</f>
        <v>1</v>
      </c>
      <c r="F11" s="49">
        <f ca="1"/>
        <v>0</v>
      </c>
      <c r="G11" s="50" t="str" cm="1">
        <f t="array" aca="1" ref="G11" ca="1">_xll.VoseSimStop(AND(StopWhenMet=1,E11=TRUE),"95th percentile")</f>
        <v>Continue simulation</v>
      </c>
      <c r="I11" s="38" t="s">
        <v>191</v>
      </c>
    </row>
    <row r="12" spans="1:9" x14ac:dyDescent="0.45">
      <c r="B12" s="41" t="s">
        <v>192</v>
      </c>
      <c r="C12" s="51">
        <f>Prec_Prob</f>
        <v>0.01</v>
      </c>
      <c r="D12" s="47">
        <f>Conf_Prob</f>
        <v>0.95</v>
      </c>
      <c r="E12" s="48" t="b">
        <f t="array" aca="1" ref="E12:F12" ca="1">_xll.VosePrecisionProbability(NPV,0,Prec_Prob,Conf_Prob)</f>
        <v>1</v>
      </c>
      <c r="F12" s="49">
        <f ca="1"/>
        <v>0</v>
      </c>
      <c r="G12" s="50" t="str" cm="1">
        <f t="array" aca="1" ref="G12" ca="1">_xll.VoseSimStop(AND(StopWhenMet=1,E12=TRUE),"Chance of a negative NPV")</f>
        <v>Continue simulation</v>
      </c>
      <c r="I12" s="38" t="s">
        <v>193</v>
      </c>
    </row>
    <row r="13" spans="1:9" ht="8" customHeight="1" x14ac:dyDescent="0.45"/>
    <row r="14" spans="1:9" ht="22.05" customHeight="1" x14ac:dyDescent="0.5">
      <c r="B14" s="7" t="s">
        <v>194</v>
      </c>
      <c r="C14" s="8"/>
      <c r="D14" s="8"/>
      <c r="E14" s="8"/>
      <c r="F14" s="8"/>
      <c r="G14" s="8"/>
    </row>
    <row r="15" spans="1:9" ht="18" customHeight="1" x14ac:dyDescent="0.45">
      <c r="B15" s="13" t="s">
        <v>195</v>
      </c>
    </row>
    <row r="16" spans="1:9" x14ac:dyDescent="0.45">
      <c r="B16" s="25" t="s">
        <v>196</v>
      </c>
      <c r="C16" s="29"/>
      <c r="D16" s="29"/>
      <c r="E16" s="52" t="str">
        <f>IF(AND(VarCost_Lo&lt;=VarCost_ML,VarCost_ML&lt;=VarCost_Hi,VarCost_Lo&lt;VarCost_Hi,Price_Lo&lt;=Price_ML,Price_ML&lt;=Price_Hi,Price_Lo&lt;Price_Hi,Vol0_Lo&lt;=Vol0_ML,Vol0_ML&lt;=Vol0_Hi,Vol0_Lo&lt;Vol0_Hi,Growth_Lo&lt;=Growth_ML,Growth_ML&lt;=Growth_Hi,Growth_Lo&lt;Growth_Hi,FixCost_Lo&lt;=FixCost_ML,FixCost_ML&lt;=FixCost_Hi,FixCost_Lo&lt;FixCost_Hi),"OK","CHECK")</f>
        <v>OK</v>
      </c>
      <c r="F16" s="29"/>
      <c r="G16" s="29"/>
    </row>
    <row r="17" spans="2:7" x14ac:dyDescent="0.45">
      <c r="B17" s="25" t="s">
        <v>197</v>
      </c>
      <c r="C17" s="29"/>
      <c r="D17" s="29"/>
      <c r="E17" s="52" t="str">
        <f>IF(AND(Prec_Mean&gt;0,Prec_SD&gt;0,Prec_P95&gt;0,Prec_Prob&gt;0,Conf_Mean&lt;1,Conf_SD&lt;1,Conf_P95&lt;1,Conf_Prob&lt;1),"OK","CHECK")</f>
        <v>OK</v>
      </c>
      <c r="F17" s="29"/>
      <c r="G17" s="29"/>
    </row>
    <row r="18" spans="2:7" x14ac:dyDescent="0.45">
      <c r="B18" s="25" t="s">
        <v>198</v>
      </c>
      <c r="C18" s="29"/>
      <c r="D18" s="29"/>
      <c r="E18" s="52" t="str">
        <f>IF(OR(FrankDir=1,FrankDir=2),"OK","CHECK")</f>
        <v>OK</v>
      </c>
      <c r="F18" s="29"/>
      <c r="G18" s="29"/>
    </row>
    <row r="19" spans="2:7" ht="14" customHeight="1" x14ac:dyDescent="0.45"/>
  </sheetData>
  <conditionalFormatting sqref="E16:E18">
    <cfRule type="expression" dxfId="4" priority="1">
      <formula>E16="CHECK"</formula>
    </cfRule>
  </conditionalFormatting>
  <hyperlinks>
    <hyperlink ref="B4" location="'Cash flow'!A1" display="◂  Cash flow" xr:uid="{00000000-0004-0000-0300-000000000000}"/>
    <hyperlink ref="I4" location="'Results'!A1" display="Next:  Results  ▸" xr:uid="{00000000-0004-0000-0300-000001000000}"/>
  </hyperlinks>
  <printOptions horizontalCentered="1"/>
  <pageMargins left="0.4" right="0.4" top="0.5" bottom="0.6" header="0.25" footer="0.25"/>
  <pageSetup paperSize="9" scale="74" fitToHeight="0" orientation="landscape" r:id="rId1"/>
  <headerFooter>
    <oddFooter>&amp;L&amp;K3F5876&amp;8&amp;F · &amp;A&amp;R&amp;K3F5876&amp;8Page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outlinePr summaryBelow="0"/>
    <pageSetUpPr fitToPage="1"/>
  </sheetPr>
  <dimension ref="A1:R115"/>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199</v>
      </c>
      <c r="C3" s="1"/>
      <c r="D3" s="1"/>
      <c r="E3" s="1"/>
      <c r="F3" s="1"/>
      <c r="G3" s="1"/>
      <c r="H3" s="1"/>
      <c r="I3" s="1"/>
      <c r="J3" s="1"/>
      <c r="K3" s="1"/>
      <c r="L3" s="1"/>
      <c r="M3" s="1"/>
      <c r="N3" s="1"/>
      <c r="O3" s="1"/>
      <c r="P3" s="1"/>
      <c r="Q3" s="1"/>
      <c r="R3" s="1"/>
    </row>
    <row r="4" spans="1:18" ht="20" customHeight="1" x14ac:dyDescent="0.45">
      <c r="A4" s="5"/>
      <c r="B4" s="22" t="s">
        <v>200</v>
      </c>
      <c r="C4" s="5"/>
      <c r="D4" s="5"/>
      <c r="E4" s="5"/>
      <c r="F4" s="5"/>
      <c r="G4" s="5"/>
      <c r="H4" s="5"/>
      <c r="I4" s="5"/>
      <c r="J4" s="5"/>
      <c r="K4" s="5"/>
      <c r="L4" s="5"/>
      <c r="M4" s="5"/>
      <c r="N4" s="5"/>
      <c r="O4" s="5"/>
      <c r="P4" s="5"/>
      <c r="Q4" s="5"/>
      <c r="R4" s="5"/>
    </row>
    <row r="5" spans="1:18" ht="8" customHeight="1" x14ac:dyDescent="0.45"/>
    <row r="6" spans="1:18" ht="26" customHeight="1" x14ac:dyDescent="0.45">
      <c r="B6" s="53" t="str" cm="1">
        <f t="array" aca="1" ref="B6" ca="1">IF(ISNUMBER(_xll.VoseSimMean(NPV)),"✔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4"/>
      <c r="D6" s="54"/>
      <c r="E6" s="54"/>
      <c r="F6" s="54"/>
      <c r="G6" s="54"/>
    </row>
    <row r="7" spans="1:18" x14ac:dyDescent="0.45">
      <c r="B7" s="38"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201</v>
      </c>
      <c r="C9" s="8"/>
      <c r="D9" s="8"/>
      <c r="E9" s="8"/>
      <c r="F9" s="8"/>
      <c r="G9" s="8"/>
      <c r="I9" s="55" t="s">
        <v>202</v>
      </c>
      <c r="J9" s="8"/>
      <c r="K9" s="8"/>
      <c r="L9" s="8"/>
      <c r="M9" s="8"/>
      <c r="N9" s="8"/>
      <c r="O9" s="8"/>
      <c r="P9" s="8"/>
      <c r="Q9" s="8"/>
      <c r="R9" s="8"/>
    </row>
    <row r="10" spans="1:18" ht="18" customHeight="1" x14ac:dyDescent="0.45">
      <c r="B10" s="13" t="s">
        <v>203</v>
      </c>
    </row>
    <row r="11" spans="1:18" ht="18" customHeight="1" x14ac:dyDescent="0.45">
      <c r="B11" s="23" t="s">
        <v>204</v>
      </c>
      <c r="C11" s="23" t="s">
        <v>96</v>
      </c>
      <c r="D11" s="24" t="s">
        <v>173</v>
      </c>
      <c r="E11" s="5"/>
      <c r="F11" s="5"/>
      <c r="G11" s="5"/>
    </row>
    <row r="12" spans="1:18" x14ac:dyDescent="0.45">
      <c r="B12" s="41" t="s">
        <v>102</v>
      </c>
      <c r="C12" s="26" t="s">
        <v>115</v>
      </c>
      <c r="D12" s="56" cm="1">
        <f t="array" aca="1" ref="D12" ca="1">_xll.VoseSimMean(NPV)</f>
        <v>171.11066127227778</v>
      </c>
      <c r="E12" s="29"/>
      <c r="F12" s="29"/>
      <c r="G12" s="29"/>
    </row>
    <row r="13" spans="1:18" x14ac:dyDescent="0.45">
      <c r="B13" s="25" t="s">
        <v>188</v>
      </c>
      <c r="C13" s="26" t="s">
        <v>115</v>
      </c>
      <c r="D13" s="56" cm="1">
        <f t="array" aca="1" ref="D13" ca="1">_xll.VoseSimStdev(NPV)</f>
        <v>116.88648588989392</v>
      </c>
      <c r="E13" s="29"/>
      <c r="F13" s="29"/>
      <c r="G13" s="29"/>
    </row>
    <row r="14" spans="1:18" x14ac:dyDescent="0.45">
      <c r="B14" s="25" t="s">
        <v>205</v>
      </c>
      <c r="C14" s="26" t="s">
        <v>115</v>
      </c>
      <c r="D14" s="56" cm="1">
        <f t="array" aca="1" ref="D14" ca="1">_xll.VoseSimPercentile(NPV,0.05)</f>
        <v>-3.0982364453914668</v>
      </c>
      <c r="E14" s="29"/>
      <c r="F14" s="29"/>
      <c r="G14" s="29"/>
    </row>
    <row r="15" spans="1:18" x14ac:dyDescent="0.45">
      <c r="B15" s="25" t="s">
        <v>206</v>
      </c>
      <c r="C15" s="26" t="s">
        <v>115</v>
      </c>
      <c r="D15" s="56" cm="1">
        <f t="array" aca="1" ref="D15" ca="1">_xll.VoseSimPercentile(NPV,0.5)</f>
        <v>159.69378695726152</v>
      </c>
      <c r="E15" s="29"/>
      <c r="F15" s="29"/>
      <c r="G15" s="29"/>
    </row>
    <row r="16" spans="1:18" x14ac:dyDescent="0.45">
      <c r="B16" s="25" t="s">
        <v>190</v>
      </c>
      <c r="C16" s="26" t="s">
        <v>115</v>
      </c>
      <c r="D16" s="56" cm="1">
        <f t="array" aca="1" ref="D16" ca="1">_xll.VoseSimPercentile(NPV,0.95)</f>
        <v>381.89689735391829</v>
      </c>
      <c r="E16" s="29"/>
      <c r="F16" s="29"/>
      <c r="G16" s="29"/>
    </row>
    <row r="17" spans="2:18" x14ac:dyDescent="0.45">
      <c r="B17" s="25" t="s">
        <v>192</v>
      </c>
      <c r="C17" s="26"/>
      <c r="D17" s="57" cm="1">
        <f t="array" aca="1" ref="D17" ca="1">_xll.VoseSimProbability(NPV,0)</f>
        <v>5.3794620537946203E-2</v>
      </c>
      <c r="E17" s="29"/>
      <c r="F17" s="29"/>
      <c r="G17" s="29"/>
    </row>
    <row r="18" spans="2:18" x14ac:dyDescent="0.45">
      <c r="B18" s="25" t="s">
        <v>207</v>
      </c>
      <c r="C18" s="26" t="s">
        <v>208</v>
      </c>
      <c r="D18" s="58" cm="1">
        <f t="array" aca="1" ref="D18" ca="1">(_xll.VoseSimStdev(NPV)/_xll.VoseSimMSE(NPV))^2</f>
        <v>10000</v>
      </c>
      <c r="E18" s="29"/>
      <c r="F18" s="29"/>
      <c r="G18" s="29"/>
    </row>
    <row r="19" spans="2:18" ht="8" customHeight="1" x14ac:dyDescent="0.45"/>
    <row r="20" spans="2:18" ht="22.05" customHeight="1" x14ac:dyDescent="0.5">
      <c r="B20" s="7" t="s">
        <v>209</v>
      </c>
      <c r="C20" s="8"/>
      <c r="D20" s="8"/>
      <c r="E20" s="8"/>
      <c r="F20" s="8"/>
      <c r="G20" s="8"/>
    </row>
    <row r="21" spans="2:18" ht="18" customHeight="1" x14ac:dyDescent="0.45">
      <c r="B21" s="13" t="s">
        <v>210</v>
      </c>
    </row>
    <row r="22" spans="2:18" ht="30" customHeight="1" x14ac:dyDescent="0.45">
      <c r="B22" s="23" t="s">
        <v>211</v>
      </c>
      <c r="C22" s="24" t="s">
        <v>212</v>
      </c>
      <c r="D22" s="24" t="s">
        <v>213</v>
      </c>
      <c r="E22" s="24" t="s">
        <v>184</v>
      </c>
      <c r="F22" s="24" t="s">
        <v>214</v>
      </c>
      <c r="G22" s="24" t="s">
        <v>215</v>
      </c>
    </row>
    <row r="23" spans="2:18" x14ac:dyDescent="0.45">
      <c r="B23" s="25" t="s">
        <v>216</v>
      </c>
      <c r="C23" s="40">
        <f>Prec_Mean</f>
        <v>5</v>
      </c>
      <c r="D23" s="56" cm="1">
        <f t="array" aca="1" ref="D23" ca="1">_xlfn.NORM.S.INV(0.5+Conf_Mean/2)*_xll.VoseSimMSE(NPV)</f>
        <v>3.010796355440438</v>
      </c>
      <c r="E23" s="50" t="b">
        <f ca="1">Met_Mean</f>
        <v>1</v>
      </c>
      <c r="F23" s="58" cm="1">
        <f t="array" aca="1" ref="F23" ca="1">(_xlfn.NORM.S.INV(0.5+Conf_Mean/2)*_xll.VoseSimStdev(NPV)/Prec_Mean)^2</f>
        <v>3625.9578775733685</v>
      </c>
      <c r="G23" s="39">
        <f ca="1">Extra_Mean</f>
        <v>0</v>
      </c>
    </row>
    <row r="24" spans="2:18" x14ac:dyDescent="0.45">
      <c r="B24" s="25" t="s">
        <v>217</v>
      </c>
      <c r="C24" s="40">
        <f>Prec_SD</f>
        <v>10</v>
      </c>
      <c r="D24" s="56" cm="1">
        <f t="array" aca="1" ref="D24" ca="1">_xlfn.NORM.S.INV(0.5+Conf_SD/2)*_xll.VoseSimStdev(NPV)*SQRT((_xll.VoseSimKurtosis(NPV)-1)/(4*(_xll.VoseSimStdev(NPV)/_xll.VoseSimMSE(NPV))^2))</f>
        <v>1.648034256545428</v>
      </c>
      <c r="E24" s="50" t="b">
        <f ca="1">Met_SD</f>
        <v>1</v>
      </c>
      <c r="F24" s="58" cm="1">
        <f t="array" aca="1" ref="F24" ca="1">(_xlfn.NORM.S.INV(0.5+Conf_SD/2)*_xll.VoseSimStdev(NPV)/Prec_SD)^2*(_xll.VoseSimKurtosis(NPV)-1)/4</f>
        <v>271.60169107472422</v>
      </c>
      <c r="G24" s="39">
        <f ca="1">Extra_SD</f>
        <v>0</v>
      </c>
    </row>
    <row r="25" spans="2:18" x14ac:dyDescent="0.45">
      <c r="B25" s="25" t="s">
        <v>218</v>
      </c>
      <c r="C25" s="40">
        <f>Prec_P95</f>
        <v>10</v>
      </c>
      <c r="D25" s="56" cm="1">
        <f t="array" aca="1" ref="D25" ca="1">_xlfn.NORM.S.INV(0.5+Conf_P95/2)*SQRT(0.95*0.05/(_xll.VoseSimStdev(NPV)/_xll.VoseSimMSE(NPV))^2)/(0.02/(_xll.VoseSimPercentile(NPV,0.96)-_xll.VoseSimPercentile(NPV,0.94)))</f>
        <v>5.3534501704753081</v>
      </c>
      <c r="E25" s="50" t="b">
        <f ca="1">Met_P95</f>
        <v>1</v>
      </c>
      <c r="F25" s="58" cm="1">
        <f t="array" aca="1" ref="F25" ca="1">(_xlfn.NORM.S.INV(0.5+Conf_P95/2)/Prec_P95/(0.02/(_xll.VoseSimPercentile(NPV,0.96)-_xll.VoseSimPercentile(NPV,0.94))))^2*0.95*0.05</f>
        <v>2865.9428727762115</v>
      </c>
      <c r="G25" s="39">
        <f ca="1">Extra_P95</f>
        <v>0</v>
      </c>
    </row>
    <row r="26" spans="2:18" x14ac:dyDescent="0.45">
      <c r="B26" s="25" t="s">
        <v>219</v>
      </c>
      <c r="C26" s="59">
        <f>Prec_Prob</f>
        <v>0.01</v>
      </c>
      <c r="D26" s="60" cm="1">
        <f t="array" aca="1" ref="D26" ca="1">_xlfn.NORM.S.INV(0.5+Conf_Prob/2)*SQRT(_xll.VoseSimProbability(NPV,0)*(1-_xll.VoseSimProbability(NPV,0))/(_xll.VoseSimStdev(NPV)/_xll.VoseSimMSE(NPV))^2)</f>
        <v>4.4219132843522488E-3</v>
      </c>
      <c r="E26" s="50" t="b">
        <f ca="1">Met_Prob</f>
        <v>1</v>
      </c>
      <c r="F26" s="58" cm="1">
        <f t="array" aca="1" ref="F26" ca="1">(_xlfn.NORM.S.INV(0.5+Conf_Prob/2)/Prec_Prob)^2*_xll.VoseSimProbability(NPV,0)*(1-_xll.VoseSimProbability(NPV,0))</f>
        <v>1955.3317094330885</v>
      </c>
      <c r="G26" s="39">
        <f ca="1">Extra_Prob</f>
        <v>0</v>
      </c>
    </row>
    <row r="27" spans="2:18" ht="8" customHeight="1" x14ac:dyDescent="0.45"/>
    <row r="28" spans="2:18" x14ac:dyDescent="0.45">
      <c r="I28" s="55" t="s">
        <v>220</v>
      </c>
      <c r="J28" s="8"/>
      <c r="K28" s="8"/>
      <c r="L28" s="8"/>
      <c r="M28" s="8"/>
      <c r="N28" s="8"/>
      <c r="O28" s="8"/>
      <c r="P28" s="8"/>
      <c r="Q28" s="8"/>
      <c r="R28" s="8"/>
    </row>
    <row r="44" spans="2:7" ht="22.05" customHeight="1" x14ac:dyDescent="0.5">
      <c r="B44" s="7" t="s">
        <v>221</v>
      </c>
      <c r="C44" s="8"/>
      <c r="D44" s="8"/>
      <c r="E44" s="8"/>
      <c r="F44" s="8"/>
      <c r="G44" s="8"/>
    </row>
    <row r="45" spans="2:7" ht="32" customHeight="1" x14ac:dyDescent="0.45">
      <c r="B45" s="64" t="s">
        <v>222</v>
      </c>
      <c r="C45" s="65"/>
      <c r="D45" s="65"/>
      <c r="E45" s="65"/>
      <c r="F45" s="65"/>
      <c r="G45" s="65"/>
    </row>
    <row r="46" spans="2:7" ht="45" customHeight="1" x14ac:dyDescent="0.45">
      <c r="B46" s="64" t="s">
        <v>223</v>
      </c>
      <c r="C46" s="65"/>
      <c r="D46" s="65"/>
      <c r="E46" s="65"/>
      <c r="F46" s="65"/>
      <c r="G46" s="65"/>
    </row>
    <row r="47" spans="2:7" ht="32" customHeight="1" x14ac:dyDescent="0.45">
      <c r="B47" s="64" t="s">
        <v>224</v>
      </c>
      <c r="C47" s="65"/>
      <c r="D47" s="65"/>
      <c r="E47" s="65"/>
      <c r="F47" s="65"/>
      <c r="G47" s="65"/>
    </row>
    <row r="48" spans="2:7" ht="71" customHeight="1" x14ac:dyDescent="0.45">
      <c r="B48" s="64" t="s">
        <v>225</v>
      </c>
      <c r="C48" s="65"/>
      <c r="D48" s="65"/>
      <c r="E48" s="65"/>
      <c r="F48" s="65"/>
      <c r="G48" s="65"/>
    </row>
    <row r="49" spans="2:7" ht="19.05" customHeight="1" x14ac:dyDescent="0.45">
      <c r="B49" s="64" t="s">
        <v>226</v>
      </c>
      <c r="C49" s="65"/>
      <c r="D49" s="65"/>
      <c r="E49" s="65"/>
      <c r="F49" s="65"/>
      <c r="G49" s="65"/>
    </row>
    <row r="50" spans="2:7" ht="14" customHeight="1" x14ac:dyDescent="0.45"/>
    <row r="51" spans="2:7" ht="14" customHeight="1" x14ac:dyDescent="0.45"/>
    <row r="52" spans="2:7" ht="22.05" customHeight="1" x14ac:dyDescent="0.5">
      <c r="B52" s="7" t="s">
        <v>227</v>
      </c>
      <c r="C52" s="8"/>
      <c r="D52" s="8"/>
      <c r="E52" s="8"/>
      <c r="F52" s="8"/>
      <c r="G52" s="8"/>
    </row>
    <row r="53" spans="2:7" ht="18" customHeight="1" x14ac:dyDescent="0.45">
      <c r="B53" s="13" t="s">
        <v>228</v>
      </c>
    </row>
    <row r="54" spans="2:7" ht="28.05" hidden="1" customHeight="1" outlineLevel="1" x14ac:dyDescent="0.45">
      <c r="B54" s="24" t="s">
        <v>229</v>
      </c>
      <c r="C54" s="24" t="s">
        <v>230</v>
      </c>
      <c r="D54" s="24" t="s">
        <v>231</v>
      </c>
      <c r="E54" s="24" t="s">
        <v>232</v>
      </c>
      <c r="F54" s="5"/>
      <c r="G54" s="5"/>
    </row>
    <row r="55" spans="2:7" hidden="1" outlineLevel="1" x14ac:dyDescent="0.45">
      <c r="B55" s="61">
        <v>0.01</v>
      </c>
      <c r="C55" s="61">
        <f t="shared" ref="C55:C86" si="0">1-B55</f>
        <v>0.99</v>
      </c>
      <c r="D55" s="62" cm="1">
        <f t="array" aca="1" ref="D55" ca="1">IF(ISNUMBER(_xll.VoseSimPercentile(NPV,$B55)),_xll.VoseSimPercentile(NPV,$B55),NA())</f>
        <v>-49.968489347146608</v>
      </c>
      <c r="E55" s="62">
        <f>0</f>
        <v>0</v>
      </c>
    </row>
    <row r="56" spans="2:7" hidden="1" outlineLevel="1" x14ac:dyDescent="0.45">
      <c r="B56" s="61">
        <v>0.03</v>
      </c>
      <c r="C56" s="61">
        <f t="shared" si="0"/>
        <v>0.97</v>
      </c>
      <c r="D56" s="62" cm="1">
        <f t="array" aca="1" ref="D56" ca="1">IF(ISNUMBER(_xll.VoseSimPercentile(NPV,$B56)),_xll.VoseSimPercentile(NPV,$B56),NA())</f>
        <v>-19.870688658093144</v>
      </c>
      <c r="E56" s="62">
        <f>0</f>
        <v>0</v>
      </c>
    </row>
    <row r="57" spans="2:7" hidden="1" outlineLevel="1" x14ac:dyDescent="0.45">
      <c r="B57" s="61">
        <v>0.05</v>
      </c>
      <c r="C57" s="61">
        <f t="shared" si="0"/>
        <v>0.95</v>
      </c>
      <c r="D57" s="62" cm="1">
        <f t="array" aca="1" ref="D57" ca="1">IF(ISNUMBER(_xll.VoseSimPercentile(NPV,$B57)),_xll.VoseSimPercentile(NPV,$B57),NA())</f>
        <v>-3.0982364453914668</v>
      </c>
      <c r="E57" s="62">
        <f>0</f>
        <v>0</v>
      </c>
    </row>
    <row r="58" spans="2:7" hidden="1" outlineLevel="1" x14ac:dyDescent="0.45">
      <c r="B58" s="61">
        <v>7.0000000000000007E-2</v>
      </c>
      <c r="C58" s="61">
        <f t="shared" si="0"/>
        <v>0.92999999999999994</v>
      </c>
      <c r="D58" s="62" cm="1">
        <f t="array" aca="1" ref="D58" ca="1">IF(ISNUMBER(_xll.VoseSimPercentile(NPV,$B58)),_xll.VoseSimPercentile(NPV,$B58),NA())</f>
        <v>11.730648631761705</v>
      </c>
      <c r="E58" s="62">
        <f>0</f>
        <v>0</v>
      </c>
    </row>
    <row r="59" spans="2:7" hidden="1" outlineLevel="1" x14ac:dyDescent="0.45">
      <c r="B59" s="61">
        <v>0.09</v>
      </c>
      <c r="C59" s="61">
        <f t="shared" si="0"/>
        <v>0.91</v>
      </c>
      <c r="D59" s="62" cm="1">
        <f t="array" aca="1" ref="D59" ca="1">IF(ISNUMBER(_xll.VoseSimPercentile(NPV,$B59)),_xll.VoseSimPercentile(NPV,$B59),NA())</f>
        <v>21.437686493083735</v>
      </c>
      <c r="E59" s="62">
        <f>0</f>
        <v>0</v>
      </c>
    </row>
    <row r="60" spans="2:7" hidden="1" outlineLevel="1" x14ac:dyDescent="0.45">
      <c r="B60" s="61">
        <v>0.11</v>
      </c>
      <c r="C60" s="61">
        <f t="shared" si="0"/>
        <v>0.89</v>
      </c>
      <c r="D60" s="62" cm="1">
        <f t="array" aca="1" ref="D60" ca="1">IF(ISNUMBER(_xll.VoseSimPercentile(NPV,$B60)),_xll.VoseSimPercentile(NPV,$B60),NA())</f>
        <v>31.72972015872665</v>
      </c>
      <c r="E60" s="62">
        <f>0</f>
        <v>0</v>
      </c>
    </row>
    <row r="61" spans="2:7" hidden="1" outlineLevel="1" x14ac:dyDescent="0.45">
      <c r="B61" s="61">
        <v>0.13</v>
      </c>
      <c r="C61" s="61">
        <f t="shared" si="0"/>
        <v>0.87</v>
      </c>
      <c r="D61" s="62" cm="1">
        <f t="array" aca="1" ref="D61" ca="1">IF(ISNUMBER(_xll.VoseSimPercentile(NPV,$B61)),_xll.VoseSimPercentile(NPV,$B61),NA())</f>
        <v>40.683017126956727</v>
      </c>
      <c r="E61" s="62">
        <f>0</f>
        <v>0</v>
      </c>
    </row>
    <row r="62" spans="2:7" hidden="1" outlineLevel="1" x14ac:dyDescent="0.45">
      <c r="B62" s="61">
        <v>0.15</v>
      </c>
      <c r="C62" s="61">
        <f t="shared" si="0"/>
        <v>0.85</v>
      </c>
      <c r="D62" s="62" cm="1">
        <f t="array" aca="1" ref="D62" ca="1">IF(ISNUMBER(_xll.VoseSimPercentile(NPV,$B62)),_xll.VoseSimPercentile(NPV,$B62),NA())</f>
        <v>49.191326436024397</v>
      </c>
      <c r="E62" s="62">
        <f>0</f>
        <v>0</v>
      </c>
    </row>
    <row r="63" spans="2:7" hidden="1" outlineLevel="1" x14ac:dyDescent="0.45">
      <c r="B63" s="61">
        <v>0.17</v>
      </c>
      <c r="C63" s="61">
        <f t="shared" si="0"/>
        <v>0.83</v>
      </c>
      <c r="D63" s="62" cm="1">
        <f t="array" aca="1" ref="D63" ca="1">IF(ISNUMBER(_xll.VoseSimPercentile(NPV,$B63)),_xll.VoseSimPercentile(NPV,$B63),NA())</f>
        <v>57.729094634364543</v>
      </c>
      <c r="E63" s="62">
        <f>0</f>
        <v>0</v>
      </c>
    </row>
    <row r="64" spans="2:7" hidden="1" outlineLevel="1" x14ac:dyDescent="0.45">
      <c r="B64" s="61">
        <v>0.19</v>
      </c>
      <c r="C64" s="61">
        <f t="shared" si="0"/>
        <v>0.81</v>
      </c>
      <c r="D64" s="62" cm="1">
        <f t="array" aca="1" ref="D64" ca="1">IF(ISNUMBER(_xll.VoseSimPercentile(NPV,$B64)),_xll.VoseSimPercentile(NPV,$B64),NA())</f>
        <v>65.945047232410928</v>
      </c>
      <c r="E64" s="62">
        <f>0</f>
        <v>0</v>
      </c>
    </row>
    <row r="65" spans="2:5" hidden="1" outlineLevel="1" x14ac:dyDescent="0.45">
      <c r="B65" s="61">
        <v>0.21</v>
      </c>
      <c r="C65" s="61">
        <f t="shared" si="0"/>
        <v>0.79</v>
      </c>
      <c r="D65" s="62" cm="1">
        <f t="array" aca="1" ref="D65" ca="1">IF(ISNUMBER(_xll.VoseSimPercentile(NPV,$B65)),_xll.VoseSimPercentile(NPV,$B65),NA())</f>
        <v>73.201393902133589</v>
      </c>
      <c r="E65" s="62">
        <f>0</f>
        <v>0</v>
      </c>
    </row>
    <row r="66" spans="2:5" hidden="1" outlineLevel="1" x14ac:dyDescent="0.45">
      <c r="B66" s="61">
        <v>0.23</v>
      </c>
      <c r="C66" s="61">
        <f t="shared" si="0"/>
        <v>0.77</v>
      </c>
      <c r="D66" s="62" cm="1">
        <f t="array" aca="1" ref="D66" ca="1">IF(ISNUMBER(_xll.VoseSimPercentile(NPV,$B66)),_xll.VoseSimPercentile(NPV,$B66),NA())</f>
        <v>80.243362470415207</v>
      </c>
      <c r="E66" s="62">
        <f>0</f>
        <v>0</v>
      </c>
    </row>
    <row r="67" spans="2:5" hidden="1" outlineLevel="1" x14ac:dyDescent="0.45">
      <c r="B67" s="61">
        <v>0.25</v>
      </c>
      <c r="C67" s="61">
        <f t="shared" si="0"/>
        <v>0.75</v>
      </c>
      <c r="D67" s="62" cm="1">
        <f t="array" aca="1" ref="D67" ca="1">IF(ISNUMBER(_xll.VoseSimPercentile(NPV,$B67)),_xll.VoseSimPercentile(NPV,$B67),NA())</f>
        <v>87.473266074104103</v>
      </c>
      <c r="E67" s="62">
        <f>0</f>
        <v>0</v>
      </c>
    </row>
    <row r="68" spans="2:5" hidden="1" outlineLevel="1" x14ac:dyDescent="0.45">
      <c r="B68" s="61">
        <v>0.27</v>
      </c>
      <c r="C68" s="61">
        <f t="shared" si="0"/>
        <v>0.73</v>
      </c>
      <c r="D68" s="62" cm="1">
        <f t="array" aca="1" ref="D68" ca="1">IF(ISNUMBER(_xll.VoseSimPercentile(NPV,$B68)),_xll.VoseSimPercentile(NPV,$B68),NA())</f>
        <v>93.409632439847726</v>
      </c>
      <c r="E68" s="62">
        <f>0</f>
        <v>0</v>
      </c>
    </row>
    <row r="69" spans="2:5" hidden="1" outlineLevel="1" x14ac:dyDescent="0.45">
      <c r="B69" s="61">
        <v>0.28999999999999998</v>
      </c>
      <c r="C69" s="61">
        <f t="shared" si="0"/>
        <v>0.71</v>
      </c>
      <c r="D69" s="62" cm="1">
        <f t="array" aca="1" ref="D69" ca="1">IF(ISNUMBER(_xll.VoseSimPercentile(NPV,$B69)),_xll.VoseSimPercentile(NPV,$B69),NA())</f>
        <v>99.271436405808217</v>
      </c>
      <c r="E69" s="62">
        <f>0</f>
        <v>0</v>
      </c>
    </row>
    <row r="70" spans="2:5" hidden="1" outlineLevel="1" x14ac:dyDescent="0.45">
      <c r="B70" s="61">
        <v>0.31</v>
      </c>
      <c r="C70" s="61">
        <f t="shared" si="0"/>
        <v>0.69</v>
      </c>
      <c r="D70" s="62" cm="1">
        <f t="array" aca="1" ref="D70" ca="1">IF(ISNUMBER(_xll.VoseSimPercentile(NPV,$B70)),_xll.VoseSimPercentile(NPV,$B70),NA())</f>
        <v>105.08658922487682</v>
      </c>
      <c r="E70" s="62">
        <f>0</f>
        <v>0</v>
      </c>
    </row>
    <row r="71" spans="2:5" hidden="1" outlineLevel="1" x14ac:dyDescent="0.45">
      <c r="B71" s="61">
        <v>0.33</v>
      </c>
      <c r="C71" s="61">
        <f t="shared" si="0"/>
        <v>0.66999999999999993</v>
      </c>
      <c r="D71" s="62" cm="1">
        <f t="array" aca="1" ref="D71" ca="1">IF(ISNUMBER(_xll.VoseSimPercentile(NPV,$B71)),_xll.VoseSimPercentile(NPV,$B71),NA())</f>
        <v>110.89494432603765</v>
      </c>
      <c r="E71" s="62">
        <f>0</f>
        <v>0</v>
      </c>
    </row>
    <row r="72" spans="2:5" hidden="1" outlineLevel="1" x14ac:dyDescent="0.45">
      <c r="B72" s="61">
        <v>0.35</v>
      </c>
      <c r="C72" s="61">
        <f t="shared" si="0"/>
        <v>0.65</v>
      </c>
      <c r="D72" s="62" cm="1">
        <f t="array" aca="1" ref="D72" ca="1">IF(ISNUMBER(_xll.VoseSimPercentile(NPV,$B72)),_xll.VoseSimPercentile(NPV,$B72),NA())</f>
        <v>117.28511240496825</v>
      </c>
      <c r="E72" s="62">
        <f>0</f>
        <v>0</v>
      </c>
    </row>
    <row r="73" spans="2:5" hidden="1" outlineLevel="1" x14ac:dyDescent="0.45">
      <c r="B73" s="61">
        <v>0.37</v>
      </c>
      <c r="C73" s="61">
        <f t="shared" si="0"/>
        <v>0.63</v>
      </c>
      <c r="D73" s="62" cm="1">
        <f t="array" aca="1" ref="D73" ca="1">IF(ISNUMBER(_xll.VoseSimPercentile(NPV,$B73)),_xll.VoseSimPercentile(NPV,$B73),NA())</f>
        <v>123.63521743109493</v>
      </c>
      <c r="E73" s="62">
        <f>0</f>
        <v>0</v>
      </c>
    </row>
    <row r="74" spans="2:5" hidden="1" outlineLevel="1" x14ac:dyDescent="0.45">
      <c r="B74" s="61">
        <v>0.39</v>
      </c>
      <c r="C74" s="61">
        <f t="shared" si="0"/>
        <v>0.61</v>
      </c>
      <c r="D74" s="62" cm="1">
        <f t="array" aca="1" ref="D74" ca="1">IF(ISNUMBER(_xll.VoseSimPercentile(NPV,$B74)),_xll.VoseSimPercentile(NPV,$B74),NA())</f>
        <v>129.39617180542967</v>
      </c>
      <c r="E74" s="62">
        <f>0</f>
        <v>0</v>
      </c>
    </row>
    <row r="75" spans="2:5" hidden="1" outlineLevel="1" x14ac:dyDescent="0.45">
      <c r="B75" s="61">
        <v>0.41</v>
      </c>
      <c r="C75" s="61">
        <f t="shared" si="0"/>
        <v>0.59000000000000008</v>
      </c>
      <c r="D75" s="62" cm="1">
        <f t="array" aca="1" ref="D75" ca="1">IF(ISNUMBER(_xll.VoseSimPercentile(NPV,$B75)),_xll.VoseSimPercentile(NPV,$B75),NA())</f>
        <v>134.88768032498325</v>
      </c>
      <c r="E75" s="62">
        <f>0</f>
        <v>0</v>
      </c>
    </row>
    <row r="76" spans="2:5" hidden="1" outlineLevel="1" x14ac:dyDescent="0.45">
      <c r="B76" s="61">
        <v>0.43</v>
      </c>
      <c r="C76" s="61">
        <f t="shared" si="0"/>
        <v>0.57000000000000006</v>
      </c>
      <c r="D76" s="62" cm="1">
        <f t="array" aca="1" ref="D76" ca="1">IF(ISNUMBER(_xll.VoseSimPercentile(NPV,$B76)),_xll.VoseSimPercentile(NPV,$B76),NA())</f>
        <v>140.43403497977656</v>
      </c>
      <c r="E76" s="62">
        <f>0</f>
        <v>0</v>
      </c>
    </row>
    <row r="77" spans="2:5" hidden="1" outlineLevel="1" x14ac:dyDescent="0.45">
      <c r="B77" s="61">
        <v>0.45</v>
      </c>
      <c r="C77" s="61">
        <f t="shared" si="0"/>
        <v>0.55000000000000004</v>
      </c>
      <c r="D77" s="62" cm="1">
        <f t="array" aca="1" ref="D77" ca="1">IF(ISNUMBER(_xll.VoseSimPercentile(NPV,$B77)),_xll.VoseSimPercentile(NPV,$B77),NA())</f>
        <v>145.80975656092505</v>
      </c>
      <c r="E77" s="62">
        <f>0</f>
        <v>0</v>
      </c>
    </row>
    <row r="78" spans="2:5" hidden="1" outlineLevel="1" x14ac:dyDescent="0.45">
      <c r="B78" s="61">
        <v>0.47</v>
      </c>
      <c r="C78" s="61">
        <f t="shared" si="0"/>
        <v>0.53</v>
      </c>
      <c r="D78" s="62" cm="1">
        <f t="array" aca="1" ref="D78" ca="1">IF(ISNUMBER(_xll.VoseSimPercentile(NPV,$B78)),_xll.VoseSimPercentile(NPV,$B78),NA())</f>
        <v>151.16385139404835</v>
      </c>
      <c r="E78" s="62">
        <f>0</f>
        <v>0</v>
      </c>
    </row>
    <row r="79" spans="2:5" hidden="1" outlineLevel="1" x14ac:dyDescent="0.45">
      <c r="B79" s="61">
        <v>0.49</v>
      </c>
      <c r="C79" s="61">
        <f t="shared" si="0"/>
        <v>0.51</v>
      </c>
      <c r="D79" s="62" cm="1">
        <f t="array" aca="1" ref="D79" ca="1">IF(ISNUMBER(_xll.VoseSimPercentile(NPV,$B79)),_xll.VoseSimPercentile(NPV,$B79),NA())</f>
        <v>157.35026572107222</v>
      </c>
      <c r="E79" s="62">
        <f>0</f>
        <v>0</v>
      </c>
    </row>
    <row r="80" spans="2:5" hidden="1" outlineLevel="1" x14ac:dyDescent="0.45">
      <c r="B80" s="61">
        <v>0.51</v>
      </c>
      <c r="C80" s="61">
        <f t="shared" si="0"/>
        <v>0.49</v>
      </c>
      <c r="D80" s="62" cm="1">
        <f t="array" aca="1" ref="D80" ca="1">IF(ISNUMBER(_xll.VoseSimPercentile(NPV,$B80)),_xll.VoseSimPercentile(NPV,$B80),NA())</f>
        <v>162.83165152249413</v>
      </c>
      <c r="E80" s="62">
        <f>0</f>
        <v>0</v>
      </c>
    </row>
    <row r="81" spans="2:5" hidden="1" outlineLevel="1" x14ac:dyDescent="0.45">
      <c r="B81" s="61">
        <v>0.53</v>
      </c>
      <c r="C81" s="61">
        <f t="shared" si="0"/>
        <v>0.47</v>
      </c>
      <c r="D81" s="62" cm="1">
        <f t="array" aca="1" ref="D81" ca="1">IF(ISNUMBER(_xll.VoseSimPercentile(NPV,$B81)),_xll.VoseSimPercentile(NPV,$B81),NA())</f>
        <v>168.46131271893478</v>
      </c>
      <c r="E81" s="62">
        <f>0</f>
        <v>0</v>
      </c>
    </row>
    <row r="82" spans="2:5" hidden="1" outlineLevel="1" x14ac:dyDescent="0.45">
      <c r="B82" s="61">
        <v>0.55000000000000004</v>
      </c>
      <c r="C82" s="61">
        <f t="shared" si="0"/>
        <v>0.44999999999999996</v>
      </c>
      <c r="D82" s="62" cm="1">
        <f t="array" aca="1" ref="D82" ca="1">IF(ISNUMBER(_xll.VoseSimPercentile(NPV,$B82)),_xll.VoseSimPercentile(NPV,$B82),NA())</f>
        <v>174.68441518263893</v>
      </c>
      <c r="E82" s="62">
        <f>0</f>
        <v>0</v>
      </c>
    </row>
    <row r="83" spans="2:5" hidden="1" outlineLevel="1" x14ac:dyDescent="0.45">
      <c r="B83" s="61">
        <v>0.56999999999999995</v>
      </c>
      <c r="C83" s="61">
        <f t="shared" si="0"/>
        <v>0.43000000000000005</v>
      </c>
      <c r="D83" s="62" cm="1">
        <f t="array" aca="1" ref="D83" ca="1">IF(ISNUMBER(_xll.VoseSimPercentile(NPV,$B83)),_xll.VoseSimPercentile(NPV,$B83),NA())</f>
        <v>180.84661585741816</v>
      </c>
      <c r="E83" s="62">
        <f>0</f>
        <v>0</v>
      </c>
    </row>
    <row r="84" spans="2:5" hidden="1" outlineLevel="1" x14ac:dyDescent="0.45">
      <c r="B84" s="61">
        <v>0.59</v>
      </c>
      <c r="C84" s="61">
        <f t="shared" si="0"/>
        <v>0.41000000000000003</v>
      </c>
      <c r="D84" s="62" cm="1">
        <f t="array" aca="1" ref="D84" ca="1">IF(ISNUMBER(_xll.VoseSimPercentile(NPV,$B84)),_xll.VoseSimPercentile(NPV,$B84),NA())</f>
        <v>187.72492531733016</v>
      </c>
      <c r="E84" s="62">
        <f>0</f>
        <v>0</v>
      </c>
    </row>
    <row r="85" spans="2:5" hidden="1" outlineLevel="1" x14ac:dyDescent="0.45">
      <c r="B85" s="61">
        <v>0.61</v>
      </c>
      <c r="C85" s="61">
        <f t="shared" si="0"/>
        <v>0.39</v>
      </c>
      <c r="D85" s="62" cm="1">
        <f t="array" aca="1" ref="D85" ca="1">IF(ISNUMBER(_xll.VoseSimPercentile(NPV,$B85)),_xll.VoseSimPercentile(NPV,$B85),NA())</f>
        <v>193.92720477775632</v>
      </c>
      <c r="E85" s="62">
        <f>0</f>
        <v>0</v>
      </c>
    </row>
    <row r="86" spans="2:5" hidden="1" outlineLevel="1" x14ac:dyDescent="0.45">
      <c r="B86" s="61">
        <v>0.63</v>
      </c>
      <c r="C86" s="61">
        <f t="shared" si="0"/>
        <v>0.37</v>
      </c>
      <c r="D86" s="62" cm="1">
        <f t="array" aca="1" ref="D86" ca="1">IF(ISNUMBER(_xll.VoseSimPercentile(NPV,$B86)),_xll.VoseSimPercentile(NPV,$B86),NA())</f>
        <v>201.248870592168</v>
      </c>
      <c r="E86" s="62">
        <f>0</f>
        <v>0</v>
      </c>
    </row>
    <row r="87" spans="2:5" hidden="1" outlineLevel="1" x14ac:dyDescent="0.45">
      <c r="B87" s="61">
        <v>0.65</v>
      </c>
      <c r="C87" s="61">
        <f t="shared" ref="C87:C118" si="1">1-B87</f>
        <v>0.35</v>
      </c>
      <c r="D87" s="62" cm="1">
        <f t="array" aca="1" ref="D87" ca="1">IF(ISNUMBER(_xll.VoseSimPercentile(NPV,$B87)),_xll.VoseSimPercentile(NPV,$B87),NA())</f>
        <v>208.01110265503368</v>
      </c>
      <c r="E87" s="62">
        <f>0</f>
        <v>0</v>
      </c>
    </row>
    <row r="88" spans="2:5" hidden="1" outlineLevel="1" x14ac:dyDescent="0.45">
      <c r="B88" s="61">
        <v>0.67</v>
      </c>
      <c r="C88" s="61">
        <f t="shared" si="1"/>
        <v>0.32999999999999996</v>
      </c>
      <c r="D88" s="62" cm="1">
        <f t="array" aca="1" ref="D88" ca="1">IF(ISNUMBER(_xll.VoseSimPercentile(NPV,$B88)),_xll.VoseSimPercentile(NPV,$B88),NA())</f>
        <v>215.73854967480585</v>
      </c>
      <c r="E88" s="62">
        <f>0</f>
        <v>0</v>
      </c>
    </row>
    <row r="89" spans="2:5" hidden="1" outlineLevel="1" x14ac:dyDescent="0.45">
      <c r="B89" s="61">
        <v>0.69</v>
      </c>
      <c r="C89" s="61">
        <f t="shared" si="1"/>
        <v>0.31000000000000005</v>
      </c>
      <c r="D89" s="62" cm="1">
        <f t="array" aca="1" ref="D89" ca="1">IF(ISNUMBER(_xll.VoseSimPercentile(NPV,$B89)),_xll.VoseSimPercentile(NPV,$B89),NA())</f>
        <v>222.51291679351914</v>
      </c>
      <c r="E89" s="62">
        <f>0</f>
        <v>0</v>
      </c>
    </row>
    <row r="90" spans="2:5" hidden="1" outlineLevel="1" x14ac:dyDescent="0.45">
      <c r="B90" s="61">
        <v>0.71</v>
      </c>
      <c r="C90" s="61">
        <f t="shared" si="1"/>
        <v>0.29000000000000004</v>
      </c>
      <c r="D90" s="62" cm="1">
        <f t="array" aca="1" ref="D90" ca="1">IF(ISNUMBER(_xll.VoseSimPercentile(NPV,$B90)),_xll.VoseSimPercentile(NPV,$B90),NA())</f>
        <v>229.6914148086812</v>
      </c>
      <c r="E90" s="62">
        <f>0</f>
        <v>0</v>
      </c>
    </row>
    <row r="91" spans="2:5" hidden="1" outlineLevel="1" x14ac:dyDescent="0.45">
      <c r="B91" s="61">
        <v>0.73</v>
      </c>
      <c r="C91" s="61">
        <f t="shared" si="1"/>
        <v>0.27</v>
      </c>
      <c r="D91" s="62" cm="1">
        <f t="array" aca="1" ref="D91" ca="1">IF(ISNUMBER(_xll.VoseSimPercentile(NPV,$B91)),_xll.VoseSimPercentile(NPV,$B91),NA())</f>
        <v>236.82857681351331</v>
      </c>
      <c r="E91" s="62">
        <f>0</f>
        <v>0</v>
      </c>
    </row>
    <row r="92" spans="2:5" hidden="1" outlineLevel="1" x14ac:dyDescent="0.45">
      <c r="B92" s="61">
        <v>0.75</v>
      </c>
      <c r="C92" s="61">
        <f t="shared" si="1"/>
        <v>0.25</v>
      </c>
      <c r="D92" s="62" cm="1">
        <f t="array" aca="1" ref="D92" ca="1">IF(ISNUMBER(_xll.VoseSimPercentile(NPV,$B92)),_xll.VoseSimPercentile(NPV,$B92),NA())</f>
        <v>245.13980354129208</v>
      </c>
      <c r="E92" s="62">
        <f>0</f>
        <v>0</v>
      </c>
    </row>
    <row r="93" spans="2:5" hidden="1" outlineLevel="1" x14ac:dyDescent="0.45">
      <c r="B93" s="61">
        <v>0.77</v>
      </c>
      <c r="C93" s="61">
        <f t="shared" si="1"/>
        <v>0.22999999999999998</v>
      </c>
      <c r="D93" s="62" cm="1">
        <f t="array" aca="1" ref="D93" ca="1">IF(ISNUMBER(_xll.VoseSimPercentile(NPV,$B93)),_xll.VoseSimPercentile(NPV,$B93),NA())</f>
        <v>252.95671189963946</v>
      </c>
      <c r="E93" s="62">
        <f>0</f>
        <v>0</v>
      </c>
    </row>
    <row r="94" spans="2:5" hidden="1" outlineLevel="1" x14ac:dyDescent="0.45">
      <c r="B94" s="61">
        <v>0.79</v>
      </c>
      <c r="C94" s="61">
        <f t="shared" si="1"/>
        <v>0.20999999999999996</v>
      </c>
      <c r="D94" s="62" cm="1">
        <f t="array" aca="1" ref="D94" ca="1">IF(ISNUMBER(_xll.VoseSimPercentile(NPV,$B94)),_xll.VoseSimPercentile(NPV,$B94),NA())</f>
        <v>262.65069833908126</v>
      </c>
      <c r="E94" s="62">
        <f>0</f>
        <v>0</v>
      </c>
    </row>
    <row r="95" spans="2:5" hidden="1" outlineLevel="1" x14ac:dyDescent="0.45">
      <c r="B95" s="61">
        <v>0.81</v>
      </c>
      <c r="C95" s="61">
        <f t="shared" si="1"/>
        <v>0.18999999999999995</v>
      </c>
      <c r="D95" s="62" cm="1">
        <f t="array" aca="1" ref="D95" ca="1">IF(ISNUMBER(_xll.VoseSimPercentile(NPV,$B95)),_xll.VoseSimPercentile(NPV,$B95),NA())</f>
        <v>272.3253562462595</v>
      </c>
      <c r="E95" s="62">
        <f>0</f>
        <v>0</v>
      </c>
    </row>
    <row r="96" spans="2:5" hidden="1" outlineLevel="1" x14ac:dyDescent="0.45">
      <c r="B96" s="61">
        <v>0.83</v>
      </c>
      <c r="C96" s="61">
        <f t="shared" si="1"/>
        <v>0.17000000000000004</v>
      </c>
      <c r="D96" s="62" cm="1">
        <f t="array" aca="1" ref="D96" ca="1">IF(ISNUMBER(_xll.VoseSimPercentile(NPV,$B96)),_xll.VoseSimPercentile(NPV,$B96),NA())</f>
        <v>281.84770742267489</v>
      </c>
      <c r="E96" s="62">
        <f>0</f>
        <v>0</v>
      </c>
    </row>
    <row r="97" spans="2:7" hidden="1" outlineLevel="1" x14ac:dyDescent="0.45">
      <c r="B97" s="61">
        <v>0.85</v>
      </c>
      <c r="C97" s="61">
        <f t="shared" si="1"/>
        <v>0.15000000000000002</v>
      </c>
      <c r="D97" s="62" cm="1">
        <f t="array" aca="1" ref="D97" ca="1">IF(ISNUMBER(_xll.VoseSimPercentile(NPV,$B97)),_xll.VoseSimPercentile(NPV,$B97),NA())</f>
        <v>293.08422382805219</v>
      </c>
      <c r="E97" s="62">
        <f>0</f>
        <v>0</v>
      </c>
    </row>
    <row r="98" spans="2:7" hidden="1" outlineLevel="1" x14ac:dyDescent="0.45">
      <c r="B98" s="61">
        <v>0.87</v>
      </c>
      <c r="C98" s="61">
        <f t="shared" si="1"/>
        <v>0.13</v>
      </c>
      <c r="D98" s="62" cm="1">
        <f t="array" aca="1" ref="D98" ca="1">IF(ISNUMBER(_xll.VoseSimPercentile(NPV,$B98)),_xll.VoseSimPercentile(NPV,$B98),NA())</f>
        <v>306.40652954334564</v>
      </c>
      <c r="E98" s="62">
        <f>0</f>
        <v>0</v>
      </c>
    </row>
    <row r="99" spans="2:7" hidden="1" outlineLevel="1" x14ac:dyDescent="0.45">
      <c r="B99" s="61">
        <v>0.89</v>
      </c>
      <c r="C99" s="61">
        <f t="shared" si="1"/>
        <v>0.10999999999999999</v>
      </c>
      <c r="D99" s="62" cm="1">
        <f t="array" aca="1" ref="D99" ca="1">IF(ISNUMBER(_xll.VoseSimPercentile(NPV,$B99)),_xll.VoseSimPercentile(NPV,$B99),NA())</f>
        <v>320.04513511094967</v>
      </c>
      <c r="E99" s="62">
        <f>0</f>
        <v>0</v>
      </c>
    </row>
    <row r="100" spans="2:7" hidden="1" outlineLevel="1" x14ac:dyDescent="0.45">
      <c r="B100" s="61">
        <v>0.91</v>
      </c>
      <c r="C100" s="61">
        <f t="shared" si="1"/>
        <v>8.9999999999999969E-2</v>
      </c>
      <c r="D100" s="62" cm="1">
        <f t="array" aca="1" ref="D100" ca="1">IF(ISNUMBER(_xll.VoseSimPercentile(NPV,$B100)),_xll.VoseSimPercentile(NPV,$B100),NA())</f>
        <v>336.74482726307508</v>
      </c>
      <c r="E100" s="62">
        <f>0</f>
        <v>0</v>
      </c>
    </row>
    <row r="101" spans="2:7" hidden="1" outlineLevel="1" x14ac:dyDescent="0.45">
      <c r="B101" s="61">
        <v>0.93</v>
      </c>
      <c r="C101" s="61">
        <f t="shared" si="1"/>
        <v>6.9999999999999951E-2</v>
      </c>
      <c r="D101" s="62" cm="1">
        <f t="array" aca="1" ref="D101" ca="1">IF(ISNUMBER(_xll.VoseSimPercentile(NPV,$B101)),_xll.VoseSimPercentile(NPV,$B101),NA())</f>
        <v>357.58100565642718</v>
      </c>
      <c r="E101" s="62">
        <f>0</f>
        <v>0</v>
      </c>
    </row>
    <row r="102" spans="2:7" hidden="1" outlineLevel="1" x14ac:dyDescent="0.45">
      <c r="B102" s="61">
        <v>0.95</v>
      </c>
      <c r="C102" s="61">
        <f t="shared" si="1"/>
        <v>5.0000000000000044E-2</v>
      </c>
      <c r="D102" s="62" cm="1">
        <f t="array" aca="1" ref="D102" ca="1">IF(ISNUMBER(_xll.VoseSimPercentile(NPV,$B102)),_xll.VoseSimPercentile(NPV,$B102),NA())</f>
        <v>381.89689735391829</v>
      </c>
      <c r="E102" s="62">
        <f>0</f>
        <v>0</v>
      </c>
    </row>
    <row r="103" spans="2:7" hidden="1" outlineLevel="1" x14ac:dyDescent="0.45">
      <c r="B103" s="61">
        <v>0.97</v>
      </c>
      <c r="C103" s="61">
        <f t="shared" si="1"/>
        <v>3.0000000000000027E-2</v>
      </c>
      <c r="D103" s="62" cm="1">
        <f t="array" aca="1" ref="D103" ca="1">IF(ISNUMBER(_xll.VoseSimPercentile(NPV,$B103)),_xll.VoseSimPercentile(NPV,$B103),NA())</f>
        <v>417.9718924801079</v>
      </c>
      <c r="E103" s="62">
        <f>0</f>
        <v>0</v>
      </c>
    </row>
    <row r="104" spans="2:7" hidden="1" outlineLevel="1" x14ac:dyDescent="0.45">
      <c r="B104" s="61">
        <v>0.99</v>
      </c>
      <c r="C104" s="61">
        <f t="shared" si="1"/>
        <v>1.0000000000000009E-2</v>
      </c>
      <c r="D104" s="62" cm="1">
        <f t="array" aca="1" ref="D104" ca="1">IF(ISNUMBER(_xll.VoseSimPercentile(NPV,$B104)),_xll.VoseSimPercentile(NPV,$B104),NA())</f>
        <v>482.95161232552357</v>
      </c>
      <c r="E104" s="62">
        <f>0</f>
        <v>0</v>
      </c>
    </row>
    <row r="105" spans="2:7" hidden="1" outlineLevel="1" x14ac:dyDescent="0.45"/>
    <row r="106" spans="2:7" ht="28.05" hidden="1" customHeight="1" outlineLevel="1" x14ac:dyDescent="0.45">
      <c r="B106" s="23" t="s">
        <v>233</v>
      </c>
      <c r="C106" s="24" t="s">
        <v>234</v>
      </c>
      <c r="D106" s="24" t="s">
        <v>206</v>
      </c>
      <c r="E106" s="24" t="s">
        <v>235</v>
      </c>
      <c r="F106" s="24" t="s">
        <v>102</v>
      </c>
      <c r="G106" s="5"/>
    </row>
    <row r="107" spans="2:7" hidden="1" outlineLevel="1" x14ac:dyDescent="0.45">
      <c r="B107" s="63" t="s">
        <v>151</v>
      </c>
      <c r="C107" s="62" cm="1">
        <f t="array" aca="1" ref="C107" ca="1">IF(ISNUMBER(_xll.VoseSimPercentile(CF_1,0.1)),_xll.VoseSimPercentile(CF_1,0.1),NA())</f>
        <v>-0.15575716225834385</v>
      </c>
      <c r="D107" s="62" cm="1">
        <f t="array" aca="1" ref="D107" ca="1">IF(ISNUMBER(_xll.VoseSimPercentile(CF_1,0.5)),_xll.VoseSimPercentile(CF_1,0.5),NA())</f>
        <v>17.100704351054262</v>
      </c>
      <c r="E107" s="62" cm="1">
        <f t="array" aca="1" ref="E107" ca="1">IF(ISNUMBER(_xll.VoseSimPercentile(CF_1,0.9)),_xll.VoseSimPercentile(CF_1,0.9),NA())</f>
        <v>38.33012668221005</v>
      </c>
      <c r="F107" s="62" cm="1">
        <f t="array" aca="1" ref="F107" ca="1">IF(ISNUMBER(_xll.VoseSimMean(CF_1)),_xll.VoseSimMean(CF_1),NA())</f>
        <v>18.098808221808486</v>
      </c>
    </row>
    <row r="108" spans="2:7" hidden="1" outlineLevel="1" x14ac:dyDescent="0.45">
      <c r="B108" s="63" t="s">
        <v>152</v>
      </c>
      <c r="C108" s="62" cm="1">
        <f t="array" aca="1" ref="C108" ca="1">IF(ISNUMBER(_xll.VoseSimPercentile(CF_2,0.1)),_xll.VoseSimPercentile(CF_2,0.1),NA())</f>
        <v>2.0500902491625355</v>
      </c>
      <c r="D108" s="62" cm="1">
        <f t="array" aca="1" ref="D108" ca="1">IF(ISNUMBER(_xll.VoseSimPercentile(CF_2,0.5)),_xll.VoseSimPercentile(CF_2,0.5),NA())</f>
        <v>20.725686232165348</v>
      </c>
      <c r="E108" s="62" cm="1">
        <f t="array" aca="1" ref="E108" ca="1">IF(ISNUMBER(_xll.VoseSimPercentile(CF_2,0.9)),_xll.VoseSimPercentile(CF_2,0.9),NA())</f>
        <v>43.061170518667247</v>
      </c>
      <c r="F108" s="62" cm="1">
        <f t="array" aca="1" ref="F108" ca="1">IF(ISNUMBER(_xll.VoseSimMean(CF_2)),_xll.VoseSimMean(CF_2),NA())</f>
        <v>21.754633769095161</v>
      </c>
    </row>
    <row r="109" spans="2:7" hidden="1" outlineLevel="1" x14ac:dyDescent="0.45">
      <c r="B109" s="63" t="s">
        <v>153</v>
      </c>
      <c r="C109" s="62" cm="1">
        <f t="array" aca="1" ref="C109" ca="1">IF(ISNUMBER(_xll.VoseSimPercentile(CF_3,0.1)),_xll.VoseSimPercentile(CF_3,0.1),NA())</f>
        <v>3.7803913994840315</v>
      </c>
      <c r="D109" s="62" cm="1">
        <f t="array" aca="1" ref="D109" ca="1">IF(ISNUMBER(_xll.VoseSimPercentile(CF_3,0.5)),_xll.VoseSimPercentile(CF_3,0.5),NA())</f>
        <v>24.461382543183149</v>
      </c>
      <c r="E109" s="62" cm="1">
        <f t="array" aca="1" ref="E109" ca="1">IF(ISNUMBER(_xll.VoseSimPercentile(CF_3,0.9)),_xll.VoseSimPercentile(CF_3,0.9),NA())</f>
        <v>49.19308294717834</v>
      </c>
      <c r="F109" s="62" cm="1">
        <f t="array" aca="1" ref="F109" ca="1">IF(ISNUMBER(_xll.VoseSimMean(CF_3)),_xll.VoseSimMean(CF_3),NA())</f>
        <v>25.665408833911872</v>
      </c>
    </row>
    <row r="110" spans="2:7" hidden="1" outlineLevel="1" x14ac:dyDescent="0.45">
      <c r="B110" s="63" t="s">
        <v>154</v>
      </c>
      <c r="C110" s="62" cm="1">
        <f t="array" aca="1" ref="C110" ca="1">IF(ISNUMBER(_xll.VoseSimPercentile(CF_4,0.1)),_xll.VoseSimPercentile(CF_4,0.1),NA())</f>
        <v>4.6369276845183114</v>
      </c>
      <c r="D110" s="62" cm="1">
        <f t="array" aca="1" ref="D110" ca="1">IF(ISNUMBER(_xll.VoseSimPercentile(CF_4,0.5)),_xll.VoseSimPercentile(CF_4,0.5),NA())</f>
        <v>28.080971451595754</v>
      </c>
      <c r="E110" s="62" cm="1">
        <f t="array" aca="1" ref="E110" ca="1">IF(ISNUMBER(_xll.VoseSimPercentile(CF_4,0.9)),_xll.VoseSimPercentile(CF_4,0.9),NA())</f>
        <v>57.046857324871688</v>
      </c>
      <c r="F110" s="62" cm="1">
        <f t="array" aca="1" ref="F110" ca="1">IF(ISNUMBER(_xll.VoseSimMean(CF_4)),_xll.VoseSimMean(CF_4),NA())</f>
        <v>29.848931836096902</v>
      </c>
    </row>
    <row r="111" spans="2:7" hidden="1" outlineLevel="1" x14ac:dyDescent="0.45">
      <c r="B111" s="63" t="s">
        <v>155</v>
      </c>
      <c r="C111" s="62" cm="1">
        <f t="array" aca="1" ref="C111" ca="1">IF(ISNUMBER(_xll.VoseSimPercentile(CF_5,0.1)),_xll.VoseSimPercentile(CF_5,0.1),NA())</f>
        <v>4.7856196253391419</v>
      </c>
      <c r="D111" s="62" cm="1">
        <f t="array" aca="1" ref="D111" ca="1">IF(ISNUMBER(_xll.VoseSimPercentile(CF_5,0.5)),_xll.VoseSimPercentile(CF_5,0.5),NA())</f>
        <v>32.106148538491759</v>
      </c>
      <c r="E111" s="62" cm="1">
        <f t="array" aca="1" ref="E111" ca="1">IF(ISNUMBER(_xll.VoseSimPercentile(CF_5,0.9)),_xll.VoseSimPercentile(CF_5,0.9),NA())</f>
        <v>66.378314711976458</v>
      </c>
      <c r="F111" s="62" cm="1">
        <f t="array" aca="1" ref="F111" ca="1">IF(ISNUMBER(_xll.VoseSimMean(CF_5)),_xll.VoseSimMean(CF_5),NA())</f>
        <v>34.324469985024557</v>
      </c>
    </row>
    <row r="112" spans="2:7" hidden="1" outlineLevel="1" x14ac:dyDescent="0.45">
      <c r="B112" s="63" t="s">
        <v>156</v>
      </c>
      <c r="C112" s="62" cm="1">
        <f t="array" aca="1" ref="C112" ca="1">IF(ISNUMBER(_xll.VoseSimPercentile(CF_6,0.1)),_xll.VoseSimPercentile(CF_6,0.1),NA())</f>
        <v>4.6633594712487652</v>
      </c>
      <c r="D112" s="62" cm="1">
        <f t="array" aca="1" ref="D112" ca="1">IF(ISNUMBER(_xll.VoseSimPercentile(CF_6,0.5)),_xll.VoseSimPercentile(CF_6,0.5),NA())</f>
        <v>36.22849603217167</v>
      </c>
      <c r="E112" s="62" cm="1">
        <f t="array" aca="1" ref="E112" ca="1">IF(ISNUMBER(_xll.VoseSimPercentile(CF_6,0.9)),_xll.VoseSimPercentile(CF_6,0.9),NA())</f>
        <v>76.865261002343985</v>
      </c>
      <c r="F112" s="62" cm="1">
        <f t="array" aca="1" ref="F112" ca="1">IF(ISNUMBER(_xll.VoseSimMean(CF_6)),_xll.VoseSimMean(CF_6),NA())</f>
        <v>39.112885634522897</v>
      </c>
    </row>
    <row r="113" spans="2:6" hidden="1" outlineLevel="1" x14ac:dyDescent="0.45">
      <c r="B113" s="63" t="s">
        <v>157</v>
      </c>
      <c r="C113" s="62" cm="1">
        <f t="array" aca="1" ref="C113" ca="1">IF(ISNUMBER(_xll.VoseSimPercentile(CF_7,0.1)),_xll.VoseSimPercentile(CF_7,0.1),NA())</f>
        <v>4.3735900969489023</v>
      </c>
      <c r="D113" s="62" cm="1">
        <f t="array" aca="1" ref="D113" ca="1">IF(ISNUMBER(_xll.VoseSimPercentile(CF_7,0.5)),_xll.VoseSimPercentile(CF_7,0.5),NA())</f>
        <v>40.544397144901446</v>
      </c>
      <c r="E113" s="62" cm="1">
        <f t="array" aca="1" ref="E113" ca="1">IF(ISNUMBER(_xll.VoseSimPercentile(CF_7,0.9)),_xll.VoseSimPercentile(CF_7,0.9),NA())</f>
        <v>89.09736988169081</v>
      </c>
      <c r="F113" s="62" cm="1">
        <f t="array" aca="1" ref="F113" ca="1">IF(ISNUMBER(_xll.VoseSimMean(CF_7)),_xll.VoseSimMean(CF_7),NA())</f>
        <v>44.236774177342042</v>
      </c>
    </row>
    <row r="114" spans="2:6" hidden="1" outlineLevel="1" x14ac:dyDescent="0.45">
      <c r="B114" s="63" t="s">
        <v>158</v>
      </c>
      <c r="C114" s="62" cm="1">
        <f t="array" aca="1" ref="C114" ca="1">IF(ISNUMBER(_xll.VoseSimPercentile(CF_8,0.1)),_xll.VoseSimPercentile(CF_8,0.1),NA())</f>
        <v>3.8299510294999153</v>
      </c>
      <c r="D114" s="62" cm="1">
        <f t="array" aca="1" ref="D114" ca="1">IF(ISNUMBER(_xll.VoseSimPercentile(CF_8,0.5)),_xll.VoseSimPercentile(CF_8,0.5),NA())</f>
        <v>44.725395846217062</v>
      </c>
      <c r="E114" s="62" cm="1">
        <f t="array" aca="1" ref="E114" ca="1">IF(ISNUMBER(_xll.VoseSimPercentile(CF_8,0.9)),_xll.VoseSimPercentile(CF_8,0.9),NA())</f>
        <v>102.12965996983594</v>
      </c>
      <c r="F114" s="62" cm="1">
        <f t="array" aca="1" ref="F114" ca="1">IF(ISNUMBER(_xll.VoseSimMean(CF_8)),_xll.VoseSimMean(CF_8),NA())</f>
        <v>49.720614567079096</v>
      </c>
    </row>
    <row r="115" spans="2:6" hidden="1" outlineLevel="1" x14ac:dyDescent="0.45">
      <c r="B115" s="63" t="s">
        <v>159</v>
      </c>
      <c r="C115" s="62" cm="1">
        <f t="array" aca="1" ref="C115" ca="1">IF(ISNUMBER(_xll.VoseSimPercentile(CF_9,0.1)),_xll.VoseSimPercentile(CF_9,0.1),NA())</f>
        <v>3.1063862799526007</v>
      </c>
      <c r="D115" s="62" cm="1">
        <f t="array" aca="1" ref="D115" ca="1">IF(ISNUMBER(_xll.VoseSimPercentile(CF_9,0.5)),_xll.VoseSimPercentile(CF_9,0.5),NA())</f>
        <v>49.362968077088453</v>
      </c>
      <c r="E115" s="62" cm="1">
        <f t="array" aca="1" ref="E115" ca="1">IF(ISNUMBER(_xll.VoseSimPercentile(CF_9,0.9)),_xll.VoseSimPercentile(CF_9,0.9),NA())</f>
        <v>116.46775220553221</v>
      </c>
      <c r="F115" s="62" cm="1">
        <f t="array" aca="1" ref="F115" ca="1">IF(ISNUMBER(_xll.VoseSimMean(CF_9)),_xll.VoseSimMean(CF_9),NA())</f>
        <v>55.590933661178347</v>
      </c>
    </row>
  </sheetData>
  <mergeCells count="5">
    <mergeCell ref="B47:G47"/>
    <mergeCell ref="B46:G46"/>
    <mergeCell ref="B45:G45"/>
    <mergeCell ref="B49:G49"/>
    <mergeCell ref="B48:G48"/>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07:F115">
    <cfRule type="expression" dxfId="1" priority="4">
      <formula>ISNA(C107)</formula>
    </cfRule>
  </conditionalFormatting>
  <conditionalFormatting sqref="D55:E104">
    <cfRule type="expression" dxfId="0" priority="3">
      <formula>ISNA(D55)</formula>
    </cfRule>
  </conditionalFormatting>
  <hyperlinks>
    <hyperlink ref="B4" location="'Precision'!A1" display="◂  Precision" xr:uid="{00000000-0004-0000-04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506E9-4056-4394-90AB-1FFA7999D5B1}">
  <dimension ref="A1:B1"/>
  <sheetViews>
    <sheetView workbookViewId="0"/>
  </sheetViews>
  <sheetFormatPr defaultRowHeight="14.25" x14ac:dyDescent="0.45"/>
  <sheetData>
    <row r="1" spans="1:2" x14ac:dyDescent="0.45">
      <c r="A1" s="68" t="s">
        <v>236</v>
      </c>
      <c r="B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4DF9B-605A-44B7-A199-5C31782257BD}">
  <dimension ref="A1"/>
  <sheetViews>
    <sheetView workbookViewId="0"/>
  </sheetViews>
  <sheetFormatPr defaultRowHeight="14.25" x14ac:dyDescent="0.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F2859-D374-4DD0-B338-7D4AC1834994}">
  <dimension ref="B3:B152"/>
  <sheetViews>
    <sheetView workbookViewId="0"/>
  </sheetViews>
  <sheetFormatPr defaultRowHeight="14.25" x14ac:dyDescent="0.45"/>
  <sheetData>
    <row r="3" spans="2:2" x14ac:dyDescent="0.45">
      <c r="B3">
        <v>17</v>
      </c>
    </row>
    <row r="4" spans="2:2" x14ac:dyDescent="0.45">
      <c r="B4">
        <v>110</v>
      </c>
    </row>
    <row r="5" spans="2:2" x14ac:dyDescent="0.45">
      <c r="B5">
        <v>240</v>
      </c>
    </row>
    <row r="6" spans="2:2" x14ac:dyDescent="0.45">
      <c r="B6">
        <v>349</v>
      </c>
    </row>
    <row r="7" spans="2:2" x14ac:dyDescent="0.45">
      <c r="B7">
        <v>382</v>
      </c>
    </row>
    <row r="8" spans="2:2" x14ac:dyDescent="0.45">
      <c r="B8">
        <v>307</v>
      </c>
    </row>
    <row r="9" spans="2:2" x14ac:dyDescent="0.45">
      <c r="B9">
        <v>270</v>
      </c>
    </row>
    <row r="10" spans="2:2" x14ac:dyDescent="0.45">
      <c r="B10">
        <v>177</v>
      </c>
    </row>
    <row r="11" spans="2:2" x14ac:dyDescent="0.45">
      <c r="B11">
        <v>105</v>
      </c>
    </row>
    <row r="12" spans="2:2" x14ac:dyDescent="0.45">
      <c r="B12">
        <v>43</v>
      </c>
    </row>
    <row r="13" spans="2:2" x14ac:dyDescent="0.45">
      <c r="B13">
        <v>19</v>
      </c>
    </row>
    <row r="14" spans="2:2" x14ac:dyDescent="0.45">
      <c r="B14">
        <v>123</v>
      </c>
    </row>
    <row r="15" spans="2:2" x14ac:dyDescent="0.45">
      <c r="B15">
        <v>262</v>
      </c>
    </row>
    <row r="16" spans="2:2" x14ac:dyDescent="0.45">
      <c r="B16">
        <v>397</v>
      </c>
    </row>
    <row r="17" spans="2:2" x14ac:dyDescent="0.45">
      <c r="B17">
        <v>418</v>
      </c>
    </row>
    <row r="18" spans="2:2" x14ac:dyDescent="0.45">
      <c r="B18">
        <v>289</v>
      </c>
    </row>
    <row r="19" spans="2:2" x14ac:dyDescent="0.45">
      <c r="B19">
        <v>236</v>
      </c>
    </row>
    <row r="20" spans="2:2" x14ac:dyDescent="0.45">
      <c r="B20">
        <v>167</v>
      </c>
    </row>
    <row r="21" spans="2:2" x14ac:dyDescent="0.45">
      <c r="B21">
        <v>66</v>
      </c>
    </row>
    <row r="22" spans="2:2" x14ac:dyDescent="0.45">
      <c r="B22">
        <v>23</v>
      </c>
    </row>
    <row r="23" spans="2:2" x14ac:dyDescent="0.45">
      <c r="B23">
        <v>31</v>
      </c>
    </row>
    <row r="24" spans="2:2" x14ac:dyDescent="0.45">
      <c r="B24">
        <v>175</v>
      </c>
    </row>
    <row r="25" spans="2:2" x14ac:dyDescent="0.45">
      <c r="B25">
        <v>327</v>
      </c>
    </row>
    <row r="26" spans="2:2" x14ac:dyDescent="0.45">
      <c r="B26">
        <v>434</v>
      </c>
    </row>
    <row r="27" spans="2:2" x14ac:dyDescent="0.45">
      <c r="B27">
        <v>386</v>
      </c>
    </row>
    <row r="28" spans="2:2" x14ac:dyDescent="0.45">
      <c r="B28">
        <v>281</v>
      </c>
    </row>
    <row r="29" spans="2:2" x14ac:dyDescent="0.45">
      <c r="B29">
        <v>214</v>
      </c>
    </row>
    <row r="30" spans="2:2" x14ac:dyDescent="0.45">
      <c r="B30">
        <v>103</v>
      </c>
    </row>
    <row r="31" spans="2:2" x14ac:dyDescent="0.45">
      <c r="B31">
        <v>34</v>
      </c>
    </row>
    <row r="32" spans="2:2" x14ac:dyDescent="0.45">
      <c r="B32">
        <v>15</v>
      </c>
    </row>
    <row r="33" spans="2:2" x14ac:dyDescent="0.45">
      <c r="B33">
        <v>47</v>
      </c>
    </row>
    <row r="34" spans="2:2" x14ac:dyDescent="0.45">
      <c r="B34">
        <v>214</v>
      </c>
    </row>
    <row r="35" spans="2:2" x14ac:dyDescent="0.45">
      <c r="B35">
        <v>399</v>
      </c>
    </row>
    <row r="36" spans="2:2" x14ac:dyDescent="0.45">
      <c r="B36">
        <v>448</v>
      </c>
    </row>
    <row r="37" spans="2:2" x14ac:dyDescent="0.45">
      <c r="B37">
        <v>355</v>
      </c>
    </row>
    <row r="38" spans="2:2" x14ac:dyDescent="0.45">
      <c r="B38">
        <v>274</v>
      </c>
    </row>
    <row r="39" spans="2:2" x14ac:dyDescent="0.45">
      <c r="B39">
        <v>153</v>
      </c>
    </row>
    <row r="40" spans="2:2" x14ac:dyDescent="0.45">
      <c r="B40">
        <v>74</v>
      </c>
    </row>
    <row r="41" spans="2:2" x14ac:dyDescent="0.45">
      <c r="B41">
        <v>29</v>
      </c>
    </row>
    <row r="42" spans="2:2" x14ac:dyDescent="0.45">
      <c r="B42">
        <v>7</v>
      </c>
    </row>
    <row r="43" spans="2:2" x14ac:dyDescent="0.45">
      <c r="B43">
        <v>53</v>
      </c>
    </row>
    <row r="44" spans="2:2" x14ac:dyDescent="0.45">
      <c r="B44">
        <v>236</v>
      </c>
    </row>
    <row r="45" spans="2:2" x14ac:dyDescent="0.45">
      <c r="B45">
        <v>422</v>
      </c>
    </row>
    <row r="46" spans="2:2" x14ac:dyDescent="0.45">
      <c r="B46">
        <v>471</v>
      </c>
    </row>
    <row r="47" spans="2:2" x14ac:dyDescent="0.45">
      <c r="B47">
        <v>353</v>
      </c>
    </row>
    <row r="48" spans="2:2" x14ac:dyDescent="0.45">
      <c r="B48">
        <v>243</v>
      </c>
    </row>
    <row r="49" spans="2:2" x14ac:dyDescent="0.45">
      <c r="B49">
        <v>133</v>
      </c>
    </row>
    <row r="50" spans="2:2" x14ac:dyDescent="0.45">
      <c r="B50">
        <v>58</v>
      </c>
    </row>
    <row r="51" spans="2:2" x14ac:dyDescent="0.45">
      <c r="B51">
        <v>24</v>
      </c>
    </row>
    <row r="52" spans="2:2" x14ac:dyDescent="0.45">
      <c r="B52">
        <v>7</v>
      </c>
    </row>
    <row r="53" spans="2:2" x14ac:dyDescent="0.45">
      <c r="B53">
        <v>62</v>
      </c>
    </row>
    <row r="54" spans="2:2" x14ac:dyDescent="0.45">
      <c r="B54">
        <v>265</v>
      </c>
    </row>
    <row r="55" spans="2:2" x14ac:dyDescent="0.45">
      <c r="B55">
        <v>440</v>
      </c>
    </row>
    <row r="56" spans="2:2" x14ac:dyDescent="0.45">
      <c r="B56">
        <v>482</v>
      </c>
    </row>
    <row r="57" spans="2:2" x14ac:dyDescent="0.45">
      <c r="B57">
        <v>336</v>
      </c>
    </row>
    <row r="58" spans="2:2" x14ac:dyDescent="0.45">
      <c r="B58">
        <v>223</v>
      </c>
    </row>
    <row r="59" spans="2:2" x14ac:dyDescent="0.45">
      <c r="B59">
        <v>113</v>
      </c>
    </row>
    <row r="60" spans="2:2" x14ac:dyDescent="0.45">
      <c r="B60">
        <v>51</v>
      </c>
    </row>
    <row r="61" spans="2:2" x14ac:dyDescent="0.45">
      <c r="B61">
        <v>21</v>
      </c>
    </row>
    <row r="62" spans="2:2" x14ac:dyDescent="0.45">
      <c r="B62">
        <v>7</v>
      </c>
    </row>
    <row r="63" spans="2:2" x14ac:dyDescent="0.45">
      <c r="B63">
        <v>80</v>
      </c>
    </row>
    <row r="64" spans="2:2" x14ac:dyDescent="0.45">
      <c r="B64">
        <v>297</v>
      </c>
    </row>
    <row r="65" spans="2:2" x14ac:dyDescent="0.45">
      <c r="B65">
        <v>468</v>
      </c>
    </row>
    <row r="66" spans="2:2" x14ac:dyDescent="0.45">
      <c r="B66">
        <v>460</v>
      </c>
    </row>
    <row r="67" spans="2:2" x14ac:dyDescent="0.45">
      <c r="B67">
        <v>317</v>
      </c>
    </row>
    <row r="68" spans="2:2" x14ac:dyDescent="0.45">
      <c r="B68">
        <v>194</v>
      </c>
    </row>
    <row r="69" spans="2:2" x14ac:dyDescent="0.45">
      <c r="B69">
        <v>112</v>
      </c>
    </row>
    <row r="70" spans="2:2" x14ac:dyDescent="0.45">
      <c r="B70">
        <v>49</v>
      </c>
    </row>
    <row r="71" spans="2:2" x14ac:dyDescent="0.45">
      <c r="B71">
        <v>16</v>
      </c>
    </row>
    <row r="72" spans="2:2" x14ac:dyDescent="0.45">
      <c r="B72">
        <v>7</v>
      </c>
    </row>
    <row r="73" spans="2:2" x14ac:dyDescent="0.45">
      <c r="B73">
        <v>98</v>
      </c>
    </row>
    <row r="74" spans="2:2" x14ac:dyDescent="0.45">
      <c r="B74">
        <v>343</v>
      </c>
    </row>
    <row r="75" spans="2:2" x14ac:dyDescent="0.45">
      <c r="B75">
        <v>486</v>
      </c>
    </row>
    <row r="76" spans="2:2" x14ac:dyDescent="0.45">
      <c r="B76">
        <v>441</v>
      </c>
    </row>
    <row r="77" spans="2:2" x14ac:dyDescent="0.45">
      <c r="B77">
        <v>283</v>
      </c>
    </row>
    <row r="78" spans="2:2" x14ac:dyDescent="0.45">
      <c r="B78">
        <v>180</v>
      </c>
    </row>
    <row r="79" spans="2:2" x14ac:dyDescent="0.45">
      <c r="B79">
        <v>103</v>
      </c>
    </row>
    <row r="80" spans="2:2" x14ac:dyDescent="0.45">
      <c r="B80">
        <v>44</v>
      </c>
    </row>
    <row r="81" spans="2:2" x14ac:dyDescent="0.45">
      <c r="B81">
        <v>15</v>
      </c>
    </row>
    <row r="82" spans="2:2" x14ac:dyDescent="0.45">
      <c r="B82">
        <v>7</v>
      </c>
    </row>
    <row r="83" spans="2:2" x14ac:dyDescent="0.45">
      <c r="B83">
        <v>122</v>
      </c>
    </row>
    <row r="84" spans="2:2" x14ac:dyDescent="0.45">
      <c r="B84">
        <v>379</v>
      </c>
    </row>
    <row r="85" spans="2:2" x14ac:dyDescent="0.45">
      <c r="B85">
        <v>504</v>
      </c>
    </row>
    <row r="86" spans="2:2" x14ac:dyDescent="0.45">
      <c r="B86">
        <v>424</v>
      </c>
    </row>
    <row r="87" spans="2:2" x14ac:dyDescent="0.45">
      <c r="B87">
        <v>250</v>
      </c>
    </row>
    <row r="88" spans="2:2" x14ac:dyDescent="0.45">
      <c r="B88">
        <v>164</v>
      </c>
    </row>
    <row r="89" spans="2:2" x14ac:dyDescent="0.45">
      <c r="B89">
        <v>89</v>
      </c>
    </row>
    <row r="90" spans="2:2" x14ac:dyDescent="0.45">
      <c r="B90">
        <v>48</v>
      </c>
    </row>
    <row r="91" spans="2:2" x14ac:dyDescent="0.45">
      <c r="B91">
        <v>14</v>
      </c>
    </row>
    <row r="92" spans="2:2" x14ac:dyDescent="0.45">
      <c r="B92">
        <v>6</v>
      </c>
    </row>
    <row r="93" spans="2:2" x14ac:dyDescent="0.45">
      <c r="B93">
        <v>58</v>
      </c>
    </row>
    <row r="94" spans="2:2" x14ac:dyDescent="0.45">
      <c r="B94">
        <v>248</v>
      </c>
    </row>
    <row r="95" spans="2:2" x14ac:dyDescent="0.45">
      <c r="B95">
        <v>419</v>
      </c>
    </row>
    <row r="96" spans="2:2" x14ac:dyDescent="0.45">
      <c r="B96">
        <v>462</v>
      </c>
    </row>
    <row r="97" spans="2:2" x14ac:dyDescent="0.45">
      <c r="B97">
        <v>338</v>
      </c>
    </row>
    <row r="98" spans="2:2" x14ac:dyDescent="0.45">
      <c r="B98">
        <v>264</v>
      </c>
    </row>
    <row r="99" spans="2:2" x14ac:dyDescent="0.45">
      <c r="B99">
        <v>126</v>
      </c>
    </row>
    <row r="100" spans="2:2" x14ac:dyDescent="0.45">
      <c r="B100">
        <v>56</v>
      </c>
    </row>
    <row r="101" spans="2:2" x14ac:dyDescent="0.45">
      <c r="B101">
        <v>22</v>
      </c>
    </row>
    <row r="102" spans="2:2" x14ac:dyDescent="0.45">
      <c r="B102">
        <v>7</v>
      </c>
    </row>
    <row r="103" spans="2:2" x14ac:dyDescent="0.45">
      <c r="B103">
        <v>91</v>
      </c>
    </row>
    <row r="104" spans="2:2" x14ac:dyDescent="0.45">
      <c r="B104">
        <v>231</v>
      </c>
    </row>
    <row r="105" spans="2:2" x14ac:dyDescent="0.45">
      <c r="B105">
        <v>357</v>
      </c>
    </row>
    <row r="106" spans="2:2" x14ac:dyDescent="0.45">
      <c r="B106">
        <v>357</v>
      </c>
    </row>
    <row r="107" spans="2:2" x14ac:dyDescent="0.45">
      <c r="B107">
        <v>327</v>
      </c>
    </row>
    <row r="108" spans="2:2" x14ac:dyDescent="0.45">
      <c r="B108">
        <v>222</v>
      </c>
    </row>
    <row r="109" spans="2:2" x14ac:dyDescent="0.45">
      <c r="B109">
        <v>175</v>
      </c>
    </row>
    <row r="110" spans="2:2" x14ac:dyDescent="0.45">
      <c r="B110">
        <v>123</v>
      </c>
    </row>
    <row r="111" spans="2:2" x14ac:dyDescent="0.45">
      <c r="B111">
        <v>79</v>
      </c>
    </row>
    <row r="112" spans="2:2" x14ac:dyDescent="0.45">
      <c r="B112">
        <v>38</v>
      </c>
    </row>
    <row r="113" spans="2:2" x14ac:dyDescent="0.45">
      <c r="B113">
        <v>42</v>
      </c>
    </row>
    <row r="114" spans="2:2" x14ac:dyDescent="0.45">
      <c r="B114">
        <v>83</v>
      </c>
    </row>
    <row r="115" spans="2:2" x14ac:dyDescent="0.45">
      <c r="B115">
        <v>137</v>
      </c>
    </row>
    <row r="116" spans="2:2" x14ac:dyDescent="0.45">
      <c r="B116">
        <v>190</v>
      </c>
    </row>
    <row r="117" spans="2:2" x14ac:dyDescent="0.45">
      <c r="B117">
        <v>235</v>
      </c>
    </row>
    <row r="118" spans="2:2" x14ac:dyDescent="0.45">
      <c r="B118">
        <v>270</v>
      </c>
    </row>
    <row r="119" spans="2:2" x14ac:dyDescent="0.45">
      <c r="B119">
        <v>354</v>
      </c>
    </row>
    <row r="120" spans="2:2" x14ac:dyDescent="0.45">
      <c r="B120">
        <v>372</v>
      </c>
    </row>
    <row r="121" spans="2:2" x14ac:dyDescent="0.45">
      <c r="B121">
        <v>245</v>
      </c>
    </row>
    <row r="122" spans="2:2" x14ac:dyDescent="0.45">
      <c r="B122">
        <v>72</v>
      </c>
    </row>
    <row r="123" spans="2:2" x14ac:dyDescent="0.45">
      <c r="B123">
        <v>60</v>
      </c>
    </row>
    <row r="124" spans="2:2" x14ac:dyDescent="0.45">
      <c r="B124">
        <v>146</v>
      </c>
    </row>
    <row r="125" spans="2:2" x14ac:dyDescent="0.45">
      <c r="B125">
        <v>255</v>
      </c>
    </row>
    <row r="126" spans="2:2" x14ac:dyDescent="0.45">
      <c r="B126">
        <v>366</v>
      </c>
    </row>
    <row r="127" spans="2:2" x14ac:dyDescent="0.45">
      <c r="B127">
        <v>344</v>
      </c>
    </row>
    <row r="128" spans="2:2" x14ac:dyDescent="0.45">
      <c r="B128">
        <v>277</v>
      </c>
    </row>
    <row r="129" spans="2:2" x14ac:dyDescent="0.45">
      <c r="B129">
        <v>229</v>
      </c>
    </row>
    <row r="130" spans="2:2" x14ac:dyDescent="0.45">
      <c r="B130">
        <v>165</v>
      </c>
    </row>
    <row r="131" spans="2:2" x14ac:dyDescent="0.45">
      <c r="B131">
        <v>115</v>
      </c>
    </row>
    <row r="132" spans="2:2" x14ac:dyDescent="0.45">
      <c r="B132">
        <v>43</v>
      </c>
    </row>
    <row r="133" spans="2:2" x14ac:dyDescent="0.45">
      <c r="B133">
        <v>42</v>
      </c>
    </row>
    <row r="134" spans="2:2" x14ac:dyDescent="0.45">
      <c r="B134">
        <v>146</v>
      </c>
    </row>
    <row r="135" spans="2:2" x14ac:dyDescent="0.45">
      <c r="B135">
        <v>207</v>
      </c>
    </row>
    <row r="136" spans="2:2" x14ac:dyDescent="0.45">
      <c r="B136">
        <v>289</v>
      </c>
    </row>
    <row r="137" spans="2:2" x14ac:dyDescent="0.45">
      <c r="B137">
        <v>408</v>
      </c>
    </row>
    <row r="138" spans="2:2" x14ac:dyDescent="0.45">
      <c r="B138">
        <v>293</v>
      </c>
    </row>
    <row r="139" spans="2:2" x14ac:dyDescent="0.45">
      <c r="B139">
        <v>265</v>
      </c>
    </row>
    <row r="140" spans="2:2" x14ac:dyDescent="0.45">
      <c r="B140">
        <v>178</v>
      </c>
    </row>
    <row r="141" spans="2:2" x14ac:dyDescent="0.45">
      <c r="B141">
        <v>115</v>
      </c>
    </row>
    <row r="142" spans="2:2" x14ac:dyDescent="0.45">
      <c r="B142">
        <v>57</v>
      </c>
    </row>
    <row r="143" spans="2:2" x14ac:dyDescent="0.45">
      <c r="B143">
        <v>108</v>
      </c>
    </row>
    <row r="144" spans="2:2" x14ac:dyDescent="0.45">
      <c r="B144">
        <v>303</v>
      </c>
    </row>
    <row r="145" spans="2:2" x14ac:dyDescent="0.45">
      <c r="B145">
        <v>327</v>
      </c>
    </row>
    <row r="146" spans="2:2" x14ac:dyDescent="0.45">
      <c r="B146">
        <v>336</v>
      </c>
    </row>
    <row r="147" spans="2:2" x14ac:dyDescent="0.45">
      <c r="B147">
        <v>278</v>
      </c>
    </row>
    <row r="148" spans="2:2" x14ac:dyDescent="0.45">
      <c r="B148">
        <v>234</v>
      </c>
    </row>
    <row r="149" spans="2:2" x14ac:dyDescent="0.45">
      <c r="B149">
        <v>166</v>
      </c>
    </row>
    <row r="150" spans="2:2" x14ac:dyDescent="0.45">
      <c r="B150">
        <v>127</v>
      </c>
    </row>
    <row r="151" spans="2:2" x14ac:dyDescent="0.45">
      <c r="B151">
        <v>97</v>
      </c>
    </row>
    <row r="152" spans="2:2" x14ac:dyDescent="0.45">
      <c r="B152">
        <v>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884">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mr:Charts>
</mr:ModelRisk>
</file>

<file path=customXml/itemProps1.xml><?xml version="1.0" encoding="utf-8"?>
<ds:datastoreItem xmlns:ds="http://schemas.openxmlformats.org/officeDocument/2006/customXml" ds:itemID="{3E7D208E-6DAB-4A83-A2C0-1C812F294BBB}">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59</vt:i4>
      </vt:variant>
    </vt:vector>
  </HeadingPairs>
  <TitlesOfParts>
    <vt:vector size="67" baseType="lpstr">
      <vt:lpstr>About</vt:lpstr>
      <vt:lpstr>Inputs</vt:lpstr>
      <vt:lpstr>Cash flow</vt:lpstr>
      <vt:lpstr>Precision</vt:lpstr>
      <vt:lpstr>Results</vt:lpstr>
      <vt:lpstr>ModelRiskDSN</vt:lpstr>
      <vt:lpstr>ModelRiskSYS1</vt:lpstr>
      <vt:lpstr>ModelRiskCharts</vt:lpstr>
      <vt:lpstr>CF_1</vt:lpstr>
      <vt:lpstr>CF_2</vt:lpstr>
      <vt:lpstr>CF_3</vt:lpstr>
      <vt:lpstr>CF_4</vt:lpstr>
      <vt:lpstr>CF_5</vt:lpstr>
      <vt:lpstr>CF_6</vt:lpstr>
      <vt:lpstr>CF_7</vt:lpstr>
      <vt:lpstr>CF_8</vt:lpstr>
      <vt:lpstr>CF_9</vt:lpstr>
      <vt:lpstr>Checks</vt:lpstr>
      <vt:lpstr>Conf_Mean</vt:lpstr>
      <vt:lpstr>Conf_P95</vt:lpstr>
      <vt:lpstr>Conf_Prob</vt:lpstr>
      <vt:lpstr>Conf_SD</vt:lpstr>
      <vt:lpstr>CopU1</vt:lpstr>
      <vt:lpstr>CopU2</vt:lpstr>
      <vt:lpstr>Disc</vt:lpstr>
      <vt:lpstr>Extra_Mean</vt:lpstr>
      <vt:lpstr>Extra_P95</vt:lpstr>
      <vt:lpstr>Extra_Prob</vt:lpstr>
      <vt:lpstr>Extra_SD</vt:lpstr>
      <vt:lpstr>FixCost</vt:lpstr>
      <vt:lpstr>FixCost_Hi</vt:lpstr>
      <vt:lpstr>FixCost_Lo</vt:lpstr>
      <vt:lpstr>FixCost_ML</vt:lpstr>
      <vt:lpstr>FrankDir</vt:lpstr>
      <vt:lpstr>FrankTheta</vt:lpstr>
      <vt:lpstr>Growth</vt:lpstr>
      <vt:lpstr>Growth_Hi</vt:lpstr>
      <vt:lpstr>Growth_Lo</vt:lpstr>
      <vt:lpstr>Growth_ML</vt:lpstr>
      <vt:lpstr>Met_Mean</vt:lpstr>
      <vt:lpstr>Met_P95</vt:lpstr>
      <vt:lpstr>Met_Prob</vt:lpstr>
      <vt:lpstr>Met_SD</vt:lpstr>
      <vt:lpstr>NPV</vt:lpstr>
      <vt:lpstr>Prec_Mean</vt:lpstr>
      <vt:lpstr>Prec_P95</vt:lpstr>
      <vt:lpstr>Prec_Prob</vt:lpstr>
      <vt:lpstr>Prec_SD</vt:lpstr>
      <vt:lpstr>Price</vt:lpstr>
      <vt:lpstr>Price_Hi</vt:lpstr>
      <vt:lpstr>Price_Lo</vt:lpstr>
      <vt:lpstr>Price_ML</vt:lpstr>
      <vt:lpstr>'Cash flow'!Print_Area</vt:lpstr>
      <vt:lpstr>Precision!Print_Area</vt:lpstr>
      <vt:lpstr>Results!Print_Area</vt:lpstr>
      <vt:lpstr>Inputs!Print_Titles</vt:lpstr>
      <vt:lpstr>Results!Print_Titles</vt:lpstr>
      <vt:lpstr>StopWhenMet</vt:lpstr>
      <vt:lpstr>Tax</vt:lpstr>
      <vt:lpstr>VarCost</vt:lpstr>
      <vt:lpstr>VarCost_Hi</vt:lpstr>
      <vt:lpstr>VarCost_Lo</vt:lpstr>
      <vt:lpstr>VarCost_ML</vt:lpstr>
      <vt:lpstr>Vol0</vt:lpstr>
      <vt:lpstr>Vol0_Hi</vt:lpstr>
      <vt:lpstr>Vol0_Lo</vt:lpstr>
      <vt:lpstr>Vol0_ML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GU-26 Precision Control: How Many Samples Are Enough</dc:title>
  <dc:subject>ModelRisk industry example library — General use</dc:subject>
  <dc:creator>Vose Software</dc:creator>
  <cp:keywords>ModelRisk; Monte Carlo; General use</cp:keywords>
  <dc:description>A simple project NPV with four precision requirements: which are met, how precisely, and how many samples each needs.</dc:description>
  <cp:lastModifiedBy>Timour Koupeev</cp:lastModifiedBy>
  <cp:lastPrinted>2026-10-07T17:09:35Z</cp:lastPrinted>
  <dcterms:created xsi:type="dcterms:W3CDTF">2026-10-07T17:08:56Z</dcterms:created>
  <dcterms:modified xsi:type="dcterms:W3CDTF">2026-10-07T17:09:36Z</dcterms:modified>
</cp:coreProperties>
</file>