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CEF87590-6896-4CFE-A553-3A465026E372}"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olicies" sheetId="3" r:id="rId3"/>
    <sheet name="Annual claims" sheetId="4" r:id="rId4"/>
    <sheet name="Results" sheetId="5" r:id="rId5"/>
    <sheet name="ModelRiskDSN" sheetId="6" state="hidden" r:id="rId6"/>
    <sheet name="ModelRiskSYS1" sheetId="7" state="hidden" r:id="rId7"/>
    <sheet name="ModelRiskCharts" sheetId="8" state="hidden" r:id="rId8"/>
  </sheets>
  <definedNames>
    <definedName name="BadYear">Inputs!$D$14</definedName>
    <definedName name="Checks">'Annual claims'!$F$29:$F$31</definedName>
    <definedName name="EA_A">Policies!$K$9</definedName>
    <definedName name="EA_B">Policies!$K$10</definedName>
    <definedName name="EA_C">Policies!$K$11</definedName>
    <definedName name="EA_D">Policies!$K$12</definedName>
    <definedName name="EA_E">Policies!$K$13</definedName>
    <definedName name="ExpTotal">Policies!$K$14</definedName>
    <definedName name="Lam_A">Policies!$I$9</definedName>
    <definedName name="Lam_B">Policies!$I$10</definedName>
    <definedName name="Lam_C">Policies!$I$11</definedName>
    <definedName name="Lam_D">Policies!$I$12</definedName>
    <definedName name="Lam_E">Policies!$I$13</definedName>
    <definedName name="Line_A">'Annual claims'!$F$21</definedName>
    <definedName name="Line_B">'Annual claims'!$F$22</definedName>
    <definedName name="Line_C">'Annual claims'!$F$23</definedName>
    <definedName name="Line_D">'Annual claims'!$F$24</definedName>
    <definedName name="Line_E">'Annual claims'!$F$25</definedName>
    <definedName name="P99_A">Policies!$L$9</definedName>
    <definedName name="P99_B">Policies!$L$10</definedName>
    <definedName name="P99_C">Policies!$L$11</definedName>
    <definedName name="P99_D">Policies!$L$12</definedName>
    <definedName name="P99_E">Policies!$L$13</definedName>
    <definedName name="Pay_A">Policies!$J$9</definedName>
    <definedName name="Pay_B">Policies!$J$10</definedName>
    <definedName name="Pay_C">Policies!$J$11</definedName>
    <definedName name="Pay_D">Policies!$J$12</definedName>
    <definedName name="Pay_E">Policies!$J$13</definedName>
    <definedName name="PolData">Policies!$C$9:$H$13</definedName>
    <definedName name="_xlnm.Print_Area" localSheetId="3">'Annual claims'!$A$1:$J$33</definedName>
    <definedName name="_xlnm.Print_Area" localSheetId="2">Policies!$A$1:$N$16</definedName>
    <definedName name="_xlnm.Print_Area" localSheetId="4">Results!$A$1:$R$57</definedName>
    <definedName name="_xlnm.Print_Titles" localSheetId="1">Inputs!$1:$4</definedName>
    <definedName name="_xlnm.Print_Titles" localSheetId="4">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heta">Inputs!$D$10</definedName>
    <definedName name="Tot_Corr">'Annual claims'!$F$19</definedName>
    <definedName name="Tot_Ind">'Annual claims'!$F$20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2" i="5" l="1"/>
  <c r="C112" i="5"/>
  <c r="F111" i="5"/>
  <c r="C111" i="5"/>
  <c r="F110" i="5"/>
  <c r="C110" i="5"/>
  <c r="F109" i="5"/>
  <c r="C109" i="5"/>
  <c r="F108" i="5"/>
  <c r="C108" i="5"/>
  <c r="F107" i="5"/>
  <c r="C107" i="5"/>
  <c r="F106" i="5"/>
  <c r="C106" i="5"/>
  <c r="F105" i="5"/>
  <c r="C105" i="5"/>
  <c r="F104" i="5"/>
  <c r="C104" i="5"/>
  <c r="F103" i="5"/>
  <c r="C103" i="5"/>
  <c r="F102" i="5"/>
  <c r="C102" i="5"/>
  <c r="F101" i="5"/>
  <c r="C101" i="5"/>
  <c r="F100" i="5"/>
  <c r="C100" i="5"/>
  <c r="F99" i="5"/>
  <c r="C99" i="5"/>
  <c r="F98" i="5"/>
  <c r="C98" i="5"/>
  <c r="F97" i="5"/>
  <c r="C97" i="5"/>
  <c r="F96" i="5"/>
  <c r="C96" i="5"/>
  <c r="F95" i="5"/>
  <c r="C95" i="5"/>
  <c r="F94" i="5"/>
  <c r="C94" i="5"/>
  <c r="F93" i="5"/>
  <c r="C93" i="5"/>
  <c r="F92" i="5"/>
  <c r="C92" i="5"/>
  <c r="F91" i="5"/>
  <c r="C91" i="5"/>
  <c r="F90" i="5"/>
  <c r="C90" i="5"/>
  <c r="F89" i="5"/>
  <c r="C89" i="5"/>
  <c r="F88" i="5"/>
  <c r="C88" i="5"/>
  <c r="F87" i="5"/>
  <c r="C87" i="5"/>
  <c r="F86" i="5"/>
  <c r="C86" i="5"/>
  <c r="F85" i="5"/>
  <c r="C85" i="5"/>
  <c r="F84" i="5"/>
  <c r="C84" i="5"/>
  <c r="F83" i="5"/>
  <c r="C83" i="5"/>
  <c r="F82" i="5"/>
  <c r="C82" i="5"/>
  <c r="F81" i="5"/>
  <c r="C81" i="5"/>
  <c r="F80" i="5"/>
  <c r="C80" i="5"/>
  <c r="F79" i="5"/>
  <c r="C79" i="5"/>
  <c r="F78" i="5"/>
  <c r="C78" i="5"/>
  <c r="F77" i="5"/>
  <c r="C77" i="5"/>
  <c r="F76" i="5"/>
  <c r="C76" i="5"/>
  <c r="F75" i="5"/>
  <c r="C75" i="5"/>
  <c r="F74" i="5"/>
  <c r="C74" i="5"/>
  <c r="F73" i="5"/>
  <c r="C73" i="5"/>
  <c r="F72" i="5"/>
  <c r="C72" i="5"/>
  <c r="F71" i="5"/>
  <c r="C71" i="5"/>
  <c r="F70" i="5"/>
  <c r="C70" i="5"/>
  <c r="F69" i="5"/>
  <c r="C69" i="5"/>
  <c r="F68" i="5"/>
  <c r="C68" i="5"/>
  <c r="F67" i="5"/>
  <c r="C67" i="5"/>
  <c r="F66" i="5"/>
  <c r="C66" i="5"/>
  <c r="F65" i="5"/>
  <c r="C65" i="5"/>
  <c r="F64" i="5"/>
  <c r="C64" i="5"/>
  <c r="F63" i="5"/>
  <c r="C63" i="5"/>
  <c r="F31" i="4"/>
  <c r="F30" i="4"/>
  <c r="F29" i="4"/>
  <c r="D13" i="4" a="1"/>
  <c r="D13" i="4" s="1"/>
  <c r="D12" i="4" a="1"/>
  <c r="D12" i="4" s="1"/>
  <c r="D11" i="4" a="1"/>
  <c r="D11" i="4" s="1"/>
  <c r="D10" i="4" a="1"/>
  <c r="D10" i="4" s="1"/>
  <c r="E9" i="4" a="1"/>
  <c r="E12" i="4" s="1"/>
  <c r="D9" i="4" a="1"/>
  <c r="D9" i="4" s="1"/>
  <c r="I13" i="3"/>
  <c r="I12" i="3"/>
  <c r="C12" i="4" a="1"/>
  <c r="C12" i="4" s="1"/>
  <c r="I11" i="3"/>
  <c r="C11" i="4" s="1" a="1"/>
  <c r="C11" i="4" s="1"/>
  <c r="I10" i="3"/>
  <c r="C10" i="4" a="1"/>
  <c r="C10" i="4" s="1"/>
  <c r="I9" i="3"/>
  <c r="B7" i="5"/>
  <c r="C9" i="4" a="1"/>
  <c r="C9" i="4" s="1"/>
  <c r="C13" i="4" a="1"/>
  <c r="C13" i="4" s="1"/>
  <c r="H10" i="4" a="1"/>
  <c r="H13" i="4" a="1"/>
  <c r="H12" i="4" a="1"/>
  <c r="H11" i="4" a="1"/>
  <c r="H9" i="4" a="1"/>
  <c r="F12" i="4" a="1"/>
  <c r="L12" i="3" a="1"/>
  <c r="L9" i="3" a="1"/>
  <c r="J9" i="3" a="1"/>
  <c r="J13" i="3" a="1"/>
  <c r="J12" i="3" a="1"/>
  <c r="J11" i="3" a="1"/>
  <c r="J10" i="3" a="1"/>
  <c r="L10" i="3" a="1"/>
  <c r="L13" i="3" a="1"/>
  <c r="L11" i="3" a="1"/>
  <c r="F12" i="4" l="1"/>
  <c r="H9" i="4"/>
  <c r="H11" i="4"/>
  <c r="H12" i="4"/>
  <c r="H13" i="4"/>
  <c r="H10" i="4"/>
  <c r="E11" i="4"/>
  <c r="E10" i="4"/>
  <c r="E9" i="4"/>
  <c r="E13" i="4"/>
  <c r="L11" i="3"/>
  <c r="E27" i="5" s="1"/>
  <c r="L13" i="3"/>
  <c r="E29" i="5" s="1"/>
  <c r="L10" i="3"/>
  <c r="E26" i="5" s="1"/>
  <c r="J10" i="3"/>
  <c r="K10" i="3" s="1"/>
  <c r="C26" i="5" s="1"/>
  <c r="J11" i="3"/>
  <c r="K11" i="3" s="1"/>
  <c r="C27" i="5" s="1"/>
  <c r="J12" i="3"/>
  <c r="K12" i="3" s="1"/>
  <c r="C28" i="5" s="1"/>
  <c r="J13" i="3"/>
  <c r="K13" i="3" s="1"/>
  <c r="C29" i="5" s="1"/>
  <c r="J9" i="3"/>
  <c r="K9" i="3" s="1"/>
  <c r="C25" i="5" s="1"/>
  <c r="L9" i="3"/>
  <c r="E25" i="5" s="1"/>
  <c r="L12" i="3"/>
  <c r="E28" i="5" s="1"/>
  <c r="I14" i="3"/>
  <c r="G12" i="4" a="1"/>
  <c r="F9" i="4" a="1"/>
  <c r="F11" i="4" a="1"/>
  <c r="F10" i="4" a="1"/>
  <c r="F13" i="4" a="1"/>
  <c r="F13" i="4" l="1"/>
  <c r="F10" i="4"/>
  <c r="F11" i="4"/>
  <c r="F9" i="4"/>
  <c r="G12" i="4"/>
  <c r="F24" i="4" s="1" a="1"/>
  <c r="F24" i="4" s="1"/>
  <c r="H14" i="4"/>
  <c r="F20" i="4" s="1" a="1"/>
  <c r="F20" i="4" s="1"/>
  <c r="K14" i="3"/>
  <c r="D28" i="5" a="1"/>
  <c r="F28" i="5" a="1"/>
  <c r="E72" i="5" a="1"/>
  <c r="E102" i="5" a="1"/>
  <c r="E86" i="5" a="1"/>
  <c r="E67" i="5" a="1"/>
  <c r="E87" i="5" a="1"/>
  <c r="E80" i="5" a="1"/>
  <c r="E68" i="5" a="1"/>
  <c r="E94" i="5" a="1"/>
  <c r="E69" i="5" a="1"/>
  <c r="E95" i="5" a="1"/>
  <c r="E88" i="5" a="1"/>
  <c r="E76" i="5" a="1"/>
  <c r="E110" i="5" a="1"/>
  <c r="E71" i="5" a="1"/>
  <c r="E97" i="5" a="1"/>
  <c r="E100" i="5" a="1"/>
  <c r="E84" i="5" a="1"/>
  <c r="E93" i="5" a="1"/>
  <c r="E77" i="5" a="1"/>
  <c r="E99" i="5" a="1"/>
  <c r="E66" i="5" a="1"/>
  <c r="E92" i="5" a="1"/>
  <c r="E103" i="5" a="1"/>
  <c r="E79" i="5" a="1"/>
  <c r="E101" i="5" a="1"/>
  <c r="E112" i="5" a="1"/>
  <c r="E74" i="5" a="1"/>
  <c r="E106" i="5" a="1"/>
  <c r="E18" i="5" a="1"/>
  <c r="E81" i="5" a="1"/>
  <c r="E105" i="5" a="1"/>
  <c r="E17" i="5" a="1"/>
  <c r="E63" i="5" a="1"/>
  <c r="E12" i="5" a="1"/>
  <c r="E82" i="5" a="1"/>
  <c r="E83" i="5" a="1"/>
  <c r="E107" i="5" a="1"/>
  <c r="E64" i="5" a="1"/>
  <c r="E90" i="5" a="1"/>
  <c r="E78" i="5" a="1"/>
  <c r="E65" i="5" a="1"/>
  <c r="E85" i="5" a="1"/>
  <c r="E19" i="5" a="1"/>
  <c r="E98" i="5" a="1"/>
  <c r="E15" i="5" a="1"/>
  <c r="E108" i="5" a="1"/>
  <c r="E14" i="5" a="1"/>
  <c r="E73" i="5" a="1"/>
  <c r="E89" i="5" a="1"/>
  <c r="E109" i="5" a="1"/>
  <c r="E96" i="5" a="1"/>
  <c r="E13" i="5" a="1"/>
  <c r="E104" i="5" a="1"/>
  <c r="E70" i="5" a="1"/>
  <c r="E16" i="5" a="1"/>
  <c r="E75" i="5" a="1"/>
  <c r="E91" i="5" a="1"/>
  <c r="E111" i="5" a="1"/>
  <c r="G13" i="4" a="1"/>
  <c r="G10" i="4" a="1"/>
  <c r="G11" i="4" a="1"/>
  <c r="G9" i="4" a="1"/>
  <c r="E20" i="5" l="1"/>
  <c r="D20" i="5"/>
  <c r="E111" i="5"/>
  <c r="E91" i="5"/>
  <c r="E75" i="5"/>
  <c r="E16" i="5"/>
  <c r="E70" i="5"/>
  <c r="E104" i="5"/>
  <c r="E13" i="5"/>
  <c r="E96" i="5"/>
  <c r="E109" i="5"/>
  <c r="E89" i="5"/>
  <c r="E73" i="5"/>
  <c r="E14" i="5"/>
  <c r="E108" i="5"/>
  <c r="E15" i="5"/>
  <c r="E98" i="5"/>
  <c r="E19" i="5"/>
  <c r="E85" i="5"/>
  <c r="E65" i="5"/>
  <c r="E78" i="5"/>
  <c r="E90" i="5"/>
  <c r="E64" i="5"/>
  <c r="E107" i="5"/>
  <c r="E83" i="5"/>
  <c r="E82" i="5"/>
  <c r="E12" i="5"/>
  <c r="E63" i="5"/>
  <c r="E17" i="5"/>
  <c r="E105" i="5"/>
  <c r="E81" i="5"/>
  <c r="E18" i="5"/>
  <c r="E106" i="5"/>
  <c r="E74" i="5"/>
  <c r="E112" i="5"/>
  <c r="E101" i="5"/>
  <c r="E79" i="5"/>
  <c r="E103" i="5"/>
  <c r="E92" i="5"/>
  <c r="E66" i="5"/>
  <c r="E99" i="5"/>
  <c r="E77" i="5"/>
  <c r="E93" i="5"/>
  <c r="E84" i="5"/>
  <c r="E100" i="5"/>
  <c r="E97" i="5"/>
  <c r="E71" i="5"/>
  <c r="E110" i="5"/>
  <c r="E76" i="5"/>
  <c r="E88" i="5"/>
  <c r="E95" i="5"/>
  <c r="E69" i="5"/>
  <c r="E94" i="5"/>
  <c r="E68" i="5"/>
  <c r="E80" i="5"/>
  <c r="E87" i="5"/>
  <c r="E67" i="5"/>
  <c r="E86" i="5"/>
  <c r="E102" i="5"/>
  <c r="E72" i="5"/>
  <c r="F28" i="5"/>
  <c r="D28" i="5"/>
  <c r="G9" i="4"/>
  <c r="G11" i="4"/>
  <c r="F23" i="4" s="1" a="1"/>
  <c r="F23" i="4" s="1"/>
  <c r="G10" i="4"/>
  <c r="F22" i="4" s="1" a="1"/>
  <c r="F22" i="4" s="1"/>
  <c r="G13" i="4"/>
  <c r="F25" i="4" s="1" a="1"/>
  <c r="F25" i="4" s="1"/>
  <c r="F14" i="4"/>
  <c r="D27" i="5" a="1"/>
  <c r="F27" i="5" a="1"/>
  <c r="D36" i="5" a="1"/>
  <c r="D26" i="5" a="1"/>
  <c r="D35" i="5" a="1"/>
  <c r="F26" i="5" a="1"/>
  <c r="F29" i="5" a="1"/>
  <c r="D29" i="5" a="1"/>
  <c r="D29" i="5" l="1"/>
  <c r="F29" i="5"/>
  <c r="F26" i="5"/>
  <c r="D35" i="5"/>
  <c r="D26" i="5"/>
  <c r="D36" i="5"/>
  <c r="F27" i="5"/>
  <c r="D27" i="5"/>
  <c r="F21" i="4" a="1"/>
  <c r="F21" i="4" s="1"/>
  <c r="G14" i="4"/>
  <c r="F19" i="4" s="1" a="1"/>
  <c r="F19" i="4" s="1"/>
  <c r="D34" i="5" a="1"/>
  <c r="F25" i="5" a="1"/>
  <c r="D25" i="5" a="1"/>
  <c r="C144" i="5" a="1"/>
  <c r="C183" i="5" a="1"/>
  <c r="D79" i="5" a="1"/>
  <c r="C185" i="5" a="1"/>
  <c r="C140" i="5" a="1"/>
  <c r="C175" i="5" a="1"/>
  <c r="D77" i="5" a="1"/>
  <c r="C133" i="5" a="1"/>
  <c r="C116" i="5" a="1"/>
  <c r="C171" i="5" a="1"/>
  <c r="C210" i="5" a="1"/>
  <c r="C202" i="5" a="1"/>
  <c r="C212" i="5" a="1"/>
  <c r="C181" i="5" a="1"/>
  <c r="C192" i="5" a="1"/>
  <c r="C139" i="5" a="1"/>
  <c r="C180" i="5" a="1"/>
  <c r="C127" i="5" a="1"/>
  <c r="C176" i="5" a="1"/>
  <c r="D67" i="5" a="1"/>
  <c r="D97" i="5" a="1"/>
  <c r="D100" i="5" a="1"/>
  <c r="D17" i="5" a="1"/>
  <c r="C147" i="5" a="1"/>
  <c r="D15" i="5" a="1"/>
  <c r="C141" i="5" a="1"/>
  <c r="D111" i="5" a="1"/>
  <c r="C137" i="5" a="1"/>
  <c r="C152" i="5" a="1"/>
  <c r="C215" i="5" a="1"/>
  <c r="D95" i="5" a="1"/>
  <c r="D96" i="5" a="1"/>
  <c r="C200" i="5" a="1"/>
  <c r="C164" i="5" a="1"/>
  <c r="C155" i="5" a="1"/>
  <c r="D109" i="5" a="1"/>
  <c r="D89" i="5" a="1"/>
  <c r="D71" i="5" a="1"/>
  <c r="C161" i="5" a="1"/>
  <c r="D110" i="5" a="1"/>
  <c r="C201" i="5" a="1"/>
  <c r="D108" i="5" a="1"/>
  <c r="D94" i="5" a="1"/>
  <c r="D84" i="5" a="1"/>
  <c r="D90" i="5" a="1"/>
  <c r="D80" i="5" a="1"/>
  <c r="C128" i="5" a="1"/>
  <c r="C131" i="5" a="1"/>
  <c r="C195" i="5" a="1"/>
  <c r="C196" i="5" a="1"/>
  <c r="C160" i="5" a="1"/>
  <c r="C120" i="5" a="1"/>
  <c r="C119" i="5" a="1"/>
  <c r="C191" i="5" a="1"/>
  <c r="C151" i="5" a="1"/>
  <c r="D105" i="5" a="1"/>
  <c r="D87" i="5" a="1"/>
  <c r="D69" i="5" a="1"/>
  <c r="C153" i="5" a="1"/>
  <c r="D106" i="5" a="1"/>
  <c r="C197" i="5" a="1"/>
  <c r="D98" i="5" a="1"/>
  <c r="D70" i="5" a="1"/>
  <c r="D76" i="5" a="1"/>
  <c r="D82" i="5" a="1"/>
  <c r="D12" i="5" a="1"/>
  <c r="D103" i="5" a="1"/>
  <c r="D85" i="5" a="1"/>
  <c r="D63" i="5" a="1"/>
  <c r="C149" i="5" a="1"/>
  <c r="D104" i="5" a="1"/>
  <c r="C193" i="5" a="1"/>
  <c r="C206" i="5" a="1"/>
  <c r="C198" i="5" a="1"/>
  <c r="D68" i="5" a="1"/>
  <c r="D74" i="5" a="1"/>
  <c r="C184" i="5" a="1"/>
  <c r="C148" i="5" a="1"/>
  <c r="D19" i="5" a="1"/>
  <c r="D107" i="5" a="1"/>
  <c r="C179" i="5" a="1"/>
  <c r="C143" i="5" a="1"/>
  <c r="D101" i="5" a="1"/>
  <c r="D81" i="5" a="1"/>
  <c r="C214" i="5" a="1"/>
  <c r="C145" i="5" a="1"/>
  <c r="D102" i="5" a="1"/>
  <c r="C189" i="5" a="1"/>
  <c r="D18" i="5" a="1"/>
  <c r="C166" i="5" a="1"/>
  <c r="C190" i="5" a="1"/>
  <c r="C150" i="5" a="1"/>
  <c r="B6" i="5" a="1"/>
  <c r="C134" i="5" a="1"/>
  <c r="C158" i="5" a="1"/>
  <c r="C118" i="5" a="1"/>
  <c r="D16" i="5" a="1"/>
  <c r="C186" i="5" a="1"/>
  <c r="C178" i="5" a="1"/>
  <c r="C208" i="5" a="1"/>
  <c r="C136" i="5" a="1"/>
  <c r="C213" i="5" a="1"/>
  <c r="C125" i="5" a="1"/>
  <c r="C170" i="5" a="1"/>
  <c r="C194" i="5" a="1"/>
  <c r="C154" i="5" a="1"/>
  <c r="C146" i="5" a="1"/>
  <c r="C172" i="5" a="1"/>
  <c r="D13" i="5" a="1"/>
  <c r="C207" i="5" a="1"/>
  <c r="C163" i="5" a="1"/>
  <c r="C123" i="5" a="1"/>
  <c r="D93" i="5" a="1"/>
  <c r="D75" i="5" a="1"/>
  <c r="C169" i="5" a="1"/>
  <c r="C129" i="5" a="1"/>
  <c r="C204" i="5" a="1"/>
  <c r="C168" i="5" a="1"/>
  <c r="C132" i="5" a="1"/>
  <c r="C211" i="5" a="1"/>
  <c r="C199" i="5" a="1"/>
  <c r="C159" i="5" a="1"/>
  <c r="C115" i="5" a="1"/>
  <c r="D91" i="5" a="1"/>
  <c r="D73" i="5" a="1"/>
  <c r="C165" i="5" a="1"/>
  <c r="C121" i="5" a="1"/>
  <c r="C205" i="5" a="1"/>
  <c r="C117" i="5" a="1"/>
  <c r="C138" i="5" a="1"/>
  <c r="D92" i="5" a="1"/>
  <c r="C122" i="5" a="1"/>
  <c r="D88" i="5" a="1"/>
  <c r="C177" i="5" a="1"/>
  <c r="C174" i="5" a="1"/>
  <c r="D86" i="5" a="1"/>
  <c r="C162" i="5" a="1"/>
  <c r="C126" i="5" a="1"/>
  <c r="D66" i="5" a="1"/>
  <c r="D72" i="5" a="1"/>
  <c r="C188" i="5" a="1"/>
  <c r="C156" i="5" a="1"/>
  <c r="C124" i="5" a="1"/>
  <c r="C187" i="5" a="1"/>
  <c r="C203" i="5" a="1"/>
  <c r="C167" i="5" a="1"/>
  <c r="C135" i="5" a="1"/>
  <c r="D99" i="5" a="1"/>
  <c r="D83" i="5" a="1"/>
  <c r="D65" i="5" a="1"/>
  <c r="C157" i="5" a="1"/>
  <c r="D112" i="5" a="1"/>
  <c r="C209" i="5" a="1"/>
  <c r="C173" i="5" a="1"/>
  <c r="C142" i="5" a="1"/>
  <c r="D78" i="5" a="1"/>
  <c r="C130" i="5" a="1"/>
  <c r="D14" i="5" a="1"/>
  <c r="C182" i="5" a="1"/>
  <c r="D64" i="5" a="1"/>
  <c r="D64" i="5" l="1"/>
  <c r="C182" i="5"/>
  <c r="D14" i="5"/>
  <c r="C130" i="5"/>
  <c r="D78" i="5"/>
  <c r="C142" i="5"/>
  <c r="C173" i="5"/>
  <c r="C209" i="5"/>
  <c r="D112" i="5"/>
  <c r="C157" i="5"/>
  <c r="D65" i="5"/>
  <c r="D83" i="5"/>
  <c r="D99" i="5"/>
  <c r="C135" i="5"/>
  <c r="C167" i="5"/>
  <c r="C203" i="5"/>
  <c r="C187" i="5"/>
  <c r="C124" i="5"/>
  <c r="C156" i="5"/>
  <c r="C188" i="5"/>
  <c r="D72" i="5"/>
  <c r="D66" i="5"/>
  <c r="C126" i="5"/>
  <c r="C162" i="5"/>
  <c r="D86" i="5"/>
  <c r="C174" i="5"/>
  <c r="C177" i="5"/>
  <c r="D88" i="5"/>
  <c r="C122" i="5"/>
  <c r="D92" i="5"/>
  <c r="C138" i="5"/>
  <c r="C117" i="5"/>
  <c r="C205" i="5"/>
  <c r="C121" i="5"/>
  <c r="C165" i="5"/>
  <c r="D73" i="5"/>
  <c r="D91" i="5"/>
  <c r="C115" i="5"/>
  <c r="C159" i="5"/>
  <c r="C199" i="5"/>
  <c r="C211" i="5"/>
  <c r="C132" i="5"/>
  <c r="C168" i="5"/>
  <c r="C204" i="5"/>
  <c r="C129" i="5"/>
  <c r="C169" i="5"/>
  <c r="D75" i="5"/>
  <c r="D93" i="5"/>
  <c r="C123" i="5"/>
  <c r="C163" i="5"/>
  <c r="C207" i="5"/>
  <c r="D13" i="5"/>
  <c r="C172" i="5"/>
  <c r="C146" i="5"/>
  <c r="C154" i="5"/>
  <c r="C194" i="5"/>
  <c r="C170" i="5"/>
  <c r="C125" i="5"/>
  <c r="C213" i="5"/>
  <c r="C136" i="5"/>
  <c r="C208" i="5"/>
  <c r="C178" i="5"/>
  <c r="C186" i="5"/>
  <c r="D16" i="5"/>
  <c r="C118" i="5"/>
  <c r="C158" i="5"/>
  <c r="C134" i="5"/>
  <c r="B6" i="5"/>
  <c r="C150" i="5"/>
  <c r="C190" i="5"/>
  <c r="C166" i="5"/>
  <c r="D18" i="5"/>
  <c r="C189" i="5"/>
  <c r="D102" i="5"/>
  <c r="C145" i="5"/>
  <c r="C214" i="5"/>
  <c r="D81" i="5"/>
  <c r="D101" i="5"/>
  <c r="C143" i="5"/>
  <c r="C179" i="5"/>
  <c r="D107" i="5"/>
  <c r="D19" i="5"/>
  <c r="C148" i="5"/>
  <c r="C184" i="5"/>
  <c r="D74" i="5"/>
  <c r="D68" i="5"/>
  <c r="C198" i="5"/>
  <c r="C206" i="5"/>
  <c r="C193" i="5"/>
  <c r="D104" i="5"/>
  <c r="C149" i="5"/>
  <c r="D63" i="5"/>
  <c r="D85" i="5"/>
  <c r="D103" i="5"/>
  <c r="D12" i="5"/>
  <c r="D82" i="5"/>
  <c r="D76" i="5"/>
  <c r="D70" i="5"/>
  <c r="D98" i="5"/>
  <c r="C197" i="5"/>
  <c r="D106" i="5"/>
  <c r="C153" i="5"/>
  <c r="D69" i="5"/>
  <c r="D87" i="5"/>
  <c r="D105" i="5"/>
  <c r="C151" i="5"/>
  <c r="C191" i="5"/>
  <c r="C119" i="5"/>
  <c r="C120" i="5"/>
  <c r="C160" i="5"/>
  <c r="C196" i="5"/>
  <c r="C195" i="5"/>
  <c r="C131" i="5"/>
  <c r="C128" i="5"/>
  <c r="D80" i="5"/>
  <c r="D90" i="5"/>
  <c r="D84" i="5"/>
  <c r="D94" i="5"/>
  <c r="D108" i="5"/>
  <c r="C201" i="5"/>
  <c r="D110" i="5"/>
  <c r="C161" i="5"/>
  <c r="D71" i="5"/>
  <c r="D89" i="5"/>
  <c r="D109" i="5"/>
  <c r="C155" i="5"/>
  <c r="C164" i="5"/>
  <c r="C200" i="5"/>
  <c r="D96" i="5"/>
  <c r="D95" i="5"/>
  <c r="C215" i="5"/>
  <c r="C152" i="5"/>
  <c r="C137" i="5"/>
  <c r="D111" i="5"/>
  <c r="C141" i="5"/>
  <c r="D15" i="5"/>
  <c r="C147" i="5"/>
  <c r="D17" i="5"/>
  <c r="D100" i="5"/>
  <c r="D97" i="5"/>
  <c r="D67" i="5"/>
  <c r="C176" i="5"/>
  <c r="C127" i="5"/>
  <c r="C180" i="5"/>
  <c r="C139" i="5"/>
  <c r="C192" i="5"/>
  <c r="C181" i="5"/>
  <c r="C212" i="5"/>
  <c r="C202" i="5"/>
  <c r="C210" i="5"/>
  <c r="C171" i="5"/>
  <c r="C116" i="5"/>
  <c r="C133" i="5"/>
  <c r="D77" i="5"/>
  <c r="C175" i="5"/>
  <c r="C140" i="5"/>
  <c r="C185" i="5"/>
  <c r="D79" i="5"/>
  <c r="C183" i="5"/>
  <c r="C144" i="5"/>
  <c r="D25" i="5"/>
  <c r="F25" i="5"/>
  <c r="D34" i="5"/>
  <c r="C230" i="5" l="1"/>
  <c r="C234" i="5"/>
  <c r="C218" i="5"/>
  <c r="C240" i="5"/>
  <c r="C236" i="5"/>
  <c r="C238" i="5"/>
  <c r="C232" i="5"/>
  <c r="C228" i="5"/>
  <c r="C221" i="5"/>
  <c r="C224" i="5"/>
  <c r="C220" i="5"/>
  <c r="C223" i="5"/>
  <c r="C233" i="5"/>
  <c r="C219" i="5"/>
  <c r="C237" i="5"/>
  <c r="C222" i="5"/>
  <c r="C226" i="5"/>
  <c r="C235" i="5"/>
  <c r="C239" i="5"/>
  <c r="C229" i="5"/>
  <c r="C231" i="5"/>
  <c r="C225" i="5"/>
  <c r="C227" i="5"/>
  <c r="C242" i="5"/>
  <c r="D242" i="5" s="1"/>
  <c r="G242" i="5" s="1" a="1"/>
  <c r="G242" i="5" s="1"/>
  <c r="C241" i="5"/>
  <c r="E232" i="5" l="1"/>
  <c r="D232" i="5"/>
  <c r="G232" i="5" s="1" a="1"/>
  <c r="G232" i="5" s="1"/>
  <c r="E224" i="5"/>
  <c r="D224" i="5"/>
  <c r="G224" i="5" s="1" a="1"/>
  <c r="G224" i="5" s="1"/>
  <c r="E226" i="5"/>
  <c r="D226" i="5"/>
  <c r="G226" i="5" s="1" a="1"/>
  <c r="G226" i="5" s="1"/>
  <c r="E228" i="5"/>
  <c r="D228" i="5"/>
  <c r="G228" i="5" s="1" a="1"/>
  <c r="G228" i="5" s="1"/>
  <c r="E225" i="5"/>
  <c r="D225" i="5"/>
  <c r="G225" i="5" s="1" a="1"/>
  <c r="G225" i="5" s="1"/>
  <c r="D236" i="5"/>
  <c r="G236" i="5" s="1" a="1"/>
  <c r="G236" i="5" s="1"/>
  <c r="E236" i="5"/>
  <c r="D235" i="5"/>
  <c r="G235" i="5" s="1" a="1"/>
  <c r="G235" i="5" s="1"/>
  <c r="E235" i="5"/>
  <c r="E241" i="5"/>
  <c r="D241" i="5"/>
  <c r="G241" i="5" s="1" a="1"/>
  <c r="G241" i="5" s="1"/>
  <c r="D221" i="5"/>
  <c r="G221" i="5" s="1" a="1"/>
  <c r="G221" i="5" s="1"/>
  <c r="E221" i="5"/>
  <c r="E222" i="5"/>
  <c r="D222" i="5"/>
  <c r="G222" i="5" s="1" a="1"/>
  <c r="G222" i="5" s="1"/>
  <c r="D237" i="5"/>
  <c r="G237" i="5" s="1" a="1"/>
  <c r="G237" i="5" s="1"/>
  <c r="E237" i="5"/>
  <c r="E219" i="5"/>
  <c r="D219" i="5"/>
  <c r="G219" i="5" s="1" a="1"/>
  <c r="G219" i="5" s="1"/>
  <c r="D231" i="5"/>
  <c r="G231" i="5" s="1" a="1"/>
  <c r="G231" i="5" s="1"/>
  <c r="E231" i="5"/>
  <c r="D229" i="5"/>
  <c r="G229" i="5" s="1" a="1"/>
  <c r="G229" i="5" s="1"/>
  <c r="E229" i="5"/>
  <c r="D223" i="5"/>
  <c r="G223" i="5" s="1" a="1"/>
  <c r="G223" i="5" s="1"/>
  <c r="F222" i="5" s="1"/>
  <c r="E223" i="5"/>
  <c r="E240" i="5"/>
  <c r="D240" i="5"/>
  <c r="G240" i="5" s="1" a="1"/>
  <c r="G240" i="5" s="1"/>
  <c r="E227" i="5"/>
  <c r="D227" i="5"/>
  <c r="G227" i="5" s="1" a="1"/>
  <c r="G227" i="5" s="1"/>
  <c r="D238" i="5"/>
  <c r="G238" i="5" s="1" a="1"/>
  <c r="G238" i="5" s="1"/>
  <c r="E238" i="5"/>
  <c r="D233" i="5"/>
  <c r="G233" i="5" s="1" a="1"/>
  <c r="G233" i="5" s="1"/>
  <c r="E233" i="5"/>
  <c r="E239" i="5"/>
  <c r="D239" i="5"/>
  <c r="G239" i="5" s="1" a="1"/>
  <c r="G239" i="5" s="1"/>
  <c r="D220" i="5"/>
  <c r="G220" i="5" s="1" a="1"/>
  <c r="G220" i="5" s="1"/>
  <c r="E220" i="5"/>
  <c r="E218" i="5"/>
  <c r="D218" i="5"/>
  <c r="G218" i="5" s="1" a="1"/>
  <c r="G218" i="5" s="1"/>
  <c r="D234" i="5"/>
  <c r="G234" i="5" s="1" a="1"/>
  <c r="G234" i="5" s="1"/>
  <c r="E234" i="5"/>
  <c r="E230" i="5"/>
  <c r="D230" i="5"/>
  <c r="G230" i="5" s="1" a="1"/>
  <c r="G230" i="5" s="1"/>
  <c r="F218" i="5" l="1"/>
  <c r="F227" i="5"/>
  <c r="F232" i="5"/>
  <c r="F236" i="5"/>
  <c r="F225" i="5"/>
  <c r="F239" i="5"/>
  <c r="F221" i="5"/>
  <c r="F223" i="5"/>
  <c r="F240" i="5"/>
  <c r="F228" i="5"/>
  <c r="F235" i="5"/>
  <c r="F233" i="5"/>
  <c r="F226" i="5"/>
  <c r="F219" i="5"/>
  <c r="F224" i="5"/>
  <c r="F231" i="5"/>
  <c r="F234" i="5"/>
  <c r="F237" i="5"/>
  <c r="F229" i="5"/>
  <c r="F238" i="5"/>
  <c r="F241" i="5"/>
  <c r="F230" i="5"/>
  <c r="F22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<sst xmlns="http://schemas.openxmlformats.org/spreadsheetml/2006/main" count="259" uniqueCount="222">
  <si>
    <t>Correlated Insurance Policies</t>
  </si>
  <si>
    <t>ModelRisk example  ·  General use  ·  GU-25</t>
  </si>
  <si>
    <t>Five lines of policies whose bad years come together: what correlation does to the total.</t>
  </si>
  <si>
    <t>Next:  Inputs  ▸</t>
  </si>
  <si>
    <t>Model card</t>
  </si>
  <si>
    <t>Industry</t>
  </si>
  <si>
    <t>General use</t>
  </si>
  <si>
    <t>Difficulty</t>
  </si>
  <si>
    <t>★★★★☆   Five aggregate claim distributions with deductibles and limits, linked by a copula through their percentiles; compared with the same lines independent.</t>
  </si>
  <si>
    <t>Business question</t>
  </si>
  <si>
    <t>An insurer writes five lines of policies, each with deductibles and limits. Bad years tend to hit all lines at once. How much does that add to the risk of the year's total claims?</t>
  </si>
  <si>
    <t>Who it is for</t>
  </si>
  <si>
    <t>Insurers and reinsurers, and anyone adding up uncertain totals that tend to be high or low together.</t>
  </si>
  <si>
    <t>Main outputs</t>
  </si>
  <si>
    <t>Each line's expected claims and its annual total · the year's total with the lines correlated and independent: mean, spread, percentiles, the 99% expected shortfall and the chance of a year above a threshold · how strongly the lines move together.</t>
  </si>
  <si>
    <t>ModelRisk techniques</t>
  </si>
  <si>
    <t>VoseDeductObject for a payout after a deductible and up to a limit · VoseCopulaMultiClayton driving each line's number of claims through VosePoisson(λ, 1 − U) · VoseAggregateMC with the payout objects · VoseAggregateFFT (density 18) for each line's exact percentiles · the same lines independent for comparison.</t>
  </si>
  <si>
    <t>File</t>
  </si>
  <si>
    <t>GU-25 Correlated insurance policies  ·  Version 1.0  ·  October 2026  ·  re-issues the example Correlated Insurance Portfolio  ·  built with ModelRisk 10</t>
  </si>
  <si>
    <t>The business question</t>
  </si>
  <si>
    <t>An insurer has five lines of policies (A to E). On each, policyholders have claims at a known rate a year, each claim's damage is a Lognormal, and the insurer pays the damage above a deductible, up to a limit. A storm or a downturn makes busy years come together. A Clayton copula with a strong parameter (10) links the five lines' numbers of claims, through 1 − U, so that their busy years coincide; each claim's payout stays independent. The model puts the year's total next to the same five lines independent.</t>
  </si>
  <si>
    <t>How the model works</t>
  </si>
  <si>
    <t>Four sheets after this one, read from left to right. Each one feeds the next.</t>
  </si>
  <si>
    <t>1  Inputs</t>
  </si>
  <si>
    <t>The Clayton copula's parameter θ (10: strong dependence) and the total that counts as a bad year.</t>
  </si>
  <si>
    <t>2  Policies</t>
  </si>
  <si>
    <t>For each line: policy holders and claims a year per holder give a Poisson number of claims; the damage is a Lognormal; the payout is the damage above the deductible, up to the limit (VoseDeductObject). Its mean payout per claim and expected annual claims.</t>
  </si>
  <si>
    <t>3  Annual claims</t>
  </si>
  <si>
    <t>VoseCopulaMultiClayton draws five linked probabilities U. Each line's number of claims is VosePoisson(λ, 1 − U), its (1 − U)-th percentile, so a low U means a busy year; VoseAggregateMC adds one payout per claim. The same five totals are also drawn independently.</t>
  </si>
  <si>
    <t>4  Results</t>
  </si>
  <si>
    <t>The total correlated and independent, each line's figures, and how closely the lines move.</t>
  </si>
  <si>
    <t>How to use it</t>
  </si>
  <si>
    <t>Step 1</t>
  </si>
  <si>
    <t>Set the five lines on the Policies sheet and the copula's strength on the Inputs sheet.</t>
  </si>
  <si>
    <t>Step 2</t>
  </si>
  <si>
    <t>Run a simulation from the ModelRisk ribbon (10,000 samples with a fixed seed are set).</t>
  </si>
  <si>
    <t>Step 3</t>
  </si>
  <si>
    <t>Compare the correlated and independent totals: the difference is what the correlation costs.</t>
  </si>
  <si>
    <t>Workbook map</t>
  </si>
  <si>
    <t>Inputs</t>
  </si>
  <si>
    <t>The copula's strength and the threshold.</t>
  </si>
  <si>
    <t>Policies</t>
  </si>
  <si>
    <t>The five lines.</t>
  </si>
  <si>
    <t>Annual claims</t>
  </si>
  <si>
    <t>Copula, aggregates, outputs and checks.</t>
  </si>
  <si>
    <t>Results</t>
  </si>
  <si>
    <t>The total both ways, by line.</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</si>
  <si>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</si>
  <si>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</si>
  <si>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</si>
  <si>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</si>
  <si>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</si>
  <si>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</si>
  <si>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</si>
  <si>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</si>
  <si>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</si>
  <si>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</si>
  <si>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</si>
  <si>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</si>
  <si>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$000</t>
  </si>
  <si>
    <t>All amounts.</t>
  </si>
  <si>
    <t>Payout</t>
  </si>
  <si>
    <t>min(max(damage − deductible, 0), limit): a damage below the deductible is a claim that pays nothing (zeros = TRUE).</t>
  </si>
  <si>
    <t>1 − U</t>
  </si>
  <si>
    <t>The copula's U enters each line's number of claims as 1 − U: the Clayton's dependence in the lower tail becomes dependence in the busy years.</t>
  </si>
  <si>
    <t>Key assumptions and limitations</t>
  </si>
  <si>
    <t>Within a line</t>
  </si>
  <si>
    <t>Claims are independent and arrive at a constant rate (Poisson).</t>
  </si>
  <si>
    <t>Between lines</t>
  </si>
  <si>
    <t>Only through the copula: a Clayton with θ = 10, a strong and simple dependence.</t>
  </si>
  <si>
    <t>Data</t>
  </si>
  <si>
    <t>The five lines and θ = 10 are those of ModelRisk's earlier Correlated Insurance Portfolio example.</t>
  </si>
  <si>
    <t>ModelRisk build</t>
  </si>
  <si>
    <t>The original read each line's FFT distribution at the copula's percentile. In the build this example was made with, VoseAggregateFFT with a VoseDeductObject severity errors during a simulation, so the copula drives the numbers of claims instead. The original's default FFT density also overstated the lines by several per cent (line A's mean 109.5 against 105.7; even density 16 overstated line B by 2.5%); the exact percentiles here use density 18.</t>
  </si>
  <si>
    <t>ModelRisk functions used</t>
  </si>
  <si>
    <t>VosePoissonObject, VoseLognormalObject</t>
  </si>
  <si>
    <t>The number of claims and the damage, as objects.</t>
  </si>
  <si>
    <t>VoseDeductObject</t>
  </si>
  <si>
    <t>The payout after a deductible and up to a limit, as an object.</t>
  </si>
  <si>
    <t>VoseAggregateFFT</t>
  </si>
  <si>
    <t>A line's annual total by Fast Fourier Transform; with U, its U-th percentile.</t>
  </si>
  <si>
    <t>VosePoisson with U</t>
  </si>
  <si>
    <t>The U-th percentile of a Poisson: the copula's way into the number of claims.</t>
  </si>
  <si>
    <t>VoseAggregateMC</t>
  </si>
  <si>
    <t>One year of a line: a number of claims, then one payout each, added up.</t>
  </si>
  <si>
    <t>VoseCopulaMultiClayton</t>
  </si>
  <si>
    <t>Five linked probabilities from a Clayton copula (array function).</t>
  </si>
  <si>
    <t>VoseMean</t>
  </si>
  <si>
    <t>The exact mean of an object: here the mean payout per claim.</t>
  </si>
  <si>
    <t>VoseSimCorrelation, VoseSimCVARp</t>
  </si>
  <si>
    <t>The lines' rank correlation and the expected shortfall, from the simulation.</t>
  </si>
  <si>
    <t>Further reading</t>
  </si>
  <si>
    <t>Correlated risks</t>
  </si>
  <si>
    <t>Vose, D. (2008). Risk Analysis: A Quantitative Guide, 3rd edition. Wiley: copulas and aggregate distributions in insurance.</t>
  </si>
  <si>
    <t>© 2026 Vose Software   ·   www.vosesoftware.com   ·   An illustrative example: the figures are invented for teaching and do not describe a real company, project or asset.</t>
  </si>
  <si>
    <t>INPUTS   ·   The copula's strength and the threshold. The five lines are on the Policies sheet. Change only the yellow cells.</t>
  </si>
  <si>
    <t>◂  About</t>
  </si>
  <si>
    <t>Next:  Policies  ▸</t>
  </si>
  <si>
    <t>How to read this sheet:  yellow cells are inputs.</t>
  </si>
  <si>
    <t>1   The dependence between the lines</t>
  </si>
  <si>
    <t>Assumption</t>
  </si>
  <si>
    <t>Unit</t>
  </si>
  <si>
    <t>Value in model</t>
  </si>
  <si>
    <t>Uncertainty</t>
  </si>
  <si>
    <t>Basis / source (illustrative)</t>
  </si>
  <si>
    <t>Clayton copula parameter  θ</t>
  </si>
  <si>
    <t>Fixed</t>
  </si>
  <si>
    <t>0: independent; 10: strong (Kendall's τ = θ ÷ (θ + 2) = 0.83)</t>
  </si>
  <si>
    <t>2   A bad year</t>
  </si>
  <si>
    <t>A bad year: total claims above</t>
  </si>
  <si>
    <t>About 16% above the expected total</t>
  </si>
  <si>
    <t>POLICIES   ·   Five lines: claims a year, damage, deductible and limit.</t>
  </si>
  <si>
    <t>◂  Inputs</t>
  </si>
  <si>
    <t>Next:  Annual claims  ▸</t>
  </si>
  <si>
    <t>1   The five lines</t>
  </si>
  <si>
    <t>Yellow cells are inputs ($000).</t>
  </si>
  <si>
    <t>Line</t>
  </si>
  <si>
    <t>Policy holders</t>
  </si>
  <si>
    <t>Claims a year per holder</t>
  </si>
  <si>
    <t>Damage mean</t>
  </si>
  <si>
    <t>Damage sd</t>
  </si>
  <si>
    <t>Deductible</t>
  </si>
  <si>
    <t>Limit</t>
  </si>
  <si>
    <t>Claims a year</t>
  </si>
  <si>
    <t>Mean payout per claim</t>
  </si>
  <si>
    <t>Expected annual claims</t>
  </si>
  <si>
    <t>Annual 99th pct (FFT)</t>
  </si>
  <si>
    <t>A</t>
  </si>
  <si>
    <t>Claims a year = policy holders × claims a year per holder (Poisson)</t>
  </si>
  <si>
    <t>B</t>
  </si>
  <si>
    <t>Payout = min(max(damage − deductible, 0), limit)</t>
  </si>
  <si>
    <t>C</t>
  </si>
  <si>
    <t>Mean payout: VoseMean(VoseDeductObject(VoseLognormalObject(mean, sd), deductible, limit, TRUE))</t>
  </si>
  <si>
    <t>D</t>
  </si>
  <si>
    <t>99th pct: VoseAggregateFFT(claims, payout, 18, 0.99), exact; density 18 (the default and 16 are too coarse for line B)</t>
  </si>
  <si>
    <t>E</t>
  </si>
  <si>
    <t>D: few claims but large and very uncertain damage, a high limit</t>
  </si>
  <si>
    <t>Total</t>
  </si>
  <si>
    <t>ANNUAL CLAIMS   ·   Each line's year: claim numbers linked by the copula, and independent.</t>
  </si>
  <si>
    <t>◂  Policies</t>
  </si>
  <si>
    <t>Next:  Results  ▸</t>
  </si>
  <si>
    <t>1   The five annual totals</t>
  </si>
  <si>
    <t>One year per simulation.</t>
  </si>
  <si>
    <t>Number of claims</t>
  </si>
  <si>
    <t>Payout per claim</t>
  </si>
  <si>
    <t>Copula U</t>
  </si>
  <si>
    <t>Claims, linked</t>
  </si>
  <si>
    <t>Annual, linked</t>
  </si>
  <si>
    <t>Annual, independent</t>
  </si>
  <si>
    <t>VoseCopulaMultiClayton(θ): five linked probabilities, one per line (an array in column E)</t>
  </si>
  <si>
    <t>Claims, linked: VosePoisson(claims a year, 1 − U): the lines' busy years come together</t>
  </si>
  <si>
    <t>Annual: VoseAggregateMC(number of claims, payout): one payout per claim, added up</t>
  </si>
  <si>
    <t>Independent: VoseAggregateMC(the Poisson object, payout) draws its own number of claims</t>
  </si>
  <si>
    <t>Each line keeps its own distribution either way: only how the lines move together changes</t>
  </si>
  <si>
    <t>2   Value in this iteration</t>
  </si>
  <si>
    <t>Key outputs, recorded by ModelRisk at every sample (VoseOutput). Their statistics appear on the Results sheet.</t>
  </si>
  <si>
    <t>Output</t>
  </si>
  <si>
    <t>Value</t>
  </si>
  <si>
    <t>Meaning</t>
  </si>
  <si>
    <t>Total claims, lines linked</t>
  </si>
  <si>
    <t>Total claims, lines independent</t>
  </si>
  <si>
    <t>Line A, linked</t>
  </si>
  <si>
    <t>Line B, linked</t>
  </si>
  <si>
    <t>Line C, linked</t>
  </si>
  <si>
    <t>Line D, linked</t>
  </si>
  <si>
    <t>Line E, linked</t>
  </si>
  <si>
    <t>3   Model checks</t>
  </si>
  <si>
    <t>Should all read OK. A CHECK means an input has been set outside the range the model is built for.</t>
  </si>
  <si>
    <t>Policy data are positive</t>
  </si>
  <si>
    <t>Every deductible is below its damage mean</t>
  </si>
  <si>
    <t>The copula parameter is positive</t>
  </si>
  <si>
    <t>RESULTS   ·   Filled in automatically from the last simulation. Run a simulation after changing any input.</t>
  </si>
  <si>
    <t>◂  Annual claims</t>
  </si>
  <si>
    <t>1   The year's total: linked against independent</t>
  </si>
  <si>
    <t>The year's total claims</t>
  </si>
  <si>
    <t>The same five lines, with and without the copula.</t>
  </si>
  <si>
    <t>Measure</t>
  </si>
  <si>
    <t>Linked</t>
  </si>
  <si>
    <t>Independent</t>
  </si>
  <si>
    <t>Mean</t>
  </si>
  <si>
    <t>Standard deviation</t>
  </si>
  <si>
    <t>5th percentile</t>
  </si>
  <si>
    <t>Median</t>
  </si>
  <si>
    <t>95th percentile</t>
  </si>
  <si>
    <t>99th percentile</t>
  </si>
  <si>
    <t>Expected shortfall (99%)</t>
  </si>
  <si>
    <t>Chance of a bad year (above the threshold)</t>
  </si>
  <si>
    <t>Expected total (exact)</t>
  </si>
  <si>
    <t>2   By line</t>
  </si>
  <si>
    <t>Each line keeps its own distribution: simulated (linked) against exact.</t>
  </si>
  <si>
    <t>Expected (exact)</t>
  </si>
  <si>
    <t>Simulated mean</t>
  </si>
  <si>
    <t>99th pct (FFT, exact)</t>
  </si>
  <si>
    <t>99th pct (simulated)</t>
  </si>
  <si>
    <t>3   How closely the lines move together</t>
  </si>
  <si>
    <t>Rank correlation of the lines' annual totals in the simulation.</t>
  </si>
  <si>
    <t>Pair</t>
  </si>
  <si>
    <t>Rank correlation</t>
  </si>
  <si>
    <t>Lines A and B</t>
  </si>
  <si>
    <t>Lines B and D</t>
  </si>
  <si>
    <t>Lines C and E</t>
  </si>
  <si>
    <t>The year's total, lines linked</t>
  </si>
  <si>
    <t>4   How to read these results</t>
  </si>
  <si>
    <t>•  The five lines expect about 516 ($000) of claims a year, linked or not: linking them does not change the mean, and each line keeps its own distribution (compare the exact and simulated columns by line).</t>
  </si>
  <si>
    <t>•  It changes the spread. With the lines' busy years together the standard deviation rises from about 46 to 70, the 99th percentile from about 631 to 694, and a year above 600 becomes three times as likely (about 12% against 4%).</t>
  </si>
  <si>
    <t>•  The copula links the numbers of claims almost in step (θ = 10), but each claim's size is still independent, so the lines' totals are only moderately correlated (rank correlations about 0.3 to 0.55).</t>
  </si>
  <si>
    <t>•  The original example linked the lines' whole annual totals instead, reading each line's FFT distribution at the copula's percentile (VoseAggregateFFT with U). In the ModelRisk build this example was made with, VoseAggregateFFT with a VoseDeductObject severity returns errors during a simulation, so the copula drives the claim numbers here; the FFT (density 18) gives each line's exact percentiles.</t>
  </si>
  <si>
    <t>Chart data</t>
  </si>
  <si>
    <t>Statistics of the last simulation behind the charts and the ranking above. Grouped: click + in the left margin to show them.</t>
  </si>
  <si>
    <t>Cumulative probability</t>
  </si>
  <si>
    <t>Exceedance</t>
  </si>
  <si>
    <t>Tot_Corr</t>
  </si>
  <si>
    <t>Tot_Ind</t>
  </si>
  <si>
    <t>line at BadYear</t>
  </si>
  <si>
    <t>Percentiles: Tot_Corr</t>
  </si>
  <si>
    <t>Histogram: Tot_Corr</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</si>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</sst>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_);\(#,##0.0\);&quot;–&quot;_)"/>
    <numFmt numFmtId="165" formatCode="#,##0_);\(#,##0\);&quot;–&quot;_)"/>
    <numFmt numFmtId="166" formatCode="0.000"/>
    <numFmt numFmtId="167" formatCode="#,##0.00_);\(#,##0.00\);&quot;–&quot;_)"/>
    <numFmt numFmtId="168" formatCode="0.0000"/>
    <numFmt numFmtId="169" formatCode="#,##0.0_);\(#,##0.0\);&quot;–&quot;_);&quot;–&quot;"/>
    <numFmt numFmtId="170" formatCode="0.0%;\-0.0%;0.0%;&quot;–&quot;"/>
    <numFmt numFmtId="171" formatCode="0.00;\-0.00;0.00;&quot;–&quot;"/>
    <numFmt numFmtId="172" formatCode="0.0%"/>
  </numFmts>
  <fonts count="23"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b/>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9"/>
      <color rgb="FF0F2A47"/>
      <name val="Calibri"/>
      <family val="2"/>
      <charset val="204"/>
    </font>
    <font>
      <b/>
      <sz val="10"/>
      <color rgb="FF15803D"/>
      <name val="Calibri"/>
      <family val="2"/>
      <charset val="204"/>
    </font>
    <font>
      <sz val="9"/>
      <color rgb="FF8AA0BA"/>
      <name val="Calibri"/>
      <family val="2"/>
      <charset val="204"/>
    </font>
    <font>
      <b/>
      <sz val="11"/>
      <color rgb="FF0E4F92"/>
      <name val="Calibri"/>
      <family val="2"/>
      <charset val="204"/>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0" fontId="12" fillId="0" borderId="6" xfId="0" applyFont="1" applyBorder="1" applyAlignment="1">
      <alignment horizontal="left" vertical="center" indent="1"/>
    </xf>
    <xf numFmtId="1" fontId="1" fillId="2" borderId="7" xfId="1" applyNumberFormat="1" applyBorder="1">
      <alignment horizontal="right" vertical="center"/>
    </xf>
    <xf numFmtId="166" fontId="1" fillId="2" borderId="7" xfId="1" applyNumberFormat="1" applyBorder="1">
      <alignment horizontal="right" vertical="center"/>
    </xf>
    <xf numFmtId="167" fontId="1" fillId="2" borderId="7" xfId="1" applyNumberFormat="1" applyBorder="1">
      <alignment horizontal="right" vertical="center"/>
    </xf>
    <xf numFmtId="164" fontId="3" fillId="0" borderId="8" xfId="3" applyNumberFormat="1" applyBorder="1">
      <alignment horizontal="right" vertical="center"/>
    </xf>
    <xf numFmtId="168" fontId="3" fillId="0" borderId="8" xfId="3" applyNumberFormat="1" applyBorder="1">
      <alignment horizontal="right" vertical="center"/>
    </xf>
    <xf numFmtId="167" fontId="3" fillId="0" borderId="8" xfId="3" applyNumberFormat="1" applyBorder="1">
      <alignment horizontal="right" vertical="center"/>
    </xf>
    <xf numFmtId="0" fontId="18" fillId="0" borderId="0" xfId="0" applyFont="1" applyAlignment="1">
      <alignment horizontal="left" vertical="center" indent="1"/>
    </xf>
    <xf numFmtId="0" fontId="12" fillId="0" borderId="9" xfId="0" applyFont="1" applyBorder="1" applyAlignment="1">
      <alignment horizontal="left" vertical="center" indent="1"/>
    </xf>
    <xf numFmtId="0" fontId="0" fillId="0" borderId="9" xfId="0" applyBorder="1"/>
    <xf numFmtId="164" fontId="12" fillId="0" borderId="9" xfId="3" applyNumberFormat="1" applyFont="1" applyBorder="1">
      <alignment horizontal="right" vertical="center"/>
    </xf>
    <xf numFmtId="167" fontId="12" fillId="0" borderId="9" xfId="3" applyNumberFormat="1" applyFont="1" applyBorder="1">
      <alignment horizontal="right" vertical="center"/>
    </xf>
    <xf numFmtId="0" fontId="19" fillId="0" borderId="8" xfId="3" applyFont="1" applyBorder="1" applyAlignment="1">
      <alignment horizontal="left" vertical="center" indent="1"/>
    </xf>
    <xf numFmtId="166" fontId="2" fillId="3" borderId="7" xfId="2" applyNumberFormat="1" applyBorder="1">
      <alignment horizontal="right" vertical="center"/>
    </xf>
    <xf numFmtId="1" fontId="2" fillId="3" borderId="7" xfId="2" applyNumberFormat="1" applyBorder="1">
      <alignment horizontal="right" vertical="center"/>
    </xf>
    <xf numFmtId="164" fontId="2" fillId="3" borderId="7" xfId="2" applyNumberFormat="1" applyBorder="1">
      <alignment horizontal="right" vertical="center"/>
    </xf>
    <xf numFmtId="1" fontId="12" fillId="0" borderId="9"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0" borderId="0" xfId="0" applyFont="1" applyAlignment="1">
      <alignment horizontal="left" vertical="center" indent="1"/>
    </xf>
    <xf numFmtId="164"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2" fillId="0" borderId="5" xfId="0" applyFont="1" applyBorder="1"/>
    <xf numFmtId="169" fontId="1" fillId="5" borderId="7" xfId="5" applyNumberForma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72" fontId="3" fillId="0" borderId="2" xfId="3" applyNumberFormat="1">
      <alignment horizontal="right" vertical="center"/>
    </xf>
    <xf numFmtId="0" fontId="21"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Linked</c:v>
          </c:tx>
          <c:spPr>
            <a:ln w="25400">
              <a:solidFill>
                <a:srgbClr val="0E4F92"/>
              </a:solidFill>
              <a:prstDash val="solid"/>
            </a:ln>
          </c:spPr>
          <c:marker>
            <c:symbol val="none"/>
          </c:marker>
          <c:xVal>
            <c:numRef>
              <c:f>Results!$D$63:$D$112</c:f>
              <c:numCache>
                <c:formatCode>#,##0.00</c:formatCode>
                <c:ptCount val="50"/>
                <c:pt idx="0">
                  <c:v>380.29221061224916</c:v>
                </c:pt>
                <c:pt idx="1">
                  <c:v>398.65652785972475</c:v>
                </c:pt>
                <c:pt idx="2">
                  <c:v>407.5544034414927</c:v>
                </c:pt>
                <c:pt idx="3">
                  <c:v>416.4090479205118</c:v>
                </c:pt>
                <c:pt idx="4">
                  <c:v>423.56704223050161</c:v>
                </c:pt>
                <c:pt idx="5">
                  <c:v>430.24327371109388</c:v>
                </c:pt>
                <c:pt idx="6">
                  <c:v>436.35370182973298</c:v>
                </c:pt>
                <c:pt idx="7">
                  <c:v>441.63900571749099</c:v>
                </c:pt>
                <c:pt idx="8">
                  <c:v>446.54475020656741</c:v>
                </c:pt>
                <c:pt idx="9">
                  <c:v>451.29274716705436</c:v>
                </c:pt>
                <c:pt idx="10">
                  <c:v>455.76885014308243</c:v>
                </c:pt>
                <c:pt idx="11">
                  <c:v>460.08687635807308</c:v>
                </c:pt>
                <c:pt idx="12">
                  <c:v>464.12350904683854</c:v>
                </c:pt>
                <c:pt idx="13">
                  <c:v>467.79083763180444</c:v>
                </c:pt>
                <c:pt idx="14">
                  <c:v>471.90743547823399</c:v>
                </c:pt>
                <c:pt idx="15">
                  <c:v>475.82133741041645</c:v>
                </c:pt>
                <c:pt idx="16">
                  <c:v>479.46142201237615</c:v>
                </c:pt>
                <c:pt idx="17">
                  <c:v>483.42904609431497</c:v>
                </c:pt>
                <c:pt idx="18">
                  <c:v>487.23279750281267</c:v>
                </c:pt>
                <c:pt idx="19">
                  <c:v>490.41985372372784</c:v>
                </c:pt>
                <c:pt idx="20">
                  <c:v>493.56197029513561</c:v>
                </c:pt>
                <c:pt idx="21">
                  <c:v>497.20134591499561</c:v>
                </c:pt>
                <c:pt idx="22">
                  <c:v>500.98643694959208</c:v>
                </c:pt>
                <c:pt idx="23">
                  <c:v>504.74433813360599</c:v>
                </c:pt>
                <c:pt idx="24">
                  <c:v>508.46619596041103</c:v>
                </c:pt>
                <c:pt idx="25">
                  <c:v>512.71591293830147</c:v>
                </c:pt>
                <c:pt idx="26">
                  <c:v>516.16217470299875</c:v>
                </c:pt>
                <c:pt idx="27">
                  <c:v>520.02175379083315</c:v>
                </c:pt>
                <c:pt idx="28">
                  <c:v>524.00193111820602</c:v>
                </c:pt>
                <c:pt idx="29">
                  <c:v>527.43990573473673</c:v>
                </c:pt>
                <c:pt idx="30">
                  <c:v>531.37933258379167</c:v>
                </c:pt>
                <c:pt idx="31">
                  <c:v>535.48614031343413</c:v>
                </c:pt>
                <c:pt idx="32">
                  <c:v>539.90497325940078</c:v>
                </c:pt>
                <c:pt idx="33">
                  <c:v>544.63607162461005</c:v>
                </c:pt>
                <c:pt idx="34">
                  <c:v>548.483632808214</c:v>
                </c:pt>
                <c:pt idx="35">
                  <c:v>552.55876826969802</c:v>
                </c:pt>
                <c:pt idx="36">
                  <c:v>556.90982779254375</c:v>
                </c:pt>
                <c:pt idx="37">
                  <c:v>561.43596511537726</c:v>
                </c:pt>
                <c:pt idx="38">
                  <c:v>566.32168232432502</c:v>
                </c:pt>
                <c:pt idx="39">
                  <c:v>571.13678316594564</c:v>
                </c:pt>
                <c:pt idx="40">
                  <c:v>576.65554253904008</c:v>
                </c:pt>
                <c:pt idx="41">
                  <c:v>582.43179584130939</c:v>
                </c:pt>
                <c:pt idx="42">
                  <c:v>588.73419792756033</c:v>
                </c:pt>
                <c:pt idx="43">
                  <c:v>595.81654578676228</c:v>
                </c:pt>
                <c:pt idx="44">
                  <c:v>603.07851541152445</c:v>
                </c:pt>
                <c:pt idx="45">
                  <c:v>611.075653171623</c:v>
                </c:pt>
                <c:pt idx="46">
                  <c:v>621.5561561474666</c:v>
                </c:pt>
                <c:pt idx="47">
                  <c:v>634.11788073143794</c:v>
                </c:pt>
                <c:pt idx="48">
                  <c:v>653.98461125288952</c:v>
                </c:pt>
                <c:pt idx="49">
                  <c:v>692.43614557968976</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B02-41C7-85F3-EE8922F5B042}"/>
            </c:ext>
          </c:extLst>
        </c:ser>
        <c:ser>
          <c:idx val="1"/>
          <c:order val="1"/>
          <c:tx>
            <c:v>Independent</c:v>
          </c:tx>
          <c:spPr>
            <a:ln w="25400">
              <a:solidFill>
                <a:srgbClr val="B45309"/>
              </a:solidFill>
              <a:prstDash val="dash"/>
            </a:ln>
          </c:spPr>
          <c:marker>
            <c:symbol val="none"/>
          </c:marker>
          <c:xVal>
            <c:numRef>
              <c:f>Results!$E$63:$E$112</c:f>
              <c:numCache>
                <c:formatCode>#,##0.00</c:formatCode>
                <c:ptCount val="50"/>
                <c:pt idx="0">
                  <c:v>416.98435917936581</c:v>
                </c:pt>
                <c:pt idx="1">
                  <c:v>434.74933916217395</c:v>
                </c:pt>
                <c:pt idx="2">
                  <c:v>444.65584294267831</c:v>
                </c:pt>
                <c:pt idx="3">
                  <c:v>450.91325695657798</c:v>
                </c:pt>
                <c:pt idx="4">
                  <c:v>456.25249939376675</c:v>
                </c:pt>
                <c:pt idx="5">
                  <c:v>461.29571943998241</c:v>
                </c:pt>
                <c:pt idx="6">
                  <c:v>465.20697809288828</c:v>
                </c:pt>
                <c:pt idx="7">
                  <c:v>468.7347914968725</c:v>
                </c:pt>
                <c:pt idx="8">
                  <c:v>472.70572820342818</c:v>
                </c:pt>
                <c:pt idx="9">
                  <c:v>475.77484110968169</c:v>
                </c:pt>
                <c:pt idx="10">
                  <c:v>478.74009389346321</c:v>
                </c:pt>
                <c:pt idx="11">
                  <c:v>481.53831964984317</c:v>
                </c:pt>
                <c:pt idx="12">
                  <c:v>484.44780138306294</c:v>
                </c:pt>
                <c:pt idx="13">
                  <c:v>487.05383230272275</c:v>
                </c:pt>
                <c:pt idx="14">
                  <c:v>489.67698114543191</c:v>
                </c:pt>
                <c:pt idx="15">
                  <c:v>492.12245472404214</c:v>
                </c:pt>
                <c:pt idx="16">
                  <c:v>494.59939603096524</c:v>
                </c:pt>
                <c:pt idx="17">
                  <c:v>497.06402744537257</c:v>
                </c:pt>
                <c:pt idx="18">
                  <c:v>499.43367610025268</c:v>
                </c:pt>
                <c:pt idx="19">
                  <c:v>501.69957204151365</c:v>
                </c:pt>
                <c:pt idx="20">
                  <c:v>503.95271515422911</c:v>
                </c:pt>
                <c:pt idx="21">
                  <c:v>506.17043147172637</c:v>
                </c:pt>
                <c:pt idx="22">
                  <c:v>508.55947014161347</c:v>
                </c:pt>
                <c:pt idx="23">
                  <c:v>510.88298165680243</c:v>
                </c:pt>
                <c:pt idx="24">
                  <c:v>513.28229950559955</c:v>
                </c:pt>
                <c:pt idx="25">
                  <c:v>515.55120935522496</c:v>
                </c:pt>
                <c:pt idx="26">
                  <c:v>518.01040034839662</c:v>
                </c:pt>
                <c:pt idx="27">
                  <c:v>520.31997588825368</c:v>
                </c:pt>
                <c:pt idx="28">
                  <c:v>522.53179095459029</c:v>
                </c:pt>
                <c:pt idx="29">
                  <c:v>524.82820042815001</c:v>
                </c:pt>
                <c:pt idx="30">
                  <c:v>527.29035168126904</c:v>
                </c:pt>
                <c:pt idx="31">
                  <c:v>529.34635950686925</c:v>
                </c:pt>
                <c:pt idx="32">
                  <c:v>531.57685312434126</c:v>
                </c:pt>
                <c:pt idx="33">
                  <c:v>533.96266754455883</c:v>
                </c:pt>
                <c:pt idx="34">
                  <c:v>536.821687200886</c:v>
                </c:pt>
                <c:pt idx="35">
                  <c:v>539.5644940732019</c:v>
                </c:pt>
                <c:pt idx="36">
                  <c:v>542.23651653272111</c:v>
                </c:pt>
                <c:pt idx="37">
                  <c:v>545.34142154140102</c:v>
                </c:pt>
                <c:pt idx="38">
                  <c:v>548.59275779532334</c:v>
                </c:pt>
                <c:pt idx="39">
                  <c:v>551.75075551448936</c:v>
                </c:pt>
                <c:pt idx="40">
                  <c:v>555.471981052155</c:v>
                </c:pt>
                <c:pt idx="41">
                  <c:v>559.47232088953785</c:v>
                </c:pt>
                <c:pt idx="42">
                  <c:v>563.2285656915451</c:v>
                </c:pt>
                <c:pt idx="43">
                  <c:v>567.24017065037469</c:v>
                </c:pt>
                <c:pt idx="44">
                  <c:v>572.63438007201444</c:v>
                </c:pt>
                <c:pt idx="45">
                  <c:v>577.81649878229234</c:v>
                </c:pt>
                <c:pt idx="46">
                  <c:v>584.13158361117769</c:v>
                </c:pt>
                <c:pt idx="47">
                  <c:v>592.02793403364569</c:v>
                </c:pt>
                <c:pt idx="48">
                  <c:v>604.69508137425009</c:v>
                </c:pt>
                <c:pt idx="49">
                  <c:v>626.43378912270771</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4B02-41C7-85F3-EE8922F5B042}"/>
            </c:ext>
          </c:extLst>
        </c:ser>
        <c:ser>
          <c:idx val="2"/>
          <c:order val="2"/>
          <c:tx>
            <c:v>Bad-year threshold</c:v>
          </c:tx>
          <c:spPr>
            <a:ln w="19050">
              <a:solidFill>
                <a:srgbClr val="B91C1C"/>
              </a:solidFill>
              <a:prstDash val="sysDash"/>
            </a:ln>
          </c:spPr>
          <c:marker>
            <c:symbol val="none"/>
          </c:marker>
          <c:xVal>
            <c:numRef>
              <c:f>Results!$F$63:$F$112</c:f>
              <c:numCache>
                <c:formatCode>#,##0.00</c:formatCode>
                <c:ptCount val="50"/>
                <c:pt idx="0">
                  <c:v>600</c:v>
                </c:pt>
                <c:pt idx="1">
                  <c:v>600</c:v>
                </c:pt>
                <c:pt idx="2">
                  <c:v>600</c:v>
                </c:pt>
                <c:pt idx="3">
                  <c:v>600</c:v>
                </c:pt>
                <c:pt idx="4">
                  <c:v>600</c:v>
                </c:pt>
                <c:pt idx="5">
                  <c:v>600</c:v>
                </c:pt>
                <c:pt idx="6">
                  <c:v>600</c:v>
                </c:pt>
                <c:pt idx="7">
                  <c:v>600</c:v>
                </c:pt>
                <c:pt idx="8">
                  <c:v>600</c:v>
                </c:pt>
                <c:pt idx="9">
                  <c:v>600</c:v>
                </c:pt>
                <c:pt idx="10">
                  <c:v>600</c:v>
                </c:pt>
                <c:pt idx="11">
                  <c:v>600</c:v>
                </c:pt>
                <c:pt idx="12">
                  <c:v>600</c:v>
                </c:pt>
                <c:pt idx="13">
                  <c:v>600</c:v>
                </c:pt>
                <c:pt idx="14">
                  <c:v>600</c:v>
                </c:pt>
                <c:pt idx="15">
                  <c:v>600</c:v>
                </c:pt>
                <c:pt idx="16">
                  <c:v>600</c:v>
                </c:pt>
                <c:pt idx="17">
                  <c:v>600</c:v>
                </c:pt>
                <c:pt idx="18">
                  <c:v>600</c:v>
                </c:pt>
                <c:pt idx="19">
                  <c:v>600</c:v>
                </c:pt>
                <c:pt idx="20">
                  <c:v>600</c:v>
                </c:pt>
                <c:pt idx="21">
                  <c:v>600</c:v>
                </c:pt>
                <c:pt idx="22">
                  <c:v>600</c:v>
                </c:pt>
                <c:pt idx="23">
                  <c:v>600</c:v>
                </c:pt>
                <c:pt idx="24">
                  <c:v>600</c:v>
                </c:pt>
                <c:pt idx="25">
                  <c:v>600</c:v>
                </c:pt>
                <c:pt idx="26">
                  <c:v>600</c:v>
                </c:pt>
                <c:pt idx="27">
                  <c:v>600</c:v>
                </c:pt>
                <c:pt idx="28">
                  <c:v>600</c:v>
                </c:pt>
                <c:pt idx="29">
                  <c:v>600</c:v>
                </c:pt>
                <c:pt idx="30">
                  <c:v>600</c:v>
                </c:pt>
                <c:pt idx="31">
                  <c:v>600</c:v>
                </c:pt>
                <c:pt idx="32">
                  <c:v>600</c:v>
                </c:pt>
                <c:pt idx="33">
                  <c:v>600</c:v>
                </c:pt>
                <c:pt idx="34">
                  <c:v>600</c:v>
                </c:pt>
                <c:pt idx="35">
                  <c:v>600</c:v>
                </c:pt>
                <c:pt idx="36">
                  <c:v>600</c:v>
                </c:pt>
                <c:pt idx="37">
                  <c:v>600</c:v>
                </c:pt>
                <c:pt idx="38">
                  <c:v>600</c:v>
                </c:pt>
                <c:pt idx="39">
                  <c:v>600</c:v>
                </c:pt>
                <c:pt idx="40">
                  <c:v>600</c:v>
                </c:pt>
                <c:pt idx="41">
                  <c:v>600</c:v>
                </c:pt>
                <c:pt idx="42">
                  <c:v>600</c:v>
                </c:pt>
                <c:pt idx="43">
                  <c:v>600</c:v>
                </c:pt>
                <c:pt idx="44">
                  <c:v>600</c:v>
                </c:pt>
                <c:pt idx="45">
                  <c:v>600</c:v>
                </c:pt>
                <c:pt idx="46">
                  <c:v>600</c:v>
                </c:pt>
                <c:pt idx="47">
                  <c:v>600</c:v>
                </c:pt>
                <c:pt idx="48">
                  <c:v>600</c:v>
                </c:pt>
                <c:pt idx="49">
                  <c:v>600</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4B02-41C7-85F3-EE8922F5B042}"/>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claims ($000)</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Linked total</c:v>
          </c:tx>
          <c:spPr>
            <a:solidFill>
              <a:srgbClr val="0E4F92"/>
            </a:solidFill>
            <a:ln>
              <a:noFill/>
              <a:prstDash val="solid"/>
            </a:ln>
          </c:spPr>
          <c:invertIfNegative val="1"/>
          <c:cat>
            <c:numRef>
              <c:f>Results!$E$218:$E$241</c:f>
              <c:numCache>
                <c:formatCode>#,##0.00</c:formatCode>
                <c:ptCount val="24"/>
                <c:pt idx="0">
                  <c:v>378.70150752832029</c:v>
                </c:pt>
                <c:pt idx="1">
                  <c:v>392.82109398974558</c:v>
                </c:pt>
                <c:pt idx="2">
                  <c:v>406.94068045117081</c:v>
                </c:pt>
                <c:pt idx="3">
                  <c:v>421.06026691259609</c:v>
                </c:pt>
                <c:pt idx="4">
                  <c:v>435.17985337402132</c:v>
                </c:pt>
                <c:pt idx="5">
                  <c:v>449.29943983544661</c:v>
                </c:pt>
                <c:pt idx="6">
                  <c:v>463.41902629687183</c:v>
                </c:pt>
                <c:pt idx="7">
                  <c:v>477.53861275829706</c:v>
                </c:pt>
                <c:pt idx="8">
                  <c:v>491.65819921972241</c:v>
                </c:pt>
                <c:pt idx="9">
                  <c:v>505.77778568114763</c:v>
                </c:pt>
                <c:pt idx="10">
                  <c:v>519.89737214257286</c:v>
                </c:pt>
                <c:pt idx="11">
                  <c:v>534.01695860399809</c:v>
                </c:pt>
                <c:pt idx="12">
                  <c:v>548.13654506542343</c:v>
                </c:pt>
                <c:pt idx="13">
                  <c:v>562.25613152684855</c:v>
                </c:pt>
                <c:pt idx="14">
                  <c:v>576.37571798827389</c:v>
                </c:pt>
                <c:pt idx="15">
                  <c:v>590.49530444969923</c:v>
                </c:pt>
                <c:pt idx="16">
                  <c:v>604.61489091112435</c:v>
                </c:pt>
                <c:pt idx="17">
                  <c:v>618.73447737254969</c:v>
                </c:pt>
                <c:pt idx="18">
                  <c:v>632.85406383397503</c:v>
                </c:pt>
                <c:pt idx="19">
                  <c:v>646.97365029540015</c:v>
                </c:pt>
                <c:pt idx="20">
                  <c:v>661.09323675682549</c:v>
                </c:pt>
                <c:pt idx="21">
                  <c:v>675.21282321825072</c:v>
                </c:pt>
                <c:pt idx="22">
                  <c:v>689.33240967967595</c:v>
                </c:pt>
                <c:pt idx="23">
                  <c:v>703.45199614110118</c:v>
                </c:pt>
              </c:numCache>
            </c:numRef>
          </c:cat>
          <c:val>
            <c:numRef>
              <c:f>Results!$F$218:$F$241</c:f>
              <c:numCache>
                <c:formatCode>0.0%</c:formatCode>
                <c:ptCount val="24"/>
                <c:pt idx="0">
                  <c:v>1.1192600753853116E-2</c:v>
                </c:pt>
                <c:pt idx="1">
                  <c:v>1.6560634180434807E-2</c:v>
                </c:pt>
                <c:pt idx="2">
                  <c:v>3.0415905339350575E-2</c:v>
                </c:pt>
                <c:pt idx="3">
                  <c:v>3.9845039125909837E-2</c:v>
                </c:pt>
                <c:pt idx="4">
                  <c:v>4.9198925683398356E-2</c:v>
                </c:pt>
                <c:pt idx="5">
                  <c:v>6.0619199852544325E-2</c:v>
                </c:pt>
                <c:pt idx="6">
                  <c:v>7.0265783714395597E-2</c:v>
                </c:pt>
                <c:pt idx="7">
                  <c:v>7.2736861833559319E-2</c:v>
                </c:pt>
                <c:pt idx="8">
                  <c:v>8.2464848405162661E-2</c:v>
                </c:pt>
                <c:pt idx="9">
                  <c:v>7.2431299903621738E-2</c:v>
                </c:pt>
                <c:pt idx="10">
                  <c:v>7.5936811446872698E-2</c:v>
                </c:pt>
                <c:pt idx="11">
                  <c:v>6.7830715532147035E-2</c:v>
                </c:pt>
                <c:pt idx="12">
                  <c:v>6.6649420603048903E-2</c:v>
                </c:pt>
                <c:pt idx="13">
                  <c:v>6.2307028180105917E-2</c:v>
                </c:pt>
                <c:pt idx="14">
                  <c:v>4.9784745218468651E-2</c:v>
                </c:pt>
                <c:pt idx="15">
                  <c:v>4.1396622690908713E-2</c:v>
                </c:pt>
                <c:pt idx="16">
                  <c:v>3.6909320009006041E-2</c:v>
                </c:pt>
                <c:pt idx="17">
                  <c:v>2.5587032762319328E-2</c:v>
                </c:pt>
                <c:pt idx="18">
                  <c:v>1.8797549511805234E-2</c:v>
                </c:pt>
                <c:pt idx="19">
                  <c:v>1.4101607105439173E-2</c:v>
                </c:pt>
                <c:pt idx="20">
                  <c:v>9.2387044900382742E-3</c:v>
                </c:pt>
                <c:pt idx="21">
                  <c:v>6.3425471906880526E-3</c:v>
                </c:pt>
                <c:pt idx="22">
                  <c:v>5.4811025331936714E-3</c:v>
                </c:pt>
                <c:pt idx="23">
                  <c:v>3.9056939337279717E-3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C06-4A55-9488-C5902961F1E7}"/>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Total claims ($000)</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38</xdr:row>
      <xdr:rowOff>0</xdr:rowOff>
    </xdr:from>
    <xdr:ext cx="6263999" cy="237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5"/>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64" t="s">
        <v>20</v>
      </c>
      <c r="C16" s="6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ht="52.5" x14ac:dyDescent="0.45">
      <c r="B60" s="9" t="s">
        <v>72</v>
      </c>
      <c r="C60" s="10" t="s">
        <v>73</v>
      </c>
    </row>
    <row r="61" spans="2:3" ht="12" customHeight="1" x14ac:dyDescent="0.45"/>
    <row r="62" spans="2:3" ht="22.05" customHeight="1" x14ac:dyDescent="0.5">
      <c r="B62" s="7" t="s">
        <v>74</v>
      </c>
      <c r="C62" s="8"/>
    </row>
    <row r="63" spans="2:3" ht="26.25"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x14ac:dyDescent="0.45">
      <c r="B67" s="20" t="s">
        <v>83</v>
      </c>
      <c r="C67" s="10" t="s">
        <v>84</v>
      </c>
    </row>
    <row r="68" spans="2:3" x14ac:dyDescent="0.45">
      <c r="B68" s="20" t="s">
        <v>85</v>
      </c>
      <c r="C68" s="10" t="s">
        <v>86</v>
      </c>
    </row>
    <row r="69" spans="2:3" x14ac:dyDescent="0.45">
      <c r="B69" s="20" t="s">
        <v>87</v>
      </c>
      <c r="C69" s="10" t="s">
        <v>88</v>
      </c>
    </row>
    <row r="70" spans="2:3" ht="26.25" x14ac:dyDescent="0.45">
      <c r="B70" s="20" t="s">
        <v>89</v>
      </c>
      <c r="C70" s="10" t="s">
        <v>90</v>
      </c>
    </row>
    <row r="71" spans="2:3" ht="12" customHeight="1" x14ac:dyDescent="0.45"/>
    <row r="72" spans="2:3" ht="22.05" customHeight="1" x14ac:dyDescent="0.5">
      <c r="B72" s="7" t="s">
        <v>91</v>
      </c>
      <c r="C72" s="8"/>
    </row>
    <row r="73" spans="2:3" x14ac:dyDescent="0.45">
      <c r="B73" s="9" t="s">
        <v>92</v>
      </c>
      <c r="C73" s="10" t="s">
        <v>93</v>
      </c>
    </row>
    <row r="74" spans="2:3" ht="16.05" customHeight="1" x14ac:dyDescent="0.45"/>
    <row r="75" spans="2:3" x14ac:dyDescent="0.45">
      <c r="B75" s="66" t="s">
        <v>94</v>
      </c>
      <c r="C75" s="65"/>
    </row>
  </sheetData>
  <mergeCells count="2">
    <mergeCell ref="B16:C16"/>
    <mergeCell ref="B75:C75"/>
  </mergeCells>
  <hyperlinks>
    <hyperlink ref="D4" location="'Inputs'!A1" display="Next:  Inputs  ▸" xr:uid="{00000000-0004-0000-0000-000000000000}"/>
    <hyperlink ref="B39" location="'Inputs'!A1" display="Inputs" xr:uid="{00000000-0004-0000-0000-000001000000}"/>
    <hyperlink ref="B40" location="'Policies'!A1" display="Policies" xr:uid="{00000000-0004-0000-0000-000002000000}"/>
    <hyperlink ref="B41" location="'Annual claims'!A1" display="Annual claims"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5"/>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95</v>
      </c>
      <c r="C3" s="1"/>
      <c r="D3" s="1"/>
      <c r="E3" s="1"/>
      <c r="F3" s="1"/>
      <c r="G3" s="1"/>
      <c r="H3" s="1"/>
      <c r="I3" s="1"/>
      <c r="J3" s="1"/>
    </row>
    <row r="4" spans="1:10" ht="20" customHeight="1" x14ac:dyDescent="0.45">
      <c r="A4" s="5"/>
      <c r="B4" s="22" t="s">
        <v>96</v>
      </c>
      <c r="C4" s="5"/>
      <c r="D4" s="5"/>
      <c r="E4" s="5"/>
      <c r="F4" s="5"/>
      <c r="G4" s="5"/>
      <c r="H4" s="5"/>
      <c r="I4" s="5"/>
      <c r="J4" s="6" t="s">
        <v>97</v>
      </c>
    </row>
    <row r="5" spans="1:10" ht="8" customHeight="1" x14ac:dyDescent="0.45"/>
    <row r="6" spans="1:10" ht="20" customHeight="1" x14ac:dyDescent="0.45">
      <c r="B6" s="67" t="s">
        <v>98</v>
      </c>
      <c r="C6" s="65"/>
      <c r="D6" s="65"/>
      <c r="E6" s="65"/>
      <c r="F6" s="65"/>
      <c r="G6" s="65"/>
      <c r="H6" s="65"/>
      <c r="I6" s="65"/>
      <c r="J6" s="65"/>
    </row>
    <row r="7" spans="1:10" ht="6" customHeight="1" x14ac:dyDescent="0.45"/>
    <row r="8" spans="1:10" ht="22.05" customHeight="1" x14ac:dyDescent="0.5">
      <c r="B8" s="7" t="s">
        <v>99</v>
      </c>
      <c r="C8" s="8"/>
      <c r="D8" s="8"/>
      <c r="E8" s="8"/>
      <c r="F8" s="8"/>
      <c r="G8" s="8"/>
      <c r="H8" s="8"/>
      <c r="I8" s="8"/>
      <c r="J8" s="8"/>
    </row>
    <row r="9" spans="1:10" ht="18" customHeight="1" x14ac:dyDescent="0.45">
      <c r="B9" s="23" t="s">
        <v>100</v>
      </c>
      <c r="C9" s="23" t="s">
        <v>101</v>
      </c>
      <c r="D9" s="24" t="s">
        <v>102</v>
      </c>
      <c r="E9" s="23" t="s">
        <v>103</v>
      </c>
      <c r="F9" s="5"/>
      <c r="G9" s="5"/>
      <c r="H9" s="5"/>
      <c r="I9" s="5"/>
      <c r="J9" s="23" t="s">
        <v>104</v>
      </c>
    </row>
    <row r="10" spans="1:10" x14ac:dyDescent="0.45">
      <c r="B10" s="25" t="s">
        <v>105</v>
      </c>
      <c r="C10" s="26"/>
      <c r="D10" s="27">
        <v>10</v>
      </c>
      <c r="E10" s="26" t="s">
        <v>106</v>
      </c>
      <c r="F10" s="28"/>
      <c r="G10" s="28"/>
      <c r="H10" s="28"/>
      <c r="I10" s="28"/>
      <c r="J10" s="29" t="s">
        <v>107</v>
      </c>
    </row>
    <row r="11" spans="1:10" ht="8" customHeight="1" x14ac:dyDescent="0.45"/>
    <row r="12" spans="1:10" ht="22.05" customHeight="1" x14ac:dyDescent="0.5">
      <c r="B12" s="7" t="s">
        <v>108</v>
      </c>
      <c r="C12" s="8"/>
      <c r="D12" s="8"/>
      <c r="E12" s="8"/>
      <c r="F12" s="8"/>
      <c r="G12" s="8"/>
      <c r="H12" s="8"/>
      <c r="I12" s="8"/>
      <c r="J12" s="8"/>
    </row>
    <row r="13" spans="1:10" ht="18" customHeight="1" x14ac:dyDescent="0.45">
      <c r="B13" s="23" t="s">
        <v>100</v>
      </c>
      <c r="C13" s="23" t="s">
        <v>101</v>
      </c>
      <c r="D13" s="24" t="s">
        <v>102</v>
      </c>
      <c r="E13" s="23" t="s">
        <v>103</v>
      </c>
      <c r="F13" s="5"/>
      <c r="G13" s="5"/>
      <c r="H13" s="5"/>
      <c r="I13" s="5"/>
      <c r="J13" s="23" t="s">
        <v>104</v>
      </c>
    </row>
    <row r="14" spans="1:10" x14ac:dyDescent="0.45">
      <c r="B14" s="25" t="s">
        <v>109</v>
      </c>
      <c r="C14" s="26" t="s">
        <v>59</v>
      </c>
      <c r="D14" s="30">
        <v>600</v>
      </c>
      <c r="E14" s="26" t="s">
        <v>106</v>
      </c>
      <c r="F14" s="28"/>
      <c r="G14" s="28"/>
      <c r="H14" s="28"/>
      <c r="I14" s="28"/>
      <c r="J14" s="29" t="s">
        <v>110</v>
      </c>
    </row>
    <row r="15" spans="1:10" ht="8" customHeight="1" x14ac:dyDescent="0.45"/>
  </sheetData>
  <mergeCells count="1">
    <mergeCell ref="B6:J6"/>
  </mergeCells>
  <dataValidations count="1">
    <dataValidation type="decimal" operator="greaterThan" showErrorMessage="1" errorTitle="Positive value" error="Enter a value greater than zero." sqref="D10 D14" xr:uid="{00000000-0002-0000-0100-000000000000}">
      <formula1>0</formula1>
    </dataValidation>
  </dataValidations>
  <hyperlinks>
    <hyperlink ref="B4" location="'About'!A1" display="◂  About" xr:uid="{00000000-0004-0000-0100-000000000000}"/>
    <hyperlink ref="J4" location="'Policies'!A1" display="Next:  Polici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15"/>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3" width="11" customWidth="1"/>
    <col min="4" max="4" width="12" customWidth="1"/>
    <col min="5" max="7" width="11" customWidth="1"/>
    <col min="8" max="8" width="10" customWidth="1"/>
    <col min="9" max="9" width="12" customWidth="1"/>
    <col min="10" max="12" width="13" customWidth="1"/>
    <col min="13" max="13" width="3" customWidth="1"/>
    <col min="14" max="14" width="62"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111</v>
      </c>
      <c r="C3" s="1"/>
      <c r="D3" s="1"/>
      <c r="E3" s="1"/>
      <c r="F3" s="1"/>
      <c r="G3" s="1"/>
      <c r="H3" s="1"/>
      <c r="I3" s="1"/>
      <c r="J3" s="1"/>
      <c r="K3" s="1"/>
      <c r="L3" s="1"/>
      <c r="M3" s="1"/>
      <c r="N3" s="1"/>
    </row>
    <row r="4" spans="1:14" ht="20" customHeight="1" x14ac:dyDescent="0.45">
      <c r="A4" s="5"/>
      <c r="B4" s="22" t="s">
        <v>112</v>
      </c>
      <c r="C4" s="5"/>
      <c r="D4" s="5"/>
      <c r="E4" s="5"/>
      <c r="F4" s="5"/>
      <c r="G4" s="5"/>
      <c r="H4" s="5"/>
      <c r="I4" s="5"/>
      <c r="J4" s="5"/>
      <c r="K4" s="5"/>
      <c r="L4" s="5"/>
      <c r="M4" s="5"/>
      <c r="N4" s="6" t="s">
        <v>113</v>
      </c>
    </row>
    <row r="5" spans="1:14" ht="8" customHeight="1" x14ac:dyDescent="0.45"/>
    <row r="6" spans="1:14" ht="22.05" customHeight="1" x14ac:dyDescent="0.5">
      <c r="B6" s="7" t="s">
        <v>114</v>
      </c>
      <c r="C6" s="8"/>
      <c r="D6" s="8"/>
      <c r="E6" s="8"/>
      <c r="F6" s="8"/>
      <c r="G6" s="8"/>
      <c r="H6" s="8"/>
      <c r="I6" s="8"/>
      <c r="J6" s="8"/>
      <c r="K6" s="8"/>
      <c r="L6" s="8"/>
    </row>
    <row r="7" spans="1:14" ht="18" customHeight="1" x14ac:dyDescent="0.45">
      <c r="B7" s="13" t="s">
        <v>115</v>
      </c>
    </row>
    <row r="8" spans="1:14" ht="30" customHeight="1" x14ac:dyDescent="0.45">
      <c r="B8" s="23" t="s">
        <v>116</v>
      </c>
      <c r="C8" s="24" t="s">
        <v>117</v>
      </c>
      <c r="D8" s="24" t="s">
        <v>118</v>
      </c>
      <c r="E8" s="24" t="s">
        <v>119</v>
      </c>
      <c r="F8" s="24" t="s">
        <v>120</v>
      </c>
      <c r="G8" s="24" t="s">
        <v>121</v>
      </c>
      <c r="H8" s="24" t="s">
        <v>122</v>
      </c>
      <c r="I8" s="24" t="s">
        <v>123</v>
      </c>
      <c r="J8" s="24" t="s">
        <v>124</v>
      </c>
      <c r="K8" s="24" t="s">
        <v>125</v>
      </c>
      <c r="L8" s="24" t="s">
        <v>126</v>
      </c>
    </row>
    <row r="9" spans="1:14" x14ac:dyDescent="0.45">
      <c r="B9" s="31" t="s">
        <v>127</v>
      </c>
      <c r="C9" s="32">
        <v>464</v>
      </c>
      <c r="D9" s="33">
        <v>0.245</v>
      </c>
      <c r="E9" s="34">
        <v>2.4</v>
      </c>
      <c r="F9" s="34">
        <v>0.9</v>
      </c>
      <c r="G9" s="34">
        <v>1.5</v>
      </c>
      <c r="H9" s="27">
        <v>5</v>
      </c>
      <c r="I9" s="35">
        <f>C9*D9</f>
        <v>113.67999999999999</v>
      </c>
      <c r="J9" s="36" cm="1">
        <f t="array" ref="J9">_xll.VoseMean(_xll.VoseDeductObject(_xll.VoseLognormalObject(E9,F9),G9,H9,TRUE))</f>
        <v>0.92997897926598216</v>
      </c>
      <c r="K9" s="37">
        <f>I9*J9</f>
        <v>105.72001036295684</v>
      </c>
      <c r="L9" s="35" cm="1">
        <f t="array" ref="L9">_xll.VoseAggregateFFT(_xll.VosePoissonObject(I9),_xll.VoseDeductObject(_xll.VoseLognormalObject(E9,F9),G9,H9,TRUE),18,0.99)</f>
        <v>138.6297772335129</v>
      </c>
      <c r="N9" s="38" t="s">
        <v>128</v>
      </c>
    </row>
    <row r="10" spans="1:14" x14ac:dyDescent="0.45">
      <c r="B10" s="31" t="s">
        <v>129</v>
      </c>
      <c r="C10" s="32">
        <v>852</v>
      </c>
      <c r="D10" s="33">
        <v>0.11799999999999999</v>
      </c>
      <c r="E10" s="34">
        <v>3.56</v>
      </c>
      <c r="F10" s="34">
        <v>1.82</v>
      </c>
      <c r="G10" s="34">
        <v>1.5</v>
      </c>
      <c r="H10" s="27">
        <v>5</v>
      </c>
      <c r="I10" s="35">
        <f>C10*D10</f>
        <v>100.536</v>
      </c>
      <c r="J10" s="36" cm="1">
        <f t="array" ref="J10">_xll.VoseMean(_xll.VoseDeductObject(_xll.VoseLognormalObject(E10,F10),G10,H10,TRUE))</f>
        <v>1.9606949131900806</v>
      </c>
      <c r="K10" s="37">
        <f>I10*J10</f>
        <v>197.12042379247794</v>
      </c>
      <c r="L10" s="35" cm="1">
        <f t="array" ref="L10">_xll.VoseAggregateFFT(_xll.VosePoissonObject(I10),_xll.VoseDeductObject(_xll.VoseLognormalObject(E10,F10),G10,H10,TRUE),18,0.99)</f>
        <v>256.80405249790323</v>
      </c>
      <c r="N10" s="38" t="s">
        <v>130</v>
      </c>
    </row>
    <row r="11" spans="1:14" x14ac:dyDescent="0.45">
      <c r="B11" s="31" t="s">
        <v>131</v>
      </c>
      <c r="C11" s="32">
        <v>396</v>
      </c>
      <c r="D11" s="33">
        <v>0.32600000000000001</v>
      </c>
      <c r="E11" s="34">
        <v>0.82</v>
      </c>
      <c r="F11" s="34">
        <v>1.26</v>
      </c>
      <c r="G11" s="34">
        <v>0.25</v>
      </c>
      <c r="H11" s="27">
        <v>4</v>
      </c>
      <c r="I11" s="35">
        <f>C11*D11</f>
        <v>129.096</v>
      </c>
      <c r="J11" s="36" cm="1">
        <f t="array" ref="J11">_xll.VoseMean(_xll.VoseDeductObject(_xll.VoseLognormalObject(E11,F11),G11,H11,TRUE))</f>
        <v>0.54762244004018568</v>
      </c>
      <c r="K11" s="37">
        <f>I11*J11</f>
        <v>70.69586651942781</v>
      </c>
      <c r="L11" s="35" cm="1">
        <f t="array" ref="L11">_xll.VoseAggregateFFT(_xll.VosePoissonObject(I11),_xll.VoseDeductObject(_xll.VoseLognormalObject(E11,F11),G11,H11,TRUE),18,0.99)</f>
        <v>99.466300286550634</v>
      </c>
      <c r="N11" s="38" t="s">
        <v>132</v>
      </c>
    </row>
    <row r="12" spans="1:14" x14ac:dyDescent="0.45">
      <c r="B12" s="31" t="s">
        <v>133</v>
      </c>
      <c r="C12" s="32">
        <v>144</v>
      </c>
      <c r="D12" s="33">
        <v>8.8999999999999996E-2</v>
      </c>
      <c r="E12" s="34">
        <v>8.25</v>
      </c>
      <c r="F12" s="34">
        <v>11.37</v>
      </c>
      <c r="G12" s="34">
        <v>1</v>
      </c>
      <c r="H12" s="27">
        <v>25</v>
      </c>
      <c r="I12" s="35">
        <f>C12*D12</f>
        <v>12.815999999999999</v>
      </c>
      <c r="J12" s="36" cm="1">
        <f t="array" ref="J12">_xll.VoseMean(_xll.VoseDeductObject(_xll.VoseLognormalObject(E12,F12),G12,H12,TRUE))</f>
        <v>6.3429743144048816</v>
      </c>
      <c r="K12" s="37">
        <f>I12*J12</f>
        <v>81.291558813412962</v>
      </c>
      <c r="L12" s="35" cm="1">
        <f t="array" ref="L12">_xll.VoseAggregateFFT(_xll.VosePoissonObject(I12),_xll.VoseDeductObject(_xll.VoseLognormalObject(E12,F12),G12,H12,TRUE),18,0.99)</f>
        <v>171.53424390144994</v>
      </c>
      <c r="N12" s="38" t="s">
        <v>134</v>
      </c>
    </row>
    <row r="13" spans="1:14" x14ac:dyDescent="0.45">
      <c r="B13" s="31" t="s">
        <v>135</v>
      </c>
      <c r="C13" s="32">
        <v>366</v>
      </c>
      <c r="D13" s="33">
        <v>0.41199999999999998</v>
      </c>
      <c r="E13" s="34">
        <v>0.63</v>
      </c>
      <c r="F13" s="34">
        <v>1.28</v>
      </c>
      <c r="G13" s="34">
        <v>0.1</v>
      </c>
      <c r="H13" s="27">
        <v>1.8</v>
      </c>
      <c r="I13" s="35">
        <f>C13*D13</f>
        <v>150.792</v>
      </c>
      <c r="J13" s="36" cm="1">
        <f t="array" ref="J13">_xll.VoseMean(_xll.VoseDeductObject(_xll.VoseLognormalObject(E13,F13),G13,H13,TRUE))</f>
        <v>0.40645982509485712</v>
      </c>
      <c r="K13" s="37">
        <f>I13*J13</f>
        <v>61.290889945703697</v>
      </c>
      <c r="L13" s="35" cm="1">
        <f t="array" ref="L13">_xll.VoseAggregateFFT(_xll.VosePoissonObject(I13),_xll.VoseDeductObject(_xll.VoseLognormalObject(E13,F13),G13,H13,TRUE),18,0.99)</f>
        <v>81.316322459289779</v>
      </c>
      <c r="N13" s="38" t="s">
        <v>136</v>
      </c>
    </row>
    <row r="14" spans="1:14" x14ac:dyDescent="0.45">
      <c r="B14" s="39" t="s">
        <v>137</v>
      </c>
      <c r="C14" s="40"/>
      <c r="D14" s="40"/>
      <c r="E14" s="40"/>
      <c r="F14" s="40"/>
      <c r="G14" s="40"/>
      <c r="H14" s="40"/>
      <c r="I14" s="41">
        <f>SUM(I9:I13)</f>
        <v>506.91999999999996</v>
      </c>
      <c r="J14" s="40"/>
      <c r="K14" s="42">
        <f>SUM(K9:K13)</f>
        <v>516.11874943397925</v>
      </c>
      <c r="L14" s="40"/>
    </row>
    <row r="15" spans="1:14" ht="8" customHeight="1" x14ac:dyDescent="0.45"/>
  </sheetData>
  <hyperlinks>
    <hyperlink ref="B4" location="'Inputs'!A1" display="◂  Inputs" xr:uid="{00000000-0004-0000-0200-000000000000}"/>
    <hyperlink ref="N4" location="'Annual claims'!A1" display="Next:  Annual claims  ▸" xr:uid="{00000000-0004-0000-0200-000001000000}"/>
  </hyperlinks>
  <printOptions horizontalCentered="1"/>
  <pageMargins left="0.4" right="0.4" top="0.5" bottom="0.6" header="0.25" footer="0.25"/>
  <pageSetup paperSize="9" scale="71"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J32"/>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7" customWidth="1"/>
    <col min="3" max="3" width="20" customWidth="1"/>
    <col min="4" max="4" width="46" customWidth="1"/>
    <col min="5" max="5" width="9" customWidth="1"/>
    <col min="6" max="6" width="11" customWidth="1"/>
    <col min="7" max="8" width="13" customWidth="1"/>
    <col min="9" max="9" width="3" customWidth="1"/>
    <col min="10" max="10" width="70"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138</v>
      </c>
      <c r="C3" s="1"/>
      <c r="D3" s="1"/>
      <c r="E3" s="1"/>
      <c r="F3" s="1"/>
      <c r="G3" s="1"/>
      <c r="H3" s="1"/>
      <c r="I3" s="1"/>
      <c r="J3" s="1"/>
    </row>
    <row r="4" spans="1:10" ht="20" customHeight="1" x14ac:dyDescent="0.45">
      <c r="A4" s="5"/>
      <c r="B4" s="22" t="s">
        <v>139</v>
      </c>
      <c r="C4" s="5"/>
      <c r="D4" s="5"/>
      <c r="E4" s="5"/>
      <c r="F4" s="5"/>
      <c r="G4" s="5"/>
      <c r="H4" s="5"/>
      <c r="I4" s="5"/>
      <c r="J4" s="6" t="s">
        <v>140</v>
      </c>
    </row>
    <row r="5" spans="1:10" ht="8" customHeight="1" x14ac:dyDescent="0.45"/>
    <row r="6" spans="1:10" ht="22.05" customHeight="1" x14ac:dyDescent="0.5">
      <c r="B6" s="7" t="s">
        <v>141</v>
      </c>
      <c r="C6" s="8"/>
      <c r="D6" s="8"/>
      <c r="E6" s="8"/>
      <c r="F6" s="8"/>
      <c r="G6" s="8"/>
      <c r="H6" s="8"/>
    </row>
    <row r="7" spans="1:10" ht="18" customHeight="1" x14ac:dyDescent="0.45">
      <c r="B7" s="13" t="s">
        <v>142</v>
      </c>
    </row>
    <row r="8" spans="1:10" ht="30" customHeight="1" x14ac:dyDescent="0.45">
      <c r="B8" s="23" t="s">
        <v>116</v>
      </c>
      <c r="C8" s="23" t="s">
        <v>143</v>
      </c>
      <c r="D8" s="23" t="s">
        <v>144</v>
      </c>
      <c r="E8" s="24" t="s">
        <v>145</v>
      </c>
      <c r="F8" s="24" t="s">
        <v>146</v>
      </c>
      <c r="G8" s="24" t="s">
        <v>147</v>
      </c>
      <c r="H8" s="24" t="s">
        <v>148</v>
      </c>
    </row>
    <row r="9" spans="1:10" x14ac:dyDescent="0.45">
      <c r="B9" s="31" t="s">
        <v>127</v>
      </c>
      <c r="C9" s="43" t="str">
        <f t="array" ref="C9">_xll.VosePoissonObject(Policies!I9)</f>
        <v>VosePoisson(113.68)</v>
      </c>
      <c r="D9" s="43" t="str">
        <f t="array" ref="D9">_xll.VoseDeductObject(_xll.VoseLognormalObject(Policies!E9,Policies!F9),Policies!G9,Policies!H9,TRUE)</f>
        <v>VoseDeduct(VoseLognormalObject(2.4,0.9),1.5,5,1)</v>
      </c>
      <c r="E9" s="44">
        <f t="array" aca="1" ref="E9:E13" ca="1">_xll.VoseCopulaMultiClayton(Theta)</f>
        <v>0.53272499467820666</v>
      </c>
      <c r="F9" s="45" cm="1">
        <f t="array" aca="1" ref="F9" ca="1">_xll.VosePoisson(Policies!I9,1-E9)</f>
        <v>113</v>
      </c>
      <c r="G9" s="46" cm="1">
        <f t="array" aca="1" ref="G9" ca="1">_xll.VoseAggregateMC(F9,D9)</f>
        <v>95.752260784009721</v>
      </c>
      <c r="H9" s="46" cm="1">
        <f t="array" aca="1" ref="H9" ca="1">_xll.VoseAggregateMC(C9,D9)</f>
        <v>123.19265392955134</v>
      </c>
      <c r="J9" s="38" t="s">
        <v>149</v>
      </c>
    </row>
    <row r="10" spans="1:10" x14ac:dyDescent="0.45">
      <c r="B10" s="31" t="s">
        <v>129</v>
      </c>
      <c r="C10" s="43" t="str">
        <f t="array" ref="C10">_xll.VosePoissonObject(Policies!I10)</f>
        <v>VosePoisson(100.536)</v>
      </c>
      <c r="D10" s="43" t="str">
        <f t="array" ref="D10">_xll.VoseDeductObject(_xll.VoseLognormalObject(Policies!E10,Policies!F10),Policies!G10,Policies!H10,TRUE)</f>
        <v>VoseDeduct(VoseLognormalObject(3.56,1.82),1.5,5,1)</v>
      </c>
      <c r="E10" s="44">
        <f ca="1"/>
        <v>0.43371666331921543</v>
      </c>
      <c r="F10" s="45" cm="1">
        <f t="array" aca="1" ref="F10" ca="1">_xll.VosePoisson(Policies!I10,1-E10)</f>
        <v>102</v>
      </c>
      <c r="G10" s="46" cm="1">
        <f t="array" aca="1" ref="G10" ca="1">_xll.VoseAggregateMC(F10,D10)</f>
        <v>198.83406477952613</v>
      </c>
      <c r="H10" s="46" cm="1">
        <f t="array" aca="1" ref="H10" ca="1">_xll.VoseAggregateMC(C10,D10)</f>
        <v>163.74084224776644</v>
      </c>
      <c r="J10" s="38" t="s">
        <v>150</v>
      </c>
    </row>
    <row r="11" spans="1:10" x14ac:dyDescent="0.45">
      <c r="B11" s="31" t="s">
        <v>131</v>
      </c>
      <c r="C11" s="43" t="str">
        <f t="array" ref="C11">_xll.VosePoissonObject(Policies!I11)</f>
        <v>VosePoisson(129.096)</v>
      </c>
      <c r="D11" s="43" t="str">
        <f t="array" ref="D11">_xll.VoseDeductObject(_xll.VoseLognormalObject(Policies!E11,Policies!F11),Policies!G11,Policies!H11,TRUE)</f>
        <v>VoseDeduct(VoseLognormalObject(0.82,1.26),0.25,4,1)</v>
      </c>
      <c r="E11" s="44">
        <f ca="1"/>
        <v>0.55484476790014814</v>
      </c>
      <c r="F11" s="45" cm="1">
        <f t="array" aca="1" ref="F11" ca="1">_xll.VosePoisson(Policies!I11,1-E11)</f>
        <v>127</v>
      </c>
      <c r="G11" s="46" cm="1">
        <f t="array" aca="1" ref="G11" ca="1">_xll.VoseAggregateMC(F11,D11)</f>
        <v>66.965694723745429</v>
      </c>
      <c r="H11" s="46" cm="1">
        <f t="array" aca="1" ref="H11" ca="1">_xll.VoseAggregateMC(C11,D11)</f>
        <v>89.897783518897938</v>
      </c>
      <c r="J11" s="38" t="s">
        <v>151</v>
      </c>
    </row>
    <row r="12" spans="1:10" x14ac:dyDescent="0.45">
      <c r="B12" s="31" t="s">
        <v>133</v>
      </c>
      <c r="C12" s="43" t="str">
        <f t="array" ref="C12">_xll.VosePoissonObject(Policies!I12)</f>
        <v>VosePoisson(12.816)</v>
      </c>
      <c r="D12" s="43" t="str">
        <f t="array" ref="D12">_xll.VoseDeductObject(_xll.VoseLognormalObject(Policies!E12,Policies!F12),Policies!G12,Policies!H12,TRUE)</f>
        <v>VoseDeduct(VoseLognormalObject(8.25,11.37),1,25,1)</v>
      </c>
      <c r="E12" s="44">
        <f ca="1"/>
        <v>0.47892285469079277</v>
      </c>
      <c r="F12" s="45" cm="1">
        <f t="array" aca="1" ref="F12" ca="1">_xll.VosePoisson(Policies!I12,1-E12)</f>
        <v>13</v>
      </c>
      <c r="G12" s="46" cm="1">
        <f t="array" aca="1" ref="G12" ca="1">_xll.VoseAggregateMC(F12,D12)</f>
        <v>88.6904598125505</v>
      </c>
      <c r="H12" s="46" cm="1">
        <f t="array" aca="1" ref="H12" ca="1">_xll.VoseAggregateMC(C12,D12)</f>
        <v>98.509030306043314</v>
      </c>
      <c r="J12" s="38" t="s">
        <v>152</v>
      </c>
    </row>
    <row r="13" spans="1:10" x14ac:dyDescent="0.45">
      <c r="B13" s="31" t="s">
        <v>135</v>
      </c>
      <c r="C13" s="43" t="str">
        <f t="array" ref="C13">_xll.VosePoissonObject(Policies!I13)</f>
        <v>VosePoisson(150.792)</v>
      </c>
      <c r="D13" s="43" t="str">
        <f t="array" ref="D13">_xll.VoseDeductObject(_xll.VoseLognormalObject(Policies!E13,Policies!F13),Policies!G13,Policies!H13,TRUE)</f>
        <v>VoseDeduct(VoseLognormalObject(0.63,1.28),0.1,1.8,1)</v>
      </c>
      <c r="E13" s="44">
        <f ca="1"/>
        <v>0.46641681568365762</v>
      </c>
      <c r="F13" s="45" cm="1">
        <f t="array" aca="1" ref="F13" ca="1">_xll.VosePoisson(Policies!I13,1-E13)</f>
        <v>152</v>
      </c>
      <c r="G13" s="46" cm="1">
        <f t="array" aca="1" ref="G13" ca="1">_xll.VoseAggregateMC(F13,D13)</f>
        <v>74.054538777599859</v>
      </c>
      <c r="H13" s="46" cm="1">
        <f t="array" aca="1" ref="H13" ca="1">_xll.VoseAggregateMC(C13,D13)</f>
        <v>83.568174630615502</v>
      </c>
      <c r="J13" s="38" t="s">
        <v>153</v>
      </c>
    </row>
    <row r="14" spans="1:10" x14ac:dyDescent="0.45">
      <c r="B14" s="39" t="s">
        <v>137</v>
      </c>
      <c r="C14" s="40"/>
      <c r="D14" s="40"/>
      <c r="E14" s="40"/>
      <c r="F14" s="47">
        <f ca="1">SUM(F9:F13)</f>
        <v>507</v>
      </c>
      <c r="G14" s="41">
        <f ca="1">SUM(G9:G13)</f>
        <v>524.29701887743158</v>
      </c>
      <c r="H14" s="41">
        <f ca="1">SUM(H9:H13)</f>
        <v>558.90848463287455</v>
      </c>
    </row>
    <row r="15" spans="1:10" ht="8" customHeight="1" x14ac:dyDescent="0.45"/>
    <row r="16" spans="1:10" ht="22.05" customHeight="1" x14ac:dyDescent="0.5">
      <c r="B16" s="7" t="s">
        <v>154</v>
      </c>
      <c r="C16" s="8"/>
      <c r="D16" s="8"/>
      <c r="E16" s="8"/>
      <c r="F16" s="8"/>
      <c r="G16" s="8"/>
      <c r="H16" s="8"/>
    </row>
    <row r="17" spans="2:10" ht="18" customHeight="1" x14ac:dyDescent="0.45">
      <c r="B17" s="13" t="s">
        <v>155</v>
      </c>
    </row>
    <row r="18" spans="2:10" ht="18" customHeight="1" x14ac:dyDescent="0.45">
      <c r="B18" s="48" t="s">
        <v>156</v>
      </c>
      <c r="C18" s="5"/>
      <c r="D18" s="48" t="s">
        <v>101</v>
      </c>
      <c r="E18" s="5"/>
      <c r="F18" s="49" t="s">
        <v>157</v>
      </c>
      <c r="G18" s="5"/>
      <c r="H18" s="5"/>
      <c r="J18" s="50" t="s">
        <v>158</v>
      </c>
    </row>
    <row r="19" spans="2:10" x14ac:dyDescent="0.45">
      <c r="B19" s="25" t="s">
        <v>159</v>
      </c>
      <c r="C19" s="28"/>
      <c r="D19" s="26" t="s">
        <v>59</v>
      </c>
      <c r="E19" s="28"/>
      <c r="F19" s="51" cm="1">
        <f t="array" aca="1" ref="F19" ca="1">_xll.VoseOutput("Total, linked","$000")+G14</f>
        <v>524.29701887743158</v>
      </c>
      <c r="G19" s="28"/>
      <c r="H19" s="28"/>
      <c r="J19" s="38"/>
    </row>
    <row r="20" spans="2:10" x14ac:dyDescent="0.45">
      <c r="B20" s="25" t="s">
        <v>160</v>
      </c>
      <c r="C20" s="28"/>
      <c r="D20" s="26" t="s">
        <v>59</v>
      </c>
      <c r="E20" s="28"/>
      <c r="F20" s="51" cm="1">
        <f t="array" aca="1" ref="F20" ca="1">_xll.VoseOutput("Total, independent","$000")+H14</f>
        <v>558.90848463287455</v>
      </c>
      <c r="G20" s="28"/>
      <c r="H20" s="28"/>
      <c r="J20" s="38"/>
    </row>
    <row r="21" spans="2:10" x14ac:dyDescent="0.45">
      <c r="B21" s="25" t="s">
        <v>161</v>
      </c>
      <c r="C21" s="28"/>
      <c r="D21" s="26" t="s">
        <v>59</v>
      </c>
      <c r="E21" s="28"/>
      <c r="F21" s="51" cm="1">
        <f t="array" aca="1" ref="F21" ca="1">_xll.VoseOutput("Line A, linked","$000")+G9</f>
        <v>95.752260784009721</v>
      </c>
      <c r="G21" s="28"/>
      <c r="H21" s="28"/>
      <c r="J21" s="38"/>
    </row>
    <row r="22" spans="2:10" x14ac:dyDescent="0.45">
      <c r="B22" s="25" t="s">
        <v>162</v>
      </c>
      <c r="C22" s="28"/>
      <c r="D22" s="26" t="s">
        <v>59</v>
      </c>
      <c r="E22" s="28"/>
      <c r="F22" s="51" cm="1">
        <f t="array" aca="1" ref="F22" ca="1">_xll.VoseOutput("Line B, linked","$000")+G10</f>
        <v>198.83406477952613</v>
      </c>
      <c r="G22" s="28"/>
      <c r="H22" s="28"/>
      <c r="J22" s="38"/>
    </row>
    <row r="23" spans="2:10" x14ac:dyDescent="0.45">
      <c r="B23" s="25" t="s">
        <v>163</v>
      </c>
      <c r="C23" s="28"/>
      <c r="D23" s="26" t="s">
        <v>59</v>
      </c>
      <c r="E23" s="28"/>
      <c r="F23" s="51" cm="1">
        <f t="array" aca="1" ref="F23" ca="1">_xll.VoseOutput("Line C, linked","$000")+G11</f>
        <v>66.965694723745429</v>
      </c>
      <c r="G23" s="28"/>
      <c r="H23" s="28"/>
      <c r="J23" s="38"/>
    </row>
    <row r="24" spans="2:10" x14ac:dyDescent="0.45">
      <c r="B24" s="25" t="s">
        <v>164</v>
      </c>
      <c r="C24" s="28"/>
      <c r="D24" s="26" t="s">
        <v>59</v>
      </c>
      <c r="E24" s="28"/>
      <c r="F24" s="51" cm="1">
        <f t="array" aca="1" ref="F24" ca="1">_xll.VoseOutput("Line D, linked","$000")+G12</f>
        <v>88.6904598125505</v>
      </c>
      <c r="G24" s="28"/>
      <c r="H24" s="28"/>
      <c r="J24" s="38"/>
    </row>
    <row r="25" spans="2:10" x14ac:dyDescent="0.45">
      <c r="B25" s="25" t="s">
        <v>165</v>
      </c>
      <c r="C25" s="28"/>
      <c r="D25" s="26" t="s">
        <v>59</v>
      </c>
      <c r="E25" s="28"/>
      <c r="F25" s="51" cm="1">
        <f t="array" aca="1" ref="F25" ca="1">_xll.VoseOutput("Line E, linked","$000")+G13</f>
        <v>74.054538777599859</v>
      </c>
      <c r="G25" s="28"/>
      <c r="H25" s="28"/>
      <c r="J25" s="38"/>
    </row>
    <row r="26" spans="2:10" ht="8" customHeight="1" x14ac:dyDescent="0.45"/>
    <row r="27" spans="2:10" ht="22.05" customHeight="1" x14ac:dyDescent="0.5">
      <c r="B27" s="7" t="s">
        <v>166</v>
      </c>
      <c r="C27" s="8"/>
      <c r="D27" s="8"/>
      <c r="E27" s="8"/>
      <c r="F27" s="8"/>
      <c r="G27" s="8"/>
      <c r="H27" s="8"/>
    </row>
    <row r="28" spans="2:10" ht="18" customHeight="1" x14ac:dyDescent="0.45">
      <c r="B28" s="13" t="s">
        <v>167</v>
      </c>
    </row>
    <row r="29" spans="2:10" x14ac:dyDescent="0.45">
      <c r="B29" s="25" t="s">
        <v>168</v>
      </c>
      <c r="C29" s="28"/>
      <c r="D29" s="28"/>
      <c r="E29" s="28"/>
      <c r="F29" s="52" t="str">
        <f>IF(MIN(PolData)&gt;0,"OK","CHECK")</f>
        <v>OK</v>
      </c>
      <c r="G29" s="28"/>
      <c r="H29" s="28"/>
    </row>
    <row r="30" spans="2:10" x14ac:dyDescent="0.45">
      <c r="B30" s="25" t="s">
        <v>169</v>
      </c>
      <c r="C30" s="28"/>
      <c r="D30" s="28"/>
      <c r="E30" s="28"/>
      <c r="F30" s="52" t="str">
        <f>IF(SUMPRODUCT(--(Policies!G9:G13&gt;=Policies!E9:E13))=0,"OK","CHECK")</f>
        <v>OK</v>
      </c>
      <c r="G30" s="28"/>
      <c r="H30" s="28"/>
    </row>
    <row r="31" spans="2:10" x14ac:dyDescent="0.45">
      <c r="B31" s="25" t="s">
        <v>170</v>
      </c>
      <c r="C31" s="28"/>
      <c r="D31" s="28"/>
      <c r="E31" s="28"/>
      <c r="F31" s="52" t="str">
        <f>IF(Theta&gt;0,"OK","CHECK")</f>
        <v>OK</v>
      </c>
      <c r="G31" s="28"/>
      <c r="H31" s="28"/>
    </row>
    <row r="32" spans="2:10" ht="14" customHeight="1" x14ac:dyDescent="0.45"/>
  </sheetData>
  <conditionalFormatting sqref="F29:F31">
    <cfRule type="expression" dxfId="4" priority="1">
      <formula>F29="CHECK"</formula>
    </cfRule>
  </conditionalFormatting>
  <hyperlinks>
    <hyperlink ref="B4" location="'Policies'!A1" display="◂  Policies" xr:uid="{00000000-0004-0000-0300-000000000000}"/>
    <hyperlink ref="J4" location="'Results'!A1" display="Next:  Results  ▸" xr:uid="{00000000-0004-0000-0300-000001000000}"/>
  </hyperlinks>
  <printOptions horizontalCentered="1"/>
  <pageMargins left="0.4" right="0.4" top="0.5" bottom="0.6" header="0.25" footer="0.25"/>
  <pageSetup paperSize="9" scale="71"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24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171</v>
      </c>
      <c r="C3" s="1"/>
      <c r="D3" s="1"/>
      <c r="E3" s="1"/>
      <c r="F3" s="1"/>
      <c r="G3" s="1"/>
      <c r="H3" s="1"/>
      <c r="I3" s="1"/>
      <c r="J3" s="1"/>
      <c r="K3" s="1"/>
      <c r="L3" s="1"/>
      <c r="M3" s="1"/>
      <c r="N3" s="1"/>
      <c r="O3" s="1"/>
      <c r="P3" s="1"/>
      <c r="Q3" s="1"/>
      <c r="R3" s="1"/>
    </row>
    <row r="4" spans="1:18" ht="20" customHeight="1" x14ac:dyDescent="0.45">
      <c r="A4" s="5"/>
      <c r="B4" s="22" t="s">
        <v>172</v>
      </c>
      <c r="C4" s="5"/>
      <c r="D4" s="5"/>
      <c r="E4" s="5"/>
      <c r="F4" s="5"/>
      <c r="G4" s="5"/>
      <c r="H4" s="5"/>
      <c r="I4" s="5"/>
      <c r="J4" s="5"/>
      <c r="K4" s="5"/>
      <c r="L4" s="5"/>
      <c r="M4" s="5"/>
      <c r="N4" s="5"/>
      <c r="O4" s="5"/>
      <c r="P4" s="5"/>
      <c r="Q4" s="5"/>
      <c r="R4" s="5"/>
    </row>
    <row r="5" spans="1:18" ht="8" customHeight="1" x14ac:dyDescent="0.45"/>
    <row r="6" spans="1:18" ht="26" customHeight="1" x14ac:dyDescent="0.45">
      <c r="B6" s="53" t="str" cm="1">
        <f t="array" aca="1" ref="B6" ca="1">IF(ISNUMBER(_xll.VoseSimMean(Tot_Corr)),"✔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4"/>
      <c r="D6" s="54"/>
      <c r="E6" s="54"/>
      <c r="F6" s="54"/>
      <c r="G6" s="54"/>
    </row>
    <row r="7" spans="1:18" x14ac:dyDescent="0.45">
      <c r="B7" s="3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173</v>
      </c>
      <c r="C9" s="8"/>
      <c r="D9" s="8"/>
      <c r="E9" s="8"/>
      <c r="F9" s="8"/>
      <c r="G9" s="8"/>
      <c r="I9" s="55" t="s">
        <v>174</v>
      </c>
      <c r="J9" s="8"/>
      <c r="K9" s="8"/>
      <c r="L9" s="8"/>
      <c r="M9" s="8"/>
      <c r="N9" s="8"/>
      <c r="O9" s="8"/>
      <c r="P9" s="8"/>
      <c r="Q9" s="8"/>
      <c r="R9" s="8"/>
    </row>
    <row r="10" spans="1:18" ht="18" customHeight="1" x14ac:dyDescent="0.45">
      <c r="B10" s="13" t="s">
        <v>175</v>
      </c>
    </row>
    <row r="11" spans="1:18" ht="18" customHeight="1" x14ac:dyDescent="0.45">
      <c r="B11" s="23" t="s">
        <v>176</v>
      </c>
      <c r="C11" s="5"/>
      <c r="D11" s="24" t="s">
        <v>177</v>
      </c>
      <c r="E11" s="24" t="s">
        <v>178</v>
      </c>
      <c r="F11" s="5"/>
      <c r="G11" s="5"/>
    </row>
    <row r="12" spans="1:18" x14ac:dyDescent="0.45">
      <c r="B12" s="25" t="s">
        <v>179</v>
      </c>
      <c r="C12" s="28"/>
      <c r="D12" s="56" cm="1">
        <f t="array" aca="1" ref="D12" ca="1">_xll.VoseSimMean(Tot_Corr)</f>
        <v>514.88353411056255</v>
      </c>
      <c r="E12" s="56" cm="1">
        <f t="array" aca="1" ref="E12" ca="1">_xll.VoseSimMean(Tot_Ind)</f>
        <v>515.78832370049224</v>
      </c>
      <c r="F12" s="28"/>
      <c r="G12" s="28"/>
    </row>
    <row r="13" spans="1:18" x14ac:dyDescent="0.45">
      <c r="B13" s="25" t="s">
        <v>180</v>
      </c>
      <c r="C13" s="28"/>
      <c r="D13" s="56" cm="1">
        <f t="array" aca="1" ref="D13" ca="1">_xll.VoseSimStdev(Tot_Corr)</f>
        <v>69.555561023726824</v>
      </c>
      <c r="E13" s="56" cm="1">
        <f t="array" aca="1" ref="E13" ca="1">_xll.VoseSimStdev(Tot_Ind)</f>
        <v>45.196336740796859</v>
      </c>
      <c r="F13" s="28"/>
      <c r="G13" s="28"/>
    </row>
    <row r="14" spans="1:18" x14ac:dyDescent="0.45">
      <c r="B14" s="25" t="s">
        <v>181</v>
      </c>
      <c r="C14" s="28"/>
      <c r="D14" s="56" cm="1">
        <f t="array" aca="1" ref="D14" ca="1">_xll.VoseSimPercentile(Tot_Corr,0.05)</f>
        <v>407.5544034414927</v>
      </c>
      <c r="E14" s="56" cm="1">
        <f t="array" aca="1" ref="E14" ca="1">_xll.VoseSimPercentile(Tot_Ind,0.05)</f>
        <v>444.65584294267831</v>
      </c>
      <c r="F14" s="28"/>
      <c r="G14" s="28"/>
    </row>
    <row r="15" spans="1:18" x14ac:dyDescent="0.45">
      <c r="B15" s="25" t="s">
        <v>182</v>
      </c>
      <c r="C15" s="28"/>
      <c r="D15" s="56" cm="1">
        <f t="array" aca="1" ref="D15" ca="1">_xll.VoseSimPercentile(Tot_Corr,0.5)</f>
        <v>510.7450398283645</v>
      </c>
      <c r="E15" s="56" cm="1">
        <f t="array" aca="1" ref="E15" ca="1">_xll.VoseSimPercentile(Tot_Ind,0.5)</f>
        <v>514.32928762135873</v>
      </c>
      <c r="F15" s="28"/>
      <c r="G15" s="28"/>
    </row>
    <row r="16" spans="1:18" x14ac:dyDescent="0.45">
      <c r="B16" s="25" t="s">
        <v>183</v>
      </c>
      <c r="C16" s="28"/>
      <c r="D16" s="56" cm="1">
        <f t="array" aca="1" ref="D16" ca="1">_xll.VoseSimPercentile(Tot_Corr,0.95)</f>
        <v>634.11788073143794</v>
      </c>
      <c r="E16" s="56" cm="1">
        <f t="array" aca="1" ref="E16" ca="1">_xll.VoseSimPercentile(Tot_Ind,0.95)</f>
        <v>592.02793403364569</v>
      </c>
      <c r="F16" s="28"/>
      <c r="G16" s="28"/>
    </row>
    <row r="17" spans="2:7" x14ac:dyDescent="0.45">
      <c r="B17" s="25" t="s">
        <v>184</v>
      </c>
      <c r="C17" s="28"/>
      <c r="D17" s="56" cm="1">
        <f t="array" aca="1" ref="D17" ca="1">_xll.VoseSimPercentile(Tot_Corr,0.99)</f>
        <v>692.43614557968976</v>
      </c>
      <c r="E17" s="56" cm="1">
        <f t="array" aca="1" ref="E17" ca="1">_xll.VoseSimPercentile(Tot_Ind,0.99)</f>
        <v>626.43378912270771</v>
      </c>
      <c r="F17" s="28"/>
      <c r="G17" s="28"/>
    </row>
    <row r="18" spans="2:7" x14ac:dyDescent="0.45">
      <c r="B18" s="25" t="s">
        <v>185</v>
      </c>
      <c r="C18" s="28"/>
      <c r="D18" s="56" cm="1">
        <f t="array" aca="1" ref="D18" ca="1">_xll.VoseSimCVARp(Tot_Corr,0.01)</f>
        <v>719.40767891340602</v>
      </c>
      <c r="E18" s="56" cm="1">
        <f t="array" aca="1" ref="E18" ca="1">_xll.VoseSimCVARp(Tot_Ind,0.01)</f>
        <v>643.65265790936235</v>
      </c>
      <c r="F18" s="28"/>
      <c r="G18" s="28"/>
    </row>
    <row r="19" spans="2:7" x14ac:dyDescent="0.45">
      <c r="B19" s="25" t="s">
        <v>186</v>
      </c>
      <c r="C19" s="28"/>
      <c r="D19" s="57" cm="1">
        <f t="array" aca="1" ref="D19" ca="1">1-_xll.VoseSimProbability(Tot_Corr,BadYear)</f>
        <v>0.11868813118688126</v>
      </c>
      <c r="E19" s="57" cm="1">
        <f t="array" aca="1" ref="E19" ca="1">1-_xll.VoseSimProbability(Tot_Ind,BadYear)</f>
        <v>3.6396360363963653E-2</v>
      </c>
      <c r="F19" s="28"/>
      <c r="G19" s="28"/>
    </row>
    <row r="20" spans="2:7" x14ac:dyDescent="0.45">
      <c r="B20" s="25" t="s">
        <v>187</v>
      </c>
      <c r="C20" s="28"/>
      <c r="D20" s="35">
        <f>ExpTotal</f>
        <v>516.11874943397925</v>
      </c>
      <c r="E20" s="35">
        <f>ExpTotal</f>
        <v>516.11874943397925</v>
      </c>
      <c r="F20" s="28"/>
      <c r="G20" s="28"/>
    </row>
    <row r="21" spans="2:7" ht="8" customHeight="1" x14ac:dyDescent="0.45"/>
    <row r="22" spans="2:7" ht="22.05" customHeight="1" x14ac:dyDescent="0.5">
      <c r="B22" s="7" t="s">
        <v>188</v>
      </c>
      <c r="C22" s="8"/>
      <c r="D22" s="8"/>
      <c r="E22" s="8"/>
      <c r="F22" s="8"/>
      <c r="G22" s="8"/>
    </row>
    <row r="23" spans="2:7" ht="18" customHeight="1" x14ac:dyDescent="0.45">
      <c r="B23" s="13" t="s">
        <v>189</v>
      </c>
    </row>
    <row r="24" spans="2:7" ht="30" customHeight="1" x14ac:dyDescent="0.45">
      <c r="B24" s="23" t="s">
        <v>116</v>
      </c>
      <c r="C24" s="24" t="s">
        <v>190</v>
      </c>
      <c r="D24" s="24" t="s">
        <v>191</v>
      </c>
      <c r="E24" s="24" t="s">
        <v>192</v>
      </c>
      <c r="F24" s="24" t="s">
        <v>193</v>
      </c>
      <c r="G24" s="5"/>
    </row>
    <row r="25" spans="2:7" x14ac:dyDescent="0.45">
      <c r="B25" s="25" t="s">
        <v>127</v>
      </c>
      <c r="C25" s="35">
        <f>EA_A</f>
        <v>105.72001036295684</v>
      </c>
      <c r="D25" s="56" cm="1">
        <f t="array" aca="1" ref="D25" ca="1">_xll.VoseSimMean(Line_A)</f>
        <v>105.5526855112537</v>
      </c>
      <c r="E25" s="35">
        <f>P99_A</f>
        <v>138.6297772335129</v>
      </c>
      <c r="F25" s="56" cm="1">
        <f t="array" aca="1" ref="F25" ca="1">_xll.VoseSimPercentile(Line_A,0.99)</f>
        <v>138.70952457242737</v>
      </c>
      <c r="G25" s="28"/>
    </row>
    <row r="26" spans="2:7" x14ac:dyDescent="0.45">
      <c r="B26" s="25" t="s">
        <v>129</v>
      </c>
      <c r="C26" s="35">
        <f>EA_B</f>
        <v>197.12042379247794</v>
      </c>
      <c r="D26" s="56" cm="1">
        <f t="array" aca="1" ref="D26" ca="1">_xll.VoseSimMean(Line_B)</f>
        <v>196.80268028321149</v>
      </c>
      <c r="E26" s="35">
        <f>P99_B</f>
        <v>256.80405249790323</v>
      </c>
      <c r="F26" s="56" cm="1">
        <f t="array" aca="1" ref="F26" ca="1">_xll.VoseSimPercentile(Line_B,0.99)</f>
        <v>254.66296824460522</v>
      </c>
      <c r="G26" s="28"/>
    </row>
    <row r="27" spans="2:7" x14ac:dyDescent="0.45">
      <c r="B27" s="25" t="s">
        <v>131</v>
      </c>
      <c r="C27" s="35">
        <f>EA_C</f>
        <v>70.69586651942781</v>
      </c>
      <c r="D27" s="56" cm="1">
        <f t="array" aca="1" ref="D27" ca="1">_xll.VoseSimMean(Line_C)</f>
        <v>70.608042049277657</v>
      </c>
      <c r="E27" s="35">
        <f>P99_C</f>
        <v>99.466300286550634</v>
      </c>
      <c r="F27" s="56" cm="1">
        <f t="array" aca="1" ref="F27" ca="1">_xll.VoseSimPercentile(Line_C,0.99)</f>
        <v>99.922791001659647</v>
      </c>
      <c r="G27" s="28"/>
    </row>
    <row r="28" spans="2:7" x14ac:dyDescent="0.45">
      <c r="B28" s="25" t="s">
        <v>133</v>
      </c>
      <c r="C28" s="35">
        <f>EA_D</f>
        <v>81.291558813412962</v>
      </c>
      <c r="D28" s="56" cm="1">
        <f t="array" aca="1" ref="D28" ca="1">_xll.VoseSimMean(Line_D)</f>
        <v>80.729188759455056</v>
      </c>
      <c r="E28" s="35">
        <f>P99_D</f>
        <v>171.53424390144994</v>
      </c>
      <c r="F28" s="56" cm="1">
        <f t="array" aca="1" ref="F28" ca="1">_xll.VoseSimPercentile(Line_D,0.99)</f>
        <v>168.47827666846067</v>
      </c>
      <c r="G28" s="28"/>
    </row>
    <row r="29" spans="2:7" x14ac:dyDescent="0.45">
      <c r="B29" s="25" t="s">
        <v>135</v>
      </c>
      <c r="C29" s="35">
        <f>EA_E</f>
        <v>61.290889945703697</v>
      </c>
      <c r="D29" s="56" cm="1">
        <f t="array" aca="1" ref="D29" ca="1">_xll.VoseSimMean(Line_E)</f>
        <v>61.190937507365327</v>
      </c>
      <c r="E29" s="35">
        <f>P99_E</f>
        <v>81.316322459289779</v>
      </c>
      <c r="F29" s="56" cm="1">
        <f t="array" aca="1" ref="F29" ca="1">_xll.VoseSimPercentile(Line_E,0.99)</f>
        <v>81.506783870308041</v>
      </c>
      <c r="G29" s="28"/>
    </row>
    <row r="30" spans="2:7" ht="8" customHeight="1" x14ac:dyDescent="0.45"/>
    <row r="31" spans="2:7" ht="22.05" customHeight="1" x14ac:dyDescent="0.5">
      <c r="B31" s="7" t="s">
        <v>194</v>
      </c>
      <c r="C31" s="8"/>
      <c r="D31" s="8"/>
      <c r="E31" s="8"/>
      <c r="F31" s="8"/>
      <c r="G31" s="8"/>
    </row>
    <row r="32" spans="2:7" ht="18" customHeight="1" x14ac:dyDescent="0.45">
      <c r="B32" s="13" t="s">
        <v>195</v>
      </c>
    </row>
    <row r="33" spans="2:18" ht="18" customHeight="1" x14ac:dyDescent="0.45">
      <c r="B33" s="23" t="s">
        <v>196</v>
      </c>
      <c r="C33" s="5"/>
      <c r="D33" s="24" t="s">
        <v>197</v>
      </c>
      <c r="E33" s="5"/>
      <c r="F33" s="5"/>
      <c r="G33" s="5"/>
    </row>
    <row r="34" spans="2:18" x14ac:dyDescent="0.45">
      <c r="B34" s="25" t="s">
        <v>198</v>
      </c>
      <c r="C34" s="28"/>
      <c r="D34" s="58" cm="1">
        <f t="array" aca="1" ref="D34" ca="1">_xll.VoseSimCorrelation('Annual claims'!$F$21,'Annual claims'!$F$22,0)</f>
        <v>0.54508361166283614</v>
      </c>
      <c r="E34" s="28"/>
      <c r="F34" s="28"/>
      <c r="G34" s="28"/>
    </row>
    <row r="35" spans="2:18" x14ac:dyDescent="0.45">
      <c r="B35" s="25" t="s">
        <v>199</v>
      </c>
      <c r="C35" s="28"/>
      <c r="D35" s="58" cm="1">
        <f t="array" aca="1" ref="D35" ca="1">_xll.VoseSimCorrelation('Annual claims'!$F$22,'Annual claims'!$F$24,0)</f>
        <v>0.50001346323213458</v>
      </c>
      <c r="E35" s="28"/>
      <c r="F35" s="28"/>
      <c r="G35" s="28"/>
    </row>
    <row r="36" spans="2:18" x14ac:dyDescent="0.45">
      <c r="B36" s="25" t="s">
        <v>200</v>
      </c>
      <c r="C36" s="28"/>
      <c r="D36" s="58" cm="1">
        <f t="array" aca="1" ref="D36" ca="1">_xll.VoseSimCorrelation('Annual claims'!$F$23,'Annual claims'!$F$25,0)</f>
        <v>0.30542297035822968</v>
      </c>
      <c r="E36" s="28"/>
      <c r="F36" s="28"/>
      <c r="G36" s="28"/>
    </row>
    <row r="37" spans="2:18" ht="8" customHeight="1" x14ac:dyDescent="0.45"/>
    <row r="38" spans="2:18" x14ac:dyDescent="0.45">
      <c r="I38" s="55" t="s">
        <v>201</v>
      </c>
      <c r="J38" s="8"/>
      <c r="K38" s="8"/>
      <c r="L38" s="8"/>
      <c r="M38" s="8"/>
      <c r="N38" s="8"/>
      <c r="O38" s="8"/>
      <c r="P38" s="8"/>
      <c r="Q38" s="8"/>
      <c r="R38" s="8"/>
    </row>
    <row r="53" spans="2:7" ht="22.05" customHeight="1" x14ac:dyDescent="0.5">
      <c r="B53" s="7" t="s">
        <v>202</v>
      </c>
      <c r="C53" s="8"/>
      <c r="D53" s="8"/>
      <c r="E53" s="8"/>
      <c r="F53" s="8"/>
      <c r="G53" s="8"/>
    </row>
    <row r="54" spans="2:7" ht="32" customHeight="1" x14ac:dyDescent="0.45">
      <c r="B54" s="64" t="s">
        <v>203</v>
      </c>
      <c r="C54" s="65"/>
      <c r="D54" s="65"/>
      <c r="E54" s="65"/>
      <c r="F54" s="65"/>
      <c r="G54" s="65"/>
    </row>
    <row r="55" spans="2:7" ht="32" customHeight="1" x14ac:dyDescent="0.45">
      <c r="B55" s="64" t="s">
        <v>204</v>
      </c>
      <c r="C55" s="65"/>
      <c r="D55" s="65"/>
      <c r="E55" s="65"/>
      <c r="F55" s="65"/>
      <c r="G55" s="65"/>
    </row>
    <row r="56" spans="2:7" ht="32" customHeight="1" x14ac:dyDescent="0.45">
      <c r="B56" s="64" t="s">
        <v>205</v>
      </c>
      <c r="C56" s="65"/>
      <c r="D56" s="65"/>
      <c r="E56" s="65"/>
      <c r="F56" s="65"/>
      <c r="G56" s="65"/>
    </row>
    <row r="57" spans="2:7" ht="58.05" customHeight="1" x14ac:dyDescent="0.45">
      <c r="B57" s="64" t="s">
        <v>206</v>
      </c>
      <c r="C57" s="65"/>
      <c r="D57" s="65"/>
      <c r="E57" s="65"/>
      <c r="F57" s="65"/>
      <c r="G57" s="65"/>
    </row>
    <row r="58" spans="2:7" ht="14" customHeight="1" x14ac:dyDescent="0.45"/>
    <row r="59" spans="2:7" ht="14" customHeight="1" x14ac:dyDescent="0.45"/>
    <row r="60" spans="2:7" ht="22.05" customHeight="1" x14ac:dyDescent="0.5">
      <c r="B60" s="7" t="s">
        <v>207</v>
      </c>
      <c r="C60" s="8"/>
      <c r="D60" s="8"/>
      <c r="E60" s="8"/>
      <c r="F60" s="8"/>
      <c r="G60" s="8"/>
    </row>
    <row r="61" spans="2:7" ht="18" customHeight="1" x14ac:dyDescent="0.45">
      <c r="B61" s="13" t="s">
        <v>208</v>
      </c>
    </row>
    <row r="62" spans="2:7" ht="28.05" hidden="1" customHeight="1" outlineLevel="1" x14ac:dyDescent="0.45">
      <c r="B62" s="24" t="s">
        <v>209</v>
      </c>
      <c r="C62" s="24" t="s">
        <v>210</v>
      </c>
      <c r="D62" s="24" t="s">
        <v>211</v>
      </c>
      <c r="E62" s="24" t="s">
        <v>212</v>
      </c>
      <c r="F62" s="24" t="s">
        <v>213</v>
      </c>
      <c r="G62" s="5"/>
    </row>
    <row r="63" spans="2:7" hidden="1" outlineLevel="1" x14ac:dyDescent="0.45">
      <c r="B63" s="59">
        <v>0.01</v>
      </c>
      <c r="C63" s="59">
        <f t="shared" ref="C63:C94" si="0">1-B63</f>
        <v>0.99</v>
      </c>
      <c r="D63" s="60" cm="1">
        <f t="array" aca="1" ref="D63" ca="1">IF(ISNUMBER(_xll.VoseSimPercentile(Tot_Corr,$B63)),_xll.VoseSimPercentile(Tot_Corr,$B63),NA())</f>
        <v>380.29221061224916</v>
      </c>
      <c r="E63" s="60" cm="1">
        <f t="array" aca="1" ref="E63" ca="1">IF(ISNUMBER(_xll.VoseSimPercentile(Tot_Ind,$B63)),_xll.VoseSimPercentile(Tot_Ind,$B63),NA())</f>
        <v>416.98435917936581</v>
      </c>
      <c r="F63" s="60">
        <f t="shared" ref="F63:F94" si="1">BadYear</f>
        <v>600</v>
      </c>
    </row>
    <row r="64" spans="2:7" hidden="1" outlineLevel="1" x14ac:dyDescent="0.45">
      <c r="B64" s="59">
        <v>0.03</v>
      </c>
      <c r="C64" s="59">
        <f t="shared" si="0"/>
        <v>0.97</v>
      </c>
      <c r="D64" s="60" cm="1">
        <f t="array" aca="1" ref="D64" ca="1">IF(ISNUMBER(_xll.VoseSimPercentile(Tot_Corr,$B64)),_xll.VoseSimPercentile(Tot_Corr,$B64),NA())</f>
        <v>398.65652785972475</v>
      </c>
      <c r="E64" s="60" cm="1">
        <f t="array" aca="1" ref="E64" ca="1">IF(ISNUMBER(_xll.VoseSimPercentile(Tot_Ind,$B64)),_xll.VoseSimPercentile(Tot_Ind,$B64),NA())</f>
        <v>434.74933916217395</v>
      </c>
      <c r="F64" s="60">
        <f t="shared" si="1"/>
        <v>600</v>
      </c>
    </row>
    <row r="65" spans="2:6" hidden="1" outlineLevel="1" x14ac:dyDescent="0.45">
      <c r="B65" s="59">
        <v>0.05</v>
      </c>
      <c r="C65" s="59">
        <f t="shared" si="0"/>
        <v>0.95</v>
      </c>
      <c r="D65" s="60" cm="1">
        <f t="array" aca="1" ref="D65" ca="1">IF(ISNUMBER(_xll.VoseSimPercentile(Tot_Corr,$B65)),_xll.VoseSimPercentile(Tot_Corr,$B65),NA())</f>
        <v>407.5544034414927</v>
      </c>
      <c r="E65" s="60" cm="1">
        <f t="array" aca="1" ref="E65" ca="1">IF(ISNUMBER(_xll.VoseSimPercentile(Tot_Ind,$B65)),_xll.VoseSimPercentile(Tot_Ind,$B65),NA())</f>
        <v>444.65584294267831</v>
      </c>
      <c r="F65" s="60">
        <f t="shared" si="1"/>
        <v>600</v>
      </c>
    </row>
    <row r="66" spans="2:6" hidden="1" outlineLevel="1" x14ac:dyDescent="0.45">
      <c r="B66" s="59">
        <v>7.0000000000000007E-2</v>
      </c>
      <c r="C66" s="59">
        <f t="shared" si="0"/>
        <v>0.92999999999999994</v>
      </c>
      <c r="D66" s="60" cm="1">
        <f t="array" aca="1" ref="D66" ca="1">IF(ISNUMBER(_xll.VoseSimPercentile(Tot_Corr,$B66)),_xll.VoseSimPercentile(Tot_Corr,$B66),NA())</f>
        <v>416.4090479205118</v>
      </c>
      <c r="E66" s="60" cm="1">
        <f t="array" aca="1" ref="E66" ca="1">IF(ISNUMBER(_xll.VoseSimPercentile(Tot_Ind,$B66)),_xll.VoseSimPercentile(Tot_Ind,$B66),NA())</f>
        <v>450.91325695657798</v>
      </c>
      <c r="F66" s="60">
        <f t="shared" si="1"/>
        <v>600</v>
      </c>
    </row>
    <row r="67" spans="2:6" hidden="1" outlineLevel="1" x14ac:dyDescent="0.45">
      <c r="B67" s="59">
        <v>0.09</v>
      </c>
      <c r="C67" s="59">
        <f t="shared" si="0"/>
        <v>0.91</v>
      </c>
      <c r="D67" s="60" cm="1">
        <f t="array" aca="1" ref="D67" ca="1">IF(ISNUMBER(_xll.VoseSimPercentile(Tot_Corr,$B67)),_xll.VoseSimPercentile(Tot_Corr,$B67),NA())</f>
        <v>423.56704223050161</v>
      </c>
      <c r="E67" s="60" cm="1">
        <f t="array" aca="1" ref="E67" ca="1">IF(ISNUMBER(_xll.VoseSimPercentile(Tot_Ind,$B67)),_xll.VoseSimPercentile(Tot_Ind,$B67),NA())</f>
        <v>456.25249939376675</v>
      </c>
      <c r="F67" s="60">
        <f t="shared" si="1"/>
        <v>600</v>
      </c>
    </row>
    <row r="68" spans="2:6" hidden="1" outlineLevel="1" x14ac:dyDescent="0.45">
      <c r="B68" s="59">
        <v>0.11</v>
      </c>
      <c r="C68" s="59">
        <f t="shared" si="0"/>
        <v>0.89</v>
      </c>
      <c r="D68" s="60" cm="1">
        <f t="array" aca="1" ref="D68" ca="1">IF(ISNUMBER(_xll.VoseSimPercentile(Tot_Corr,$B68)),_xll.VoseSimPercentile(Tot_Corr,$B68),NA())</f>
        <v>430.24327371109388</v>
      </c>
      <c r="E68" s="60" cm="1">
        <f t="array" aca="1" ref="E68" ca="1">IF(ISNUMBER(_xll.VoseSimPercentile(Tot_Ind,$B68)),_xll.VoseSimPercentile(Tot_Ind,$B68),NA())</f>
        <v>461.29571943998241</v>
      </c>
      <c r="F68" s="60">
        <f t="shared" si="1"/>
        <v>600</v>
      </c>
    </row>
    <row r="69" spans="2:6" hidden="1" outlineLevel="1" x14ac:dyDescent="0.45">
      <c r="B69" s="59">
        <v>0.13</v>
      </c>
      <c r="C69" s="59">
        <f t="shared" si="0"/>
        <v>0.87</v>
      </c>
      <c r="D69" s="60" cm="1">
        <f t="array" aca="1" ref="D69" ca="1">IF(ISNUMBER(_xll.VoseSimPercentile(Tot_Corr,$B69)),_xll.VoseSimPercentile(Tot_Corr,$B69),NA())</f>
        <v>436.35370182973298</v>
      </c>
      <c r="E69" s="60" cm="1">
        <f t="array" aca="1" ref="E69" ca="1">IF(ISNUMBER(_xll.VoseSimPercentile(Tot_Ind,$B69)),_xll.VoseSimPercentile(Tot_Ind,$B69),NA())</f>
        <v>465.20697809288828</v>
      </c>
      <c r="F69" s="60">
        <f t="shared" si="1"/>
        <v>600</v>
      </c>
    </row>
    <row r="70" spans="2:6" hidden="1" outlineLevel="1" x14ac:dyDescent="0.45">
      <c r="B70" s="59">
        <v>0.15</v>
      </c>
      <c r="C70" s="59">
        <f t="shared" si="0"/>
        <v>0.85</v>
      </c>
      <c r="D70" s="60" cm="1">
        <f t="array" aca="1" ref="D70" ca="1">IF(ISNUMBER(_xll.VoseSimPercentile(Tot_Corr,$B70)),_xll.VoseSimPercentile(Tot_Corr,$B70),NA())</f>
        <v>441.63900571749099</v>
      </c>
      <c r="E70" s="60" cm="1">
        <f t="array" aca="1" ref="E70" ca="1">IF(ISNUMBER(_xll.VoseSimPercentile(Tot_Ind,$B70)),_xll.VoseSimPercentile(Tot_Ind,$B70),NA())</f>
        <v>468.7347914968725</v>
      </c>
      <c r="F70" s="60">
        <f t="shared" si="1"/>
        <v>600</v>
      </c>
    </row>
    <row r="71" spans="2:6" hidden="1" outlineLevel="1" x14ac:dyDescent="0.45">
      <c r="B71" s="59">
        <v>0.17</v>
      </c>
      <c r="C71" s="59">
        <f t="shared" si="0"/>
        <v>0.83</v>
      </c>
      <c r="D71" s="60" cm="1">
        <f t="array" aca="1" ref="D71" ca="1">IF(ISNUMBER(_xll.VoseSimPercentile(Tot_Corr,$B71)),_xll.VoseSimPercentile(Tot_Corr,$B71),NA())</f>
        <v>446.54475020656741</v>
      </c>
      <c r="E71" s="60" cm="1">
        <f t="array" aca="1" ref="E71" ca="1">IF(ISNUMBER(_xll.VoseSimPercentile(Tot_Ind,$B71)),_xll.VoseSimPercentile(Tot_Ind,$B71),NA())</f>
        <v>472.70572820342818</v>
      </c>
      <c r="F71" s="60">
        <f t="shared" si="1"/>
        <v>600</v>
      </c>
    </row>
    <row r="72" spans="2:6" hidden="1" outlineLevel="1" x14ac:dyDescent="0.45">
      <c r="B72" s="59">
        <v>0.19</v>
      </c>
      <c r="C72" s="59">
        <f t="shared" si="0"/>
        <v>0.81</v>
      </c>
      <c r="D72" s="60" cm="1">
        <f t="array" aca="1" ref="D72" ca="1">IF(ISNUMBER(_xll.VoseSimPercentile(Tot_Corr,$B72)),_xll.VoseSimPercentile(Tot_Corr,$B72),NA())</f>
        <v>451.29274716705436</v>
      </c>
      <c r="E72" s="60" cm="1">
        <f t="array" aca="1" ref="E72" ca="1">IF(ISNUMBER(_xll.VoseSimPercentile(Tot_Ind,$B72)),_xll.VoseSimPercentile(Tot_Ind,$B72),NA())</f>
        <v>475.77484110968169</v>
      </c>
      <c r="F72" s="60">
        <f t="shared" si="1"/>
        <v>600</v>
      </c>
    </row>
    <row r="73" spans="2:6" hidden="1" outlineLevel="1" x14ac:dyDescent="0.45">
      <c r="B73" s="59">
        <v>0.21</v>
      </c>
      <c r="C73" s="59">
        <f t="shared" si="0"/>
        <v>0.79</v>
      </c>
      <c r="D73" s="60" cm="1">
        <f t="array" aca="1" ref="D73" ca="1">IF(ISNUMBER(_xll.VoseSimPercentile(Tot_Corr,$B73)),_xll.VoseSimPercentile(Tot_Corr,$B73),NA())</f>
        <v>455.76885014308243</v>
      </c>
      <c r="E73" s="60" cm="1">
        <f t="array" aca="1" ref="E73" ca="1">IF(ISNUMBER(_xll.VoseSimPercentile(Tot_Ind,$B73)),_xll.VoseSimPercentile(Tot_Ind,$B73),NA())</f>
        <v>478.74009389346321</v>
      </c>
      <c r="F73" s="60">
        <f t="shared" si="1"/>
        <v>600</v>
      </c>
    </row>
    <row r="74" spans="2:6" hidden="1" outlineLevel="1" x14ac:dyDescent="0.45">
      <c r="B74" s="59">
        <v>0.23</v>
      </c>
      <c r="C74" s="59">
        <f t="shared" si="0"/>
        <v>0.77</v>
      </c>
      <c r="D74" s="60" cm="1">
        <f t="array" aca="1" ref="D74" ca="1">IF(ISNUMBER(_xll.VoseSimPercentile(Tot_Corr,$B74)),_xll.VoseSimPercentile(Tot_Corr,$B74),NA())</f>
        <v>460.08687635807308</v>
      </c>
      <c r="E74" s="60" cm="1">
        <f t="array" aca="1" ref="E74" ca="1">IF(ISNUMBER(_xll.VoseSimPercentile(Tot_Ind,$B74)),_xll.VoseSimPercentile(Tot_Ind,$B74),NA())</f>
        <v>481.53831964984317</v>
      </c>
      <c r="F74" s="60">
        <f t="shared" si="1"/>
        <v>600</v>
      </c>
    </row>
    <row r="75" spans="2:6" hidden="1" outlineLevel="1" x14ac:dyDescent="0.45">
      <c r="B75" s="59">
        <v>0.25</v>
      </c>
      <c r="C75" s="59">
        <f t="shared" si="0"/>
        <v>0.75</v>
      </c>
      <c r="D75" s="60" cm="1">
        <f t="array" aca="1" ref="D75" ca="1">IF(ISNUMBER(_xll.VoseSimPercentile(Tot_Corr,$B75)),_xll.VoseSimPercentile(Tot_Corr,$B75),NA())</f>
        <v>464.12350904683854</v>
      </c>
      <c r="E75" s="60" cm="1">
        <f t="array" aca="1" ref="E75" ca="1">IF(ISNUMBER(_xll.VoseSimPercentile(Tot_Ind,$B75)),_xll.VoseSimPercentile(Tot_Ind,$B75),NA())</f>
        <v>484.44780138306294</v>
      </c>
      <c r="F75" s="60">
        <f t="shared" si="1"/>
        <v>600</v>
      </c>
    </row>
    <row r="76" spans="2:6" hidden="1" outlineLevel="1" x14ac:dyDescent="0.45">
      <c r="B76" s="59">
        <v>0.27</v>
      </c>
      <c r="C76" s="59">
        <f t="shared" si="0"/>
        <v>0.73</v>
      </c>
      <c r="D76" s="60" cm="1">
        <f t="array" aca="1" ref="D76" ca="1">IF(ISNUMBER(_xll.VoseSimPercentile(Tot_Corr,$B76)),_xll.VoseSimPercentile(Tot_Corr,$B76),NA())</f>
        <v>467.79083763180444</v>
      </c>
      <c r="E76" s="60" cm="1">
        <f t="array" aca="1" ref="E76" ca="1">IF(ISNUMBER(_xll.VoseSimPercentile(Tot_Ind,$B76)),_xll.VoseSimPercentile(Tot_Ind,$B76),NA())</f>
        <v>487.05383230272275</v>
      </c>
      <c r="F76" s="60">
        <f t="shared" si="1"/>
        <v>600</v>
      </c>
    </row>
    <row r="77" spans="2:6" hidden="1" outlineLevel="1" x14ac:dyDescent="0.45">
      <c r="B77" s="59">
        <v>0.28999999999999998</v>
      </c>
      <c r="C77" s="59">
        <f t="shared" si="0"/>
        <v>0.71</v>
      </c>
      <c r="D77" s="60" cm="1">
        <f t="array" aca="1" ref="D77" ca="1">IF(ISNUMBER(_xll.VoseSimPercentile(Tot_Corr,$B77)),_xll.VoseSimPercentile(Tot_Corr,$B77),NA())</f>
        <v>471.90743547823399</v>
      </c>
      <c r="E77" s="60" cm="1">
        <f t="array" aca="1" ref="E77" ca="1">IF(ISNUMBER(_xll.VoseSimPercentile(Tot_Ind,$B77)),_xll.VoseSimPercentile(Tot_Ind,$B77),NA())</f>
        <v>489.67698114543191</v>
      </c>
      <c r="F77" s="60">
        <f t="shared" si="1"/>
        <v>600</v>
      </c>
    </row>
    <row r="78" spans="2:6" hidden="1" outlineLevel="1" x14ac:dyDescent="0.45">
      <c r="B78" s="59">
        <v>0.31</v>
      </c>
      <c r="C78" s="59">
        <f t="shared" si="0"/>
        <v>0.69</v>
      </c>
      <c r="D78" s="60" cm="1">
        <f t="array" aca="1" ref="D78" ca="1">IF(ISNUMBER(_xll.VoseSimPercentile(Tot_Corr,$B78)),_xll.VoseSimPercentile(Tot_Corr,$B78),NA())</f>
        <v>475.82133741041645</v>
      </c>
      <c r="E78" s="60" cm="1">
        <f t="array" aca="1" ref="E78" ca="1">IF(ISNUMBER(_xll.VoseSimPercentile(Tot_Ind,$B78)),_xll.VoseSimPercentile(Tot_Ind,$B78),NA())</f>
        <v>492.12245472404214</v>
      </c>
      <c r="F78" s="60">
        <f t="shared" si="1"/>
        <v>600</v>
      </c>
    </row>
    <row r="79" spans="2:6" hidden="1" outlineLevel="1" x14ac:dyDescent="0.45">
      <c r="B79" s="59">
        <v>0.33</v>
      </c>
      <c r="C79" s="59">
        <f t="shared" si="0"/>
        <v>0.66999999999999993</v>
      </c>
      <c r="D79" s="60" cm="1">
        <f t="array" aca="1" ref="D79" ca="1">IF(ISNUMBER(_xll.VoseSimPercentile(Tot_Corr,$B79)),_xll.VoseSimPercentile(Tot_Corr,$B79),NA())</f>
        <v>479.46142201237615</v>
      </c>
      <c r="E79" s="60" cm="1">
        <f t="array" aca="1" ref="E79" ca="1">IF(ISNUMBER(_xll.VoseSimPercentile(Tot_Ind,$B79)),_xll.VoseSimPercentile(Tot_Ind,$B79),NA())</f>
        <v>494.59939603096524</v>
      </c>
      <c r="F79" s="60">
        <f t="shared" si="1"/>
        <v>600</v>
      </c>
    </row>
    <row r="80" spans="2:6" hidden="1" outlineLevel="1" x14ac:dyDescent="0.45">
      <c r="B80" s="59">
        <v>0.35</v>
      </c>
      <c r="C80" s="59">
        <f t="shared" si="0"/>
        <v>0.65</v>
      </c>
      <c r="D80" s="60" cm="1">
        <f t="array" aca="1" ref="D80" ca="1">IF(ISNUMBER(_xll.VoseSimPercentile(Tot_Corr,$B80)),_xll.VoseSimPercentile(Tot_Corr,$B80),NA())</f>
        <v>483.42904609431497</v>
      </c>
      <c r="E80" s="60" cm="1">
        <f t="array" aca="1" ref="E80" ca="1">IF(ISNUMBER(_xll.VoseSimPercentile(Tot_Ind,$B80)),_xll.VoseSimPercentile(Tot_Ind,$B80),NA())</f>
        <v>497.06402744537257</v>
      </c>
      <c r="F80" s="60">
        <f t="shared" si="1"/>
        <v>600</v>
      </c>
    </row>
    <row r="81" spans="2:6" hidden="1" outlineLevel="1" x14ac:dyDescent="0.45">
      <c r="B81" s="59">
        <v>0.37</v>
      </c>
      <c r="C81" s="59">
        <f t="shared" si="0"/>
        <v>0.63</v>
      </c>
      <c r="D81" s="60" cm="1">
        <f t="array" aca="1" ref="D81" ca="1">IF(ISNUMBER(_xll.VoseSimPercentile(Tot_Corr,$B81)),_xll.VoseSimPercentile(Tot_Corr,$B81),NA())</f>
        <v>487.23279750281267</v>
      </c>
      <c r="E81" s="60" cm="1">
        <f t="array" aca="1" ref="E81" ca="1">IF(ISNUMBER(_xll.VoseSimPercentile(Tot_Ind,$B81)),_xll.VoseSimPercentile(Tot_Ind,$B81),NA())</f>
        <v>499.43367610025268</v>
      </c>
      <c r="F81" s="60">
        <f t="shared" si="1"/>
        <v>600</v>
      </c>
    </row>
    <row r="82" spans="2:6" hidden="1" outlineLevel="1" x14ac:dyDescent="0.45">
      <c r="B82" s="59">
        <v>0.39</v>
      </c>
      <c r="C82" s="59">
        <f t="shared" si="0"/>
        <v>0.61</v>
      </c>
      <c r="D82" s="60" cm="1">
        <f t="array" aca="1" ref="D82" ca="1">IF(ISNUMBER(_xll.VoseSimPercentile(Tot_Corr,$B82)),_xll.VoseSimPercentile(Tot_Corr,$B82),NA())</f>
        <v>490.41985372372784</v>
      </c>
      <c r="E82" s="60" cm="1">
        <f t="array" aca="1" ref="E82" ca="1">IF(ISNUMBER(_xll.VoseSimPercentile(Tot_Ind,$B82)),_xll.VoseSimPercentile(Tot_Ind,$B82),NA())</f>
        <v>501.69957204151365</v>
      </c>
      <c r="F82" s="60">
        <f t="shared" si="1"/>
        <v>600</v>
      </c>
    </row>
    <row r="83" spans="2:6" hidden="1" outlineLevel="1" x14ac:dyDescent="0.45">
      <c r="B83" s="59">
        <v>0.41</v>
      </c>
      <c r="C83" s="59">
        <f t="shared" si="0"/>
        <v>0.59000000000000008</v>
      </c>
      <c r="D83" s="60" cm="1">
        <f t="array" aca="1" ref="D83" ca="1">IF(ISNUMBER(_xll.VoseSimPercentile(Tot_Corr,$B83)),_xll.VoseSimPercentile(Tot_Corr,$B83),NA())</f>
        <v>493.56197029513561</v>
      </c>
      <c r="E83" s="60" cm="1">
        <f t="array" aca="1" ref="E83" ca="1">IF(ISNUMBER(_xll.VoseSimPercentile(Tot_Ind,$B83)),_xll.VoseSimPercentile(Tot_Ind,$B83),NA())</f>
        <v>503.95271515422911</v>
      </c>
      <c r="F83" s="60">
        <f t="shared" si="1"/>
        <v>600</v>
      </c>
    </row>
    <row r="84" spans="2:6" hidden="1" outlineLevel="1" x14ac:dyDescent="0.45">
      <c r="B84" s="59">
        <v>0.43</v>
      </c>
      <c r="C84" s="59">
        <f t="shared" si="0"/>
        <v>0.57000000000000006</v>
      </c>
      <c r="D84" s="60" cm="1">
        <f t="array" aca="1" ref="D84" ca="1">IF(ISNUMBER(_xll.VoseSimPercentile(Tot_Corr,$B84)),_xll.VoseSimPercentile(Tot_Corr,$B84),NA())</f>
        <v>497.20134591499561</v>
      </c>
      <c r="E84" s="60" cm="1">
        <f t="array" aca="1" ref="E84" ca="1">IF(ISNUMBER(_xll.VoseSimPercentile(Tot_Ind,$B84)),_xll.VoseSimPercentile(Tot_Ind,$B84),NA())</f>
        <v>506.17043147172637</v>
      </c>
      <c r="F84" s="60">
        <f t="shared" si="1"/>
        <v>600</v>
      </c>
    </row>
    <row r="85" spans="2:6" hidden="1" outlineLevel="1" x14ac:dyDescent="0.45">
      <c r="B85" s="59">
        <v>0.45</v>
      </c>
      <c r="C85" s="59">
        <f t="shared" si="0"/>
        <v>0.55000000000000004</v>
      </c>
      <c r="D85" s="60" cm="1">
        <f t="array" aca="1" ref="D85" ca="1">IF(ISNUMBER(_xll.VoseSimPercentile(Tot_Corr,$B85)),_xll.VoseSimPercentile(Tot_Corr,$B85),NA())</f>
        <v>500.98643694959208</v>
      </c>
      <c r="E85" s="60" cm="1">
        <f t="array" aca="1" ref="E85" ca="1">IF(ISNUMBER(_xll.VoseSimPercentile(Tot_Ind,$B85)),_xll.VoseSimPercentile(Tot_Ind,$B85),NA())</f>
        <v>508.55947014161347</v>
      </c>
      <c r="F85" s="60">
        <f t="shared" si="1"/>
        <v>600</v>
      </c>
    </row>
    <row r="86" spans="2:6" hidden="1" outlineLevel="1" x14ac:dyDescent="0.45">
      <c r="B86" s="59">
        <v>0.47</v>
      </c>
      <c r="C86" s="59">
        <f t="shared" si="0"/>
        <v>0.53</v>
      </c>
      <c r="D86" s="60" cm="1">
        <f t="array" aca="1" ref="D86" ca="1">IF(ISNUMBER(_xll.VoseSimPercentile(Tot_Corr,$B86)),_xll.VoseSimPercentile(Tot_Corr,$B86),NA())</f>
        <v>504.74433813360599</v>
      </c>
      <c r="E86" s="60" cm="1">
        <f t="array" aca="1" ref="E86" ca="1">IF(ISNUMBER(_xll.VoseSimPercentile(Tot_Ind,$B86)),_xll.VoseSimPercentile(Tot_Ind,$B86),NA())</f>
        <v>510.88298165680243</v>
      </c>
      <c r="F86" s="60">
        <f t="shared" si="1"/>
        <v>600</v>
      </c>
    </row>
    <row r="87" spans="2:6" hidden="1" outlineLevel="1" x14ac:dyDescent="0.45">
      <c r="B87" s="59">
        <v>0.49</v>
      </c>
      <c r="C87" s="59">
        <f t="shared" si="0"/>
        <v>0.51</v>
      </c>
      <c r="D87" s="60" cm="1">
        <f t="array" aca="1" ref="D87" ca="1">IF(ISNUMBER(_xll.VoseSimPercentile(Tot_Corr,$B87)),_xll.VoseSimPercentile(Tot_Corr,$B87),NA())</f>
        <v>508.46619596041103</v>
      </c>
      <c r="E87" s="60" cm="1">
        <f t="array" aca="1" ref="E87" ca="1">IF(ISNUMBER(_xll.VoseSimPercentile(Tot_Ind,$B87)),_xll.VoseSimPercentile(Tot_Ind,$B87),NA())</f>
        <v>513.28229950559955</v>
      </c>
      <c r="F87" s="60">
        <f t="shared" si="1"/>
        <v>600</v>
      </c>
    </row>
    <row r="88" spans="2:6" hidden="1" outlineLevel="1" x14ac:dyDescent="0.45">
      <c r="B88" s="59">
        <v>0.51</v>
      </c>
      <c r="C88" s="59">
        <f t="shared" si="0"/>
        <v>0.49</v>
      </c>
      <c r="D88" s="60" cm="1">
        <f t="array" aca="1" ref="D88" ca="1">IF(ISNUMBER(_xll.VoseSimPercentile(Tot_Corr,$B88)),_xll.VoseSimPercentile(Tot_Corr,$B88),NA())</f>
        <v>512.71591293830147</v>
      </c>
      <c r="E88" s="60" cm="1">
        <f t="array" aca="1" ref="E88" ca="1">IF(ISNUMBER(_xll.VoseSimPercentile(Tot_Ind,$B88)),_xll.VoseSimPercentile(Tot_Ind,$B88),NA())</f>
        <v>515.55120935522496</v>
      </c>
      <c r="F88" s="60">
        <f t="shared" si="1"/>
        <v>600</v>
      </c>
    </row>
    <row r="89" spans="2:6" hidden="1" outlineLevel="1" x14ac:dyDescent="0.45">
      <c r="B89" s="59">
        <v>0.53</v>
      </c>
      <c r="C89" s="59">
        <f t="shared" si="0"/>
        <v>0.47</v>
      </c>
      <c r="D89" s="60" cm="1">
        <f t="array" aca="1" ref="D89" ca="1">IF(ISNUMBER(_xll.VoseSimPercentile(Tot_Corr,$B89)),_xll.VoseSimPercentile(Tot_Corr,$B89),NA())</f>
        <v>516.16217470299875</v>
      </c>
      <c r="E89" s="60" cm="1">
        <f t="array" aca="1" ref="E89" ca="1">IF(ISNUMBER(_xll.VoseSimPercentile(Tot_Ind,$B89)),_xll.VoseSimPercentile(Tot_Ind,$B89),NA())</f>
        <v>518.01040034839662</v>
      </c>
      <c r="F89" s="60">
        <f t="shared" si="1"/>
        <v>600</v>
      </c>
    </row>
    <row r="90" spans="2:6" hidden="1" outlineLevel="1" x14ac:dyDescent="0.45">
      <c r="B90" s="59">
        <v>0.55000000000000004</v>
      </c>
      <c r="C90" s="59">
        <f t="shared" si="0"/>
        <v>0.44999999999999996</v>
      </c>
      <c r="D90" s="60" cm="1">
        <f t="array" aca="1" ref="D90" ca="1">IF(ISNUMBER(_xll.VoseSimPercentile(Tot_Corr,$B90)),_xll.VoseSimPercentile(Tot_Corr,$B90),NA())</f>
        <v>520.02175379083315</v>
      </c>
      <c r="E90" s="60" cm="1">
        <f t="array" aca="1" ref="E90" ca="1">IF(ISNUMBER(_xll.VoseSimPercentile(Tot_Ind,$B90)),_xll.VoseSimPercentile(Tot_Ind,$B90),NA())</f>
        <v>520.31997588825368</v>
      </c>
      <c r="F90" s="60">
        <f t="shared" si="1"/>
        <v>600</v>
      </c>
    </row>
    <row r="91" spans="2:6" hidden="1" outlineLevel="1" x14ac:dyDescent="0.45">
      <c r="B91" s="59">
        <v>0.56999999999999995</v>
      </c>
      <c r="C91" s="59">
        <f t="shared" si="0"/>
        <v>0.43000000000000005</v>
      </c>
      <c r="D91" s="60" cm="1">
        <f t="array" aca="1" ref="D91" ca="1">IF(ISNUMBER(_xll.VoseSimPercentile(Tot_Corr,$B91)),_xll.VoseSimPercentile(Tot_Corr,$B91),NA())</f>
        <v>524.00193111820602</v>
      </c>
      <c r="E91" s="60" cm="1">
        <f t="array" aca="1" ref="E91" ca="1">IF(ISNUMBER(_xll.VoseSimPercentile(Tot_Ind,$B91)),_xll.VoseSimPercentile(Tot_Ind,$B91),NA())</f>
        <v>522.53179095459029</v>
      </c>
      <c r="F91" s="60">
        <f t="shared" si="1"/>
        <v>600</v>
      </c>
    </row>
    <row r="92" spans="2:6" hidden="1" outlineLevel="1" x14ac:dyDescent="0.45">
      <c r="B92" s="59">
        <v>0.59</v>
      </c>
      <c r="C92" s="59">
        <f t="shared" si="0"/>
        <v>0.41000000000000003</v>
      </c>
      <c r="D92" s="60" cm="1">
        <f t="array" aca="1" ref="D92" ca="1">IF(ISNUMBER(_xll.VoseSimPercentile(Tot_Corr,$B92)),_xll.VoseSimPercentile(Tot_Corr,$B92),NA())</f>
        <v>527.43990573473673</v>
      </c>
      <c r="E92" s="60" cm="1">
        <f t="array" aca="1" ref="E92" ca="1">IF(ISNUMBER(_xll.VoseSimPercentile(Tot_Ind,$B92)),_xll.VoseSimPercentile(Tot_Ind,$B92),NA())</f>
        <v>524.82820042815001</v>
      </c>
      <c r="F92" s="60">
        <f t="shared" si="1"/>
        <v>600</v>
      </c>
    </row>
    <row r="93" spans="2:6" hidden="1" outlineLevel="1" x14ac:dyDescent="0.45">
      <c r="B93" s="59">
        <v>0.61</v>
      </c>
      <c r="C93" s="59">
        <f t="shared" si="0"/>
        <v>0.39</v>
      </c>
      <c r="D93" s="60" cm="1">
        <f t="array" aca="1" ref="D93" ca="1">IF(ISNUMBER(_xll.VoseSimPercentile(Tot_Corr,$B93)),_xll.VoseSimPercentile(Tot_Corr,$B93),NA())</f>
        <v>531.37933258379167</v>
      </c>
      <c r="E93" s="60" cm="1">
        <f t="array" aca="1" ref="E93" ca="1">IF(ISNUMBER(_xll.VoseSimPercentile(Tot_Ind,$B93)),_xll.VoseSimPercentile(Tot_Ind,$B93),NA())</f>
        <v>527.29035168126904</v>
      </c>
      <c r="F93" s="60">
        <f t="shared" si="1"/>
        <v>600</v>
      </c>
    </row>
    <row r="94" spans="2:6" hidden="1" outlineLevel="1" x14ac:dyDescent="0.45">
      <c r="B94" s="59">
        <v>0.63</v>
      </c>
      <c r="C94" s="59">
        <f t="shared" si="0"/>
        <v>0.37</v>
      </c>
      <c r="D94" s="60" cm="1">
        <f t="array" aca="1" ref="D94" ca="1">IF(ISNUMBER(_xll.VoseSimPercentile(Tot_Corr,$B94)),_xll.VoseSimPercentile(Tot_Corr,$B94),NA())</f>
        <v>535.48614031343413</v>
      </c>
      <c r="E94" s="60" cm="1">
        <f t="array" aca="1" ref="E94" ca="1">IF(ISNUMBER(_xll.VoseSimPercentile(Tot_Ind,$B94)),_xll.VoseSimPercentile(Tot_Ind,$B94),NA())</f>
        <v>529.34635950686925</v>
      </c>
      <c r="F94" s="60">
        <f t="shared" si="1"/>
        <v>600</v>
      </c>
    </row>
    <row r="95" spans="2:6" hidden="1" outlineLevel="1" x14ac:dyDescent="0.45">
      <c r="B95" s="59">
        <v>0.65</v>
      </c>
      <c r="C95" s="59">
        <f t="shared" ref="C95:C126" si="2">1-B95</f>
        <v>0.35</v>
      </c>
      <c r="D95" s="60" cm="1">
        <f t="array" aca="1" ref="D95" ca="1">IF(ISNUMBER(_xll.VoseSimPercentile(Tot_Corr,$B95)),_xll.VoseSimPercentile(Tot_Corr,$B95),NA())</f>
        <v>539.90497325940078</v>
      </c>
      <c r="E95" s="60" cm="1">
        <f t="array" aca="1" ref="E95" ca="1">IF(ISNUMBER(_xll.VoseSimPercentile(Tot_Ind,$B95)),_xll.VoseSimPercentile(Tot_Ind,$B95),NA())</f>
        <v>531.57685312434126</v>
      </c>
      <c r="F95" s="60">
        <f t="shared" ref="F95:F112" si="3">BadYear</f>
        <v>600</v>
      </c>
    </row>
    <row r="96" spans="2:6" hidden="1" outlineLevel="1" x14ac:dyDescent="0.45">
      <c r="B96" s="59">
        <v>0.67</v>
      </c>
      <c r="C96" s="59">
        <f t="shared" si="2"/>
        <v>0.32999999999999996</v>
      </c>
      <c r="D96" s="60" cm="1">
        <f t="array" aca="1" ref="D96" ca="1">IF(ISNUMBER(_xll.VoseSimPercentile(Tot_Corr,$B96)),_xll.VoseSimPercentile(Tot_Corr,$B96),NA())</f>
        <v>544.63607162461005</v>
      </c>
      <c r="E96" s="60" cm="1">
        <f t="array" aca="1" ref="E96" ca="1">IF(ISNUMBER(_xll.VoseSimPercentile(Tot_Ind,$B96)),_xll.VoseSimPercentile(Tot_Ind,$B96),NA())</f>
        <v>533.96266754455883</v>
      </c>
      <c r="F96" s="60">
        <f t="shared" si="3"/>
        <v>600</v>
      </c>
    </row>
    <row r="97" spans="2:6" hidden="1" outlineLevel="1" x14ac:dyDescent="0.45">
      <c r="B97" s="59">
        <v>0.69</v>
      </c>
      <c r="C97" s="59">
        <f t="shared" si="2"/>
        <v>0.31000000000000005</v>
      </c>
      <c r="D97" s="60" cm="1">
        <f t="array" aca="1" ref="D97" ca="1">IF(ISNUMBER(_xll.VoseSimPercentile(Tot_Corr,$B97)),_xll.VoseSimPercentile(Tot_Corr,$B97),NA())</f>
        <v>548.483632808214</v>
      </c>
      <c r="E97" s="60" cm="1">
        <f t="array" aca="1" ref="E97" ca="1">IF(ISNUMBER(_xll.VoseSimPercentile(Tot_Ind,$B97)),_xll.VoseSimPercentile(Tot_Ind,$B97),NA())</f>
        <v>536.821687200886</v>
      </c>
      <c r="F97" s="60">
        <f t="shared" si="3"/>
        <v>600</v>
      </c>
    </row>
    <row r="98" spans="2:6" hidden="1" outlineLevel="1" x14ac:dyDescent="0.45">
      <c r="B98" s="59">
        <v>0.71</v>
      </c>
      <c r="C98" s="59">
        <f t="shared" si="2"/>
        <v>0.29000000000000004</v>
      </c>
      <c r="D98" s="60" cm="1">
        <f t="array" aca="1" ref="D98" ca="1">IF(ISNUMBER(_xll.VoseSimPercentile(Tot_Corr,$B98)),_xll.VoseSimPercentile(Tot_Corr,$B98),NA())</f>
        <v>552.55876826969802</v>
      </c>
      <c r="E98" s="60" cm="1">
        <f t="array" aca="1" ref="E98" ca="1">IF(ISNUMBER(_xll.VoseSimPercentile(Tot_Ind,$B98)),_xll.VoseSimPercentile(Tot_Ind,$B98),NA())</f>
        <v>539.5644940732019</v>
      </c>
      <c r="F98" s="60">
        <f t="shared" si="3"/>
        <v>600</v>
      </c>
    </row>
    <row r="99" spans="2:6" hidden="1" outlineLevel="1" x14ac:dyDescent="0.45">
      <c r="B99" s="59">
        <v>0.73</v>
      </c>
      <c r="C99" s="59">
        <f t="shared" si="2"/>
        <v>0.27</v>
      </c>
      <c r="D99" s="60" cm="1">
        <f t="array" aca="1" ref="D99" ca="1">IF(ISNUMBER(_xll.VoseSimPercentile(Tot_Corr,$B99)),_xll.VoseSimPercentile(Tot_Corr,$B99),NA())</f>
        <v>556.90982779254375</v>
      </c>
      <c r="E99" s="60" cm="1">
        <f t="array" aca="1" ref="E99" ca="1">IF(ISNUMBER(_xll.VoseSimPercentile(Tot_Ind,$B99)),_xll.VoseSimPercentile(Tot_Ind,$B99),NA())</f>
        <v>542.23651653272111</v>
      </c>
      <c r="F99" s="60">
        <f t="shared" si="3"/>
        <v>600</v>
      </c>
    </row>
    <row r="100" spans="2:6" hidden="1" outlineLevel="1" x14ac:dyDescent="0.45">
      <c r="B100" s="59">
        <v>0.75</v>
      </c>
      <c r="C100" s="59">
        <f t="shared" si="2"/>
        <v>0.25</v>
      </c>
      <c r="D100" s="60" cm="1">
        <f t="array" aca="1" ref="D100" ca="1">IF(ISNUMBER(_xll.VoseSimPercentile(Tot_Corr,$B100)),_xll.VoseSimPercentile(Tot_Corr,$B100),NA())</f>
        <v>561.43596511537726</v>
      </c>
      <c r="E100" s="60" cm="1">
        <f t="array" aca="1" ref="E100" ca="1">IF(ISNUMBER(_xll.VoseSimPercentile(Tot_Ind,$B100)),_xll.VoseSimPercentile(Tot_Ind,$B100),NA())</f>
        <v>545.34142154140102</v>
      </c>
      <c r="F100" s="60">
        <f t="shared" si="3"/>
        <v>600</v>
      </c>
    </row>
    <row r="101" spans="2:6" hidden="1" outlineLevel="1" x14ac:dyDescent="0.45">
      <c r="B101" s="59">
        <v>0.77</v>
      </c>
      <c r="C101" s="59">
        <f t="shared" si="2"/>
        <v>0.22999999999999998</v>
      </c>
      <c r="D101" s="60" cm="1">
        <f t="array" aca="1" ref="D101" ca="1">IF(ISNUMBER(_xll.VoseSimPercentile(Tot_Corr,$B101)),_xll.VoseSimPercentile(Tot_Corr,$B101),NA())</f>
        <v>566.32168232432502</v>
      </c>
      <c r="E101" s="60" cm="1">
        <f t="array" aca="1" ref="E101" ca="1">IF(ISNUMBER(_xll.VoseSimPercentile(Tot_Ind,$B101)),_xll.VoseSimPercentile(Tot_Ind,$B101),NA())</f>
        <v>548.59275779532334</v>
      </c>
      <c r="F101" s="60">
        <f t="shared" si="3"/>
        <v>600</v>
      </c>
    </row>
    <row r="102" spans="2:6" hidden="1" outlineLevel="1" x14ac:dyDescent="0.45">
      <c r="B102" s="59">
        <v>0.79</v>
      </c>
      <c r="C102" s="59">
        <f t="shared" si="2"/>
        <v>0.20999999999999996</v>
      </c>
      <c r="D102" s="60" cm="1">
        <f t="array" aca="1" ref="D102" ca="1">IF(ISNUMBER(_xll.VoseSimPercentile(Tot_Corr,$B102)),_xll.VoseSimPercentile(Tot_Corr,$B102),NA())</f>
        <v>571.13678316594564</v>
      </c>
      <c r="E102" s="60" cm="1">
        <f t="array" aca="1" ref="E102" ca="1">IF(ISNUMBER(_xll.VoseSimPercentile(Tot_Ind,$B102)),_xll.VoseSimPercentile(Tot_Ind,$B102),NA())</f>
        <v>551.75075551448936</v>
      </c>
      <c r="F102" s="60">
        <f t="shared" si="3"/>
        <v>600</v>
      </c>
    </row>
    <row r="103" spans="2:6" hidden="1" outlineLevel="1" x14ac:dyDescent="0.45">
      <c r="B103" s="59">
        <v>0.81</v>
      </c>
      <c r="C103" s="59">
        <f t="shared" si="2"/>
        <v>0.18999999999999995</v>
      </c>
      <c r="D103" s="60" cm="1">
        <f t="array" aca="1" ref="D103" ca="1">IF(ISNUMBER(_xll.VoseSimPercentile(Tot_Corr,$B103)),_xll.VoseSimPercentile(Tot_Corr,$B103),NA())</f>
        <v>576.65554253904008</v>
      </c>
      <c r="E103" s="60" cm="1">
        <f t="array" aca="1" ref="E103" ca="1">IF(ISNUMBER(_xll.VoseSimPercentile(Tot_Ind,$B103)),_xll.VoseSimPercentile(Tot_Ind,$B103),NA())</f>
        <v>555.471981052155</v>
      </c>
      <c r="F103" s="60">
        <f t="shared" si="3"/>
        <v>600</v>
      </c>
    </row>
    <row r="104" spans="2:6" hidden="1" outlineLevel="1" x14ac:dyDescent="0.45">
      <c r="B104" s="59">
        <v>0.83</v>
      </c>
      <c r="C104" s="59">
        <f t="shared" si="2"/>
        <v>0.17000000000000004</v>
      </c>
      <c r="D104" s="60" cm="1">
        <f t="array" aca="1" ref="D104" ca="1">IF(ISNUMBER(_xll.VoseSimPercentile(Tot_Corr,$B104)),_xll.VoseSimPercentile(Tot_Corr,$B104),NA())</f>
        <v>582.43179584130939</v>
      </c>
      <c r="E104" s="60" cm="1">
        <f t="array" aca="1" ref="E104" ca="1">IF(ISNUMBER(_xll.VoseSimPercentile(Tot_Ind,$B104)),_xll.VoseSimPercentile(Tot_Ind,$B104),NA())</f>
        <v>559.47232088953785</v>
      </c>
      <c r="F104" s="60">
        <f t="shared" si="3"/>
        <v>600</v>
      </c>
    </row>
    <row r="105" spans="2:6" hidden="1" outlineLevel="1" x14ac:dyDescent="0.45">
      <c r="B105" s="59">
        <v>0.85</v>
      </c>
      <c r="C105" s="59">
        <f t="shared" si="2"/>
        <v>0.15000000000000002</v>
      </c>
      <c r="D105" s="60" cm="1">
        <f t="array" aca="1" ref="D105" ca="1">IF(ISNUMBER(_xll.VoseSimPercentile(Tot_Corr,$B105)),_xll.VoseSimPercentile(Tot_Corr,$B105),NA())</f>
        <v>588.73419792756033</v>
      </c>
      <c r="E105" s="60" cm="1">
        <f t="array" aca="1" ref="E105" ca="1">IF(ISNUMBER(_xll.VoseSimPercentile(Tot_Ind,$B105)),_xll.VoseSimPercentile(Tot_Ind,$B105),NA())</f>
        <v>563.2285656915451</v>
      </c>
      <c r="F105" s="60">
        <f t="shared" si="3"/>
        <v>600</v>
      </c>
    </row>
    <row r="106" spans="2:6" hidden="1" outlineLevel="1" x14ac:dyDescent="0.45">
      <c r="B106" s="59">
        <v>0.87</v>
      </c>
      <c r="C106" s="59">
        <f t="shared" si="2"/>
        <v>0.13</v>
      </c>
      <c r="D106" s="60" cm="1">
        <f t="array" aca="1" ref="D106" ca="1">IF(ISNUMBER(_xll.VoseSimPercentile(Tot_Corr,$B106)),_xll.VoseSimPercentile(Tot_Corr,$B106),NA())</f>
        <v>595.81654578676228</v>
      </c>
      <c r="E106" s="60" cm="1">
        <f t="array" aca="1" ref="E106" ca="1">IF(ISNUMBER(_xll.VoseSimPercentile(Tot_Ind,$B106)),_xll.VoseSimPercentile(Tot_Ind,$B106),NA())</f>
        <v>567.24017065037469</v>
      </c>
      <c r="F106" s="60">
        <f t="shared" si="3"/>
        <v>600</v>
      </c>
    </row>
    <row r="107" spans="2:6" hidden="1" outlineLevel="1" x14ac:dyDescent="0.45">
      <c r="B107" s="59">
        <v>0.89</v>
      </c>
      <c r="C107" s="59">
        <f t="shared" si="2"/>
        <v>0.10999999999999999</v>
      </c>
      <c r="D107" s="60" cm="1">
        <f t="array" aca="1" ref="D107" ca="1">IF(ISNUMBER(_xll.VoseSimPercentile(Tot_Corr,$B107)),_xll.VoseSimPercentile(Tot_Corr,$B107),NA())</f>
        <v>603.07851541152445</v>
      </c>
      <c r="E107" s="60" cm="1">
        <f t="array" aca="1" ref="E107" ca="1">IF(ISNUMBER(_xll.VoseSimPercentile(Tot_Ind,$B107)),_xll.VoseSimPercentile(Tot_Ind,$B107),NA())</f>
        <v>572.63438007201444</v>
      </c>
      <c r="F107" s="60">
        <f t="shared" si="3"/>
        <v>600</v>
      </c>
    </row>
    <row r="108" spans="2:6" hidden="1" outlineLevel="1" x14ac:dyDescent="0.45">
      <c r="B108" s="59">
        <v>0.91</v>
      </c>
      <c r="C108" s="59">
        <f t="shared" si="2"/>
        <v>8.9999999999999969E-2</v>
      </c>
      <c r="D108" s="60" cm="1">
        <f t="array" aca="1" ref="D108" ca="1">IF(ISNUMBER(_xll.VoseSimPercentile(Tot_Corr,$B108)),_xll.VoseSimPercentile(Tot_Corr,$B108),NA())</f>
        <v>611.075653171623</v>
      </c>
      <c r="E108" s="60" cm="1">
        <f t="array" aca="1" ref="E108" ca="1">IF(ISNUMBER(_xll.VoseSimPercentile(Tot_Ind,$B108)),_xll.VoseSimPercentile(Tot_Ind,$B108),NA())</f>
        <v>577.81649878229234</v>
      </c>
      <c r="F108" s="60">
        <f t="shared" si="3"/>
        <v>600</v>
      </c>
    </row>
    <row r="109" spans="2:6" hidden="1" outlineLevel="1" x14ac:dyDescent="0.45">
      <c r="B109" s="59">
        <v>0.93</v>
      </c>
      <c r="C109" s="59">
        <f t="shared" si="2"/>
        <v>6.9999999999999951E-2</v>
      </c>
      <c r="D109" s="60" cm="1">
        <f t="array" aca="1" ref="D109" ca="1">IF(ISNUMBER(_xll.VoseSimPercentile(Tot_Corr,$B109)),_xll.VoseSimPercentile(Tot_Corr,$B109),NA())</f>
        <v>621.5561561474666</v>
      </c>
      <c r="E109" s="60" cm="1">
        <f t="array" aca="1" ref="E109" ca="1">IF(ISNUMBER(_xll.VoseSimPercentile(Tot_Ind,$B109)),_xll.VoseSimPercentile(Tot_Ind,$B109),NA())</f>
        <v>584.13158361117769</v>
      </c>
      <c r="F109" s="60">
        <f t="shared" si="3"/>
        <v>600</v>
      </c>
    </row>
    <row r="110" spans="2:6" hidden="1" outlineLevel="1" x14ac:dyDescent="0.45">
      <c r="B110" s="59">
        <v>0.95</v>
      </c>
      <c r="C110" s="59">
        <f t="shared" si="2"/>
        <v>5.0000000000000044E-2</v>
      </c>
      <c r="D110" s="60" cm="1">
        <f t="array" aca="1" ref="D110" ca="1">IF(ISNUMBER(_xll.VoseSimPercentile(Tot_Corr,$B110)),_xll.VoseSimPercentile(Tot_Corr,$B110),NA())</f>
        <v>634.11788073143794</v>
      </c>
      <c r="E110" s="60" cm="1">
        <f t="array" aca="1" ref="E110" ca="1">IF(ISNUMBER(_xll.VoseSimPercentile(Tot_Ind,$B110)),_xll.VoseSimPercentile(Tot_Ind,$B110),NA())</f>
        <v>592.02793403364569</v>
      </c>
      <c r="F110" s="60">
        <f t="shared" si="3"/>
        <v>600</v>
      </c>
    </row>
    <row r="111" spans="2:6" hidden="1" outlineLevel="1" x14ac:dyDescent="0.45">
      <c r="B111" s="59">
        <v>0.97</v>
      </c>
      <c r="C111" s="59">
        <f t="shared" si="2"/>
        <v>3.0000000000000027E-2</v>
      </c>
      <c r="D111" s="60" cm="1">
        <f t="array" aca="1" ref="D111" ca="1">IF(ISNUMBER(_xll.VoseSimPercentile(Tot_Corr,$B111)),_xll.VoseSimPercentile(Tot_Corr,$B111),NA())</f>
        <v>653.98461125288952</v>
      </c>
      <c r="E111" s="60" cm="1">
        <f t="array" aca="1" ref="E111" ca="1">IF(ISNUMBER(_xll.VoseSimPercentile(Tot_Ind,$B111)),_xll.VoseSimPercentile(Tot_Ind,$B111),NA())</f>
        <v>604.69508137425009</v>
      </c>
      <c r="F111" s="60">
        <f t="shared" si="3"/>
        <v>600</v>
      </c>
    </row>
    <row r="112" spans="2:6" hidden="1" outlineLevel="1" x14ac:dyDescent="0.45">
      <c r="B112" s="59">
        <v>0.99</v>
      </c>
      <c r="C112" s="59">
        <f t="shared" si="2"/>
        <v>1.0000000000000009E-2</v>
      </c>
      <c r="D112" s="60" cm="1">
        <f t="array" aca="1" ref="D112" ca="1">IF(ISNUMBER(_xll.VoseSimPercentile(Tot_Corr,$B112)),_xll.VoseSimPercentile(Tot_Corr,$B112),NA())</f>
        <v>692.43614557968976</v>
      </c>
      <c r="E112" s="60" cm="1">
        <f t="array" aca="1" ref="E112" ca="1">IF(ISNUMBER(_xll.VoseSimPercentile(Tot_Ind,$B112)),_xll.VoseSimPercentile(Tot_Ind,$B112),NA())</f>
        <v>626.43378912270771</v>
      </c>
      <c r="F112" s="60">
        <f t="shared" si="3"/>
        <v>600</v>
      </c>
    </row>
    <row r="113" spans="2:7" hidden="1" outlineLevel="1" x14ac:dyDescent="0.45"/>
    <row r="114" spans="2:7" ht="18" hidden="1" customHeight="1" outlineLevel="1" x14ac:dyDescent="0.45">
      <c r="B114" s="23" t="s">
        <v>214</v>
      </c>
      <c r="C114" s="24" t="s">
        <v>157</v>
      </c>
      <c r="D114" s="5"/>
      <c r="E114" s="5"/>
      <c r="F114" s="5"/>
      <c r="G114" s="5"/>
    </row>
    <row r="115" spans="2:7" hidden="1" outlineLevel="1" x14ac:dyDescent="0.45">
      <c r="B115" s="61">
        <v>5.0000000000000001E-3</v>
      </c>
      <c r="C115" s="60" cm="1">
        <f t="array" aca="1" ref="C115" ca="1">IF(ISNUMBER(_xll.VoseSimPercentile(Tot_Corr,0.005)),_xll.VoseSimPercentile(Tot_Corr,0.005),NA())</f>
        <v>371.64171429760768</v>
      </c>
    </row>
    <row r="116" spans="2:7" hidden="1" outlineLevel="1" x14ac:dyDescent="0.45">
      <c r="B116" s="61">
        <v>0.01</v>
      </c>
      <c r="C116" s="60" cm="1">
        <f t="array" aca="1" ref="C116" ca="1">IF(ISNUMBER(_xll.VoseSimPercentile(Tot_Corr,0.01)),_xll.VoseSimPercentile(Tot_Corr,0.01),NA())</f>
        <v>380.29221061224916</v>
      </c>
    </row>
    <row r="117" spans="2:7" hidden="1" outlineLevel="1" x14ac:dyDescent="0.45">
      <c r="B117" s="61">
        <v>0.02</v>
      </c>
      <c r="C117" s="60" cm="1">
        <f t="array" aca="1" ref="C117" ca="1">IF(ISNUMBER(_xll.VoseSimPercentile(Tot_Corr,0.02)),_xll.VoseSimPercentile(Tot_Corr,0.02),NA())</f>
        <v>389.12386368366799</v>
      </c>
    </row>
    <row r="118" spans="2:7" hidden="1" outlineLevel="1" x14ac:dyDescent="0.45">
      <c r="B118" s="61">
        <v>0.03</v>
      </c>
      <c r="C118" s="60" cm="1">
        <f t="array" aca="1" ref="C118" ca="1">IF(ISNUMBER(_xll.VoseSimPercentile(Tot_Corr,0.03)),_xll.VoseSimPercentile(Tot_Corr,0.03),NA())</f>
        <v>398.65652785972475</v>
      </c>
    </row>
    <row r="119" spans="2:7" hidden="1" outlineLevel="1" x14ac:dyDescent="0.45">
      <c r="B119" s="61">
        <v>0.04</v>
      </c>
      <c r="C119" s="60" cm="1">
        <f t="array" aca="1" ref="C119" ca="1">IF(ISNUMBER(_xll.VoseSimPercentile(Tot_Corr,0.04)),_xll.VoseSimPercentile(Tot_Corr,0.04),NA())</f>
        <v>403.10351255211572</v>
      </c>
    </row>
    <row r="120" spans="2:7" hidden="1" outlineLevel="1" x14ac:dyDescent="0.45">
      <c r="B120" s="61">
        <v>0.05</v>
      </c>
      <c r="C120" s="60" cm="1">
        <f t="array" aca="1" ref="C120" ca="1">IF(ISNUMBER(_xll.VoseSimPercentile(Tot_Corr,0.05)),_xll.VoseSimPercentile(Tot_Corr,0.05),NA())</f>
        <v>407.5544034414927</v>
      </c>
    </row>
    <row r="121" spans="2:7" hidden="1" outlineLevel="1" x14ac:dyDescent="0.45">
      <c r="B121" s="61">
        <v>0.06</v>
      </c>
      <c r="C121" s="60" cm="1">
        <f t="array" aca="1" ref="C121" ca="1">IF(ISNUMBER(_xll.VoseSimPercentile(Tot_Corr,0.06)),_xll.VoseSimPercentile(Tot_Corr,0.06),NA())</f>
        <v>412.88302874413608</v>
      </c>
    </row>
    <row r="122" spans="2:7" hidden="1" outlineLevel="1" x14ac:dyDescent="0.45">
      <c r="B122" s="61">
        <v>7.0000000000000007E-2</v>
      </c>
      <c r="C122" s="60" cm="1">
        <f t="array" aca="1" ref="C122" ca="1">IF(ISNUMBER(_xll.VoseSimPercentile(Tot_Corr,0.07)),_xll.VoseSimPercentile(Tot_Corr,0.07),NA())</f>
        <v>416.4090479205118</v>
      </c>
    </row>
    <row r="123" spans="2:7" hidden="1" outlineLevel="1" x14ac:dyDescent="0.45">
      <c r="B123" s="61">
        <v>0.08</v>
      </c>
      <c r="C123" s="60" cm="1">
        <f t="array" aca="1" ref="C123" ca="1">IF(ISNUMBER(_xll.VoseSimPercentile(Tot_Corr,0.08)),_xll.VoseSimPercentile(Tot_Corr,0.08),NA())</f>
        <v>420.09303382905233</v>
      </c>
    </row>
    <row r="124" spans="2:7" hidden="1" outlineLevel="1" x14ac:dyDescent="0.45">
      <c r="B124" s="61">
        <v>0.09</v>
      </c>
      <c r="C124" s="60" cm="1">
        <f t="array" aca="1" ref="C124" ca="1">IF(ISNUMBER(_xll.VoseSimPercentile(Tot_Corr,0.09)),_xll.VoseSimPercentile(Tot_Corr,0.09),NA())</f>
        <v>423.56704223050161</v>
      </c>
    </row>
    <row r="125" spans="2:7" hidden="1" outlineLevel="1" x14ac:dyDescent="0.45">
      <c r="B125" s="61">
        <v>0.1</v>
      </c>
      <c r="C125" s="60" cm="1">
        <f t="array" aca="1" ref="C125" ca="1">IF(ISNUMBER(_xll.VoseSimPercentile(Tot_Corr,0.1)),_xll.VoseSimPercentile(Tot_Corr,0.1),NA())</f>
        <v>427.20395494065781</v>
      </c>
    </row>
    <row r="126" spans="2:7" hidden="1" outlineLevel="1" x14ac:dyDescent="0.45">
      <c r="B126" s="61">
        <v>0.11</v>
      </c>
      <c r="C126" s="60" cm="1">
        <f t="array" aca="1" ref="C126" ca="1">IF(ISNUMBER(_xll.VoseSimPercentile(Tot_Corr,0.11)),_xll.VoseSimPercentile(Tot_Corr,0.11),NA())</f>
        <v>430.24327371109388</v>
      </c>
    </row>
    <row r="127" spans="2:7" hidden="1" outlineLevel="1" x14ac:dyDescent="0.45">
      <c r="B127" s="61">
        <v>0.12</v>
      </c>
      <c r="C127" s="60" cm="1">
        <f t="array" aca="1" ref="C127" ca="1">IF(ISNUMBER(_xll.VoseSimPercentile(Tot_Corr,0.12)),_xll.VoseSimPercentile(Tot_Corr,0.12),NA())</f>
        <v>433.25786207009162</v>
      </c>
    </row>
    <row r="128" spans="2:7" hidden="1" outlineLevel="1" x14ac:dyDescent="0.45">
      <c r="B128" s="61">
        <v>0.13</v>
      </c>
      <c r="C128" s="60" cm="1">
        <f t="array" aca="1" ref="C128" ca="1">IF(ISNUMBER(_xll.VoseSimPercentile(Tot_Corr,0.13)),_xll.VoseSimPercentile(Tot_Corr,0.13),NA())</f>
        <v>436.35370182973298</v>
      </c>
    </row>
    <row r="129" spans="2:3" hidden="1" outlineLevel="1" x14ac:dyDescent="0.45">
      <c r="B129" s="61">
        <v>0.14000000000000001</v>
      </c>
      <c r="C129" s="60" cm="1">
        <f t="array" aca="1" ref="C129" ca="1">IF(ISNUMBER(_xll.VoseSimPercentile(Tot_Corr,0.14)),_xll.VoseSimPercentile(Tot_Corr,0.14),NA())</f>
        <v>438.90324304329118</v>
      </c>
    </row>
    <row r="130" spans="2:3" hidden="1" outlineLevel="1" x14ac:dyDescent="0.45">
      <c r="B130" s="61">
        <v>0.15</v>
      </c>
      <c r="C130" s="60" cm="1">
        <f t="array" aca="1" ref="C130" ca="1">IF(ISNUMBER(_xll.VoseSimPercentile(Tot_Corr,0.15)),_xll.VoseSimPercentile(Tot_Corr,0.15),NA())</f>
        <v>441.63900571749099</v>
      </c>
    </row>
    <row r="131" spans="2:3" hidden="1" outlineLevel="1" x14ac:dyDescent="0.45">
      <c r="B131" s="61">
        <v>0.16</v>
      </c>
      <c r="C131" s="60" cm="1">
        <f t="array" aca="1" ref="C131" ca="1">IF(ISNUMBER(_xll.VoseSimPercentile(Tot_Corr,0.16)),_xll.VoseSimPercentile(Tot_Corr,0.16),NA())</f>
        <v>444.35302454954393</v>
      </c>
    </row>
    <row r="132" spans="2:3" hidden="1" outlineLevel="1" x14ac:dyDescent="0.45">
      <c r="B132" s="61">
        <v>0.17</v>
      </c>
      <c r="C132" s="60" cm="1">
        <f t="array" aca="1" ref="C132" ca="1">IF(ISNUMBER(_xll.VoseSimPercentile(Tot_Corr,0.17)),_xll.VoseSimPercentile(Tot_Corr,0.17),NA())</f>
        <v>446.54475020656741</v>
      </c>
    </row>
    <row r="133" spans="2:3" hidden="1" outlineLevel="1" x14ac:dyDescent="0.45">
      <c r="B133" s="61">
        <v>0.18</v>
      </c>
      <c r="C133" s="60" cm="1">
        <f t="array" aca="1" ref="C133" ca="1">IF(ISNUMBER(_xll.VoseSimPercentile(Tot_Corr,0.18)),_xll.VoseSimPercentile(Tot_Corr,0.18),NA())</f>
        <v>449.02038635817524</v>
      </c>
    </row>
    <row r="134" spans="2:3" hidden="1" outlineLevel="1" x14ac:dyDescent="0.45">
      <c r="B134" s="61">
        <v>0.19</v>
      </c>
      <c r="C134" s="60" cm="1">
        <f t="array" aca="1" ref="C134" ca="1">IF(ISNUMBER(_xll.VoseSimPercentile(Tot_Corr,0.19)),_xll.VoseSimPercentile(Tot_Corr,0.19),NA())</f>
        <v>451.29274716705436</v>
      </c>
    </row>
    <row r="135" spans="2:3" hidden="1" outlineLevel="1" x14ac:dyDescent="0.45">
      <c r="B135" s="61">
        <v>0.2</v>
      </c>
      <c r="C135" s="60" cm="1">
        <f t="array" aca="1" ref="C135" ca="1">IF(ISNUMBER(_xll.VoseSimPercentile(Tot_Corr,0.2)),_xll.VoseSimPercentile(Tot_Corr,0.2),NA())</f>
        <v>453.5232409111905</v>
      </c>
    </row>
    <row r="136" spans="2:3" hidden="1" outlineLevel="1" x14ac:dyDescent="0.45">
      <c r="B136" s="61">
        <v>0.21</v>
      </c>
      <c r="C136" s="60" cm="1">
        <f t="array" aca="1" ref="C136" ca="1">IF(ISNUMBER(_xll.VoseSimPercentile(Tot_Corr,0.21)),_xll.VoseSimPercentile(Tot_Corr,0.21),NA())</f>
        <v>455.76885014308243</v>
      </c>
    </row>
    <row r="137" spans="2:3" hidden="1" outlineLevel="1" x14ac:dyDescent="0.45">
      <c r="B137" s="61">
        <v>0.22</v>
      </c>
      <c r="C137" s="60" cm="1">
        <f t="array" aca="1" ref="C137" ca="1">IF(ISNUMBER(_xll.VoseSimPercentile(Tot_Corr,0.22)),_xll.VoseSimPercentile(Tot_Corr,0.22),NA())</f>
        <v>457.85331116166424</v>
      </c>
    </row>
    <row r="138" spans="2:3" hidden="1" outlineLevel="1" x14ac:dyDescent="0.45">
      <c r="B138" s="61">
        <v>0.23</v>
      </c>
      <c r="C138" s="60" cm="1">
        <f t="array" aca="1" ref="C138" ca="1">IF(ISNUMBER(_xll.VoseSimPercentile(Tot_Corr,0.23)),_xll.VoseSimPercentile(Tot_Corr,0.23),NA())</f>
        <v>460.08687635807308</v>
      </c>
    </row>
    <row r="139" spans="2:3" hidden="1" outlineLevel="1" x14ac:dyDescent="0.45">
      <c r="B139" s="61">
        <v>0.24</v>
      </c>
      <c r="C139" s="60" cm="1">
        <f t="array" aca="1" ref="C139" ca="1">IF(ISNUMBER(_xll.VoseSimPercentile(Tot_Corr,0.24)),_xll.VoseSimPercentile(Tot_Corr,0.24),NA())</f>
        <v>462.18672424411301</v>
      </c>
    </row>
    <row r="140" spans="2:3" hidden="1" outlineLevel="1" x14ac:dyDescent="0.45">
      <c r="B140" s="61">
        <v>0.25</v>
      </c>
      <c r="C140" s="60" cm="1">
        <f t="array" aca="1" ref="C140" ca="1">IF(ISNUMBER(_xll.VoseSimPercentile(Tot_Corr,0.25)),_xll.VoseSimPercentile(Tot_Corr,0.25),NA())</f>
        <v>464.12350904683854</v>
      </c>
    </row>
    <row r="141" spans="2:3" hidden="1" outlineLevel="1" x14ac:dyDescent="0.45">
      <c r="B141" s="61">
        <v>0.26</v>
      </c>
      <c r="C141" s="60" cm="1">
        <f t="array" aca="1" ref="C141" ca="1">IF(ISNUMBER(_xll.VoseSimPercentile(Tot_Corr,0.26)),_xll.VoseSimPercentile(Tot_Corr,0.26),NA())</f>
        <v>465.89578784932803</v>
      </c>
    </row>
    <row r="142" spans="2:3" hidden="1" outlineLevel="1" x14ac:dyDescent="0.45">
      <c r="B142" s="61">
        <v>0.27</v>
      </c>
      <c r="C142" s="60" cm="1">
        <f t="array" aca="1" ref="C142" ca="1">IF(ISNUMBER(_xll.VoseSimPercentile(Tot_Corr,0.27)),_xll.VoseSimPercentile(Tot_Corr,0.27),NA())</f>
        <v>467.79083763180444</v>
      </c>
    </row>
    <row r="143" spans="2:3" hidden="1" outlineLevel="1" x14ac:dyDescent="0.45">
      <c r="B143" s="61">
        <v>0.28000000000000003</v>
      </c>
      <c r="C143" s="60" cm="1">
        <f t="array" aca="1" ref="C143" ca="1">IF(ISNUMBER(_xll.VoseSimPercentile(Tot_Corr,0.28)),_xll.VoseSimPercentile(Tot_Corr,0.28),NA())</f>
        <v>469.8375509517889</v>
      </c>
    </row>
    <row r="144" spans="2:3" hidden="1" outlineLevel="1" x14ac:dyDescent="0.45">
      <c r="B144" s="61">
        <v>0.28999999999999998</v>
      </c>
      <c r="C144" s="60" cm="1">
        <f t="array" aca="1" ref="C144" ca="1">IF(ISNUMBER(_xll.VoseSimPercentile(Tot_Corr,0.29)),_xll.VoseSimPercentile(Tot_Corr,0.29),NA())</f>
        <v>471.90743547823399</v>
      </c>
    </row>
    <row r="145" spans="2:3" hidden="1" outlineLevel="1" x14ac:dyDescent="0.45">
      <c r="B145" s="61">
        <v>0.3</v>
      </c>
      <c r="C145" s="60" cm="1">
        <f t="array" aca="1" ref="C145" ca="1">IF(ISNUMBER(_xll.VoseSimPercentile(Tot_Corr,0.3)),_xll.VoseSimPercentile(Tot_Corr,0.3),NA())</f>
        <v>473.69724789038048</v>
      </c>
    </row>
    <row r="146" spans="2:3" hidden="1" outlineLevel="1" x14ac:dyDescent="0.45">
      <c r="B146" s="61">
        <v>0.31</v>
      </c>
      <c r="C146" s="60" cm="1">
        <f t="array" aca="1" ref="C146" ca="1">IF(ISNUMBER(_xll.VoseSimPercentile(Tot_Corr,0.31)),_xll.VoseSimPercentile(Tot_Corr,0.31),NA())</f>
        <v>475.82133741041645</v>
      </c>
    </row>
    <row r="147" spans="2:3" hidden="1" outlineLevel="1" x14ac:dyDescent="0.45">
      <c r="B147" s="61">
        <v>0.32</v>
      </c>
      <c r="C147" s="60" cm="1">
        <f t="array" aca="1" ref="C147" ca="1">IF(ISNUMBER(_xll.VoseSimPercentile(Tot_Corr,0.32)),_xll.VoseSimPercentile(Tot_Corr,0.32),NA())</f>
        <v>477.4462127842919</v>
      </c>
    </row>
    <row r="148" spans="2:3" hidden="1" outlineLevel="1" x14ac:dyDescent="0.45">
      <c r="B148" s="61">
        <v>0.33</v>
      </c>
      <c r="C148" s="60" cm="1">
        <f t="array" aca="1" ref="C148" ca="1">IF(ISNUMBER(_xll.VoseSimPercentile(Tot_Corr,0.33)),_xll.VoseSimPercentile(Tot_Corr,0.33),NA())</f>
        <v>479.46142201237615</v>
      </c>
    </row>
    <row r="149" spans="2:3" hidden="1" outlineLevel="1" x14ac:dyDescent="0.45">
      <c r="B149" s="61">
        <v>0.34</v>
      </c>
      <c r="C149" s="60" cm="1">
        <f t="array" aca="1" ref="C149" ca="1">IF(ISNUMBER(_xll.VoseSimPercentile(Tot_Corr,0.34)),_xll.VoseSimPercentile(Tot_Corr,0.34),NA())</f>
        <v>481.30266776476412</v>
      </c>
    </row>
    <row r="150" spans="2:3" hidden="1" outlineLevel="1" x14ac:dyDescent="0.45">
      <c r="B150" s="61">
        <v>0.35</v>
      </c>
      <c r="C150" s="60" cm="1">
        <f t="array" aca="1" ref="C150" ca="1">IF(ISNUMBER(_xll.VoseSimPercentile(Tot_Corr,0.35)),_xll.VoseSimPercentile(Tot_Corr,0.35),NA())</f>
        <v>483.42904609431497</v>
      </c>
    </row>
    <row r="151" spans="2:3" hidden="1" outlineLevel="1" x14ac:dyDescent="0.45">
      <c r="B151" s="61">
        <v>0.36</v>
      </c>
      <c r="C151" s="60" cm="1">
        <f t="array" aca="1" ref="C151" ca="1">IF(ISNUMBER(_xll.VoseSimPercentile(Tot_Corr,0.36)),_xll.VoseSimPercentile(Tot_Corr,0.36),NA())</f>
        <v>485.43310747926125</v>
      </c>
    </row>
    <row r="152" spans="2:3" hidden="1" outlineLevel="1" x14ac:dyDescent="0.45">
      <c r="B152" s="61">
        <v>0.37</v>
      </c>
      <c r="C152" s="60" cm="1">
        <f t="array" aca="1" ref="C152" ca="1">IF(ISNUMBER(_xll.VoseSimPercentile(Tot_Corr,0.37)),_xll.VoseSimPercentile(Tot_Corr,0.37),NA())</f>
        <v>487.23279750281267</v>
      </c>
    </row>
    <row r="153" spans="2:3" hidden="1" outlineLevel="1" x14ac:dyDescent="0.45">
      <c r="B153" s="61">
        <v>0.38</v>
      </c>
      <c r="C153" s="60" cm="1">
        <f t="array" aca="1" ref="C153" ca="1">IF(ISNUMBER(_xll.VoseSimPercentile(Tot_Corr,0.38)),_xll.VoseSimPercentile(Tot_Corr,0.38),NA())</f>
        <v>488.86974423209193</v>
      </c>
    </row>
    <row r="154" spans="2:3" hidden="1" outlineLevel="1" x14ac:dyDescent="0.45">
      <c r="B154" s="61">
        <v>0.39</v>
      </c>
      <c r="C154" s="60" cm="1">
        <f t="array" aca="1" ref="C154" ca="1">IF(ISNUMBER(_xll.VoseSimPercentile(Tot_Corr,0.39)),_xll.VoseSimPercentile(Tot_Corr,0.39),NA())</f>
        <v>490.41985372372784</v>
      </c>
    </row>
    <row r="155" spans="2:3" hidden="1" outlineLevel="1" x14ac:dyDescent="0.45">
      <c r="B155" s="61">
        <v>0.4</v>
      </c>
      <c r="C155" s="60" cm="1">
        <f t="array" aca="1" ref="C155" ca="1">IF(ISNUMBER(_xll.VoseSimPercentile(Tot_Corr,0.4)),_xll.VoseSimPercentile(Tot_Corr,0.4),NA())</f>
        <v>491.88468580964843</v>
      </c>
    </row>
    <row r="156" spans="2:3" hidden="1" outlineLevel="1" x14ac:dyDescent="0.45">
      <c r="B156" s="61">
        <v>0.41</v>
      </c>
      <c r="C156" s="60" cm="1">
        <f t="array" aca="1" ref="C156" ca="1">IF(ISNUMBER(_xll.VoseSimPercentile(Tot_Corr,0.41)),_xll.VoseSimPercentile(Tot_Corr,0.41),NA())</f>
        <v>493.56197029513561</v>
      </c>
    </row>
    <row r="157" spans="2:3" hidden="1" outlineLevel="1" x14ac:dyDescent="0.45">
      <c r="B157" s="61">
        <v>0.42</v>
      </c>
      <c r="C157" s="60" cm="1">
        <f t="array" aca="1" ref="C157" ca="1">IF(ISNUMBER(_xll.VoseSimPercentile(Tot_Corr,0.42)),_xll.VoseSimPercentile(Tot_Corr,0.42),NA())</f>
        <v>495.34959427507238</v>
      </c>
    </row>
    <row r="158" spans="2:3" hidden="1" outlineLevel="1" x14ac:dyDescent="0.45">
      <c r="B158" s="61">
        <v>0.43</v>
      </c>
      <c r="C158" s="60" cm="1">
        <f t="array" aca="1" ref="C158" ca="1">IF(ISNUMBER(_xll.VoseSimPercentile(Tot_Corr,0.43)),_xll.VoseSimPercentile(Tot_Corr,0.43),NA())</f>
        <v>497.20134591499561</v>
      </c>
    </row>
    <row r="159" spans="2:3" hidden="1" outlineLevel="1" x14ac:dyDescent="0.45">
      <c r="B159" s="61">
        <v>0.44</v>
      </c>
      <c r="C159" s="60" cm="1">
        <f t="array" aca="1" ref="C159" ca="1">IF(ISNUMBER(_xll.VoseSimPercentile(Tot_Corr,0.44)),_xll.VoseSimPercentile(Tot_Corr,0.44),NA())</f>
        <v>499.02867517416718</v>
      </c>
    </row>
    <row r="160" spans="2:3" hidden="1" outlineLevel="1" x14ac:dyDescent="0.45">
      <c r="B160" s="61">
        <v>0.45</v>
      </c>
      <c r="C160" s="60" cm="1">
        <f t="array" aca="1" ref="C160" ca="1">IF(ISNUMBER(_xll.VoseSimPercentile(Tot_Corr,0.45)),_xll.VoseSimPercentile(Tot_Corr,0.45),NA())</f>
        <v>500.98643694959208</v>
      </c>
    </row>
    <row r="161" spans="2:3" hidden="1" outlineLevel="1" x14ac:dyDescent="0.45">
      <c r="B161" s="61">
        <v>0.46</v>
      </c>
      <c r="C161" s="60" cm="1">
        <f t="array" aca="1" ref="C161" ca="1">IF(ISNUMBER(_xll.VoseSimPercentile(Tot_Corr,0.46)),_xll.VoseSimPercentile(Tot_Corr,0.46),NA())</f>
        <v>502.66160238528983</v>
      </c>
    </row>
    <row r="162" spans="2:3" hidden="1" outlineLevel="1" x14ac:dyDescent="0.45">
      <c r="B162" s="61">
        <v>0.47</v>
      </c>
      <c r="C162" s="60" cm="1">
        <f t="array" aca="1" ref="C162" ca="1">IF(ISNUMBER(_xll.VoseSimPercentile(Tot_Corr,0.47)),_xll.VoseSimPercentile(Tot_Corr,0.47),NA())</f>
        <v>504.74433813360599</v>
      </c>
    </row>
    <row r="163" spans="2:3" hidden="1" outlineLevel="1" x14ac:dyDescent="0.45">
      <c r="B163" s="61">
        <v>0.48</v>
      </c>
      <c r="C163" s="60" cm="1">
        <f t="array" aca="1" ref="C163" ca="1">IF(ISNUMBER(_xll.VoseSimPercentile(Tot_Corr,0.48)),_xll.VoseSimPercentile(Tot_Corr,0.48),NA())</f>
        <v>506.54986351786687</v>
      </c>
    </row>
    <row r="164" spans="2:3" hidden="1" outlineLevel="1" x14ac:dyDescent="0.45">
      <c r="B164" s="61">
        <v>0.49</v>
      </c>
      <c r="C164" s="60" cm="1">
        <f t="array" aca="1" ref="C164" ca="1">IF(ISNUMBER(_xll.VoseSimPercentile(Tot_Corr,0.49)),_xll.VoseSimPercentile(Tot_Corr,0.49),NA())</f>
        <v>508.46619596041103</v>
      </c>
    </row>
    <row r="165" spans="2:3" hidden="1" outlineLevel="1" x14ac:dyDescent="0.45">
      <c r="B165" s="61">
        <v>0.5</v>
      </c>
      <c r="C165" s="60" cm="1">
        <f t="array" aca="1" ref="C165" ca="1">IF(ISNUMBER(_xll.VoseSimPercentile(Tot_Corr,0.5)),_xll.VoseSimPercentile(Tot_Corr,0.5),NA())</f>
        <v>510.7450398283645</v>
      </c>
    </row>
    <row r="166" spans="2:3" hidden="1" outlineLevel="1" x14ac:dyDescent="0.45">
      <c r="B166" s="61">
        <v>0.51</v>
      </c>
      <c r="C166" s="60" cm="1">
        <f t="array" aca="1" ref="C166" ca="1">IF(ISNUMBER(_xll.VoseSimPercentile(Tot_Corr,0.51)),_xll.VoseSimPercentile(Tot_Corr,0.51),NA())</f>
        <v>512.71591293830147</v>
      </c>
    </row>
    <row r="167" spans="2:3" hidden="1" outlineLevel="1" x14ac:dyDescent="0.45">
      <c r="B167" s="61">
        <v>0.52</v>
      </c>
      <c r="C167" s="60" cm="1">
        <f t="array" aca="1" ref="C167" ca="1">IF(ISNUMBER(_xll.VoseSimPercentile(Tot_Corr,0.52)),_xll.VoseSimPercentile(Tot_Corr,0.52),NA())</f>
        <v>514.38006523689239</v>
      </c>
    </row>
    <row r="168" spans="2:3" hidden="1" outlineLevel="1" x14ac:dyDescent="0.45">
      <c r="B168" s="61">
        <v>0.53</v>
      </c>
      <c r="C168" s="60" cm="1">
        <f t="array" aca="1" ref="C168" ca="1">IF(ISNUMBER(_xll.VoseSimPercentile(Tot_Corr,0.53)),_xll.VoseSimPercentile(Tot_Corr,0.53),NA())</f>
        <v>516.16217470299875</v>
      </c>
    </row>
    <row r="169" spans="2:3" hidden="1" outlineLevel="1" x14ac:dyDescent="0.45">
      <c r="B169" s="61">
        <v>0.54</v>
      </c>
      <c r="C169" s="60" cm="1">
        <f t="array" aca="1" ref="C169" ca="1">IF(ISNUMBER(_xll.VoseSimPercentile(Tot_Corr,0.54)),_xll.VoseSimPercentile(Tot_Corr,0.54),NA())</f>
        <v>517.82965443508556</v>
      </c>
    </row>
    <row r="170" spans="2:3" hidden="1" outlineLevel="1" x14ac:dyDescent="0.45">
      <c r="B170" s="61">
        <v>0.55000000000000004</v>
      </c>
      <c r="C170" s="60" cm="1">
        <f t="array" aca="1" ref="C170" ca="1">IF(ISNUMBER(_xll.VoseSimPercentile(Tot_Corr,0.55)),_xll.VoseSimPercentile(Tot_Corr,0.55),NA())</f>
        <v>520.02175379083315</v>
      </c>
    </row>
    <row r="171" spans="2:3" hidden="1" outlineLevel="1" x14ac:dyDescent="0.45">
      <c r="B171" s="61">
        <v>0.56000000000000005</v>
      </c>
      <c r="C171" s="60" cm="1">
        <f t="array" aca="1" ref="C171" ca="1">IF(ISNUMBER(_xll.VoseSimPercentile(Tot_Corr,0.56)),_xll.VoseSimPercentile(Tot_Corr,0.56),NA())</f>
        <v>521.80671551131968</v>
      </c>
    </row>
    <row r="172" spans="2:3" hidden="1" outlineLevel="1" x14ac:dyDescent="0.45">
      <c r="B172" s="61">
        <v>0.56999999999999995</v>
      </c>
      <c r="C172" s="60" cm="1">
        <f t="array" aca="1" ref="C172" ca="1">IF(ISNUMBER(_xll.VoseSimPercentile(Tot_Corr,0.57)),_xll.VoseSimPercentile(Tot_Corr,0.57),NA())</f>
        <v>524.00193111820602</v>
      </c>
    </row>
    <row r="173" spans="2:3" hidden="1" outlineLevel="1" x14ac:dyDescent="0.45">
      <c r="B173" s="61">
        <v>0.57999999999999996</v>
      </c>
      <c r="C173" s="60" cm="1">
        <f t="array" aca="1" ref="C173" ca="1">IF(ISNUMBER(_xll.VoseSimPercentile(Tot_Corr,0.58)),_xll.VoseSimPercentile(Tot_Corr,0.58),NA())</f>
        <v>525.99114415839415</v>
      </c>
    </row>
    <row r="174" spans="2:3" hidden="1" outlineLevel="1" x14ac:dyDescent="0.45">
      <c r="B174" s="61">
        <v>0.59</v>
      </c>
      <c r="C174" s="60" cm="1">
        <f t="array" aca="1" ref="C174" ca="1">IF(ISNUMBER(_xll.VoseSimPercentile(Tot_Corr,0.59)),_xll.VoseSimPercentile(Tot_Corr,0.59),NA())</f>
        <v>527.43990573473673</v>
      </c>
    </row>
    <row r="175" spans="2:3" hidden="1" outlineLevel="1" x14ac:dyDescent="0.45">
      <c r="B175" s="61">
        <v>0.6</v>
      </c>
      <c r="C175" s="60" cm="1">
        <f t="array" aca="1" ref="C175" ca="1">IF(ISNUMBER(_xll.VoseSimPercentile(Tot_Corr,0.6)),_xll.VoseSimPercentile(Tot_Corr,0.6),NA())</f>
        <v>529.37649146918727</v>
      </c>
    </row>
    <row r="176" spans="2:3" hidden="1" outlineLevel="1" x14ac:dyDescent="0.45">
      <c r="B176" s="61">
        <v>0.61</v>
      </c>
      <c r="C176" s="60" cm="1">
        <f t="array" aca="1" ref="C176" ca="1">IF(ISNUMBER(_xll.VoseSimPercentile(Tot_Corr,0.61)),_xll.VoseSimPercentile(Tot_Corr,0.61),NA())</f>
        <v>531.37933258379167</v>
      </c>
    </row>
    <row r="177" spans="2:3" hidden="1" outlineLevel="1" x14ac:dyDescent="0.45">
      <c r="B177" s="61">
        <v>0.62</v>
      </c>
      <c r="C177" s="60" cm="1">
        <f t="array" aca="1" ref="C177" ca="1">IF(ISNUMBER(_xll.VoseSimPercentile(Tot_Corr,0.62)),_xll.VoseSimPercentile(Tot_Corr,0.62),NA())</f>
        <v>533.60065988905569</v>
      </c>
    </row>
    <row r="178" spans="2:3" hidden="1" outlineLevel="1" x14ac:dyDescent="0.45">
      <c r="B178" s="61">
        <v>0.63</v>
      </c>
      <c r="C178" s="60" cm="1">
        <f t="array" aca="1" ref="C178" ca="1">IF(ISNUMBER(_xll.VoseSimPercentile(Tot_Corr,0.63)),_xll.VoseSimPercentile(Tot_Corr,0.63),NA())</f>
        <v>535.48614031343413</v>
      </c>
    </row>
    <row r="179" spans="2:3" hidden="1" outlineLevel="1" x14ac:dyDescent="0.45">
      <c r="B179" s="61">
        <v>0.64</v>
      </c>
      <c r="C179" s="60" cm="1">
        <f t="array" aca="1" ref="C179" ca="1">IF(ISNUMBER(_xll.VoseSimPercentile(Tot_Corr,0.64)),_xll.VoseSimPercentile(Tot_Corr,0.64),NA())</f>
        <v>537.96110492855746</v>
      </c>
    </row>
    <row r="180" spans="2:3" hidden="1" outlineLevel="1" x14ac:dyDescent="0.45">
      <c r="B180" s="61">
        <v>0.65</v>
      </c>
      <c r="C180" s="60" cm="1">
        <f t="array" aca="1" ref="C180" ca="1">IF(ISNUMBER(_xll.VoseSimPercentile(Tot_Corr,0.65)),_xll.VoseSimPercentile(Tot_Corr,0.65),NA())</f>
        <v>539.90497325940078</v>
      </c>
    </row>
    <row r="181" spans="2:3" hidden="1" outlineLevel="1" x14ac:dyDescent="0.45">
      <c r="B181" s="61">
        <v>0.66</v>
      </c>
      <c r="C181" s="60" cm="1">
        <f t="array" aca="1" ref="C181" ca="1">IF(ISNUMBER(_xll.VoseSimPercentile(Tot_Corr,0.66)),_xll.VoseSimPercentile(Tot_Corr,0.66),NA())</f>
        <v>542.50972109772647</v>
      </c>
    </row>
    <row r="182" spans="2:3" hidden="1" outlineLevel="1" x14ac:dyDescent="0.45">
      <c r="B182" s="61">
        <v>0.67</v>
      </c>
      <c r="C182" s="60" cm="1">
        <f t="array" aca="1" ref="C182" ca="1">IF(ISNUMBER(_xll.VoseSimPercentile(Tot_Corr,0.67)),_xll.VoseSimPercentile(Tot_Corr,0.67),NA())</f>
        <v>544.63607162461005</v>
      </c>
    </row>
    <row r="183" spans="2:3" hidden="1" outlineLevel="1" x14ac:dyDescent="0.45">
      <c r="B183" s="61">
        <v>0.68</v>
      </c>
      <c r="C183" s="60" cm="1">
        <f t="array" aca="1" ref="C183" ca="1">IF(ISNUMBER(_xll.VoseSimPercentile(Tot_Corr,0.68)),_xll.VoseSimPercentile(Tot_Corr,0.68),NA())</f>
        <v>546.58609086967385</v>
      </c>
    </row>
    <row r="184" spans="2:3" hidden="1" outlineLevel="1" x14ac:dyDescent="0.45">
      <c r="B184" s="61">
        <v>0.69</v>
      </c>
      <c r="C184" s="60" cm="1">
        <f t="array" aca="1" ref="C184" ca="1">IF(ISNUMBER(_xll.VoseSimPercentile(Tot_Corr,0.69)),_xll.VoseSimPercentile(Tot_Corr,0.69),NA())</f>
        <v>548.483632808214</v>
      </c>
    </row>
    <row r="185" spans="2:3" hidden="1" outlineLevel="1" x14ac:dyDescent="0.45">
      <c r="B185" s="61">
        <v>0.7</v>
      </c>
      <c r="C185" s="60" cm="1">
        <f t="array" aca="1" ref="C185" ca="1">IF(ISNUMBER(_xll.VoseSimPercentile(Tot_Corr,0.7)),_xll.VoseSimPercentile(Tot_Corr,0.7),NA())</f>
        <v>550.55795951744858</v>
      </c>
    </row>
    <row r="186" spans="2:3" hidden="1" outlineLevel="1" x14ac:dyDescent="0.45">
      <c r="B186" s="61">
        <v>0.71</v>
      </c>
      <c r="C186" s="60" cm="1">
        <f t="array" aca="1" ref="C186" ca="1">IF(ISNUMBER(_xll.VoseSimPercentile(Tot_Corr,0.71)),_xll.VoseSimPercentile(Tot_Corr,0.71),NA())</f>
        <v>552.55876826969802</v>
      </c>
    </row>
    <row r="187" spans="2:3" hidden="1" outlineLevel="1" x14ac:dyDescent="0.45">
      <c r="B187" s="61">
        <v>0.72</v>
      </c>
      <c r="C187" s="60" cm="1">
        <f t="array" aca="1" ref="C187" ca="1">IF(ISNUMBER(_xll.VoseSimPercentile(Tot_Corr,0.72)),_xll.VoseSimPercentile(Tot_Corr,0.72),NA())</f>
        <v>554.97410877631125</v>
      </c>
    </row>
    <row r="188" spans="2:3" hidden="1" outlineLevel="1" x14ac:dyDescent="0.45">
      <c r="B188" s="61">
        <v>0.73</v>
      </c>
      <c r="C188" s="60" cm="1">
        <f t="array" aca="1" ref="C188" ca="1">IF(ISNUMBER(_xll.VoseSimPercentile(Tot_Corr,0.73)),_xll.VoseSimPercentile(Tot_Corr,0.73),NA())</f>
        <v>556.90982779254375</v>
      </c>
    </row>
    <row r="189" spans="2:3" hidden="1" outlineLevel="1" x14ac:dyDescent="0.45">
      <c r="B189" s="61">
        <v>0.74</v>
      </c>
      <c r="C189" s="60" cm="1">
        <f t="array" aca="1" ref="C189" ca="1">IF(ISNUMBER(_xll.VoseSimPercentile(Tot_Corr,0.74)),_xll.VoseSimPercentile(Tot_Corr,0.74),NA())</f>
        <v>558.75657474988748</v>
      </c>
    </row>
    <row r="190" spans="2:3" hidden="1" outlineLevel="1" x14ac:dyDescent="0.45">
      <c r="B190" s="61">
        <v>0.75</v>
      </c>
      <c r="C190" s="60" cm="1">
        <f t="array" aca="1" ref="C190" ca="1">IF(ISNUMBER(_xll.VoseSimPercentile(Tot_Corr,0.75)),_xll.VoseSimPercentile(Tot_Corr,0.75),NA())</f>
        <v>561.43596511537726</v>
      </c>
    </row>
    <row r="191" spans="2:3" hidden="1" outlineLevel="1" x14ac:dyDescent="0.45">
      <c r="B191" s="61">
        <v>0.76</v>
      </c>
      <c r="C191" s="60" cm="1">
        <f t="array" aca="1" ref="C191" ca="1">IF(ISNUMBER(_xll.VoseSimPercentile(Tot_Corr,0.76)),_xll.VoseSimPercentile(Tot_Corr,0.76),NA())</f>
        <v>564.0020607514665</v>
      </c>
    </row>
    <row r="192" spans="2:3" hidden="1" outlineLevel="1" x14ac:dyDescent="0.45">
      <c r="B192" s="61">
        <v>0.77</v>
      </c>
      <c r="C192" s="60" cm="1">
        <f t="array" aca="1" ref="C192" ca="1">IF(ISNUMBER(_xll.VoseSimPercentile(Tot_Corr,0.77)),_xll.VoseSimPercentile(Tot_Corr,0.77),NA())</f>
        <v>566.32168232432502</v>
      </c>
    </row>
    <row r="193" spans="2:3" hidden="1" outlineLevel="1" x14ac:dyDescent="0.45">
      <c r="B193" s="61">
        <v>0.78</v>
      </c>
      <c r="C193" s="60" cm="1">
        <f t="array" aca="1" ref="C193" ca="1">IF(ISNUMBER(_xll.VoseSimPercentile(Tot_Corr,0.78)),_xll.VoseSimPercentile(Tot_Corr,0.78),NA())</f>
        <v>568.35469126356975</v>
      </c>
    </row>
    <row r="194" spans="2:3" hidden="1" outlineLevel="1" x14ac:dyDescent="0.45">
      <c r="B194" s="61">
        <v>0.79</v>
      </c>
      <c r="C194" s="60" cm="1">
        <f t="array" aca="1" ref="C194" ca="1">IF(ISNUMBER(_xll.VoseSimPercentile(Tot_Corr,0.79)),_xll.VoseSimPercentile(Tot_Corr,0.79),NA())</f>
        <v>571.13678316594564</v>
      </c>
    </row>
    <row r="195" spans="2:3" hidden="1" outlineLevel="1" x14ac:dyDescent="0.45">
      <c r="B195" s="61">
        <v>0.8</v>
      </c>
      <c r="C195" s="60" cm="1">
        <f t="array" aca="1" ref="C195" ca="1">IF(ISNUMBER(_xll.VoseSimPercentile(Tot_Corr,0.8)),_xll.VoseSimPercentile(Tot_Corr,0.8),NA())</f>
        <v>574.23530509208615</v>
      </c>
    </row>
    <row r="196" spans="2:3" hidden="1" outlineLevel="1" x14ac:dyDescent="0.45">
      <c r="B196" s="61">
        <v>0.81</v>
      </c>
      <c r="C196" s="60" cm="1">
        <f t="array" aca="1" ref="C196" ca="1">IF(ISNUMBER(_xll.VoseSimPercentile(Tot_Corr,0.81)),_xll.VoseSimPercentile(Tot_Corr,0.81),NA())</f>
        <v>576.65554253904008</v>
      </c>
    </row>
    <row r="197" spans="2:3" hidden="1" outlineLevel="1" x14ac:dyDescent="0.45">
      <c r="B197" s="61">
        <v>0.82</v>
      </c>
      <c r="C197" s="60" cm="1">
        <f t="array" aca="1" ref="C197" ca="1">IF(ISNUMBER(_xll.VoseSimPercentile(Tot_Corr,0.82)),_xll.VoseSimPercentile(Tot_Corr,0.82),NA())</f>
        <v>579.41890855739803</v>
      </c>
    </row>
    <row r="198" spans="2:3" hidden="1" outlineLevel="1" x14ac:dyDescent="0.45">
      <c r="B198" s="61">
        <v>0.83</v>
      </c>
      <c r="C198" s="60" cm="1">
        <f t="array" aca="1" ref="C198" ca="1">IF(ISNUMBER(_xll.VoseSimPercentile(Tot_Corr,0.83)),_xll.VoseSimPercentile(Tot_Corr,0.83),NA())</f>
        <v>582.43179584130939</v>
      </c>
    </row>
    <row r="199" spans="2:3" hidden="1" outlineLevel="1" x14ac:dyDescent="0.45">
      <c r="B199" s="61">
        <v>0.84</v>
      </c>
      <c r="C199" s="60" cm="1">
        <f t="array" aca="1" ref="C199" ca="1">IF(ISNUMBER(_xll.VoseSimPercentile(Tot_Corr,0.84)),_xll.VoseSimPercentile(Tot_Corr,0.84),NA())</f>
        <v>585.52985514103057</v>
      </c>
    </row>
    <row r="200" spans="2:3" hidden="1" outlineLevel="1" x14ac:dyDescent="0.45">
      <c r="B200" s="61">
        <v>0.85</v>
      </c>
      <c r="C200" s="60" cm="1">
        <f t="array" aca="1" ref="C200" ca="1">IF(ISNUMBER(_xll.VoseSimPercentile(Tot_Corr,0.85)),_xll.VoseSimPercentile(Tot_Corr,0.85),NA())</f>
        <v>588.73419792756033</v>
      </c>
    </row>
    <row r="201" spans="2:3" hidden="1" outlineLevel="1" x14ac:dyDescent="0.45">
      <c r="B201" s="61">
        <v>0.86</v>
      </c>
      <c r="C201" s="60" cm="1">
        <f t="array" aca="1" ref="C201" ca="1">IF(ISNUMBER(_xll.VoseSimPercentile(Tot_Corr,0.86)),_xll.VoseSimPercentile(Tot_Corr,0.86),NA())</f>
        <v>592.38259235678152</v>
      </c>
    </row>
    <row r="202" spans="2:3" hidden="1" outlineLevel="1" x14ac:dyDescent="0.45">
      <c r="B202" s="61">
        <v>0.87</v>
      </c>
      <c r="C202" s="60" cm="1">
        <f t="array" aca="1" ref="C202" ca="1">IF(ISNUMBER(_xll.VoseSimPercentile(Tot_Corr,0.87)),_xll.VoseSimPercentile(Tot_Corr,0.87),NA())</f>
        <v>595.81654578676228</v>
      </c>
    </row>
    <row r="203" spans="2:3" hidden="1" outlineLevel="1" x14ac:dyDescent="0.45">
      <c r="B203" s="61">
        <v>0.88</v>
      </c>
      <c r="C203" s="60" cm="1">
        <f t="array" aca="1" ref="C203" ca="1">IF(ISNUMBER(_xll.VoseSimPercentile(Tot_Corr,0.88)),_xll.VoseSimPercentile(Tot_Corr,0.88),NA())</f>
        <v>599.56629984330516</v>
      </c>
    </row>
    <row r="204" spans="2:3" hidden="1" outlineLevel="1" x14ac:dyDescent="0.45">
      <c r="B204" s="61">
        <v>0.89</v>
      </c>
      <c r="C204" s="60" cm="1">
        <f t="array" aca="1" ref="C204" ca="1">IF(ISNUMBER(_xll.VoseSimPercentile(Tot_Corr,0.89)),_xll.VoseSimPercentile(Tot_Corr,0.89),NA())</f>
        <v>603.07851541152445</v>
      </c>
    </row>
    <row r="205" spans="2:3" hidden="1" outlineLevel="1" x14ac:dyDescent="0.45">
      <c r="B205" s="61">
        <v>0.9</v>
      </c>
      <c r="C205" s="60" cm="1">
        <f t="array" aca="1" ref="C205" ca="1">IF(ISNUMBER(_xll.VoseSimPercentile(Tot_Corr,0.9)),_xll.VoseSimPercentile(Tot_Corr,0.9),NA())</f>
        <v>606.07876216783484</v>
      </c>
    </row>
    <row r="206" spans="2:3" hidden="1" outlineLevel="1" x14ac:dyDescent="0.45">
      <c r="B206" s="61">
        <v>0.91</v>
      </c>
      <c r="C206" s="60" cm="1">
        <f t="array" aca="1" ref="C206" ca="1">IF(ISNUMBER(_xll.VoseSimPercentile(Tot_Corr,0.91)),_xll.VoseSimPercentile(Tot_Corr,0.91),NA())</f>
        <v>611.075653171623</v>
      </c>
    </row>
    <row r="207" spans="2:3" hidden="1" outlineLevel="1" x14ac:dyDescent="0.45">
      <c r="B207" s="61">
        <v>0.92</v>
      </c>
      <c r="C207" s="60" cm="1">
        <f t="array" aca="1" ref="C207" ca="1">IF(ISNUMBER(_xll.VoseSimPercentile(Tot_Corr,0.92)),_xll.VoseSimPercentile(Tot_Corr,0.92),NA())</f>
        <v>614.95096377567381</v>
      </c>
    </row>
    <row r="208" spans="2:3" hidden="1" outlineLevel="1" x14ac:dyDescent="0.45">
      <c r="B208" s="61">
        <v>0.93</v>
      </c>
      <c r="C208" s="60" cm="1">
        <f t="array" aca="1" ref="C208" ca="1">IF(ISNUMBER(_xll.VoseSimPercentile(Tot_Corr,0.93)),_xll.VoseSimPercentile(Tot_Corr,0.93),NA())</f>
        <v>621.5561561474666</v>
      </c>
    </row>
    <row r="209" spans="2:7" hidden="1" outlineLevel="1" x14ac:dyDescent="0.45">
      <c r="B209" s="61">
        <v>0.94</v>
      </c>
      <c r="C209" s="60" cm="1">
        <f t="array" aca="1" ref="C209" ca="1">IF(ISNUMBER(_xll.VoseSimPercentile(Tot_Corr,0.94)),_xll.VoseSimPercentile(Tot_Corr,0.94),NA())</f>
        <v>627.49788630528155</v>
      </c>
    </row>
    <row r="210" spans="2:7" hidden="1" outlineLevel="1" x14ac:dyDescent="0.45">
      <c r="B210" s="61">
        <v>0.95</v>
      </c>
      <c r="C210" s="60" cm="1">
        <f t="array" aca="1" ref="C210" ca="1">IF(ISNUMBER(_xll.VoseSimPercentile(Tot_Corr,0.95)),_xll.VoseSimPercentile(Tot_Corr,0.95),NA())</f>
        <v>634.11788073143794</v>
      </c>
    </row>
    <row r="211" spans="2:7" hidden="1" outlineLevel="1" x14ac:dyDescent="0.45">
      <c r="B211" s="61">
        <v>0.96</v>
      </c>
      <c r="C211" s="60" cm="1">
        <f t="array" aca="1" ref="C211" ca="1">IF(ISNUMBER(_xll.VoseSimPercentile(Tot_Corr,0.96)),_xll.VoseSimPercentile(Tot_Corr,0.96),NA())</f>
        <v>643.89130298697683</v>
      </c>
    </row>
    <row r="212" spans="2:7" hidden="1" outlineLevel="1" x14ac:dyDescent="0.45">
      <c r="B212" s="61">
        <v>0.97</v>
      </c>
      <c r="C212" s="60" cm="1">
        <f t="array" aca="1" ref="C212" ca="1">IF(ISNUMBER(_xll.VoseSimPercentile(Tot_Corr,0.97)),_xll.VoseSimPercentile(Tot_Corr,0.97),NA())</f>
        <v>653.98461125288952</v>
      </c>
    </row>
    <row r="213" spans="2:7" hidden="1" outlineLevel="1" x14ac:dyDescent="0.45">
      <c r="B213" s="61">
        <v>0.98</v>
      </c>
      <c r="C213" s="60" cm="1">
        <f t="array" aca="1" ref="C213" ca="1">IF(ISNUMBER(_xll.VoseSimPercentile(Tot_Corr,0.98)),_xll.VoseSimPercentile(Tot_Corr,0.98),NA())</f>
        <v>669.26769177207893</v>
      </c>
    </row>
    <row r="214" spans="2:7" hidden="1" outlineLevel="1" x14ac:dyDescent="0.45">
      <c r="B214" s="61">
        <v>0.99</v>
      </c>
      <c r="C214" s="60" cm="1">
        <f t="array" aca="1" ref="C214" ca="1">IF(ISNUMBER(_xll.VoseSimPercentile(Tot_Corr,0.99)),_xll.VoseSimPercentile(Tot_Corr,0.99),NA())</f>
        <v>692.43614557968976</v>
      </c>
    </row>
    <row r="215" spans="2:7" hidden="1" outlineLevel="1" x14ac:dyDescent="0.45">
      <c r="B215" s="61">
        <v>0.995</v>
      </c>
      <c r="C215" s="60" cm="1">
        <f t="array" aca="1" ref="C215" ca="1">IF(ISNUMBER(_xll.VoseSimPercentile(Tot_Corr,0.995)),_xll.VoseSimPercentile(Tot_Corr,0.995),NA())</f>
        <v>710.51178937181385</v>
      </c>
    </row>
    <row r="216" spans="2:7" hidden="1" outlineLevel="1" x14ac:dyDescent="0.45"/>
    <row r="217" spans="2:7" ht="18" hidden="1" customHeight="1" outlineLevel="1" x14ac:dyDescent="0.45">
      <c r="B217" s="23" t="s">
        <v>215</v>
      </c>
      <c r="C217" s="24" t="s">
        <v>216</v>
      </c>
      <c r="D217" s="24" t="s">
        <v>217</v>
      </c>
      <c r="E217" s="24" t="s">
        <v>218</v>
      </c>
      <c r="F217" s="24" t="s">
        <v>219</v>
      </c>
      <c r="G217" s="24" t="s">
        <v>220</v>
      </c>
    </row>
    <row r="218" spans="2:7" hidden="1" outlineLevel="1" x14ac:dyDescent="0.45">
      <c r="B218" s="62">
        <v>0</v>
      </c>
      <c r="C218" s="60">
        <f ca="1">IF(ISNUMBER($C$115),$C$115+($C$215-$C$115)*0/24,NA())</f>
        <v>371.64171429760768</v>
      </c>
      <c r="D218" s="63">
        <f t="shared" ref="D218:D242" ca="1" si="4">IF(ISNUMBER(C218),MATCH(C218,$C$115:$C$215,1),NA())</f>
        <v>1</v>
      </c>
      <c r="E218" s="60">
        <f t="shared" ref="E218:E241" ca="1" si="5">IF(ISNUMBER(C218),(C218+C219)/2,NA())</f>
        <v>378.70150752832029</v>
      </c>
      <c r="F218" s="61">
        <f t="shared" ref="F218:F241" ca="1" si="6">IF(ISNUMBER(G219),G219-G218,NA())</f>
        <v>1.1192600753853116E-2</v>
      </c>
      <c r="G218" s="61" cm="1">
        <f t="array" aca="1" ref="G218" ca="1">IF(ISNUMBER(D218),IF(D218&gt;=101,INDEX($B$115:$B$215,101),INDEX($B$115:$B$215,D218)+(C218-INDEX($C$115:$C$215,D218))/MAX(0.000000000001,INDEX($C$115:$C$215,D218+1)-INDEX($C$115:$C$215,D218))*(INDEX($B$115:$B$215,D218+1)-INDEX($B$115:$B$215,D218))),NA())</f>
        <v>5.0000000000000001E-3</v>
      </c>
    </row>
    <row r="219" spans="2:7" hidden="1" outlineLevel="1" x14ac:dyDescent="0.45">
      <c r="B219" s="62">
        <v>1</v>
      </c>
      <c r="C219" s="60">
        <f ca="1">IF(ISNUMBER($C$115),$C$115+($C$215-$C$115)*1/24,NA())</f>
        <v>385.76130075903291</v>
      </c>
      <c r="D219" s="63">
        <f t="shared" ca="1" si="4"/>
        <v>2</v>
      </c>
      <c r="E219" s="60">
        <f t="shared" ca="1" si="5"/>
        <v>392.82109398974558</v>
      </c>
      <c r="F219" s="61">
        <f t="shared" ca="1" si="6"/>
        <v>1.6560634180434807E-2</v>
      </c>
      <c r="G219" s="61" cm="1">
        <f t="array" aca="1" ref="G219" ca="1">IF(ISNUMBER(D219),IF(D219&gt;=101,INDEX($B$115:$B$215,101),INDEX($B$115:$B$215,D219)+(C219-INDEX($C$115:$C$215,D219))/MAX(0.000000000001,INDEX($C$115:$C$215,D219+1)-INDEX($C$115:$C$215,D219))*(INDEX($B$115:$B$215,D219+1)-INDEX($B$115:$B$215,D219))),NA())</f>
        <v>1.6192600753853117E-2</v>
      </c>
    </row>
    <row r="220" spans="2:7" hidden="1" outlineLevel="1" x14ac:dyDescent="0.45">
      <c r="B220" s="62">
        <v>2</v>
      </c>
      <c r="C220" s="60">
        <f ca="1">IF(ISNUMBER($C$115),$C$115+($C$215-$C$115)*2/24,NA())</f>
        <v>399.88088722045819</v>
      </c>
      <c r="D220" s="63">
        <f t="shared" ca="1" si="4"/>
        <v>4</v>
      </c>
      <c r="E220" s="60">
        <f t="shared" ca="1" si="5"/>
        <v>406.94068045117081</v>
      </c>
      <c r="F220" s="61">
        <f t="shared" ca="1" si="6"/>
        <v>3.0415905339350575E-2</v>
      </c>
      <c r="G220" s="61" cm="1">
        <f t="array" aca="1" ref="G220" ca="1">IF(ISNUMBER(D220),IF(D220&gt;=101,INDEX($B$115:$B$215,101),INDEX($B$115:$B$215,D220)+(C220-INDEX($C$115:$C$215,D220))/MAX(0.000000000001,INDEX($C$115:$C$215,D220+1)-INDEX($C$115:$C$215,D220))*(INDEX($B$115:$B$215,D220+1)-INDEX($B$115:$B$215,D220))),NA())</f>
        <v>3.2753234934287924E-2</v>
      </c>
    </row>
    <row r="221" spans="2:7" hidden="1" outlineLevel="1" x14ac:dyDescent="0.45">
      <c r="B221" s="62">
        <v>3</v>
      </c>
      <c r="C221" s="60">
        <f ca="1">IF(ISNUMBER($C$115),$C$115+($C$215-$C$115)*3/24,NA())</f>
        <v>414.00047368188348</v>
      </c>
      <c r="D221" s="63">
        <f t="shared" ca="1" si="4"/>
        <v>7</v>
      </c>
      <c r="E221" s="60">
        <f t="shared" ca="1" si="5"/>
        <v>421.06026691259609</v>
      </c>
      <c r="F221" s="61">
        <f t="shared" ca="1" si="6"/>
        <v>3.9845039125909837E-2</v>
      </c>
      <c r="G221" s="61" cm="1">
        <f t="array" aca="1" ref="G221" ca="1">IF(ISNUMBER(D221),IF(D221&gt;=101,INDEX($B$115:$B$215,101),INDEX($B$115:$B$215,D221)+(C221-INDEX($C$115:$C$215,D221))/MAX(0.000000000001,INDEX($C$115:$C$215,D221+1)-INDEX($C$115:$C$215,D221))*(INDEX($B$115:$B$215,D221+1)-INDEX($B$115:$B$215,D221))),NA())</f>
        <v>6.3169140273638499E-2</v>
      </c>
    </row>
    <row r="222" spans="2:7" hidden="1" outlineLevel="1" x14ac:dyDescent="0.45">
      <c r="B222" s="62">
        <v>4</v>
      </c>
      <c r="C222" s="60">
        <f ca="1">IF(ISNUMBER($C$115),$C$115+($C$215-$C$115)*4/24,NA())</f>
        <v>428.12006014330871</v>
      </c>
      <c r="D222" s="63">
        <f t="shared" ca="1" si="4"/>
        <v>11</v>
      </c>
      <c r="E222" s="60">
        <f t="shared" ca="1" si="5"/>
        <v>435.17985337402132</v>
      </c>
      <c r="F222" s="61">
        <f t="shared" ca="1" si="6"/>
        <v>4.9198925683398356E-2</v>
      </c>
      <c r="G222" s="61" cm="1">
        <f t="array" aca="1" ref="G222" ca="1">IF(ISNUMBER(D222),IF(D222&gt;=101,INDEX($B$115:$B$215,101),INDEX($B$115:$B$215,D222)+(C222-INDEX($C$115:$C$215,D222))/MAX(0.000000000001,INDEX($C$115:$C$215,D222+1)-INDEX($C$115:$C$215,D222))*(INDEX($B$115:$B$215,D222+1)-INDEX($B$115:$B$215,D222))),NA())</f>
        <v>0.10301417939954834</v>
      </c>
    </row>
    <row r="223" spans="2:7" hidden="1" outlineLevel="1" x14ac:dyDescent="0.45">
      <c r="B223" s="62">
        <v>5</v>
      </c>
      <c r="C223" s="60">
        <f ca="1">IF(ISNUMBER($C$115),$C$115+($C$215-$C$115)*5/24,NA())</f>
        <v>442.23964660473393</v>
      </c>
      <c r="D223" s="63">
        <f t="shared" ca="1" si="4"/>
        <v>16</v>
      </c>
      <c r="E223" s="60">
        <f t="shared" ca="1" si="5"/>
        <v>449.29943983544661</v>
      </c>
      <c r="F223" s="61">
        <f t="shared" ca="1" si="6"/>
        <v>6.0619199852544325E-2</v>
      </c>
      <c r="G223" s="61" cm="1">
        <f t="array" aca="1" ref="G223" ca="1">IF(ISNUMBER(D223),IF(D223&gt;=101,INDEX($B$115:$B$215,101),INDEX($B$115:$B$215,D223)+(C223-INDEX($C$115:$C$215,D223))/MAX(0.000000000001,INDEX($C$115:$C$215,D223+1)-INDEX($C$115:$C$215,D223))*(INDEX($B$115:$B$215,D223+1)-INDEX($B$115:$B$215,D223))),NA())</f>
        <v>0.15221310508294669</v>
      </c>
    </row>
    <row r="224" spans="2:7" hidden="1" outlineLevel="1" x14ac:dyDescent="0.45">
      <c r="B224" s="62">
        <v>6</v>
      </c>
      <c r="C224" s="60">
        <f ca="1">IF(ISNUMBER($C$115),$C$115+($C$215-$C$115)*6/24,NA())</f>
        <v>456.35923306615922</v>
      </c>
      <c r="D224" s="63">
        <f t="shared" ca="1" si="4"/>
        <v>22</v>
      </c>
      <c r="E224" s="60">
        <f t="shared" ca="1" si="5"/>
        <v>463.41902629687183</v>
      </c>
      <c r="F224" s="61">
        <f t="shared" ca="1" si="6"/>
        <v>7.0265783714395597E-2</v>
      </c>
      <c r="G224" s="61" cm="1">
        <f t="array" aca="1" ref="G224" ca="1">IF(ISNUMBER(D224),IF(D224&gt;=101,INDEX($B$115:$B$215,101),INDEX($B$115:$B$215,D224)+(C224-INDEX($C$115:$C$215,D224))/MAX(0.000000000001,INDEX($C$115:$C$215,D224+1)-INDEX($C$115:$C$215,D224))*(INDEX($B$115:$B$215,D224+1)-INDEX($B$115:$B$215,D224))),NA())</f>
        <v>0.21283230493549102</v>
      </c>
    </row>
    <row r="225" spans="2:7" hidden="1" outlineLevel="1" x14ac:dyDescent="0.45">
      <c r="B225" s="62">
        <v>7</v>
      </c>
      <c r="C225" s="60">
        <f ca="1">IF(ISNUMBER($C$115),$C$115+($C$215-$C$115)*7/24,NA())</f>
        <v>470.47881952758445</v>
      </c>
      <c r="D225" s="63">
        <f t="shared" ca="1" si="4"/>
        <v>29</v>
      </c>
      <c r="E225" s="60">
        <f t="shared" ca="1" si="5"/>
        <v>477.53861275829706</v>
      </c>
      <c r="F225" s="61">
        <f t="shared" ca="1" si="6"/>
        <v>7.2736861833559319E-2</v>
      </c>
      <c r="G225" s="61" cm="1">
        <f t="array" aca="1" ref="G225" ca="1">IF(ISNUMBER(D225),IF(D225&gt;=101,INDEX($B$115:$B$215,101),INDEX($B$115:$B$215,D225)+(C225-INDEX($C$115:$C$215,D225))/MAX(0.000000000001,INDEX($C$115:$C$215,D225+1)-INDEX($C$115:$C$215,D225))*(INDEX($B$115:$B$215,D225+1)-INDEX($B$115:$B$215,D225))),NA())</f>
        <v>0.28309808864988661</v>
      </c>
    </row>
    <row r="226" spans="2:7" hidden="1" outlineLevel="1" x14ac:dyDescent="0.45">
      <c r="B226" s="62">
        <v>8</v>
      </c>
      <c r="C226" s="60">
        <f ca="1">IF(ISNUMBER($C$115),$C$115+($C$215-$C$115)*8/24,NA())</f>
        <v>484.59840598900973</v>
      </c>
      <c r="D226" s="63">
        <f t="shared" ca="1" si="4"/>
        <v>36</v>
      </c>
      <c r="E226" s="60">
        <f t="shared" ca="1" si="5"/>
        <v>491.65819921972241</v>
      </c>
      <c r="F226" s="61">
        <f t="shared" ca="1" si="6"/>
        <v>8.2464848405162661E-2</v>
      </c>
      <c r="G226" s="61" cm="1">
        <f t="array" aca="1" ref="G226" ca="1">IF(ISNUMBER(D226),IF(D226&gt;=101,INDEX($B$115:$B$215,101),INDEX($B$115:$B$215,D226)+(C226-INDEX($C$115:$C$215,D226))/MAX(0.000000000001,INDEX($C$115:$C$215,D226+1)-INDEX($C$115:$C$215,D226))*(INDEX($B$115:$B$215,D226+1)-INDEX($B$115:$B$215,D226))),NA())</f>
        <v>0.35583495048344593</v>
      </c>
    </row>
    <row r="227" spans="2:7" hidden="1" outlineLevel="1" x14ac:dyDescent="0.45">
      <c r="B227" s="62">
        <v>9</v>
      </c>
      <c r="C227" s="60">
        <f ca="1">IF(ISNUMBER($C$115),$C$115+($C$215-$C$115)*9/24,NA())</f>
        <v>498.71799245043502</v>
      </c>
      <c r="D227" s="63">
        <f t="shared" ca="1" si="4"/>
        <v>44</v>
      </c>
      <c r="E227" s="60">
        <f t="shared" ca="1" si="5"/>
        <v>505.77778568114763</v>
      </c>
      <c r="F227" s="61">
        <f t="shared" ca="1" si="6"/>
        <v>7.2431299903621738E-2</v>
      </c>
      <c r="G227" s="61" cm="1">
        <f t="array" aca="1" ref="G227" ca="1">IF(ISNUMBER(D227),IF(D227&gt;=101,INDEX($B$115:$B$215,101),INDEX($B$115:$B$215,D227)+(C227-INDEX($C$115:$C$215,D227))/MAX(0.000000000001,INDEX($C$115:$C$215,D227+1)-INDEX($C$115:$C$215,D227))*(INDEX($B$115:$B$215,D227+1)-INDEX($B$115:$B$215,D227))),NA())</f>
        <v>0.43829979888860859</v>
      </c>
    </row>
    <row r="228" spans="2:7" hidden="1" outlineLevel="1" x14ac:dyDescent="0.45">
      <c r="B228" s="62">
        <v>10</v>
      </c>
      <c r="C228" s="60">
        <f ca="1">IF(ISNUMBER($C$115),$C$115+($C$215-$C$115)*10/24,NA())</f>
        <v>512.83757891186019</v>
      </c>
      <c r="D228" s="63">
        <f t="shared" ca="1" si="4"/>
        <v>52</v>
      </c>
      <c r="E228" s="60">
        <f t="shared" ca="1" si="5"/>
        <v>519.89737214257286</v>
      </c>
      <c r="F228" s="61">
        <f t="shared" ca="1" si="6"/>
        <v>7.5936811446872698E-2</v>
      </c>
      <c r="G228" s="61" cm="1">
        <f t="array" aca="1" ref="G228" ca="1">IF(ISNUMBER(D228),IF(D228&gt;=101,INDEX($B$115:$B$215,101),INDEX($B$115:$B$215,D228)+(C228-INDEX($C$115:$C$215,D228))/MAX(0.000000000001,INDEX($C$115:$C$215,D228+1)-INDEX($C$115:$C$215,D228))*(INDEX($B$115:$B$215,D228+1)-INDEX($B$115:$B$215,D228))),NA())</f>
        <v>0.51073109879223033</v>
      </c>
    </row>
    <row r="229" spans="2:7" hidden="1" outlineLevel="1" x14ac:dyDescent="0.45">
      <c r="B229" s="62">
        <v>11</v>
      </c>
      <c r="C229" s="60">
        <f ca="1">IF(ISNUMBER($C$115),$C$115+($C$215-$C$115)*11/24,NA())</f>
        <v>526.95716537328553</v>
      </c>
      <c r="D229" s="63">
        <f t="shared" ca="1" si="4"/>
        <v>59</v>
      </c>
      <c r="E229" s="60">
        <f t="shared" ca="1" si="5"/>
        <v>534.01695860399809</v>
      </c>
      <c r="F229" s="61">
        <f t="shared" ca="1" si="6"/>
        <v>6.7830715532147035E-2</v>
      </c>
      <c r="G229" s="61" cm="1">
        <f t="array" aca="1" ref="G229" ca="1">IF(ISNUMBER(D229),IF(D229&gt;=101,INDEX($B$115:$B$215,101),INDEX($B$115:$B$215,D229)+(C229-INDEX($C$115:$C$215,D229))/MAX(0.000000000001,INDEX($C$115:$C$215,D229+1)-INDEX($C$115:$C$215,D229))*(INDEX($B$115:$B$215,D229+1)-INDEX($B$115:$B$215,D229))),NA())</f>
        <v>0.58666791023910303</v>
      </c>
    </row>
    <row r="230" spans="2:7" hidden="1" outlineLevel="1" x14ac:dyDescent="0.45">
      <c r="B230" s="62">
        <v>12</v>
      </c>
      <c r="C230" s="60">
        <f ca="1">IF(ISNUMBER($C$115),$C$115+($C$215-$C$115)*12/24,NA())</f>
        <v>541.07675183471076</v>
      </c>
      <c r="D230" s="63">
        <f t="shared" ca="1" si="4"/>
        <v>66</v>
      </c>
      <c r="E230" s="60">
        <f t="shared" ca="1" si="5"/>
        <v>548.13654506542343</v>
      </c>
      <c r="F230" s="61">
        <f t="shared" ca="1" si="6"/>
        <v>6.6649420603048903E-2</v>
      </c>
      <c r="G230" s="61" cm="1">
        <f t="array" aca="1" ref="G230" ca="1">IF(ISNUMBER(D230),IF(D230&gt;=101,INDEX($B$115:$B$215,101),INDEX($B$115:$B$215,D230)+(C230-INDEX($C$115:$C$215,D230))/MAX(0.000000000001,INDEX($C$115:$C$215,D230+1)-INDEX($C$115:$C$215,D230))*(INDEX($B$115:$B$215,D230+1)-INDEX($B$115:$B$215,D230))),NA())</f>
        <v>0.65449862577125006</v>
      </c>
    </row>
    <row r="231" spans="2:7" hidden="1" outlineLevel="1" x14ac:dyDescent="0.45">
      <c r="B231" s="62">
        <v>13</v>
      </c>
      <c r="C231" s="60">
        <f ca="1">IF(ISNUMBER($C$115),$C$115+($C$215-$C$115)*13/24,NA())</f>
        <v>555.19633829613599</v>
      </c>
      <c r="D231" s="63">
        <f t="shared" ca="1" si="4"/>
        <v>73</v>
      </c>
      <c r="E231" s="60">
        <f t="shared" ca="1" si="5"/>
        <v>562.25613152684855</v>
      </c>
      <c r="F231" s="61">
        <f t="shared" ca="1" si="6"/>
        <v>6.2307028180105917E-2</v>
      </c>
      <c r="G231" s="61" cm="1">
        <f t="array" aca="1" ref="G231" ca="1">IF(ISNUMBER(D231),IF(D231&gt;=101,INDEX($B$115:$B$215,101),INDEX($B$115:$B$215,D231)+(C231-INDEX($C$115:$C$215,D231))/MAX(0.000000000001,INDEX($C$115:$C$215,D231+1)-INDEX($C$115:$C$215,D231))*(INDEX($B$115:$B$215,D231+1)-INDEX($B$115:$B$215,D231))),NA())</f>
        <v>0.72114804637429897</v>
      </c>
    </row>
    <row r="232" spans="2:7" hidden="1" outlineLevel="1" x14ac:dyDescent="0.45">
      <c r="B232" s="62">
        <v>14</v>
      </c>
      <c r="C232" s="60">
        <f ca="1">IF(ISNUMBER($C$115),$C$115+($C$215-$C$115)*14/24,NA())</f>
        <v>569.31592475756122</v>
      </c>
      <c r="D232" s="63">
        <f t="shared" ca="1" si="4"/>
        <v>79</v>
      </c>
      <c r="E232" s="60">
        <f t="shared" ca="1" si="5"/>
        <v>576.37571798827389</v>
      </c>
      <c r="F232" s="61">
        <f t="shared" ca="1" si="6"/>
        <v>4.9784745218468651E-2</v>
      </c>
      <c r="G232" s="61" cm="1">
        <f t="array" aca="1" ref="G232" ca="1">IF(ISNUMBER(D232),IF(D232&gt;=101,INDEX($B$115:$B$215,101),INDEX($B$115:$B$215,D232)+(C232-INDEX($C$115:$C$215,D232))/MAX(0.000000000001,INDEX($C$115:$C$215,D232+1)-INDEX($C$115:$C$215,D232))*(INDEX($B$115:$B$215,D232+1)-INDEX($B$115:$B$215,D232))),NA())</f>
        <v>0.78345507455440488</v>
      </c>
    </row>
    <row r="233" spans="2:7" hidden="1" outlineLevel="1" x14ac:dyDescent="0.45">
      <c r="B233" s="62">
        <v>15</v>
      </c>
      <c r="C233" s="60">
        <f ca="1">IF(ISNUMBER($C$115),$C$115+($C$215-$C$115)*15/24,NA())</f>
        <v>583.43551121898656</v>
      </c>
      <c r="D233" s="63">
        <f t="shared" ca="1" si="4"/>
        <v>84</v>
      </c>
      <c r="E233" s="60">
        <f t="shared" ca="1" si="5"/>
        <v>590.49530444969923</v>
      </c>
      <c r="F233" s="61">
        <f t="shared" ca="1" si="6"/>
        <v>4.1396622690908713E-2</v>
      </c>
      <c r="G233" s="61" cm="1">
        <f t="array" aca="1" ref="G233" ca="1">IF(ISNUMBER(D233),IF(D233&gt;=101,INDEX($B$115:$B$215,101),INDEX($B$115:$B$215,D233)+(C233-INDEX($C$115:$C$215,D233))/MAX(0.000000000001,INDEX($C$115:$C$215,D233+1)-INDEX($C$115:$C$215,D233))*(INDEX($B$115:$B$215,D233+1)-INDEX($B$115:$B$215,D233))),NA())</f>
        <v>0.83323981977287354</v>
      </c>
    </row>
    <row r="234" spans="2:7" hidden="1" outlineLevel="1" x14ac:dyDescent="0.45">
      <c r="B234" s="62">
        <v>16</v>
      </c>
      <c r="C234" s="60">
        <f ca="1">IF(ISNUMBER($C$115),$C$115+($C$215-$C$115)*16/24,NA())</f>
        <v>597.55509768041179</v>
      </c>
      <c r="D234" s="63">
        <f t="shared" ca="1" si="4"/>
        <v>88</v>
      </c>
      <c r="E234" s="60">
        <f t="shared" ca="1" si="5"/>
        <v>604.61489091112435</v>
      </c>
      <c r="F234" s="61">
        <f t="shared" ca="1" si="6"/>
        <v>3.6909320009006041E-2</v>
      </c>
      <c r="G234" s="61" cm="1">
        <f t="array" aca="1" ref="G234" ca="1">IF(ISNUMBER(D234),IF(D234&gt;=101,INDEX($B$115:$B$215,101),INDEX($B$115:$B$215,D234)+(C234-INDEX($C$115:$C$215,D234))/MAX(0.000000000001,INDEX($C$115:$C$215,D234+1)-INDEX($C$115:$C$215,D234))*(INDEX($B$115:$B$215,D234+1)-INDEX($B$115:$B$215,D234))),NA())</f>
        <v>0.87463644246378225</v>
      </c>
    </row>
    <row r="235" spans="2:7" hidden="1" outlineLevel="1" x14ac:dyDescent="0.45">
      <c r="B235" s="62">
        <v>17</v>
      </c>
      <c r="C235" s="60">
        <f ca="1">IF(ISNUMBER($C$115),$C$115+($C$215-$C$115)*17/24,NA())</f>
        <v>611.67468414183702</v>
      </c>
      <c r="D235" s="63">
        <f t="shared" ca="1" si="4"/>
        <v>92</v>
      </c>
      <c r="E235" s="60">
        <f t="shared" ca="1" si="5"/>
        <v>618.73447737254969</v>
      </c>
      <c r="F235" s="61">
        <f t="shared" ca="1" si="6"/>
        <v>2.5587032762319328E-2</v>
      </c>
      <c r="G235" s="61" cm="1">
        <f t="array" aca="1" ref="G235" ca="1">IF(ISNUMBER(D235),IF(D235&gt;=101,INDEX($B$115:$B$215,101),INDEX($B$115:$B$215,D235)+(C235-INDEX($C$115:$C$215,D235))/MAX(0.000000000001,INDEX($C$115:$C$215,D235+1)-INDEX($C$115:$C$215,D235))*(INDEX($B$115:$B$215,D235+1)-INDEX($B$115:$B$215,D235))),NA())</f>
        <v>0.91154576247278829</v>
      </c>
    </row>
    <row r="236" spans="2:7" hidden="1" outlineLevel="1" x14ac:dyDescent="0.45">
      <c r="B236" s="62">
        <v>18</v>
      </c>
      <c r="C236" s="60">
        <f ca="1">IF(ISNUMBER($C$115),$C$115+($C$215-$C$115)*18/24,NA())</f>
        <v>625.79427060326236</v>
      </c>
      <c r="D236" s="63">
        <f t="shared" ca="1" si="4"/>
        <v>94</v>
      </c>
      <c r="E236" s="60">
        <f t="shared" ca="1" si="5"/>
        <v>632.85406383397503</v>
      </c>
      <c r="F236" s="61">
        <f t="shared" ca="1" si="6"/>
        <v>1.8797549511805234E-2</v>
      </c>
      <c r="G236" s="61" cm="1">
        <f t="array" aca="1" ref="G236" ca="1">IF(ISNUMBER(D236),IF(D236&gt;=101,INDEX($B$115:$B$215,101),INDEX($B$115:$B$215,D236)+(C236-INDEX($C$115:$C$215,D236))/MAX(0.000000000001,INDEX($C$115:$C$215,D236+1)-INDEX($C$115:$C$215,D236))*(INDEX($B$115:$B$215,D236+1)-INDEX($B$115:$B$215,D236))),NA())</f>
        <v>0.93713279523510762</v>
      </c>
    </row>
    <row r="237" spans="2:7" hidden="1" outlineLevel="1" x14ac:dyDescent="0.45">
      <c r="B237" s="62">
        <v>19</v>
      </c>
      <c r="C237" s="60">
        <f ca="1">IF(ISNUMBER($C$115),$C$115+($C$215-$C$115)*19/24,NA())</f>
        <v>639.91385706468759</v>
      </c>
      <c r="D237" s="63">
        <f t="shared" ca="1" si="4"/>
        <v>96</v>
      </c>
      <c r="E237" s="60">
        <f t="shared" ca="1" si="5"/>
        <v>646.97365029540015</v>
      </c>
      <c r="F237" s="61">
        <f t="shared" ca="1" si="6"/>
        <v>1.4101607105439173E-2</v>
      </c>
      <c r="G237" s="61" cm="1">
        <f t="array" aca="1" ref="G237" ca="1">IF(ISNUMBER(D237),IF(D237&gt;=101,INDEX($B$115:$B$215,101),INDEX($B$115:$B$215,D237)+(C237-INDEX($C$115:$C$215,D237))/MAX(0.000000000001,INDEX($C$115:$C$215,D237+1)-INDEX($C$115:$C$215,D237))*(INDEX($B$115:$B$215,D237+1)-INDEX($B$115:$B$215,D237))),NA())</f>
        <v>0.95593034474691285</v>
      </c>
    </row>
    <row r="238" spans="2:7" hidden="1" outlineLevel="1" x14ac:dyDescent="0.45">
      <c r="B238" s="62">
        <v>20</v>
      </c>
      <c r="C238" s="60">
        <f ca="1">IF(ISNUMBER($C$115),$C$115+($C$215-$C$115)*20/24,NA())</f>
        <v>654.03344352611282</v>
      </c>
      <c r="D238" s="63">
        <f t="shared" ca="1" si="4"/>
        <v>98</v>
      </c>
      <c r="E238" s="60">
        <f t="shared" ca="1" si="5"/>
        <v>661.09323675682549</v>
      </c>
      <c r="F238" s="61">
        <f t="shared" ca="1" si="6"/>
        <v>9.2387044900382742E-3</v>
      </c>
      <c r="G238" s="61" cm="1">
        <f t="array" aca="1" ref="G238" ca="1">IF(ISNUMBER(D238),IF(D238&gt;=101,INDEX($B$115:$B$215,101),INDEX($B$115:$B$215,D238)+(C238-INDEX($C$115:$C$215,D238))/MAX(0.000000000001,INDEX($C$115:$C$215,D238+1)-INDEX($C$115:$C$215,D238))*(INDEX($B$115:$B$215,D238+1)-INDEX($B$115:$B$215,D238))),NA())</f>
        <v>0.97003195185235203</v>
      </c>
    </row>
    <row r="239" spans="2:7" hidden="1" outlineLevel="1" x14ac:dyDescent="0.45">
      <c r="B239" s="62">
        <v>21</v>
      </c>
      <c r="C239" s="60">
        <f ca="1">IF(ISNUMBER($C$115),$C$115+($C$215-$C$115)*21/24,NA())</f>
        <v>668.15302998753805</v>
      </c>
      <c r="D239" s="63">
        <f t="shared" ca="1" si="4"/>
        <v>98</v>
      </c>
      <c r="E239" s="60">
        <f t="shared" ca="1" si="5"/>
        <v>675.21282321825072</v>
      </c>
      <c r="F239" s="61">
        <f t="shared" ca="1" si="6"/>
        <v>6.3425471906880526E-3</v>
      </c>
      <c r="G239" s="61" cm="1">
        <f t="array" aca="1" ref="G239" ca="1">IF(ISNUMBER(D239),IF(D239&gt;=101,INDEX($B$115:$B$215,101),INDEX($B$115:$B$215,D239)+(C239-INDEX($C$115:$C$215,D239))/MAX(0.000000000001,INDEX($C$115:$C$215,D239+1)-INDEX($C$115:$C$215,D239))*(INDEX($B$115:$B$215,D239+1)-INDEX($B$115:$B$215,D239))),NA())</f>
        <v>0.9792706563423903</v>
      </c>
    </row>
    <row r="240" spans="2:7" hidden="1" outlineLevel="1" x14ac:dyDescent="0.45">
      <c r="B240" s="62">
        <v>22</v>
      </c>
      <c r="C240" s="60">
        <f ca="1">IF(ISNUMBER($C$115),$C$115+($C$215-$C$115)*22/24,NA())</f>
        <v>682.27261644896339</v>
      </c>
      <c r="D240" s="63">
        <f t="shared" ca="1" si="4"/>
        <v>99</v>
      </c>
      <c r="E240" s="60">
        <f t="shared" ca="1" si="5"/>
        <v>689.33240967967595</v>
      </c>
      <c r="F240" s="61">
        <f t="shared" ca="1" si="6"/>
        <v>5.4811025331936714E-3</v>
      </c>
      <c r="G240" s="61" cm="1">
        <f t="array" aca="1" ref="G240" ca="1">IF(ISNUMBER(D240),IF(D240&gt;=101,INDEX($B$115:$B$215,101),INDEX($B$115:$B$215,D240)+(C240-INDEX($C$115:$C$215,D240))/MAX(0.000000000001,INDEX($C$115:$C$215,D240+1)-INDEX($C$115:$C$215,D240))*(INDEX($B$115:$B$215,D240+1)-INDEX($B$115:$B$215,D240))),NA())</f>
        <v>0.98561320353307835</v>
      </c>
    </row>
    <row r="241" spans="2:7" hidden="1" outlineLevel="1" x14ac:dyDescent="0.45">
      <c r="B241" s="62">
        <v>23</v>
      </c>
      <c r="C241" s="60">
        <f ca="1">IF(ISNUMBER($C$115),$C$115+($C$215-$C$115)*23/24,NA())</f>
        <v>696.39220291038851</v>
      </c>
      <c r="D241" s="63">
        <f t="shared" ca="1" si="4"/>
        <v>100</v>
      </c>
      <c r="E241" s="60">
        <f t="shared" ca="1" si="5"/>
        <v>703.45199614110118</v>
      </c>
      <c r="F241" s="61">
        <f t="shared" ca="1" si="6"/>
        <v>3.9056939337279717E-3</v>
      </c>
      <c r="G241" s="61" cm="1">
        <f t="array" aca="1" ref="G241" ca="1">IF(ISNUMBER(D241),IF(D241&gt;=101,INDEX($B$115:$B$215,101),INDEX($B$115:$B$215,D241)+(C241-INDEX($C$115:$C$215,D241))/MAX(0.000000000001,INDEX($C$115:$C$215,D241+1)-INDEX($C$115:$C$215,D241))*(INDEX($B$115:$B$215,D241+1)-INDEX($B$115:$B$215,D241))),NA())</f>
        <v>0.99109430606627202</v>
      </c>
    </row>
    <row r="242" spans="2:7" hidden="1" outlineLevel="1" x14ac:dyDescent="0.45">
      <c r="B242" s="62">
        <v>24</v>
      </c>
      <c r="C242" s="60">
        <f ca="1">IF(ISNUMBER($C$115),$C$115+($C$215-$C$115)*24/24,NA())</f>
        <v>710.51178937181385</v>
      </c>
      <c r="D242" s="63">
        <f t="shared" ca="1" si="4"/>
        <v>101</v>
      </c>
      <c r="G242" s="61" cm="1">
        <f t="array" aca="1" ref="G242" ca="1">IF(ISNUMBER(D242),IF(D242&gt;=101,INDEX($B$115:$B$215,101),INDEX($B$115:$B$215,D242)+(C242-INDEX($C$115:$C$215,D242))/MAX(0.000000000001,INDEX($C$115:$C$215,D242+1)-INDEX($C$115:$C$215,D242))*(INDEX($B$115:$B$215,D242+1)-INDEX($B$115:$B$215,D242))),NA())</f>
        <v>0.995</v>
      </c>
    </row>
  </sheetData>
  <mergeCells count="4">
    <mergeCell ref="B54:G54"/>
    <mergeCell ref="B56:G56"/>
    <mergeCell ref="B55:G55"/>
    <mergeCell ref="B57:G57"/>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15:G242">
    <cfRule type="expression" dxfId="1" priority="4">
      <formula>ISNA($C$115)</formula>
    </cfRule>
  </conditionalFormatting>
  <conditionalFormatting sqref="D63:F112">
    <cfRule type="expression" dxfId="0" priority="3">
      <formula>ISNA(D63)</formula>
    </cfRule>
  </conditionalFormatting>
  <hyperlinks>
    <hyperlink ref="B4" location="'Annual claims'!A1" display="◂  Annual claims"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FE60D-3E65-4899-8F47-E57351D4AA1B}">
  <dimension ref="A1:B1"/>
  <sheetViews>
    <sheetView workbookViewId="0"/>
  </sheetViews>
  <sheetFormatPr defaultRowHeight="14.25" x14ac:dyDescent="0.45"/>
  <sheetData>
    <row r="1" spans="1:2" x14ac:dyDescent="0.45">
      <c r="A1" s="68" t="s">
        <v>221</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4091-B4FF-4339-90C6-55F7C8D5CE8C}">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40E00-BC3E-4CA6-AEDB-19465DE8CAD8}">
  <dimension ref="B3:B72"/>
  <sheetViews>
    <sheetView workbookViewId="0"/>
  </sheetViews>
  <sheetFormatPr defaultRowHeight="14.25" x14ac:dyDescent="0.45"/>
  <sheetData>
    <row r="3" spans="2:2" x14ac:dyDescent="0.45">
      <c r="B3">
        <v>18</v>
      </c>
    </row>
    <row r="4" spans="2:2" x14ac:dyDescent="0.45">
      <c r="B4">
        <v>151</v>
      </c>
    </row>
    <row r="5" spans="2:2" x14ac:dyDescent="0.45">
      <c r="B5">
        <v>323</v>
      </c>
    </row>
    <row r="6" spans="2:2" x14ac:dyDescent="0.45">
      <c r="B6">
        <v>433</v>
      </c>
    </row>
    <row r="7" spans="2:2" x14ac:dyDescent="0.45">
      <c r="B7">
        <v>454</v>
      </c>
    </row>
    <row r="8" spans="2:2" x14ac:dyDescent="0.45">
      <c r="B8">
        <v>338</v>
      </c>
    </row>
    <row r="9" spans="2:2" x14ac:dyDescent="0.45">
      <c r="B9">
        <v>186</v>
      </c>
    </row>
    <row r="10" spans="2:2" x14ac:dyDescent="0.45">
      <c r="B10">
        <v>65</v>
      </c>
    </row>
    <row r="11" spans="2:2" x14ac:dyDescent="0.45">
      <c r="B11">
        <v>27</v>
      </c>
    </row>
    <row r="12" spans="2:2" x14ac:dyDescent="0.45">
      <c r="B12">
        <v>5</v>
      </c>
    </row>
    <row r="13" spans="2:2" x14ac:dyDescent="0.45">
      <c r="B13">
        <v>20</v>
      </c>
    </row>
    <row r="14" spans="2:2" x14ac:dyDescent="0.45">
      <c r="B14">
        <v>99</v>
      </c>
    </row>
    <row r="15" spans="2:2" x14ac:dyDescent="0.45">
      <c r="B15">
        <v>273</v>
      </c>
    </row>
    <row r="16" spans="2:2" x14ac:dyDescent="0.45">
      <c r="B16">
        <v>461</v>
      </c>
    </row>
    <row r="17" spans="2:2" x14ac:dyDescent="0.45">
      <c r="B17">
        <v>505</v>
      </c>
    </row>
    <row r="18" spans="2:2" x14ac:dyDescent="0.45">
      <c r="B18">
        <v>347</v>
      </c>
    </row>
    <row r="19" spans="2:2" x14ac:dyDescent="0.45">
      <c r="B19">
        <v>204</v>
      </c>
    </row>
    <row r="20" spans="2:2" x14ac:dyDescent="0.45">
      <c r="B20">
        <v>64</v>
      </c>
    </row>
    <row r="21" spans="2:2" x14ac:dyDescent="0.45">
      <c r="B21">
        <v>24</v>
      </c>
    </row>
    <row r="22" spans="2:2" x14ac:dyDescent="0.45">
      <c r="B22">
        <v>3</v>
      </c>
    </row>
    <row r="23" spans="2:2" x14ac:dyDescent="0.45">
      <c r="B23">
        <v>3</v>
      </c>
    </row>
    <row r="24" spans="2:2" x14ac:dyDescent="0.45">
      <c r="B24">
        <v>10</v>
      </c>
    </row>
    <row r="25" spans="2:2" x14ac:dyDescent="0.45">
      <c r="B25">
        <v>74</v>
      </c>
    </row>
    <row r="26" spans="2:2" x14ac:dyDescent="0.45">
      <c r="B26">
        <v>254</v>
      </c>
    </row>
    <row r="27" spans="2:2" x14ac:dyDescent="0.45">
      <c r="B27">
        <v>499</v>
      </c>
    </row>
    <row r="28" spans="2:2" x14ac:dyDescent="0.45">
      <c r="B28">
        <v>538</v>
      </c>
    </row>
    <row r="29" spans="2:2" x14ac:dyDescent="0.45">
      <c r="B29">
        <v>395</v>
      </c>
    </row>
    <row r="30" spans="2:2" x14ac:dyDescent="0.45">
      <c r="B30">
        <v>166</v>
      </c>
    </row>
    <row r="31" spans="2:2" x14ac:dyDescent="0.45">
      <c r="B31">
        <v>52</v>
      </c>
    </row>
    <row r="32" spans="2:2" x14ac:dyDescent="0.45">
      <c r="B32">
        <v>9</v>
      </c>
    </row>
    <row r="33" spans="2:2" x14ac:dyDescent="0.45">
      <c r="B33">
        <v>5</v>
      </c>
    </row>
    <row r="34" spans="2:2" x14ac:dyDescent="0.45">
      <c r="B34">
        <v>24</v>
      </c>
    </row>
    <row r="35" spans="2:2" x14ac:dyDescent="0.45">
      <c r="B35">
        <v>122</v>
      </c>
    </row>
    <row r="36" spans="2:2" x14ac:dyDescent="0.45">
      <c r="B36">
        <v>321</v>
      </c>
    </row>
    <row r="37" spans="2:2" x14ac:dyDescent="0.45">
      <c r="B37">
        <v>489</v>
      </c>
    </row>
    <row r="38" spans="2:2" x14ac:dyDescent="0.45">
      <c r="B38">
        <v>498</v>
      </c>
    </row>
    <row r="39" spans="2:2" x14ac:dyDescent="0.45">
      <c r="B39">
        <v>334</v>
      </c>
    </row>
    <row r="40" spans="2:2" x14ac:dyDescent="0.45">
      <c r="B40">
        <v>170</v>
      </c>
    </row>
    <row r="41" spans="2:2" x14ac:dyDescent="0.45">
      <c r="B41">
        <v>26</v>
      </c>
    </row>
    <row r="42" spans="2:2" x14ac:dyDescent="0.45">
      <c r="B42">
        <v>11</v>
      </c>
    </row>
    <row r="43" spans="2:2" x14ac:dyDescent="0.45">
      <c r="B43">
        <v>34</v>
      </c>
    </row>
    <row r="44" spans="2:2" x14ac:dyDescent="0.45">
      <c r="B44">
        <v>132</v>
      </c>
    </row>
    <row r="45" spans="2:2" x14ac:dyDescent="0.45">
      <c r="B45">
        <v>314</v>
      </c>
    </row>
    <row r="46" spans="2:2" x14ac:dyDescent="0.45">
      <c r="B46">
        <v>465</v>
      </c>
    </row>
    <row r="47" spans="2:2" x14ac:dyDescent="0.45">
      <c r="B47">
        <v>451</v>
      </c>
    </row>
    <row r="48" spans="2:2" x14ac:dyDescent="0.45">
      <c r="B48">
        <v>322</v>
      </c>
    </row>
    <row r="49" spans="2:2" x14ac:dyDescent="0.45">
      <c r="B49">
        <v>184</v>
      </c>
    </row>
    <row r="50" spans="2:2" x14ac:dyDescent="0.45">
      <c r="B50">
        <v>72</v>
      </c>
    </row>
    <row r="51" spans="2:2" x14ac:dyDescent="0.45">
      <c r="B51">
        <v>19</v>
      </c>
    </row>
    <row r="52" spans="2:2" x14ac:dyDescent="0.45">
      <c r="B52">
        <v>7</v>
      </c>
    </row>
    <row r="53" spans="2:2" x14ac:dyDescent="0.45">
      <c r="B53">
        <v>70</v>
      </c>
    </row>
    <row r="54" spans="2:2" x14ac:dyDescent="0.45">
      <c r="B54">
        <v>274</v>
      </c>
    </row>
    <row r="55" spans="2:2" x14ac:dyDescent="0.45">
      <c r="B55">
        <v>503</v>
      </c>
    </row>
    <row r="56" spans="2:2" x14ac:dyDescent="0.45">
      <c r="B56">
        <v>480</v>
      </c>
    </row>
    <row r="57" spans="2:2" x14ac:dyDescent="0.45">
      <c r="B57">
        <v>328</v>
      </c>
    </row>
    <row r="58" spans="2:2" x14ac:dyDescent="0.45">
      <c r="B58">
        <v>211</v>
      </c>
    </row>
    <row r="59" spans="2:2" x14ac:dyDescent="0.45">
      <c r="B59">
        <v>95</v>
      </c>
    </row>
    <row r="60" spans="2:2" x14ac:dyDescent="0.45">
      <c r="B60">
        <v>26</v>
      </c>
    </row>
    <row r="61" spans="2:2" x14ac:dyDescent="0.45">
      <c r="B61">
        <v>10</v>
      </c>
    </row>
    <row r="62" spans="2:2" x14ac:dyDescent="0.45">
      <c r="B62">
        <v>3</v>
      </c>
    </row>
    <row r="63" spans="2:2" x14ac:dyDescent="0.45">
      <c r="B63">
        <v>13</v>
      </c>
    </row>
    <row r="64" spans="2:2" x14ac:dyDescent="0.45">
      <c r="B64">
        <v>56</v>
      </c>
    </row>
    <row r="65" spans="2:2" x14ac:dyDescent="0.45">
      <c r="B65">
        <v>186</v>
      </c>
    </row>
    <row r="66" spans="2:2" x14ac:dyDescent="0.45">
      <c r="B66">
        <v>405</v>
      </c>
    </row>
    <row r="67" spans="2:2" x14ac:dyDescent="0.45">
      <c r="B67">
        <v>545</v>
      </c>
    </row>
    <row r="68" spans="2:2" x14ac:dyDescent="0.45">
      <c r="B68">
        <v>449</v>
      </c>
    </row>
    <row r="69" spans="2:2" x14ac:dyDescent="0.45">
      <c r="B69">
        <v>226</v>
      </c>
    </row>
    <row r="70" spans="2:2" x14ac:dyDescent="0.45">
      <c r="B70">
        <v>93</v>
      </c>
    </row>
    <row r="71" spans="2:2" x14ac:dyDescent="0.45">
      <c r="B71">
        <v>21</v>
      </c>
    </row>
    <row r="72" spans="2:2" x14ac:dyDescent="0.45">
      <c r="B72">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97EA8408-73D1-475C-98C9-043CB032249F}">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37</vt:i4>
      </vt:variant>
    </vt:vector>
  </HeadingPairs>
  <TitlesOfParts>
    <vt:vector size="45" baseType="lpstr">
      <vt:lpstr>About</vt:lpstr>
      <vt:lpstr>Inputs</vt:lpstr>
      <vt:lpstr>Policies</vt:lpstr>
      <vt:lpstr>Annual claims</vt:lpstr>
      <vt:lpstr>Results</vt:lpstr>
      <vt:lpstr>ModelRiskDSN</vt:lpstr>
      <vt:lpstr>ModelRiskSYS1</vt:lpstr>
      <vt:lpstr>ModelRiskCharts</vt:lpstr>
      <vt:lpstr>BadYear</vt:lpstr>
      <vt:lpstr>Checks</vt:lpstr>
      <vt:lpstr>EA_A</vt:lpstr>
      <vt:lpstr>EA_B</vt:lpstr>
      <vt:lpstr>EA_C</vt:lpstr>
      <vt:lpstr>EA_D</vt:lpstr>
      <vt:lpstr>EA_E</vt:lpstr>
      <vt:lpstr>ExpTotal</vt:lpstr>
      <vt:lpstr>Lam_A</vt:lpstr>
      <vt:lpstr>Lam_B</vt:lpstr>
      <vt:lpstr>Lam_C</vt:lpstr>
      <vt:lpstr>Lam_D</vt:lpstr>
      <vt:lpstr>Lam_E</vt:lpstr>
      <vt:lpstr>Line_A</vt:lpstr>
      <vt:lpstr>Line_B</vt:lpstr>
      <vt:lpstr>Line_C</vt:lpstr>
      <vt:lpstr>Line_D</vt:lpstr>
      <vt:lpstr>Line_E</vt:lpstr>
      <vt:lpstr>P99_A</vt:lpstr>
      <vt:lpstr>P99_B</vt:lpstr>
      <vt:lpstr>P99_C</vt:lpstr>
      <vt:lpstr>P99_D</vt:lpstr>
      <vt:lpstr>P99_E</vt:lpstr>
      <vt:lpstr>Pay_A</vt:lpstr>
      <vt:lpstr>Pay_B</vt:lpstr>
      <vt:lpstr>Pay_C</vt:lpstr>
      <vt:lpstr>Pay_D</vt:lpstr>
      <vt:lpstr>Pay_E</vt:lpstr>
      <vt:lpstr>PolData</vt:lpstr>
      <vt:lpstr>'Annual claims'!Print_Area</vt:lpstr>
      <vt:lpstr>Policies!Print_Area</vt:lpstr>
      <vt:lpstr>Results!Print_Area</vt:lpstr>
      <vt:lpstr>Inputs!Print_Titles</vt:lpstr>
      <vt:lpstr>Results!Print_Titles</vt:lpstr>
      <vt:lpstr>Theta</vt:lpstr>
      <vt:lpstr>Tot_Corr</vt:lpstr>
      <vt:lpstr>Tot_Ind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GU-25 Correlated Insurance Policies</dc:title>
  <dc:subject>ModelRisk industry example library — General use</dc:subject>
  <dc:creator>Vose Software</dc:creator>
  <cp:keywords>ModelRisk; Monte Carlo; General use</cp:keywords>
  <dc:description>Five insurance lines with deductibles and limits, linked by a Clayton copula: the total, correlated against independent.</dc:description>
  <cp:lastModifiedBy>Timour Koupeev</cp:lastModifiedBy>
  <cp:lastPrinted>2026-10-07T17:00:05Z</cp:lastPrinted>
  <dcterms:created xsi:type="dcterms:W3CDTF">2026-10-07T16:57:58Z</dcterms:created>
  <dcterms:modified xsi:type="dcterms:W3CDTF">2026-10-07T17:00:06Z</dcterms:modified>
</cp:coreProperties>
</file>