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16095BC1-ED85-43F1-9BB8-147D353C1FF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ells" sheetId="3" r:id="rId3"/>
    <sheet name="Capital" sheetId="4" r:id="rId4"/>
    <sheet name="Results" sheetId="5" r:id="rId5"/>
    <sheet name="ModelRiskDSN" sheetId="6" state="hidden" r:id="rId6"/>
    <sheet name="ModelRiskSYS1" sheetId="7" state="hidden" r:id="rId7"/>
    <sheet name="ModelRiskCharts" sheetId="8" state="hidden" r:id="rId8"/>
  </sheets>
  <definedNames>
    <definedName name="CapExact">Capital!$C$16</definedName>
    <definedName name="CapSum">Capital!$F$24</definedName>
    <definedName name="CapT1">Capital!$F$21</definedName>
    <definedName name="CapT2">Capital!$F$22</definedName>
    <definedName name="CapT3">Capital!$F$23</definedName>
    <definedName name="CapTotal">Capital!$C$15</definedName>
    <definedName name="Checks">Capital!$D$41:$D$44</definedName>
    <definedName name="DivBenefit">Capital!$F$26</definedName>
    <definedName name="EL_T1">Cells!$J$9:$J$23</definedName>
    <definedName name="EL_T2">Cells!$J$24:$J$38</definedName>
    <definedName name="EL_T3">Cells!$J$39:$J$53</definedName>
    <definedName name="ExpLoss">Cells!$J$54</definedName>
    <definedName name="FFTMean">Capital!$C$11</definedName>
    <definedName name="FFTObj">Capital!$C$8</definedName>
    <definedName name="FFTObj_T1">Capital!$C$21</definedName>
    <definedName name="FFTObj_T2">Capital!$C$22</definedName>
    <definedName name="FFTObj_T3">Capital!$C$23</definedName>
    <definedName name="FFTShift">Capital!$C$13</definedName>
    <definedName name="Freq_T1">Cells!$H$9:$H$23</definedName>
    <definedName name="Freq_T2">Cells!$H$24:$H$38</definedName>
    <definedName name="Freq_T3">Cells!$H$39:$H$53</definedName>
    <definedName name="FreqObjs">Cells!$H$9:$H$53</definedName>
    <definedName name="Lambdas">Cells!$E$9:$E$53</definedName>
    <definedName name="MCTotal">Cells!$K$54</definedName>
    <definedName name="Pctl">Inputs!$D$10</definedName>
    <definedName name="Pctl99">Capital!$C$9</definedName>
    <definedName name="PctT1">Capital!$D$21</definedName>
    <definedName name="PctT2">Capital!$D$22</definedName>
    <definedName name="PctT3">Capital!$D$23</definedName>
    <definedName name="PReq">Capital!$C$10</definedName>
    <definedName name="_xlnm.Print_Area" localSheetId="3">Capital!$A$1:$H$46</definedName>
    <definedName name="_xlnm.Print_Area" localSheetId="2">Cells!$A$1:$M$55</definedName>
    <definedName name="_xlnm.Print_Area" localSheetId="4">Results!$A$1:$R$48</definedName>
    <definedName name="_xlnm.Print_Titles" localSheetId="1">Inputs!$1:$4</definedName>
    <definedName name="_xlnm.Print_Titles" localSheetId="4">Results!$1:$4</definedName>
    <definedName name="Sev_T1">Cells!$I$9:$I$23</definedName>
    <definedName name="Sev_T2">Cells!$I$24:$I$38</definedName>
    <definedName name="Sev_T3">Cells!$I$39:$I$53</definedName>
    <definedName name="SevMeans">Cells!$F$9:$F$53</definedName>
    <definedName name="SevObjs">Cells!$I$9:$I$53</definedName>
    <definedName name="SevSDs">Cells!$G$9:$G$53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_FFT">Capital!$D$36</definedName>
    <definedName name="Tot_MC">Capital!$D$37</definedName>
    <definedName name="TotSD">Capital!$C$14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3" l="1" a="1"/>
  <c r="I53" i="3" s="1"/>
  <c r="H53" i="3" a="1"/>
  <c r="H53" i="3" s="1"/>
  <c r="I52" i="3" a="1"/>
  <c r="I52" i="3" s="1"/>
  <c r="H52" i="3" a="1"/>
  <c r="H52" i="3" s="1"/>
  <c r="I51" i="3" a="1"/>
  <c r="I51" i="3" s="1"/>
  <c r="H51" i="3" a="1"/>
  <c r="H51" i="3" s="1"/>
  <c r="I50" i="3" a="1"/>
  <c r="I50" i="3" s="1"/>
  <c r="H50" i="3" a="1"/>
  <c r="H50" i="3" s="1"/>
  <c r="I49" i="3" a="1"/>
  <c r="I49" i="3" s="1"/>
  <c r="H49" i="3" a="1"/>
  <c r="H49" i="3" s="1"/>
  <c r="I48" i="3" a="1"/>
  <c r="I48" i="3" s="1"/>
  <c r="H48" i="3" a="1"/>
  <c r="H48" i="3" s="1"/>
  <c r="I47" i="3" a="1"/>
  <c r="I47" i="3" s="1"/>
  <c r="H47" i="3" a="1"/>
  <c r="H47" i="3" s="1"/>
  <c r="I46" i="3" a="1"/>
  <c r="I46" i="3" s="1"/>
  <c r="H46" i="3" a="1"/>
  <c r="H46" i="3" s="1"/>
  <c r="I45" i="3" a="1"/>
  <c r="I45" i="3" s="1"/>
  <c r="H45" i="3" a="1"/>
  <c r="H45" i="3" s="1"/>
  <c r="I44" i="3" a="1"/>
  <c r="I44" i="3" s="1"/>
  <c r="H44" i="3" a="1"/>
  <c r="H44" i="3" s="1"/>
  <c r="I43" i="3" a="1"/>
  <c r="I43" i="3" s="1"/>
  <c r="H43" i="3" a="1"/>
  <c r="H43" i="3" s="1"/>
  <c r="I42" i="3" a="1"/>
  <c r="I42" i="3" s="1"/>
  <c r="H42" i="3" a="1"/>
  <c r="H42" i="3" s="1"/>
  <c r="I41" i="3" a="1"/>
  <c r="I41" i="3" s="1"/>
  <c r="H41" i="3" a="1"/>
  <c r="H41" i="3" s="1"/>
  <c r="I40" i="3" a="1"/>
  <c r="I40" i="3" s="1"/>
  <c r="H40" i="3" a="1"/>
  <c r="H40" i="3" s="1"/>
  <c r="I39" i="3" a="1"/>
  <c r="I39" i="3" s="1"/>
  <c r="C23" i="4" s="1" a="1"/>
  <c r="C23" i="4" s="1"/>
  <c r="H39" i="3" a="1"/>
  <c r="H39" i="3" s="1"/>
  <c r="I38" i="3" a="1"/>
  <c r="I38" i="3" s="1"/>
  <c r="H38" i="3" a="1"/>
  <c r="H38" i="3" s="1"/>
  <c r="I37" i="3" a="1"/>
  <c r="I37" i="3" s="1"/>
  <c r="H37" i="3" a="1"/>
  <c r="H37" i="3" s="1"/>
  <c r="I36" i="3" a="1"/>
  <c r="I36" i="3" s="1"/>
  <c r="H36" i="3" a="1"/>
  <c r="H36" i="3" s="1"/>
  <c r="I35" i="3" a="1"/>
  <c r="I35" i="3" s="1"/>
  <c r="H35" i="3" a="1"/>
  <c r="H35" i="3" s="1"/>
  <c r="I34" i="3" a="1"/>
  <c r="I34" i="3" s="1"/>
  <c r="H34" i="3" a="1"/>
  <c r="H34" i="3" s="1"/>
  <c r="I33" i="3" a="1"/>
  <c r="I33" i="3" s="1"/>
  <c r="H33" i="3" a="1"/>
  <c r="H33" i="3" s="1"/>
  <c r="I32" i="3" a="1"/>
  <c r="I32" i="3" s="1"/>
  <c r="H32" i="3" a="1"/>
  <c r="H32" i="3" s="1"/>
  <c r="I31" i="3" a="1"/>
  <c r="I31" i="3" s="1"/>
  <c r="H31" i="3" a="1"/>
  <c r="H31" i="3" s="1"/>
  <c r="I30" i="3" a="1"/>
  <c r="I30" i="3" s="1"/>
  <c r="H30" i="3" a="1"/>
  <c r="H30" i="3" s="1"/>
  <c r="I29" i="3" a="1"/>
  <c r="I29" i="3" s="1"/>
  <c r="H29" i="3" a="1"/>
  <c r="H29" i="3" s="1"/>
  <c r="I28" i="3" a="1"/>
  <c r="I28" i="3" s="1"/>
  <c r="H28" i="3" a="1"/>
  <c r="H28" i="3" s="1"/>
  <c r="I27" i="3" a="1"/>
  <c r="I27" i="3" s="1"/>
  <c r="H27" i="3" a="1"/>
  <c r="H27" i="3" s="1"/>
  <c r="I26" i="3" a="1"/>
  <c r="I26" i="3" s="1"/>
  <c r="H26" i="3" a="1"/>
  <c r="H26" i="3" s="1"/>
  <c r="I25" i="3" a="1"/>
  <c r="I25" i="3" s="1"/>
  <c r="H25" i="3" a="1"/>
  <c r="H25" i="3" s="1"/>
  <c r="I24" i="3" a="1"/>
  <c r="I24" i="3" s="1"/>
  <c r="H24" i="3" a="1"/>
  <c r="H24" i="3" s="1"/>
  <c r="C22" i="4" s="1" a="1"/>
  <c r="C22" i="4" s="1"/>
  <c r="I23" i="3" a="1"/>
  <c r="I23" i="3" s="1"/>
  <c r="H23" i="3" a="1"/>
  <c r="H23" i="3" s="1"/>
  <c r="I22" i="3" a="1"/>
  <c r="I22" i="3" s="1"/>
  <c r="H22" i="3" a="1"/>
  <c r="H22" i="3" s="1"/>
  <c r="I21" i="3" a="1"/>
  <c r="I21" i="3" s="1"/>
  <c r="H21" i="3" a="1"/>
  <c r="H21" i="3" s="1"/>
  <c r="I20" i="3" a="1"/>
  <c r="I20" i="3" s="1"/>
  <c r="H20" i="3" a="1"/>
  <c r="H20" i="3" s="1"/>
  <c r="I19" i="3" a="1"/>
  <c r="I19" i="3" s="1"/>
  <c r="H19" i="3" a="1"/>
  <c r="H19" i="3" s="1"/>
  <c r="I18" i="3" a="1"/>
  <c r="I18" i="3" s="1"/>
  <c r="H18" i="3" a="1"/>
  <c r="H18" i="3" s="1"/>
  <c r="I17" i="3" a="1"/>
  <c r="I17" i="3" s="1"/>
  <c r="H17" i="3" a="1"/>
  <c r="H17" i="3" s="1"/>
  <c r="I16" i="3" a="1"/>
  <c r="I16" i="3" s="1"/>
  <c r="H16" i="3" a="1"/>
  <c r="H16" i="3" s="1"/>
  <c r="I15" i="3" a="1"/>
  <c r="I15" i="3" s="1"/>
  <c r="H15" i="3" a="1"/>
  <c r="H15" i="3" s="1"/>
  <c r="I14" i="3" a="1"/>
  <c r="I14" i="3" s="1"/>
  <c r="H14" i="3" a="1"/>
  <c r="H14" i="3" s="1"/>
  <c r="I13" i="3" a="1"/>
  <c r="I13" i="3" s="1"/>
  <c r="H13" i="3" a="1"/>
  <c r="H13" i="3" s="1"/>
  <c r="I12" i="3" a="1"/>
  <c r="I12" i="3" s="1"/>
  <c r="H12" i="3" a="1"/>
  <c r="H12" i="3" s="1"/>
  <c r="I11" i="3" a="1"/>
  <c r="I11" i="3" s="1"/>
  <c r="H11" i="3" a="1"/>
  <c r="H11" i="3" s="1"/>
  <c r="I10" i="3" a="1"/>
  <c r="I10" i="3" s="1"/>
  <c r="H10" i="3" a="1"/>
  <c r="H10" i="3" s="1"/>
  <c r="I9" i="3" a="1"/>
  <c r="I9" i="3" s="1"/>
  <c r="H9" i="3" a="1"/>
  <c r="H9" i="3" s="1"/>
  <c r="C8" i="4" s="1" a="1"/>
  <c r="C8" i="4" s="1"/>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D43" i="4"/>
  <c r="D42" i="4"/>
  <c r="D41" i="4"/>
  <c r="C14" i="4"/>
  <c r="C13" i="5"/>
  <c r="E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D13" i="5" a="1"/>
  <c r="C10" i="4" a="1"/>
  <c r="D23" i="4" a="1"/>
  <c r="D22" i="4" a="1"/>
  <c r="C9" i="4" a="1"/>
  <c r="E23" i="4" a="1"/>
  <c r="C11" i="4" a="1"/>
  <c r="C30" i="4" a="1"/>
  <c r="E22" i="4" a="1"/>
  <c r="D21" i="4" a="1"/>
  <c r="K38" i="3" a="1"/>
  <c r="K33" i="3" a="1"/>
  <c r="K43" i="3" a="1"/>
  <c r="K15" i="3" a="1"/>
  <c r="K40" i="3" a="1"/>
  <c r="K21" i="3" a="1"/>
  <c r="K19" i="3" a="1"/>
  <c r="K20" i="3" a="1"/>
  <c r="K14" i="3" a="1"/>
  <c r="K34" i="3" a="1"/>
  <c r="K16" i="3" a="1"/>
  <c r="K28" i="3" a="1"/>
  <c r="K13" i="3" a="1"/>
  <c r="K41" i="3" a="1"/>
  <c r="K9" i="3" a="1"/>
  <c r="K51" i="3" a="1"/>
  <c r="K47" i="3" a="1"/>
  <c r="K36" i="3" a="1"/>
  <c r="K53" i="3" a="1"/>
  <c r="K22" i="3" a="1"/>
  <c r="K12" i="3" a="1"/>
  <c r="K29" i="3" a="1"/>
  <c r="K44" i="3" a="1"/>
  <c r="K18" i="3" a="1"/>
  <c r="K30" i="3" a="1"/>
  <c r="K23" i="3" a="1"/>
  <c r="K49" i="3" a="1"/>
  <c r="K37" i="3" a="1"/>
  <c r="K26" i="3" a="1"/>
  <c r="K39" i="3" a="1"/>
  <c r="K35" i="3" a="1"/>
  <c r="K32" i="3" a="1"/>
  <c r="K50" i="3" a="1"/>
  <c r="K27" i="3" a="1"/>
  <c r="K48" i="3" a="1"/>
  <c r="K25" i="3" a="1"/>
  <c r="K45" i="3" a="1"/>
  <c r="K52" i="3" a="1"/>
  <c r="K10" i="3" a="1"/>
  <c r="K17" i="3" a="1"/>
  <c r="K11" i="3" a="1"/>
  <c r="K31" i="3" a="1"/>
  <c r="K24" i="3" a="1"/>
  <c r="K42" i="3" a="1"/>
  <c r="K46" i="3" a="1"/>
  <c r="C21" i="4" l="1" a="1"/>
  <c r="C21" i="4" s="1"/>
  <c r="J54" i="3"/>
  <c r="D13" i="5"/>
  <c r="D21" i="4"/>
  <c r="D21" i="5" s="1"/>
  <c r="E22" i="4"/>
  <c r="C30" i="4"/>
  <c r="D36" i="4" s="1" a="1"/>
  <c r="D36" i="4" s="1"/>
  <c r="C11" i="4"/>
  <c r="E23" i="4"/>
  <c r="C9" i="4"/>
  <c r="D14" i="5" s="1"/>
  <c r="D22" i="4"/>
  <c r="D22" i="5" s="1"/>
  <c r="D23" i="4"/>
  <c r="C10" i="4"/>
  <c r="K46" i="3"/>
  <c r="K42" i="3"/>
  <c r="K24" i="3"/>
  <c r="K31" i="3"/>
  <c r="K11" i="3"/>
  <c r="K17" i="3"/>
  <c r="K10" i="3"/>
  <c r="K52" i="3"/>
  <c r="K45" i="3"/>
  <c r="K25" i="3"/>
  <c r="K48" i="3"/>
  <c r="K27" i="3"/>
  <c r="K50" i="3"/>
  <c r="K32" i="3"/>
  <c r="K35" i="3"/>
  <c r="K39" i="3"/>
  <c r="K26" i="3"/>
  <c r="K37" i="3"/>
  <c r="K49" i="3"/>
  <c r="K23" i="3"/>
  <c r="K30" i="3"/>
  <c r="K18" i="3"/>
  <c r="K44" i="3"/>
  <c r="K29" i="3"/>
  <c r="K12" i="3"/>
  <c r="K22" i="3"/>
  <c r="K53" i="3"/>
  <c r="K36" i="3"/>
  <c r="K47" i="3"/>
  <c r="K51" i="3"/>
  <c r="K9" i="3"/>
  <c r="K41" i="3"/>
  <c r="K13" i="3"/>
  <c r="K28" i="3"/>
  <c r="K16" i="3"/>
  <c r="K34" i="3"/>
  <c r="K14" i="3"/>
  <c r="K20" i="3"/>
  <c r="K19" i="3"/>
  <c r="K21" i="3"/>
  <c r="K40" i="3"/>
  <c r="K15" i="3"/>
  <c r="K43" i="3"/>
  <c r="K33" i="3"/>
  <c r="K38" i="3"/>
  <c r="E21" i="4" a="1"/>
  <c r="E14" i="5" a="1"/>
  <c r="C130" i="5" a="1"/>
  <c r="C138" i="5" a="1"/>
  <c r="C187" i="5" a="1"/>
  <c r="C200" i="5" a="1"/>
  <c r="D83" i="5" a="1"/>
  <c r="C109" i="5" a="1"/>
  <c r="D98" i="5" a="1"/>
  <c r="C196" i="5" a="1"/>
  <c r="D82" i="5" a="1"/>
  <c r="D99" i="5" a="1"/>
  <c r="C167" i="5" a="1"/>
  <c r="C153" i="5" a="1"/>
  <c r="C186" i="5" a="1"/>
  <c r="C152" i="5" a="1"/>
  <c r="C162" i="5" a="1"/>
  <c r="C113" i="5" a="1"/>
  <c r="C156" i="5" a="1"/>
  <c r="B6" i="5" a="1"/>
  <c r="D96" i="5" a="1"/>
  <c r="D71" i="5" a="1"/>
  <c r="C170" i="5" a="1"/>
  <c r="C169" i="5" a="1"/>
  <c r="D57" i="5" a="1"/>
  <c r="D79" i="5" a="1"/>
  <c r="C150" i="5" a="1"/>
  <c r="D63" i="5" a="1"/>
  <c r="C202" i="5" a="1"/>
  <c r="C134" i="5" a="1"/>
  <c r="D92" i="5" a="1"/>
  <c r="C108" i="5" a="1"/>
  <c r="D74" i="5" a="1"/>
  <c r="C128" i="5" a="1"/>
  <c r="E13" i="5" a="1"/>
  <c r="C120" i="5" a="1"/>
  <c r="D80" i="5" a="1"/>
  <c r="C160" i="5" a="1"/>
  <c r="D88" i="5" a="1"/>
  <c r="C136" i="5" a="1"/>
  <c r="C171" i="5" a="1"/>
  <c r="D94" i="5" a="1"/>
  <c r="C195" i="5" a="1"/>
  <c r="C106" i="5" a="1"/>
  <c r="D102" i="5" a="1"/>
  <c r="C151" i="5" a="1"/>
  <c r="D70" i="5" a="1"/>
  <c r="C144" i="5" a="1"/>
  <c r="C179" i="5" a="1"/>
  <c r="C190" i="5" a="1"/>
  <c r="C199" i="5" a="1"/>
  <c r="C193" i="5" a="1"/>
  <c r="D84" i="5" a="1"/>
  <c r="C158" i="5" a="1"/>
  <c r="C111" i="5" a="1"/>
  <c r="C197" i="5" a="1"/>
  <c r="C176" i="5" a="1"/>
  <c r="D60" i="5" a="1"/>
  <c r="C204" i="5" a="1"/>
  <c r="C192" i="5" a="1"/>
  <c r="C118" i="5" a="1"/>
  <c r="D85" i="5" a="1"/>
  <c r="D78" i="5" a="1"/>
  <c r="C146" i="5" a="1"/>
  <c r="C125" i="5" a="1"/>
  <c r="D86" i="5" a="1"/>
  <c r="C124" i="5" a="1"/>
  <c r="C164" i="5" a="1"/>
  <c r="D56" i="5" a="1"/>
  <c r="D89" i="5" a="1"/>
  <c r="C163" i="5" a="1"/>
  <c r="C126" i="5" a="1"/>
  <c r="C180" i="5" a="1"/>
  <c r="C107" i="5" a="1"/>
  <c r="D75" i="5" a="1"/>
  <c r="C121" i="5" a="1"/>
  <c r="C188" i="5" a="1"/>
  <c r="C133" i="5" a="1"/>
  <c r="D72" i="5" a="1"/>
  <c r="C189" i="5" a="1"/>
  <c r="C157" i="5" a="1"/>
  <c r="D76" i="5" a="1"/>
  <c r="D81" i="5" a="1"/>
  <c r="D69" i="5" a="1"/>
  <c r="C168" i="5" a="1"/>
  <c r="C206" i="5" a="1"/>
  <c r="D97" i="5" a="1"/>
  <c r="C159" i="5" a="1"/>
  <c r="D77" i="5" a="1"/>
  <c r="C203" i="5" a="1"/>
  <c r="C137" i="5" a="1"/>
  <c r="C191" i="5" a="1"/>
  <c r="C143" i="5" a="1"/>
  <c r="D100" i="5" a="1"/>
  <c r="C141" i="5" a="1"/>
  <c r="D61" i="5" a="1"/>
  <c r="C131" i="5" a="1"/>
  <c r="D64" i="5" a="1"/>
  <c r="C201" i="5" a="1"/>
  <c r="C116" i="5" a="1"/>
  <c r="D66" i="5" a="1"/>
  <c r="C174" i="5" a="1"/>
  <c r="C149" i="5" a="1"/>
  <c r="D62" i="5" a="1"/>
  <c r="C181" i="5" a="1"/>
  <c r="D95" i="5" a="1"/>
  <c r="C123" i="5" a="1"/>
  <c r="C112" i="5" a="1"/>
  <c r="E12" i="5" a="1"/>
  <c r="C173" i="5" a="1"/>
  <c r="C175" i="5" a="1"/>
  <c r="C148" i="5" a="1"/>
  <c r="C139" i="5" a="1"/>
  <c r="D65" i="5" a="1"/>
  <c r="D55" i="5" a="1"/>
  <c r="C142" i="5" a="1"/>
  <c r="D58" i="5" a="1"/>
  <c r="C145" i="5" a="1"/>
  <c r="C172" i="5" a="1"/>
  <c r="C132" i="5" a="1"/>
  <c r="C183" i="5" a="1"/>
  <c r="D68" i="5" a="1"/>
  <c r="C154" i="5" a="1"/>
  <c r="D103" i="5" a="1"/>
  <c r="C177" i="5" a="1"/>
  <c r="D54" i="5" a="1"/>
  <c r="D87" i="5" a="1"/>
  <c r="C147" i="5" a="1"/>
  <c r="C117" i="5" a="1"/>
  <c r="C115" i="5" a="1"/>
  <c r="C205" i="5" a="1"/>
  <c r="C165" i="5" a="1"/>
  <c r="C198" i="5" a="1"/>
  <c r="C178" i="5" a="1"/>
  <c r="C135" i="5" a="1"/>
  <c r="C110" i="5" a="1"/>
  <c r="C129" i="5" a="1"/>
  <c r="D59" i="5" a="1"/>
  <c r="D73" i="5" a="1"/>
  <c r="C194" i="5" a="1"/>
  <c r="C127" i="5" a="1"/>
  <c r="D91" i="5" a="1"/>
  <c r="C140" i="5" a="1"/>
  <c r="C122" i="5" a="1"/>
  <c r="C161" i="5" a="1"/>
  <c r="D101" i="5" a="1"/>
  <c r="C119" i="5" a="1"/>
  <c r="D93" i="5" a="1"/>
  <c r="C184" i="5" a="1"/>
  <c r="C182" i="5" a="1"/>
  <c r="C155" i="5" a="1"/>
  <c r="D67" i="5" a="1"/>
  <c r="C166" i="5" a="1"/>
  <c r="C114" i="5" a="1"/>
  <c r="C185" i="5" a="1"/>
  <c r="D90" i="5" a="1"/>
  <c r="E15" i="5" a="1"/>
  <c r="E21" i="4" l="1"/>
  <c r="F95" i="5"/>
  <c r="F96" i="5"/>
  <c r="F84" i="5"/>
  <c r="F70" i="5"/>
  <c r="D15" i="5"/>
  <c r="F90" i="5"/>
  <c r="F57" i="5"/>
  <c r="F86" i="5"/>
  <c r="F81" i="5"/>
  <c r="F98" i="5"/>
  <c r="F80" i="5"/>
  <c r="F55" i="5"/>
  <c r="F67" i="5"/>
  <c r="F68" i="5"/>
  <c r="F54" i="5"/>
  <c r="F97" i="5"/>
  <c r="F79" i="5"/>
  <c r="F87" i="5"/>
  <c r="F91" i="5"/>
  <c r="F65" i="5"/>
  <c r="F66" i="5"/>
  <c r="F88" i="5"/>
  <c r="F72" i="5"/>
  <c r="F101" i="5"/>
  <c r="F103" i="5"/>
  <c r="F78" i="5"/>
  <c r="F85" i="5"/>
  <c r="F82" i="5"/>
  <c r="F69" i="5"/>
  <c r="F102" i="5"/>
  <c r="F71" i="5"/>
  <c r="F89" i="5"/>
  <c r="F62" i="5"/>
  <c r="F63" i="5"/>
  <c r="F64" i="5"/>
  <c r="F83" i="5"/>
  <c r="F100" i="5"/>
  <c r="F60" i="5"/>
  <c r="F94" i="5"/>
  <c r="F61" i="5"/>
  <c r="F56" i="5"/>
  <c r="F77" i="5"/>
  <c r="F58" i="5"/>
  <c r="F76" i="5"/>
  <c r="F59" i="5"/>
  <c r="F93" i="5"/>
  <c r="F99" i="5"/>
  <c r="F74" i="5"/>
  <c r="F92" i="5"/>
  <c r="F75" i="5"/>
  <c r="F73" i="5"/>
  <c r="C12" i="4"/>
  <c r="C12" i="5"/>
  <c r="F23" i="4"/>
  <c r="E23" i="5" s="1"/>
  <c r="D23" i="5"/>
  <c r="C13" i="4"/>
  <c r="D12" i="5"/>
  <c r="E15" i="5"/>
  <c r="D90" i="5"/>
  <c r="C185" i="5"/>
  <c r="C114" i="5"/>
  <c r="C166" i="5"/>
  <c r="D67" i="5"/>
  <c r="C155" i="5"/>
  <c r="C182" i="5"/>
  <c r="C184" i="5"/>
  <c r="D93" i="5"/>
  <c r="C119" i="5"/>
  <c r="D101" i="5"/>
  <c r="C161" i="5"/>
  <c r="C122" i="5"/>
  <c r="C140" i="5"/>
  <c r="D91" i="5"/>
  <c r="C127" i="5"/>
  <c r="C194" i="5"/>
  <c r="D73" i="5"/>
  <c r="D59" i="5"/>
  <c r="C129" i="5"/>
  <c r="C110" i="5"/>
  <c r="C135" i="5"/>
  <c r="C178" i="5"/>
  <c r="C198" i="5"/>
  <c r="C165" i="5"/>
  <c r="C205" i="5"/>
  <c r="C115" i="5"/>
  <c r="C117" i="5"/>
  <c r="C147" i="5"/>
  <c r="D87" i="5"/>
  <c r="D54" i="5"/>
  <c r="C177" i="5"/>
  <c r="D103" i="5"/>
  <c r="C154" i="5"/>
  <c r="D68" i="5"/>
  <c r="C183" i="5"/>
  <c r="C132" i="5"/>
  <c r="C172" i="5"/>
  <c r="C145" i="5"/>
  <c r="D58" i="5"/>
  <c r="C142" i="5"/>
  <c r="D55" i="5"/>
  <c r="D65" i="5"/>
  <c r="C139" i="5"/>
  <c r="C148" i="5"/>
  <c r="C175" i="5"/>
  <c r="C173" i="5"/>
  <c r="E12" i="5"/>
  <c r="C112" i="5"/>
  <c r="C123" i="5"/>
  <c r="D95" i="5"/>
  <c r="C181" i="5"/>
  <c r="D62" i="5"/>
  <c r="C149" i="5"/>
  <c r="C174" i="5"/>
  <c r="D66" i="5"/>
  <c r="C116" i="5"/>
  <c r="C201" i="5"/>
  <c r="D64" i="5"/>
  <c r="C131" i="5"/>
  <c r="D61" i="5"/>
  <c r="C141" i="5"/>
  <c r="D100" i="5"/>
  <c r="C143" i="5"/>
  <c r="C191" i="5"/>
  <c r="C137" i="5"/>
  <c r="C203" i="5"/>
  <c r="D77" i="5"/>
  <c r="C159" i="5"/>
  <c r="D97" i="5"/>
  <c r="C206" i="5"/>
  <c r="C168" i="5"/>
  <c r="D69" i="5"/>
  <c r="D81" i="5"/>
  <c r="D76" i="5"/>
  <c r="C157" i="5"/>
  <c r="C189" i="5"/>
  <c r="D72" i="5"/>
  <c r="C133" i="5"/>
  <c r="C188" i="5"/>
  <c r="C121" i="5"/>
  <c r="D75" i="5"/>
  <c r="C107" i="5"/>
  <c r="C180" i="5"/>
  <c r="C126" i="5"/>
  <c r="C163" i="5"/>
  <c r="D89" i="5"/>
  <c r="D56" i="5"/>
  <c r="C164" i="5"/>
  <c r="C124" i="5"/>
  <c r="D86" i="5"/>
  <c r="C125" i="5"/>
  <c r="C146" i="5"/>
  <c r="D78" i="5"/>
  <c r="D85" i="5"/>
  <c r="C118" i="5"/>
  <c r="C192" i="5"/>
  <c r="C204" i="5"/>
  <c r="D60" i="5"/>
  <c r="C176" i="5"/>
  <c r="C197" i="5"/>
  <c r="C111" i="5"/>
  <c r="C158" i="5"/>
  <c r="D84" i="5"/>
  <c r="C193" i="5"/>
  <c r="C199" i="5"/>
  <c r="C190" i="5"/>
  <c r="C179" i="5"/>
  <c r="C144" i="5"/>
  <c r="D70" i="5"/>
  <c r="C151" i="5"/>
  <c r="D102" i="5"/>
  <c r="C106" i="5"/>
  <c r="C195" i="5"/>
  <c r="D94" i="5"/>
  <c r="C171" i="5"/>
  <c r="C136" i="5"/>
  <c r="D88" i="5"/>
  <c r="C160" i="5"/>
  <c r="D80" i="5"/>
  <c r="C120" i="5"/>
  <c r="E13" i="5"/>
  <c r="C128" i="5"/>
  <c r="D74" i="5"/>
  <c r="C108" i="5"/>
  <c r="D92" i="5"/>
  <c r="C134" i="5"/>
  <c r="C202" i="5"/>
  <c r="D63" i="5"/>
  <c r="C150" i="5"/>
  <c r="D79" i="5"/>
  <c r="D57" i="5"/>
  <c r="C169" i="5"/>
  <c r="C170" i="5"/>
  <c r="D71" i="5"/>
  <c r="D96" i="5"/>
  <c r="B6" i="5"/>
  <c r="C156" i="5"/>
  <c r="C113" i="5"/>
  <c r="C162" i="5"/>
  <c r="C152" i="5"/>
  <c r="C186" i="5"/>
  <c r="C153" i="5"/>
  <c r="C167" i="5"/>
  <c r="D99" i="5"/>
  <c r="D82" i="5"/>
  <c r="C196" i="5"/>
  <c r="D98" i="5"/>
  <c r="C109" i="5"/>
  <c r="D83" i="5"/>
  <c r="C200" i="5"/>
  <c r="C187" i="5"/>
  <c r="C138" i="5"/>
  <c r="C130" i="5"/>
  <c r="E14" i="5"/>
  <c r="F22" i="4"/>
  <c r="E22" i="5" s="1"/>
  <c r="D44" i="4"/>
  <c r="B7" i="5" s="1"/>
  <c r="C15" i="4"/>
  <c r="C16" i="4"/>
  <c r="F21" i="4"/>
  <c r="K54" i="3"/>
  <c r="C31" i="4" s="1"/>
  <c r="D37" i="4" s="1" a="1"/>
  <c r="D37" i="4" s="1"/>
  <c r="E90" i="5" a="1"/>
  <c r="E72" i="5" a="1"/>
  <c r="E98" i="5" a="1"/>
  <c r="E74" i="5" a="1"/>
  <c r="E91" i="5" a="1"/>
  <c r="E93" i="5" a="1"/>
  <c r="E95" i="5" a="1"/>
  <c r="E80" i="5" a="1"/>
  <c r="E100" i="5" a="1"/>
  <c r="E65" i="5" a="1"/>
  <c r="E82" i="5" a="1"/>
  <c r="E60" i="5" a="1"/>
  <c r="F12" i="5" a="1"/>
  <c r="E78" i="5" a="1"/>
  <c r="E59" i="5" a="1"/>
  <c r="E96" i="5" a="1"/>
  <c r="E79" i="5" a="1"/>
  <c r="F14" i="5" a="1"/>
  <c r="E57" i="5" a="1"/>
  <c r="E67" i="5" a="1"/>
  <c r="E70" i="5" a="1"/>
  <c r="E69" i="5" a="1"/>
  <c r="F15" i="5" a="1"/>
  <c r="E84" i="5" a="1"/>
  <c r="E68" i="5" a="1"/>
  <c r="E73" i="5" a="1"/>
  <c r="E62" i="5" a="1"/>
  <c r="E64" i="5" a="1"/>
  <c r="E94" i="5" a="1"/>
  <c r="E54" i="5" a="1"/>
  <c r="E103" i="5" a="1"/>
  <c r="E77" i="5" a="1"/>
  <c r="E55" i="5" a="1"/>
  <c r="E101" i="5" a="1"/>
  <c r="E97" i="5" a="1"/>
  <c r="E89" i="5" a="1"/>
  <c r="E76" i="5" a="1"/>
  <c r="E99" i="5" a="1"/>
  <c r="E102" i="5" a="1"/>
  <c r="E81" i="5" a="1"/>
  <c r="E88" i="5" a="1"/>
  <c r="E83" i="5" a="1"/>
  <c r="E85" i="5" a="1"/>
  <c r="E63" i="5" a="1"/>
  <c r="E56" i="5" a="1"/>
  <c r="E58" i="5" a="1"/>
  <c r="E71" i="5" a="1"/>
  <c r="E75" i="5" a="1"/>
  <c r="E87" i="5" a="1"/>
  <c r="E61" i="5" a="1"/>
  <c r="F13" i="5" a="1"/>
  <c r="E86" i="5" a="1"/>
  <c r="E92" i="5" a="1"/>
  <c r="E66" i="5" a="1"/>
  <c r="F24" i="4" l="1"/>
  <c r="E24" i="5" s="1"/>
  <c r="E21" i="5"/>
  <c r="D16" i="5"/>
  <c r="E25" i="5"/>
  <c r="E66" i="5"/>
  <c r="E92" i="5"/>
  <c r="E86" i="5"/>
  <c r="F13" i="5"/>
  <c r="E61" i="5"/>
  <c r="E87" i="5"/>
  <c r="E75" i="5"/>
  <c r="E71" i="5"/>
  <c r="E58" i="5"/>
  <c r="E56" i="5"/>
  <c r="E63" i="5"/>
  <c r="E85" i="5"/>
  <c r="E83" i="5"/>
  <c r="E88" i="5"/>
  <c r="E81" i="5"/>
  <c r="E102" i="5"/>
  <c r="E99" i="5"/>
  <c r="E76" i="5"/>
  <c r="E89" i="5"/>
  <c r="E97" i="5"/>
  <c r="E101" i="5"/>
  <c r="E55" i="5"/>
  <c r="E77" i="5"/>
  <c r="E103" i="5"/>
  <c r="E54" i="5"/>
  <c r="E94" i="5"/>
  <c r="E64" i="5"/>
  <c r="E62" i="5"/>
  <c r="E73" i="5"/>
  <c r="E68" i="5"/>
  <c r="E84" i="5"/>
  <c r="F15" i="5"/>
  <c r="E69" i="5"/>
  <c r="E70" i="5"/>
  <c r="E67" i="5"/>
  <c r="E57" i="5"/>
  <c r="F14" i="5"/>
  <c r="E79" i="5"/>
  <c r="E96" i="5"/>
  <c r="E59" i="5"/>
  <c r="E78" i="5"/>
  <c r="F12" i="5"/>
  <c r="E60" i="5"/>
  <c r="E82" i="5"/>
  <c r="E65" i="5"/>
  <c r="E100" i="5"/>
  <c r="E80" i="5"/>
  <c r="E95" i="5"/>
  <c r="E93" i="5"/>
  <c r="E91" i="5"/>
  <c r="E74" i="5"/>
  <c r="E98" i="5"/>
  <c r="E72" i="5"/>
  <c r="E90" i="5"/>
  <c r="C224" i="5"/>
  <c r="C217" i="5"/>
  <c r="C218" i="5"/>
  <c r="C227" i="5"/>
  <c r="C220" i="5"/>
  <c r="C213" i="5"/>
  <c r="C221" i="5"/>
  <c r="C222" i="5"/>
  <c r="C228" i="5"/>
  <c r="C225" i="5"/>
  <c r="C210" i="5"/>
  <c r="C219" i="5"/>
  <c r="C215" i="5"/>
  <c r="C230" i="5"/>
  <c r="C212" i="5"/>
  <c r="C231" i="5"/>
  <c r="C209" i="5"/>
  <c r="C216" i="5"/>
  <c r="C214" i="5"/>
  <c r="C223" i="5"/>
  <c r="C229" i="5"/>
  <c r="C232" i="5"/>
  <c r="C226" i="5"/>
  <c r="C233" i="5"/>
  <c r="D233" i="5" s="1"/>
  <c r="G233" i="5" s="1" a="1"/>
  <c r="G233" i="5" s="1"/>
  <c r="C211" i="5"/>
  <c r="F26" i="4"/>
  <c r="E26" i="5" s="1"/>
  <c r="F25" i="4"/>
  <c r="E226" i="5" l="1"/>
  <c r="D226" i="5"/>
  <c r="G226" i="5" s="1" a="1"/>
  <c r="G226" i="5" s="1"/>
  <c r="D212" i="5"/>
  <c r="G212" i="5" s="1" a="1"/>
  <c r="G212" i="5" s="1"/>
  <c r="E212" i="5"/>
  <c r="E232" i="5"/>
  <c r="D232" i="5"/>
  <c r="G232" i="5" s="1" a="1"/>
  <c r="G232" i="5" s="1"/>
  <c r="F232" i="5" s="1"/>
  <c r="D230" i="5"/>
  <c r="G230" i="5" s="1" a="1"/>
  <c r="G230" i="5" s="1"/>
  <c r="E230" i="5"/>
  <c r="E229" i="5"/>
  <c r="D229" i="5"/>
  <c r="G229" i="5" s="1" a="1"/>
  <c r="G229" i="5" s="1"/>
  <c r="E220" i="5"/>
  <c r="D220" i="5"/>
  <c r="G220" i="5" s="1" a="1"/>
  <c r="G220" i="5" s="1"/>
  <c r="D223" i="5"/>
  <c r="G223" i="5" s="1" a="1"/>
  <c r="G223" i="5" s="1"/>
  <c r="E223" i="5"/>
  <c r="D219" i="5"/>
  <c r="G219" i="5" s="1" a="1"/>
  <c r="G219" i="5" s="1"/>
  <c r="E219" i="5"/>
  <c r="E214" i="5"/>
  <c r="D214" i="5"/>
  <c r="G214" i="5" s="1" a="1"/>
  <c r="G214" i="5" s="1"/>
  <c r="E210" i="5"/>
  <c r="D210" i="5"/>
  <c r="G210" i="5" s="1" a="1"/>
  <c r="G210" i="5" s="1"/>
  <c r="D218" i="5"/>
  <c r="G218" i="5" s="1" a="1"/>
  <c r="G218" i="5" s="1"/>
  <c r="E218" i="5"/>
  <c r="E216" i="5"/>
  <c r="D216" i="5"/>
  <c r="G216" i="5" s="1" a="1"/>
  <c r="G216" i="5" s="1"/>
  <c r="E225" i="5"/>
  <c r="D225" i="5"/>
  <c r="G225" i="5" s="1" a="1"/>
  <c r="G225" i="5" s="1"/>
  <c r="D217" i="5"/>
  <c r="G217" i="5" s="1" a="1"/>
  <c r="G217" i="5" s="1"/>
  <c r="E217" i="5"/>
  <c r="E211" i="5"/>
  <c r="D211" i="5"/>
  <c r="G211" i="5" s="1" a="1"/>
  <c r="G211" i="5" s="1"/>
  <c r="E209" i="5"/>
  <c r="D209" i="5"/>
  <c r="G209" i="5" s="1" a="1"/>
  <c r="G209" i="5" s="1"/>
  <c r="D228" i="5"/>
  <c r="G228" i="5" s="1" a="1"/>
  <c r="G228" i="5" s="1"/>
  <c r="E228" i="5"/>
  <c r="D224" i="5"/>
  <c r="G224" i="5" s="1" a="1"/>
  <c r="G224" i="5" s="1"/>
  <c r="E224" i="5"/>
  <c r="D231" i="5"/>
  <c r="G231" i="5" s="1" a="1"/>
  <c r="G231" i="5" s="1"/>
  <c r="E231" i="5"/>
  <c r="D222" i="5"/>
  <c r="G222" i="5" s="1" a="1"/>
  <c r="G222" i="5" s="1"/>
  <c r="E222" i="5"/>
  <c r="D221" i="5"/>
  <c r="G221" i="5" s="1" a="1"/>
  <c r="G221" i="5" s="1"/>
  <c r="E221" i="5"/>
  <c r="E213" i="5"/>
  <c r="D213" i="5"/>
  <c r="G213" i="5" s="1" a="1"/>
  <c r="G213" i="5" s="1"/>
  <c r="E227" i="5"/>
  <c r="D227" i="5"/>
  <c r="G227" i="5" s="1" a="1"/>
  <c r="G227" i="5" s="1"/>
  <c r="D215" i="5"/>
  <c r="G215" i="5" s="1" a="1"/>
  <c r="G215" i="5" s="1"/>
  <c r="E215" i="5"/>
  <c r="F214" i="5" l="1"/>
  <c r="F212" i="5"/>
  <c r="F226" i="5"/>
  <c r="F228" i="5"/>
  <c r="F218" i="5"/>
  <c r="F229" i="5"/>
  <c r="F221" i="5"/>
  <c r="F210" i="5"/>
  <c r="F217" i="5"/>
  <c r="F222" i="5"/>
  <c r="F219" i="5"/>
  <c r="F231" i="5"/>
  <c r="F216" i="5"/>
  <c r="F211" i="5"/>
  <c r="F215" i="5"/>
  <c r="F209" i="5"/>
  <c r="F220" i="5"/>
  <c r="F213" i="5"/>
  <c r="F225" i="5"/>
  <c r="F230" i="5"/>
  <c r="F223" i="5"/>
  <c r="F224" i="5"/>
  <c r="F227"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<sst xmlns="http://schemas.openxmlformats.org/spreadsheetml/2006/main" count="321" uniqueCount="211">
  <si>
    <t>Operational Risk Capital (FFT)</t>
  </si>
  <si>
    <t>ModelRisk example  ·  General use  ·  GU-24</t>
  </si>
  <si>
    <t>How much capital covers a year of operational losses at 99.9%? Forty-five loss cells, one FFT.</t>
  </si>
  <si>
    <t>Next:  Inputs  ▸</t>
  </si>
  <si>
    <t>Model card</t>
  </si>
  <si>
    <t>Industry</t>
  </si>
  <si>
    <t>General use</t>
  </si>
  <si>
    <t>Difficulty</t>
  </si>
  <si>
    <t>★★★★☆   45 frequency–severity cells combined numerically into one annual loss; a 99.9th percentile without simulation noise; capital by risk type and the diversification between them.</t>
  </si>
  <si>
    <t>Business question</t>
  </si>
  <si>
    <t>A financial institution records operational losses in 45 cells (risk type × process × sub-process), each with an expected number of events a year and a loss per event. How much capital covers the year's total at the 99.9% level that Basel II requires?</t>
  </si>
  <si>
    <t>Who it is for</t>
  </si>
  <si>
    <t>Operational risk and capital teams, and anyone who needs a far-tail percentile of a total built from many frequency–severity cells.</t>
  </si>
  <si>
    <t>Main outputs</t>
  </si>
  <si>
    <t>The expected annual loss · the 99th and 99.9th percentiles of the year's total, exactly by FFT · the capital charge (99.9th percentile minus expected loss) · the same by risk type and the diversification benefit · the total sampled from the FFT and simulated cell by cell.</t>
  </si>
  <si>
    <t>ModelRisk techniques</t>
  </si>
  <si>
    <t>VosePoissonObject and VoseLognormalObject per cell · VoseAggregateMultiFFT over ranges of objects: a percentile with U, or a sample without · VoseAggregateMC cell by cell for comparison · exact moments of a compound Poisson total.</t>
  </si>
  <si>
    <t>File</t>
  </si>
  <si>
    <t>GU-24 Operational risk capital FFT  ·  Version 1.0  ·  October 2026  ·  re-issues the example Operational Risk  ·  built with ModelRisk 10</t>
  </si>
  <si>
    <t>The business question</t>
  </si>
  <si>
    <t>A bank models its operational losses in 45 cells: three risk types, three processes and five sub-processes. In each, loss events arrive as a Poisson process (from 0.8 to 47 a year) and each event costs a Lognormal amount. Basel II sets capital at the 99.9th percentile of the year's total loss, less the expected loss: a one-in-a-thousand year. Simulation estimates that percentile from a handful of extreme samples; VoseAggregateMultiFFT computes the total's distribution numerically from all 45 cells and gives it directly.</t>
  </si>
  <si>
    <t>How the model works</t>
  </si>
  <si>
    <t>Four sheets after this one, read from left to right. Each one feeds the next.</t>
  </si>
  <si>
    <t>1  Inputs</t>
  </si>
  <si>
    <t>The percentile for the capital charge (99.9%).</t>
  </si>
  <si>
    <t>2  Cells</t>
  </si>
  <si>
    <t>Each cell's expected number of events and loss per event (yellow), as a Poisson and a Lognormal object; its expected loss; and one simulated year (VoseAggregateMC).</t>
  </si>
  <si>
    <t>3  Capital</t>
  </si>
  <si>
    <t>VoseAggregateMultiFFT combines all 45 cells: with U it returns the percentile, without it a sample of the total. The same for each risk type's 15 cells. Capital is the percentile less the FFT distribution's mean; the FFT's mean is checked against the exact one.</t>
  </si>
  <si>
    <t>4  Results</t>
  </si>
  <si>
    <t>The capital charge, the capital by risk type and the diversification benefit, and the total two ways.</t>
  </si>
  <si>
    <t>How to use it</t>
  </si>
  <si>
    <t>Step 1</t>
  </si>
  <si>
    <t>Replace the cells on the Cells sheet with your own (keep each risk type's rows together) and set the percentile on the Inputs sheet.</t>
  </si>
  <si>
    <t>Step 2</t>
  </si>
  <si>
    <t>Read the capital at once on the Capital sheet; run a simulation (10,000 samples with a fixed seed are set) to compare with sampling.</t>
  </si>
  <si>
    <t>Step 3</t>
  </si>
  <si>
    <t>Use VoseAggregateMultiFFT's percentile for far-tail measures; a simulation cannot estimate a 99.9th percentile well without very many samples.</t>
  </si>
  <si>
    <t>Workbook map</t>
  </si>
  <si>
    <t>Inputs</t>
  </si>
  <si>
    <t>The percentile.</t>
  </si>
  <si>
    <t>Cells</t>
  </si>
  <si>
    <t>The 45 frequency–severity cells.</t>
  </si>
  <si>
    <t>Capital</t>
  </si>
  <si>
    <t>Percentiles and capital by FFT; samples; checks.</t>
  </si>
  <si>
    <t>Results</t>
  </si>
  <si>
    <t>Capital, by risk type, two ways.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</si>
  <si>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</si>
  <si>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</si>
  <si>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</si>
  <si>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</si>
  <si>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</si>
  <si>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</si>
  <si>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</si>
  <si>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</si>
  <si>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</si>
  <si>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</si>
  <si>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</si>
  <si>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</si>
  <si>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Capital charge</t>
  </si>
  <si>
    <t>The total's percentile at the required level less the expected loss (the unexpected loss).</t>
  </si>
  <si>
    <t>Diversification benefit</t>
  </si>
  <si>
    <t>1 − capital for the whole ÷ the sum of the capitals of the three risk types.</t>
  </si>
  <si>
    <t>Key assumptions and limitations</t>
  </si>
  <si>
    <t>Independence</t>
  </si>
  <si>
    <t>Cells are independent: events in one say nothing about another. Correlation between cells would raise the capital and shrink the diversification benefit.</t>
  </si>
  <si>
    <t>Distributions</t>
  </si>
  <si>
    <t>Poisson frequencies and Lognormal severities with the stated means and standard deviations.</t>
  </si>
  <si>
    <t>Data</t>
  </si>
  <si>
    <t>The 45 cells and the 99.9% are those of ModelRisk's earlier Operational Risk example.</t>
  </si>
  <si>
    <t>ModelRisk functions used</t>
  </si>
  <si>
    <t>VosePoissonObject, VoseLognormalObject</t>
  </si>
  <si>
    <t>Each cell's frequency and severity as objects.</t>
  </si>
  <si>
    <t>VoseAggregateMultiFFT</t>
  </si>
  <si>
    <t>The total of several frequency–severity pairs by Fast Fourier Transform: a percentile (with U) or a sample.</t>
  </si>
  <si>
    <t>VoseAggregateMC</t>
  </si>
  <si>
    <t>One cell's simulated annual loss: a number of events, then one loss each, added up.</t>
  </si>
  <si>
    <t>VoseSimMean, VoseSimStdev, VoseSimPercentile</t>
  </si>
  <si>
    <t>Statistics of the simulation.</t>
  </si>
  <si>
    <t>Further reading</t>
  </si>
  <si>
    <t>Operational risk</t>
  </si>
  <si>
    <t>Vose, D. (2008). Risk Analysis: A Quantitative Guide, 3rd edition. Wiley: operational risk and the loss distribution approach.</t>
  </si>
  <si>
    <t>© 2026 Vose Software   ·   www.vosesoftware.com   ·   An illustrative example: the figures are invented for teaching and do not describe a real company, project or asset.</t>
  </si>
  <si>
    <t>INPUTS   ·   The percentile. The 45 cells are on the Cells sheet. Change only the yellow cells.</t>
  </si>
  <si>
    <t>◂  About</t>
  </si>
  <si>
    <t>Next:  Cells  ▸</t>
  </si>
  <si>
    <t>How to read this sheet:  yellow cells are inputs.</t>
  </si>
  <si>
    <t>1   Capital standard</t>
  </si>
  <si>
    <t>Assumption</t>
  </si>
  <si>
    <t>Unit</t>
  </si>
  <si>
    <t>Value in model</t>
  </si>
  <si>
    <t>Uncertainty</t>
  </si>
  <si>
    <t>Basis / source (illustrative)</t>
  </si>
  <si>
    <t>Percentile for the capital charge</t>
  </si>
  <si>
    <t>Fixed</t>
  </si>
  <si>
    <t>Basel II: a one-in-a-thousand year</t>
  </si>
  <si>
    <t>CELLS   ·   45 operational-risk cells: events a year and loss per event.</t>
  </si>
  <si>
    <t>◂  Inputs</t>
  </si>
  <si>
    <t>Next:  Capital  ▸</t>
  </si>
  <si>
    <t>1   The cells</t>
  </si>
  <si>
    <t>Yellow cells are inputs. Each row: a Poisson number of events a year, each a Lognormal loss.</t>
  </si>
  <si>
    <t>Risk type</t>
  </si>
  <si>
    <t>Process</t>
  </si>
  <si>
    <t>Sub-process</t>
  </si>
  <si>
    <t>Events a year</t>
  </si>
  <si>
    <t>Loss mean</t>
  </si>
  <si>
    <t>Loss sd</t>
  </si>
  <si>
    <t>Frequency</t>
  </si>
  <si>
    <t>Severity</t>
  </si>
  <si>
    <t>Expected loss</t>
  </si>
  <si>
    <t>This year (simulated)</t>
  </si>
  <si>
    <t>Type 1</t>
  </si>
  <si>
    <t>A</t>
  </si>
  <si>
    <t>Frequency: VosePoissonObject(events a year)</t>
  </si>
  <si>
    <t>Severity: VoseLognormalObject(mean, sd)</t>
  </si>
  <si>
    <t>Expected loss = events a year × loss mean</t>
  </si>
  <si>
    <t>This year: VoseAggregateMC(frequency, severity)</t>
  </si>
  <si>
    <t>B</t>
  </si>
  <si>
    <t>Type 1 B2: mean 13.5 but sd 35.9 — a few such cells drive the tail</t>
  </si>
  <si>
    <t>C</t>
  </si>
  <si>
    <t>Type 2</t>
  </si>
  <si>
    <t>Type 3</t>
  </si>
  <si>
    <t>Total</t>
  </si>
  <si>
    <t>CAPITAL   ·   The year's total by FFT: percentiles, capital charge, and by risk type.</t>
  </si>
  <si>
    <t>◂  Cells</t>
  </si>
  <si>
    <t>Next:  Results  ▸</t>
  </si>
  <si>
    <t>1   The whole institution</t>
  </si>
  <si>
    <t>All 45 cells, by VoseAggregateMultiFFT.</t>
  </si>
  <si>
    <t>FFT distribution: VoseAggregateMultiFFTObject(…)</t>
  </si>
  <si>
    <t>99th percentile: VoseAggregateMultiFFT(…, 0.99)</t>
  </si>
  <si>
    <t>Required percentile: VoseAggregateMultiFFT(…, percentile)</t>
  </si>
  <si>
    <t>Frequency and severity ranges, and U: the U-th percentile of the total</t>
  </si>
  <si>
    <t>Mean of the FFT distribution: VoseMean(FFT object)</t>
  </si>
  <si>
    <t>Expected annual loss, exact</t>
  </si>
  <si>
    <t>Σ events a year × loss mean</t>
  </si>
  <si>
    <t>The FFT's shift (FFT mean − exact mean)</t>
  </si>
  <si>
    <t>The FFT discretises every loss: here it moves the whole total up by about 1%</t>
  </si>
  <si>
    <t>Standard deviation of the total, exact</t>
  </si>
  <si>
    <t>Compound Poisson: variance = Σ events a year × (sd² + mean²)</t>
  </si>
  <si>
    <t>Capital charge: percentile − the FFT's mean</t>
  </si>
  <si>
    <t>The unexpected loss in a one-in-a-thousand year; the FFT's shift cancels</t>
  </si>
  <si>
    <t>Percentile − the exact expected loss</t>
  </si>
  <si>
    <t>Keeps the shift: about 5% too high here</t>
  </si>
  <si>
    <t>2   By risk type</t>
  </si>
  <si>
    <t>Each type's 15 cells alone; then what the whole saves.</t>
  </si>
  <si>
    <t>FFT object</t>
  </si>
  <si>
    <t>Percentile</t>
  </si>
  <si>
    <t>FFT mean</t>
  </si>
  <si>
    <t>Each type's 15 frequency and severity objects; capital = percentile − the FFT's mean</t>
  </si>
  <si>
    <t>Sum of the three</t>
  </si>
  <si>
    <t>Capital held type by type</t>
  </si>
  <si>
    <t>Whole institution</t>
  </si>
  <si>
    <t>Independent types rarely have their worst year together</t>
  </si>
  <si>
    <t>3   The total, simulated</t>
  </si>
  <si>
    <t>One year per simulation, two ways.</t>
  </si>
  <si>
    <t>Sampled from the FFT: VoseAggregateMultiFFT(…)</t>
  </si>
  <si>
    <t>Without U: a random total from the FFT distribution</t>
  </si>
  <si>
    <t>Cell by cell: the sum of 45 VoseAggregateMC (Cells sheet)</t>
  </si>
  <si>
    <t>4   Value in this iteration</t>
  </si>
  <si>
    <t>Key outputs, recorded by ModelRisk at every sample (VoseOutput). Their statistics appear on the Results sheet.</t>
  </si>
  <si>
    <t>Output</t>
  </si>
  <si>
    <t>Value</t>
  </si>
  <si>
    <t>Meaning</t>
  </si>
  <si>
    <t>Total loss, sampled from the FFT</t>
  </si>
  <si>
    <t>loss</t>
  </si>
  <si>
    <t>Total loss, cell by cell</t>
  </si>
  <si>
    <t>5   Model checks</t>
  </si>
  <si>
    <t>Should all read OK. A CHECK means an input has been set outside the range the model is built for.</t>
  </si>
  <si>
    <t>Events a year are zero or more</t>
  </si>
  <si>
    <t>Loss means and standard deviations are positive</t>
  </si>
  <si>
    <t>The percentile is a far tail (90% to 99.99%)</t>
  </si>
  <si>
    <t>The FFT percentile is above the expected loss</t>
  </si>
  <si>
    <t>RESULTS   ·   Filled in automatically from the last simulation. Run a simulation after changing any input.</t>
  </si>
  <si>
    <t>◂  Capital</t>
  </si>
  <si>
    <t>1   The capital charge</t>
  </si>
  <si>
    <t>The year's total loss, two ways</t>
  </si>
  <si>
    <t>Exact from the FFT, against 10,000 simulated years.</t>
  </si>
  <si>
    <t>Measure</t>
  </si>
  <si>
    <t>Exact</t>
  </si>
  <si>
    <t>FFT</t>
  </si>
  <si>
    <t>FFT, sampled</t>
  </si>
  <si>
    <t>Cell by cell</t>
  </si>
  <si>
    <t>Mean (expected loss)</t>
  </si>
  <si>
    <t>Standard deviation</t>
  </si>
  <si>
    <t>99th percentile</t>
  </si>
  <si>
    <t>Required percentile (99.9%)</t>
  </si>
  <si>
    <t>Capital charge (FFT percentile − FFT mean)</t>
  </si>
  <si>
    <t>2   Capital by risk type</t>
  </si>
  <si>
    <t>Each type on its own, and the whole institution (FFT).</t>
  </si>
  <si>
    <t>The year's total loss (FFT samples)</t>
  </si>
  <si>
    <t>3   How to read these results</t>
  </si>
  <si>
    <t>•  The institution expects about 8,290 of operational losses a year from about 635 events. In a one-in-a-thousand year the total reaches about 10,600 (an independent fine-grid calculation gives 10,595), so the capital charge, the loss above the expected, is about 2,300.</t>
  </si>
  <si>
    <t>•  VoseAggregateMultiFFT computes the total's distribution from all 45 cells and gives the 99.9th percentile directly, with no sampling noise. A 10,000-sample simulation estimates it from its 10 worst years only.</t>
  </si>
  <si>
    <t>•  Check an FFT against the exact mean: here the FFT's discretisation shifts the whole total up by about 1% (its mean is 8,373 against 8,290), so its 99.9th percentile is about 110 too high. Measuring the capital from the FFT's own mean cancels most of the shift (2,333 against 2,305); from the exact mean it would keep it (2,416).</t>
  </si>
  <si>
    <t>•  Held risk type by risk type, the three charges add up to nearly twice the institution's. Independent types rarely have their worst year together; that is the diversification benefit. Losses that move together (a common cause) would shrink it.</t>
  </si>
  <si>
    <t>•  A few cells with a large standard deviation (Type 1 B2, Type 3 B5, Type 3 C1) drive the tail far more than the frequent small losses.</t>
  </si>
  <si>
    <t>Chart data</t>
  </si>
  <si>
    <t>Statistics of the last simulation behind the charts and the ranking above. Grouped: click + in the left margin to show them.</t>
  </si>
  <si>
    <t>Cumulative probability</t>
  </si>
  <si>
    <t>Exceedance</t>
  </si>
  <si>
    <t>Tot_FFT</t>
  </si>
  <si>
    <t>Tot_MC</t>
  </si>
  <si>
    <t>line at PReq</t>
  </si>
  <si>
    <t>Percentiles: Tot_FFT</t>
  </si>
  <si>
    <t>Histogram: Tot_FFT</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</si>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</sst>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0.0\);&quot;–&quot;_)"/>
    <numFmt numFmtId="166" formatCode="#,##0_);\(#,##0\);&quot;–&quot;_)"/>
    <numFmt numFmtId="167" formatCode="#,##0_);\(#,##0\);&quot;–&quot;_);&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0F2A47"/>
      <name val="Calibri"/>
    </font>
    <font>
      <b/>
      <sz val="10"/>
      <color rgb="FF15803D"/>
      <name val="Calibri"/>
    </font>
    <font>
      <b/>
      <sz val="11"/>
      <color rgb="FF0F2A47"/>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bottom style="thin">
        <color rgb="FF8AA0BA"/>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9" fillId="0" borderId="6" xfId="0" applyFont="1" applyBorder="1" applyAlignment="1">
      <alignment horizontal="left" vertical="center" indent="1"/>
    </xf>
    <xf numFmtId="165" fontId="1" fillId="2" borderId="7" xfId="1" applyNumberFormat="1" applyBorder="1">
      <alignment horizontal="right" vertical="center"/>
    </xf>
    <xf numFmtId="0" fontId="19" fillId="0" borderId="8" xfId="3" applyFont="1" applyBorder="1" applyAlignment="1">
      <alignment horizontal="left" vertical="center" indent="1"/>
    </xf>
    <xf numFmtId="165" fontId="3" fillId="0" borderId="8" xfId="3" applyNumberFormat="1" applyBorder="1">
      <alignment horizontal="right" vertical="center"/>
    </xf>
    <xf numFmtId="165" fontId="2" fillId="3" borderId="7" xfId="2" applyNumberFormat="1" applyBorder="1">
      <alignment horizontal="right" vertical="center"/>
    </xf>
    <xf numFmtId="0" fontId="18" fillId="0" borderId="0" xfId="0" applyFont="1" applyAlignment="1">
      <alignment horizontal="left" vertical="center" indent="1"/>
    </xf>
    <xf numFmtId="0" fontId="19" fillId="0" borderId="9" xfId="0" applyFont="1" applyBorder="1" applyAlignment="1">
      <alignment horizontal="left" vertical="center" indent="1"/>
    </xf>
    <xf numFmtId="0" fontId="18" fillId="0" borderId="9" xfId="0" applyFont="1" applyBorder="1" applyAlignment="1">
      <alignment horizontal="left" vertical="center" indent="1"/>
    </xf>
    <xf numFmtId="165" fontId="1" fillId="2" borderId="9" xfId="1" applyNumberFormat="1" applyBorder="1">
      <alignment horizontal="right" vertical="center"/>
    </xf>
    <xf numFmtId="0" fontId="19" fillId="0" borderId="9" xfId="3" applyFont="1" applyBorder="1" applyAlignment="1">
      <alignment horizontal="left" vertical="center" indent="1"/>
    </xf>
    <xf numFmtId="165" fontId="3" fillId="0" borderId="9" xfId="3" applyNumberFormat="1" applyBorder="1">
      <alignment horizontal="right" vertical="center"/>
    </xf>
    <xf numFmtId="165" fontId="2" fillId="3" borderId="9" xfId="2" applyNumberFormat="1" applyBorder="1">
      <alignment horizontal="right" vertical="center"/>
    </xf>
    <xf numFmtId="0" fontId="12" fillId="0" borderId="10" xfId="0" applyFont="1" applyBorder="1" applyAlignment="1">
      <alignment horizontal="left" vertical="center" indent="1"/>
    </xf>
    <xf numFmtId="0" fontId="0" fillId="0" borderId="10" xfId="0" applyBorder="1"/>
    <xf numFmtId="165" fontId="12" fillId="0" borderId="10" xfId="3" applyNumberFormat="1" applyFont="1" applyBorder="1">
      <alignment horizontal="right" vertical="center"/>
    </xf>
    <xf numFmtId="0" fontId="12" fillId="0" borderId="6" xfId="0" applyFont="1" applyBorder="1" applyAlignment="1">
      <alignment horizontal="left" vertical="center" indent="1"/>
    </xf>
    <xf numFmtId="165" fontId="12" fillId="0" borderId="8" xfId="3" applyNumberFormat="1" applyFont="1" applyBorder="1">
      <alignment horizontal="right" vertical="center"/>
    </xf>
    <xf numFmtId="165" fontId="3" fillId="0" borderId="10" xfId="3" applyNumberFormat="1" applyBorder="1">
      <alignment horizontal="right" vertical="center"/>
    </xf>
    <xf numFmtId="9"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165" fontId="4" fillId="4" borderId="11" xfId="4" applyNumberFormat="1" applyBorder="1">
      <alignment horizontal="right" vertical="center"/>
    </xf>
    <xf numFmtId="0" fontId="20" fillId="0" borderId="6" xfId="0" applyFont="1" applyBorder="1" applyAlignment="1">
      <alignment horizontal="center" vertical="center"/>
    </xf>
    <xf numFmtId="0" fontId="15" fillId="5" borderId="12" xfId="0" applyFont="1" applyFill="1" applyBorder="1" applyAlignment="1">
      <alignment horizontal="left" vertical="center" indent="1"/>
    </xf>
    <xf numFmtId="0" fontId="0" fillId="5" borderId="12" xfId="0" applyFill="1" applyBorder="1"/>
    <xf numFmtId="0" fontId="23" fillId="0" borderId="5" xfId="0" applyFont="1" applyBorder="1"/>
    <xf numFmtId="166" fontId="3" fillId="0" borderId="8" xfId="3" applyNumberFormat="1" applyBorder="1">
      <alignment horizontal="right" vertical="center"/>
    </xf>
    <xf numFmtId="167" fontId="1" fillId="5" borderId="7" xfId="5" applyNumberFormat="1" applyBorder="1">
      <alignment horizontal="right" vertical="center"/>
    </xf>
    <xf numFmtId="166" fontId="21" fillId="0" borderId="8" xfId="3" applyNumberFormat="1" applyFon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64"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Sampled from the FFT</c:v>
          </c:tx>
          <c:spPr>
            <a:ln w="25400">
              <a:solidFill>
                <a:srgbClr val="0E4F92"/>
              </a:solidFill>
              <a:prstDash val="solid"/>
            </a:ln>
          </c:spPr>
          <c:marker>
            <c:symbol val="none"/>
          </c:marker>
          <c:xVal>
            <c:numRef>
              <c:f>Results!$D$54:$D$103</c:f>
              <c:numCache>
                <c:formatCode>#,##0.00</c:formatCode>
                <c:ptCount val="50"/>
                <c:pt idx="0">
                  <c:v>7123.6646650373004</c:v>
                </c:pt>
                <c:pt idx="1">
                  <c:v>7346.5925854688057</c:v>
                </c:pt>
                <c:pt idx="2">
                  <c:v>7474.3748582012267</c:v>
                </c:pt>
                <c:pt idx="3">
                  <c:v>7558.1135161683142</c:v>
                </c:pt>
                <c:pt idx="4">
                  <c:v>7627.6175777377575</c:v>
                </c:pt>
                <c:pt idx="5">
                  <c:v>7690.9521745970615</c:v>
                </c:pt>
                <c:pt idx="6">
                  <c:v>7739.0167595578268</c:v>
                </c:pt>
                <c:pt idx="7">
                  <c:v>7781.6388473875304</c:v>
                </c:pt>
                <c:pt idx="8">
                  <c:v>7822.617061519717</c:v>
                </c:pt>
                <c:pt idx="9">
                  <c:v>7862.0984200544281</c:v>
                </c:pt>
                <c:pt idx="10">
                  <c:v>7898.5538883409154</c:v>
                </c:pt>
                <c:pt idx="11">
                  <c:v>7934.8498622091256</c:v>
                </c:pt>
                <c:pt idx="12">
                  <c:v>7970.9331175761445</c:v>
                </c:pt>
                <c:pt idx="13">
                  <c:v>8002.247502394267</c:v>
                </c:pt>
                <c:pt idx="14">
                  <c:v>8031.4714182081761</c:v>
                </c:pt>
                <c:pt idx="15">
                  <c:v>8065.5229141654045</c:v>
                </c:pt>
                <c:pt idx="16">
                  <c:v>8095.9736786211533</c:v>
                </c:pt>
                <c:pt idx="17">
                  <c:v>8130.4467095724658</c:v>
                </c:pt>
                <c:pt idx="18">
                  <c:v>8161.5087184412005</c:v>
                </c:pt>
                <c:pt idx="19">
                  <c:v>8191.5758899508401</c:v>
                </c:pt>
                <c:pt idx="20">
                  <c:v>8219.6966545375635</c:v>
                </c:pt>
                <c:pt idx="21">
                  <c:v>8247.3255955549266</c:v>
                </c:pt>
                <c:pt idx="22">
                  <c:v>8278.2875946368968</c:v>
                </c:pt>
                <c:pt idx="23">
                  <c:v>8306.6102620772999</c:v>
                </c:pt>
                <c:pt idx="24">
                  <c:v>8340.2393201913201</c:v>
                </c:pt>
                <c:pt idx="25">
                  <c:v>8368.3973113690408</c:v>
                </c:pt>
                <c:pt idx="26">
                  <c:v>8397.2391288324689</c:v>
                </c:pt>
                <c:pt idx="27">
                  <c:v>8424.7911080337472</c:v>
                </c:pt>
                <c:pt idx="28">
                  <c:v>8453.2159124251193</c:v>
                </c:pt>
                <c:pt idx="29">
                  <c:v>8481.4146736866187</c:v>
                </c:pt>
                <c:pt idx="30">
                  <c:v>8513.3031320979026</c:v>
                </c:pt>
                <c:pt idx="31">
                  <c:v>8545.1572062323576</c:v>
                </c:pt>
                <c:pt idx="32">
                  <c:v>8575.4615940120675</c:v>
                </c:pt>
                <c:pt idx="33">
                  <c:v>8606.168536201214</c:v>
                </c:pt>
                <c:pt idx="34">
                  <c:v>8641.7452915997128</c:v>
                </c:pt>
                <c:pt idx="35">
                  <c:v>8673.2648688195204</c:v>
                </c:pt>
                <c:pt idx="36">
                  <c:v>8708.4141599417562</c:v>
                </c:pt>
                <c:pt idx="37">
                  <c:v>8743.9549160954484</c:v>
                </c:pt>
                <c:pt idx="38">
                  <c:v>8781.1869610124104</c:v>
                </c:pt>
                <c:pt idx="39">
                  <c:v>8820.7929822797614</c:v>
                </c:pt>
                <c:pt idx="40">
                  <c:v>8866.0525673254542</c:v>
                </c:pt>
                <c:pt idx="41">
                  <c:v>8908.1399491066459</c:v>
                </c:pt>
                <c:pt idx="42">
                  <c:v>8961.5017636141456</c:v>
                </c:pt>
                <c:pt idx="43">
                  <c:v>9019.0722122603074</c:v>
                </c:pt>
                <c:pt idx="44">
                  <c:v>9078.4827355562684</c:v>
                </c:pt>
                <c:pt idx="45">
                  <c:v>9148.954746032221</c:v>
                </c:pt>
                <c:pt idx="46">
                  <c:v>9232.5483482136315</c:v>
                </c:pt>
                <c:pt idx="47">
                  <c:v>9347.8076094678108</c:v>
                </c:pt>
                <c:pt idx="48">
                  <c:v>9518.0526738763583</c:v>
                </c:pt>
                <c:pt idx="49">
                  <c:v>9826.3162013063356</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C021-47A5-9981-0A15899CDECB}"/>
            </c:ext>
          </c:extLst>
        </c:ser>
        <c:ser>
          <c:idx val="1"/>
          <c:order val="1"/>
          <c:tx>
            <c:v>Cell by cell</c:v>
          </c:tx>
          <c:spPr>
            <a:ln w="25400">
              <a:solidFill>
                <a:srgbClr val="B45309"/>
              </a:solidFill>
              <a:prstDash val="dash"/>
            </a:ln>
          </c:spPr>
          <c:marker>
            <c:symbol val="none"/>
          </c:marker>
          <c:xVal>
            <c:numRef>
              <c:f>Results!$E$54:$E$103</c:f>
              <c:numCache>
                <c:formatCode>#,##0.00</c:formatCode>
                <c:ptCount val="50"/>
                <c:pt idx="0">
                  <c:v>7042.6113190058404</c:v>
                </c:pt>
                <c:pt idx="1">
                  <c:v>7280.7658011219173</c:v>
                </c:pt>
                <c:pt idx="2">
                  <c:v>7387.4650097012336</c:v>
                </c:pt>
                <c:pt idx="3">
                  <c:v>7476.9630405955668</c:v>
                </c:pt>
                <c:pt idx="4">
                  <c:v>7545.4011124015396</c:v>
                </c:pt>
                <c:pt idx="5">
                  <c:v>7606.2433386678613</c:v>
                </c:pt>
                <c:pt idx="6">
                  <c:v>7653.9887468079041</c:v>
                </c:pt>
                <c:pt idx="7">
                  <c:v>7700.2170025328833</c:v>
                </c:pt>
                <c:pt idx="8">
                  <c:v>7743.3390981324119</c:v>
                </c:pt>
                <c:pt idx="9">
                  <c:v>7785.9068240476226</c:v>
                </c:pt>
                <c:pt idx="10">
                  <c:v>7827.1739753484653</c:v>
                </c:pt>
                <c:pt idx="11">
                  <c:v>7863.7110357855499</c:v>
                </c:pt>
                <c:pt idx="12">
                  <c:v>7899.494447683498</c:v>
                </c:pt>
                <c:pt idx="13">
                  <c:v>7936.0488223965049</c:v>
                </c:pt>
                <c:pt idx="14">
                  <c:v>7967.2668642944336</c:v>
                </c:pt>
                <c:pt idx="15">
                  <c:v>8000.6689581214741</c:v>
                </c:pt>
                <c:pt idx="16">
                  <c:v>8029.2578092358372</c:v>
                </c:pt>
                <c:pt idx="17">
                  <c:v>8057.0105114246908</c:v>
                </c:pt>
                <c:pt idx="18">
                  <c:v>8085.8855300267787</c:v>
                </c:pt>
                <c:pt idx="19">
                  <c:v>8118.3105237749651</c:v>
                </c:pt>
                <c:pt idx="20">
                  <c:v>8148.2110951294089</c:v>
                </c:pt>
                <c:pt idx="21">
                  <c:v>8175.7763805263185</c:v>
                </c:pt>
                <c:pt idx="22">
                  <c:v>8203.9621729432401</c:v>
                </c:pt>
                <c:pt idx="23">
                  <c:v>8231.4827247302237</c:v>
                </c:pt>
                <c:pt idx="24">
                  <c:v>8259.6934357906248</c:v>
                </c:pt>
                <c:pt idx="25">
                  <c:v>8291.949103889343</c:v>
                </c:pt>
                <c:pt idx="26">
                  <c:v>8320.8206860965056</c:v>
                </c:pt>
                <c:pt idx="27">
                  <c:v>8346.4589053945292</c:v>
                </c:pt>
                <c:pt idx="28">
                  <c:v>8373.652396224039</c:v>
                </c:pt>
                <c:pt idx="29">
                  <c:v>8402.0157303705382</c:v>
                </c:pt>
                <c:pt idx="30">
                  <c:v>8431.6361271402948</c:v>
                </c:pt>
                <c:pt idx="31">
                  <c:v>8461.2759130773411</c:v>
                </c:pt>
                <c:pt idx="32">
                  <c:v>8490.5381300751505</c:v>
                </c:pt>
                <c:pt idx="33">
                  <c:v>8522.1848854537566</c:v>
                </c:pt>
                <c:pt idx="34">
                  <c:v>8555.1199065204491</c:v>
                </c:pt>
                <c:pt idx="35">
                  <c:v>8591.9630703833081</c:v>
                </c:pt>
                <c:pt idx="36">
                  <c:v>8627.7151676713056</c:v>
                </c:pt>
                <c:pt idx="37">
                  <c:v>8661.1121679254175</c:v>
                </c:pt>
                <c:pt idx="38">
                  <c:v>8695.4488949021725</c:v>
                </c:pt>
                <c:pt idx="39">
                  <c:v>8734.4550440063958</c:v>
                </c:pt>
                <c:pt idx="40">
                  <c:v>8776.0414423388811</c:v>
                </c:pt>
                <c:pt idx="41">
                  <c:v>8828.5668531688043</c:v>
                </c:pt>
                <c:pt idx="42">
                  <c:v>8877.6075864801314</c:v>
                </c:pt>
                <c:pt idx="43">
                  <c:v>8938.8571227936627</c:v>
                </c:pt>
                <c:pt idx="44">
                  <c:v>9006.1065781802281</c:v>
                </c:pt>
                <c:pt idx="45">
                  <c:v>9077.1835754416952</c:v>
                </c:pt>
                <c:pt idx="46">
                  <c:v>9162.9487466482424</c:v>
                </c:pt>
                <c:pt idx="47">
                  <c:v>9291.3038465885093</c:v>
                </c:pt>
                <c:pt idx="48">
                  <c:v>9440.2067703848716</c:v>
                </c:pt>
                <c:pt idx="49">
                  <c:v>9787.1270685406016</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C021-47A5-9981-0A15899CDECB}"/>
            </c:ext>
          </c:extLst>
        </c:ser>
        <c:ser>
          <c:idx val="2"/>
          <c:order val="2"/>
          <c:tx>
            <c:v>99.9th percentile, FFT</c:v>
          </c:tx>
          <c:spPr>
            <a:ln w="19050">
              <a:solidFill>
                <a:srgbClr val="B91C1C"/>
              </a:solidFill>
              <a:prstDash val="sysDash"/>
            </a:ln>
          </c:spPr>
          <c:marker>
            <c:symbol val="none"/>
          </c:marker>
          <c:xVal>
            <c:numRef>
              <c:f>Results!$F$54:$F$103</c:f>
              <c:numCache>
                <c:formatCode>#,##0.00</c:formatCode>
                <c:ptCount val="50"/>
                <c:pt idx="0">
                  <c:v>10705.223919797625</c:v>
                </c:pt>
                <c:pt idx="1">
                  <c:v>10705.223919797625</c:v>
                </c:pt>
                <c:pt idx="2">
                  <c:v>10705.223919797625</c:v>
                </c:pt>
                <c:pt idx="3">
                  <c:v>10705.223919797625</c:v>
                </c:pt>
                <c:pt idx="4">
                  <c:v>10705.223919797625</c:v>
                </c:pt>
                <c:pt idx="5">
                  <c:v>10705.223919797625</c:v>
                </c:pt>
                <c:pt idx="6">
                  <c:v>10705.223919797625</c:v>
                </c:pt>
                <c:pt idx="7">
                  <c:v>10705.223919797625</c:v>
                </c:pt>
                <c:pt idx="8">
                  <c:v>10705.223919797625</c:v>
                </c:pt>
                <c:pt idx="9">
                  <c:v>10705.223919797625</c:v>
                </c:pt>
                <c:pt idx="10">
                  <c:v>10705.223919797625</c:v>
                </c:pt>
                <c:pt idx="11">
                  <c:v>10705.223919797625</c:v>
                </c:pt>
                <c:pt idx="12">
                  <c:v>10705.223919797625</c:v>
                </c:pt>
                <c:pt idx="13">
                  <c:v>10705.223919797625</c:v>
                </c:pt>
                <c:pt idx="14">
                  <c:v>10705.223919797625</c:v>
                </c:pt>
                <c:pt idx="15">
                  <c:v>10705.223919797625</c:v>
                </c:pt>
                <c:pt idx="16">
                  <c:v>10705.223919797625</c:v>
                </c:pt>
                <c:pt idx="17">
                  <c:v>10705.223919797625</c:v>
                </c:pt>
                <c:pt idx="18">
                  <c:v>10705.223919797625</c:v>
                </c:pt>
                <c:pt idx="19">
                  <c:v>10705.223919797625</c:v>
                </c:pt>
                <c:pt idx="20">
                  <c:v>10705.223919797625</c:v>
                </c:pt>
                <c:pt idx="21">
                  <c:v>10705.223919797625</c:v>
                </c:pt>
                <c:pt idx="22">
                  <c:v>10705.223919797625</c:v>
                </c:pt>
                <c:pt idx="23">
                  <c:v>10705.223919797625</c:v>
                </c:pt>
                <c:pt idx="24">
                  <c:v>10705.223919797625</c:v>
                </c:pt>
                <c:pt idx="25">
                  <c:v>10705.223919797625</c:v>
                </c:pt>
                <c:pt idx="26">
                  <c:v>10705.223919797625</c:v>
                </c:pt>
                <c:pt idx="27">
                  <c:v>10705.223919797625</c:v>
                </c:pt>
                <c:pt idx="28">
                  <c:v>10705.223919797625</c:v>
                </c:pt>
                <c:pt idx="29">
                  <c:v>10705.223919797625</c:v>
                </c:pt>
                <c:pt idx="30">
                  <c:v>10705.223919797625</c:v>
                </c:pt>
                <c:pt idx="31">
                  <c:v>10705.223919797625</c:v>
                </c:pt>
                <c:pt idx="32">
                  <c:v>10705.223919797625</c:v>
                </c:pt>
                <c:pt idx="33">
                  <c:v>10705.223919797625</c:v>
                </c:pt>
                <c:pt idx="34">
                  <c:v>10705.223919797625</c:v>
                </c:pt>
                <c:pt idx="35">
                  <c:v>10705.223919797625</c:v>
                </c:pt>
                <c:pt idx="36">
                  <c:v>10705.223919797625</c:v>
                </c:pt>
                <c:pt idx="37">
                  <c:v>10705.223919797625</c:v>
                </c:pt>
                <c:pt idx="38">
                  <c:v>10705.223919797625</c:v>
                </c:pt>
                <c:pt idx="39">
                  <c:v>10705.223919797625</c:v>
                </c:pt>
                <c:pt idx="40">
                  <c:v>10705.223919797625</c:v>
                </c:pt>
                <c:pt idx="41">
                  <c:v>10705.223919797625</c:v>
                </c:pt>
                <c:pt idx="42">
                  <c:v>10705.223919797625</c:v>
                </c:pt>
                <c:pt idx="43">
                  <c:v>10705.223919797625</c:v>
                </c:pt>
                <c:pt idx="44">
                  <c:v>10705.223919797625</c:v>
                </c:pt>
                <c:pt idx="45">
                  <c:v>10705.223919797625</c:v>
                </c:pt>
                <c:pt idx="46">
                  <c:v>10705.223919797625</c:v>
                </c:pt>
                <c:pt idx="47">
                  <c:v>10705.223919797625</c:v>
                </c:pt>
                <c:pt idx="48">
                  <c:v>10705.223919797625</c:v>
                </c:pt>
                <c:pt idx="49">
                  <c:v>10705.223919797625</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C021-47A5-9981-0A15899CDEC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loss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Total loss</c:v>
          </c:tx>
          <c:spPr>
            <a:solidFill>
              <a:srgbClr val="0E4F92"/>
            </a:solidFill>
            <a:ln>
              <a:noFill/>
              <a:prstDash val="solid"/>
            </a:ln>
          </c:spPr>
          <c:invertIfNegative val="1"/>
          <c:cat>
            <c:numRef>
              <c:f>Results!$E$209:$E$232</c:f>
              <c:numCache>
                <c:formatCode>#,##0.00</c:formatCode>
                <c:ptCount val="24"/>
                <c:pt idx="0">
                  <c:v>7063.4131964083599</c:v>
                </c:pt>
                <c:pt idx="1">
                  <c:v>7189.6359604499585</c:v>
                </c:pt>
                <c:pt idx="2">
                  <c:v>7315.858724491557</c:v>
                </c:pt>
                <c:pt idx="3">
                  <c:v>7442.0814885331556</c:v>
                </c:pt>
                <c:pt idx="4">
                  <c:v>7568.3042525747542</c:v>
                </c:pt>
                <c:pt idx="5">
                  <c:v>7694.5270166163527</c:v>
                </c:pt>
                <c:pt idx="6">
                  <c:v>7820.7497806579513</c:v>
                </c:pt>
                <c:pt idx="7">
                  <c:v>7946.9725446995499</c:v>
                </c:pt>
                <c:pt idx="8">
                  <c:v>8073.1953087411484</c:v>
                </c:pt>
                <c:pt idx="9">
                  <c:v>8199.4180727827479</c:v>
                </c:pt>
                <c:pt idx="10">
                  <c:v>8325.6408368243465</c:v>
                </c:pt>
                <c:pt idx="11">
                  <c:v>8451.863600865945</c:v>
                </c:pt>
                <c:pt idx="12">
                  <c:v>8578.0863649075436</c:v>
                </c:pt>
                <c:pt idx="13">
                  <c:v>8704.3091289491422</c:v>
                </c:pt>
                <c:pt idx="14">
                  <c:v>8830.5318929907407</c:v>
                </c:pt>
                <c:pt idx="15">
                  <c:v>8956.7546570323393</c:v>
                </c:pt>
                <c:pt idx="16">
                  <c:v>9082.9774210739379</c:v>
                </c:pt>
                <c:pt idx="17">
                  <c:v>9209.2001851155364</c:v>
                </c:pt>
                <c:pt idx="18">
                  <c:v>9335.422949157135</c:v>
                </c:pt>
                <c:pt idx="19">
                  <c:v>9461.6457131987336</c:v>
                </c:pt>
                <c:pt idx="20">
                  <c:v>9587.8684772403321</c:v>
                </c:pt>
                <c:pt idx="21">
                  <c:v>9714.0912412819307</c:v>
                </c:pt>
                <c:pt idx="22">
                  <c:v>9840.3140053235293</c:v>
                </c:pt>
                <c:pt idx="23">
                  <c:v>9966.5367693651278</c:v>
                </c:pt>
              </c:numCache>
            </c:numRef>
          </c:cat>
          <c:val>
            <c:numRef>
              <c:f>Results!$F$209:$F$232</c:f>
              <c:numCache>
                <c:formatCode>0.0%</c:formatCode>
                <c:ptCount val="24"/>
                <c:pt idx="0">
                  <c:v>5.2140103591111929E-3</c:v>
                </c:pt>
                <c:pt idx="1">
                  <c:v>9.4453836040794218E-3</c:v>
                </c:pt>
                <c:pt idx="2">
                  <c:v>1.4628757479025901E-2</c:v>
                </c:pt>
                <c:pt idx="3">
                  <c:v>2.2916527344582154E-2</c:v>
                </c:pt>
                <c:pt idx="4">
                  <c:v>3.3861032250242722E-2</c:v>
                </c:pt>
                <c:pt idx="5">
                  <c:v>4.7680975262927278E-2</c:v>
                </c:pt>
                <c:pt idx="6">
                  <c:v>6.3935838537927864E-2</c:v>
                </c:pt>
                <c:pt idx="7">
                  <c:v>7.2544908527522795E-2</c:v>
                </c:pt>
                <c:pt idx="8">
                  <c:v>7.8280894867653772E-2</c:v>
                </c:pt>
                <c:pt idx="9">
                  <c:v>8.6854064132504238E-2</c:v>
                </c:pt>
                <c:pt idx="10">
                  <c:v>8.3718295511780394E-2</c:v>
                </c:pt>
                <c:pt idx="11">
                  <c:v>8.7053087775850524E-2</c:v>
                </c:pt>
                <c:pt idx="12">
                  <c:v>7.8528092183520748E-2</c:v>
                </c:pt>
                <c:pt idx="13">
                  <c:v>7.3434192536401377E-2</c:v>
                </c:pt>
                <c:pt idx="14">
                  <c:v>5.9697346034883969E-2</c:v>
                </c:pt>
                <c:pt idx="15">
                  <c:v>4.7476933888902395E-2</c:v>
                </c:pt>
                <c:pt idx="16">
                  <c:v>3.8927150002161737E-2</c:v>
                </c:pt>
                <c:pt idx="17">
                  <c:v>2.7941043270648613E-2</c:v>
                </c:pt>
                <c:pt idx="18">
                  <c:v>1.8876586355830671E-2</c:v>
                </c:pt>
                <c:pt idx="19">
                  <c:v>1.4602787695360719E-2</c:v>
                </c:pt>
                <c:pt idx="20">
                  <c:v>1.0604809517768765E-2</c:v>
                </c:pt>
                <c:pt idx="21">
                  <c:v>6.318672390486002E-3</c:v>
                </c:pt>
                <c:pt idx="22">
                  <c:v>4.3547508955806835E-3</c:v>
                </c:pt>
                <c:pt idx="23">
                  <c:v>3.1038595752460596E-3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0F6A-4713-BDA5-41C90B984C5D}"/>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Total loss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E4F92"/>
    <pageSetUpPr fitToPage="1"/>
  </sheetPr>
  <dimension ref="A1:D6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65" t="s">
        <v>20</v>
      </c>
      <c r="C16" s="6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ht="26.25" x14ac:dyDescent="0.45">
      <c r="B56" s="9" t="s">
        <v>64</v>
      </c>
      <c r="C56" s="10" t="s">
        <v>65</v>
      </c>
    </row>
    <row r="57" spans="2:3" x14ac:dyDescent="0.45">
      <c r="B57" s="9" t="s">
        <v>66</v>
      </c>
      <c r="C57" s="10" t="s">
        <v>67</v>
      </c>
    </row>
    <row r="58" spans="2:3" x14ac:dyDescent="0.45">
      <c r="B58" s="9" t="s">
        <v>68</v>
      </c>
      <c r="C58" s="10" t="s">
        <v>69</v>
      </c>
    </row>
    <row r="59" spans="2:3" ht="12" customHeight="1" x14ac:dyDescent="0.45"/>
    <row r="60" spans="2:3" ht="22.05" customHeight="1" x14ac:dyDescent="0.5">
      <c r="B60" s="7" t="s">
        <v>70</v>
      </c>
      <c r="C60" s="8"/>
    </row>
    <row r="61" spans="2:3" ht="26.25" x14ac:dyDescent="0.45">
      <c r="B61" s="20" t="s">
        <v>71</v>
      </c>
      <c r="C61" s="10" t="s">
        <v>72</v>
      </c>
    </row>
    <row r="62" spans="2:3" x14ac:dyDescent="0.45">
      <c r="B62" s="20" t="s">
        <v>73</v>
      </c>
      <c r="C62" s="10" t="s">
        <v>74</v>
      </c>
    </row>
    <row r="63" spans="2:3" x14ac:dyDescent="0.45">
      <c r="B63" s="20" t="s">
        <v>75</v>
      </c>
      <c r="C63" s="10" t="s">
        <v>76</v>
      </c>
    </row>
    <row r="64" spans="2:3" ht="26.25" x14ac:dyDescent="0.45">
      <c r="B64" s="20" t="s">
        <v>77</v>
      </c>
      <c r="C64" s="10" t="s">
        <v>78</v>
      </c>
    </row>
    <row r="65" spans="2:3" ht="12" customHeight="1" x14ac:dyDescent="0.45"/>
    <row r="66" spans="2:3" ht="22.05" customHeight="1" x14ac:dyDescent="0.5">
      <c r="B66" s="7" t="s">
        <v>79</v>
      </c>
      <c r="C66" s="8"/>
    </row>
    <row r="67" spans="2:3" x14ac:dyDescent="0.45">
      <c r="B67" s="9" t="s">
        <v>80</v>
      </c>
      <c r="C67" s="10" t="s">
        <v>81</v>
      </c>
    </row>
    <row r="68" spans="2:3" ht="16.05" customHeight="1" x14ac:dyDescent="0.45"/>
    <row r="69" spans="2:3" x14ac:dyDescent="0.45">
      <c r="B69" s="67" t="s">
        <v>82</v>
      </c>
      <c r="C69" s="66"/>
    </row>
  </sheetData>
  <mergeCells count="2">
    <mergeCell ref="B69:C69"/>
    <mergeCell ref="B16:C16"/>
  </mergeCells>
  <hyperlinks>
    <hyperlink ref="D4" location="'Inputs'!A1" display="Next:  Inputs  ▸" xr:uid="{00000000-0004-0000-0000-000000000000}"/>
    <hyperlink ref="B39" location="'Inputs'!A1" display="Inputs" xr:uid="{00000000-0004-0000-0000-000001000000}"/>
    <hyperlink ref="B40" location="'Cells'!A1" display="Cells" xr:uid="{00000000-0004-0000-0000-000002000000}"/>
    <hyperlink ref="B41" location="'Capital'!A1" display="Capital"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0A800"/>
    <pageSetUpPr fitToPage="1"/>
  </sheetPr>
  <dimension ref="A1:J1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83</v>
      </c>
      <c r="C3" s="1"/>
      <c r="D3" s="1"/>
      <c r="E3" s="1"/>
      <c r="F3" s="1"/>
      <c r="G3" s="1"/>
      <c r="H3" s="1"/>
      <c r="I3" s="1"/>
      <c r="J3" s="1"/>
    </row>
    <row r="4" spans="1:10" ht="20" customHeight="1" x14ac:dyDescent="0.45">
      <c r="A4" s="5"/>
      <c r="B4" s="22" t="s">
        <v>84</v>
      </c>
      <c r="C4" s="5"/>
      <c r="D4" s="5"/>
      <c r="E4" s="5"/>
      <c r="F4" s="5"/>
      <c r="G4" s="5"/>
      <c r="H4" s="5"/>
      <c r="I4" s="5"/>
      <c r="J4" s="6" t="s">
        <v>85</v>
      </c>
    </row>
    <row r="5" spans="1:10" ht="8" customHeight="1" x14ac:dyDescent="0.45"/>
    <row r="6" spans="1:10" ht="20" customHeight="1" x14ac:dyDescent="0.45">
      <c r="B6" s="68" t="s">
        <v>86</v>
      </c>
      <c r="C6" s="66"/>
      <c r="D6" s="66"/>
      <c r="E6" s="66"/>
      <c r="F6" s="66"/>
      <c r="G6" s="66"/>
      <c r="H6" s="66"/>
      <c r="I6" s="66"/>
      <c r="J6" s="66"/>
    </row>
    <row r="7" spans="1:10" ht="6" customHeight="1" x14ac:dyDescent="0.45"/>
    <row r="8" spans="1:10" ht="22.05" customHeight="1" x14ac:dyDescent="0.5">
      <c r="B8" s="7" t="s">
        <v>87</v>
      </c>
      <c r="C8" s="8"/>
      <c r="D8" s="8"/>
      <c r="E8" s="8"/>
      <c r="F8" s="8"/>
      <c r="G8" s="8"/>
      <c r="H8" s="8"/>
      <c r="I8" s="8"/>
      <c r="J8" s="8"/>
    </row>
    <row r="9" spans="1:10" ht="18" customHeight="1" x14ac:dyDescent="0.45">
      <c r="B9" s="23" t="s">
        <v>88</v>
      </c>
      <c r="C9" s="23" t="s">
        <v>89</v>
      </c>
      <c r="D9" s="24" t="s">
        <v>90</v>
      </c>
      <c r="E9" s="23" t="s">
        <v>91</v>
      </c>
      <c r="F9" s="5"/>
      <c r="G9" s="5"/>
      <c r="H9" s="5"/>
      <c r="I9" s="5"/>
      <c r="J9" s="23" t="s">
        <v>92</v>
      </c>
    </row>
    <row r="10" spans="1:10" x14ac:dyDescent="0.45">
      <c r="B10" s="25" t="s">
        <v>93</v>
      </c>
      <c r="C10" s="26"/>
      <c r="D10" s="27">
        <v>0.999</v>
      </c>
      <c r="E10" s="26" t="s">
        <v>94</v>
      </c>
      <c r="F10" s="28"/>
      <c r="G10" s="28"/>
      <c r="H10" s="28"/>
      <c r="I10" s="28"/>
      <c r="J10" s="29" t="s">
        <v>95</v>
      </c>
    </row>
    <row r="11" spans="1:10" ht="8" customHeight="1" x14ac:dyDescent="0.45"/>
  </sheetData>
  <mergeCells count="1">
    <mergeCell ref="B6:J6"/>
  </mergeCells>
  <dataValidations count="1">
    <dataValidation type="decimal" showErrorMessage="1" errorTitle="Probability" error="Enter a value between 0% and 100%." sqref="D10" xr:uid="{00000000-0002-0000-0100-000000000000}">
      <formula1>0</formula1>
      <formula2>1</formula2>
    </dataValidation>
  </dataValidations>
  <hyperlinks>
    <hyperlink ref="B4" location="'About'!A1" display="◂  About" xr:uid="{00000000-0004-0000-0100-000000000000}"/>
    <hyperlink ref="J4" location="'Cells'!A1" display="Next:  Cell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AA0BA"/>
    <pageSetUpPr fitToPage="1"/>
  </sheetPr>
  <dimension ref="A1:M54"/>
  <sheetViews>
    <sheetView showGridLines="0" workbookViewId="0">
      <pane xSplit="4" ySplit="5" topLeftCell="E6" activePane="bottomRight" state="frozen"/>
      <selection pane="topRight"/>
      <selection pane="bottomLeft"/>
      <selection pane="bottomRight"/>
    </sheetView>
  </sheetViews>
  <sheetFormatPr defaultRowHeight="14.25" x14ac:dyDescent="0.45"/>
  <cols>
    <col min="1" max="1" width="2" customWidth="1"/>
    <col min="2" max="2" width="10" customWidth="1"/>
    <col min="3" max="4" width="9" customWidth="1"/>
    <col min="5" max="7" width="11" customWidth="1"/>
    <col min="8" max="8" width="22" customWidth="1"/>
    <col min="9" max="9" width="26" customWidth="1"/>
    <col min="10" max="10" width="12" customWidth="1"/>
    <col min="11" max="11" width="13" customWidth="1"/>
    <col min="12" max="12" width="3" customWidth="1"/>
    <col min="13" max="13" width="56"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96</v>
      </c>
      <c r="C3" s="1"/>
      <c r="D3" s="1"/>
      <c r="E3" s="1"/>
      <c r="F3" s="1"/>
      <c r="G3" s="1"/>
      <c r="H3" s="1"/>
      <c r="I3" s="1"/>
      <c r="J3" s="1"/>
      <c r="K3" s="1"/>
      <c r="L3" s="1"/>
      <c r="M3" s="1"/>
    </row>
    <row r="4" spans="1:13" ht="20" customHeight="1" x14ac:dyDescent="0.45">
      <c r="A4" s="5"/>
      <c r="B4" s="22" t="s">
        <v>97</v>
      </c>
      <c r="C4" s="5"/>
      <c r="D4" s="5"/>
      <c r="E4" s="5"/>
      <c r="F4" s="5"/>
      <c r="G4" s="5"/>
      <c r="H4" s="5"/>
      <c r="I4" s="5"/>
      <c r="J4" s="5"/>
      <c r="K4" s="5"/>
      <c r="L4" s="5"/>
      <c r="M4" s="6" t="s">
        <v>98</v>
      </c>
    </row>
    <row r="5" spans="1:13" ht="8" customHeight="1" x14ac:dyDescent="0.45"/>
    <row r="6" spans="1:13" ht="22.05" customHeight="1" x14ac:dyDescent="0.5">
      <c r="B6" s="7" t="s">
        <v>99</v>
      </c>
      <c r="C6" s="8"/>
      <c r="D6" s="8"/>
      <c r="E6" s="8"/>
      <c r="F6" s="8"/>
      <c r="G6" s="8"/>
      <c r="H6" s="8"/>
      <c r="I6" s="8"/>
      <c r="J6" s="8"/>
      <c r="K6" s="8"/>
    </row>
    <row r="7" spans="1:13" ht="18" customHeight="1" x14ac:dyDescent="0.45">
      <c r="B7" s="13" t="s">
        <v>100</v>
      </c>
    </row>
    <row r="8" spans="1:13" ht="30" customHeight="1" x14ac:dyDescent="0.45">
      <c r="B8" s="23" t="s">
        <v>101</v>
      </c>
      <c r="C8" s="23" t="s">
        <v>102</v>
      </c>
      <c r="D8" s="23" t="s">
        <v>103</v>
      </c>
      <c r="E8" s="24" t="s">
        <v>104</v>
      </c>
      <c r="F8" s="24" t="s">
        <v>105</v>
      </c>
      <c r="G8" s="24" t="s">
        <v>106</v>
      </c>
      <c r="H8" s="23" t="s">
        <v>107</v>
      </c>
      <c r="I8" s="23" t="s">
        <v>108</v>
      </c>
      <c r="J8" s="24" t="s">
        <v>109</v>
      </c>
      <c r="K8" s="24" t="s">
        <v>110</v>
      </c>
    </row>
    <row r="9" spans="1:13" x14ac:dyDescent="0.45">
      <c r="B9" s="30" t="s">
        <v>111</v>
      </c>
      <c r="C9" s="26" t="s">
        <v>112</v>
      </c>
      <c r="D9" s="26">
        <v>1</v>
      </c>
      <c r="E9" s="31">
        <v>22.7</v>
      </c>
      <c r="F9" s="31">
        <v>9.1</v>
      </c>
      <c r="G9" s="31">
        <v>5.2</v>
      </c>
      <c r="H9" s="32" t="str" cm="1">
        <f t="array" ref="H9">_xll.VosePoissonObject(E9)</f>
        <v>VosePoisson(22.7)</v>
      </c>
      <c r="I9" s="32" t="str" cm="1">
        <f t="array" ref="I9">_xll.VoseLognormalObject(F9,G9)</f>
        <v>VoseLognormal(9.1,5.2)</v>
      </c>
      <c r="J9" s="33">
        <f t="shared" ref="J9:J53" si="0">E9*F9</f>
        <v>206.57</v>
      </c>
      <c r="K9" s="34" cm="1">
        <f t="array" aca="1" ref="K9" ca="1">_xll.VoseAggregateMC(H9,I9)</f>
        <v>184.20818312281577</v>
      </c>
      <c r="M9" s="35" t="s">
        <v>113</v>
      </c>
    </row>
    <row r="10" spans="1:13" x14ac:dyDescent="0.45">
      <c r="B10" s="30" t="s">
        <v>111</v>
      </c>
      <c r="C10" s="26" t="s">
        <v>112</v>
      </c>
      <c r="D10" s="26">
        <v>2</v>
      </c>
      <c r="E10" s="31">
        <v>2.5</v>
      </c>
      <c r="F10" s="31">
        <v>8.1</v>
      </c>
      <c r="G10" s="31">
        <v>5.3</v>
      </c>
      <c r="H10" s="32" t="str" cm="1">
        <f t="array" ref="H10">_xll.VosePoissonObject(E10)</f>
        <v>VosePoisson(2.5)</v>
      </c>
      <c r="I10" s="32" t="str" cm="1">
        <f t="array" ref="I10">_xll.VoseLognormalObject(F10,G10)</f>
        <v>VoseLognormal(8.1,5.3)</v>
      </c>
      <c r="J10" s="33">
        <f t="shared" si="0"/>
        <v>20.25</v>
      </c>
      <c r="K10" s="34" cm="1">
        <f t="array" aca="1" ref="K10" ca="1">_xll.VoseAggregateMC(H10,I10)</f>
        <v>35.592672984047582</v>
      </c>
      <c r="M10" s="35" t="s">
        <v>114</v>
      </c>
    </row>
    <row r="11" spans="1:13" x14ac:dyDescent="0.45">
      <c r="B11" s="30" t="s">
        <v>111</v>
      </c>
      <c r="C11" s="26" t="s">
        <v>112</v>
      </c>
      <c r="D11" s="26">
        <v>3</v>
      </c>
      <c r="E11" s="31">
        <v>4.9000000000000004</v>
      </c>
      <c r="F11" s="31">
        <v>7.1</v>
      </c>
      <c r="G11" s="31">
        <v>8.1</v>
      </c>
      <c r="H11" s="32" t="str" cm="1">
        <f t="array" ref="H11">_xll.VosePoissonObject(E11)</f>
        <v>VosePoisson(4.9)</v>
      </c>
      <c r="I11" s="32" t="str" cm="1">
        <f t="array" ref="I11">_xll.VoseLognormalObject(F11,G11)</f>
        <v>VoseLognormal(7.1,8.1)</v>
      </c>
      <c r="J11" s="33">
        <f t="shared" si="0"/>
        <v>34.79</v>
      </c>
      <c r="K11" s="34" cm="1">
        <f t="array" aca="1" ref="K11" ca="1">_xll.VoseAggregateMC(H11,I11)</f>
        <v>26.614811426524028</v>
      </c>
      <c r="M11" s="35" t="s">
        <v>115</v>
      </c>
    </row>
    <row r="12" spans="1:13" x14ac:dyDescent="0.45">
      <c r="B12" s="30" t="s">
        <v>111</v>
      </c>
      <c r="C12" s="26" t="s">
        <v>112</v>
      </c>
      <c r="D12" s="26">
        <v>4</v>
      </c>
      <c r="E12" s="31">
        <v>21.9</v>
      </c>
      <c r="F12" s="31">
        <v>12.5</v>
      </c>
      <c r="G12" s="31">
        <v>9.1999999999999993</v>
      </c>
      <c r="H12" s="32" t="str" cm="1">
        <f t="array" ref="H12">_xll.VosePoissonObject(E12)</f>
        <v>VosePoisson(21.9)</v>
      </c>
      <c r="I12" s="32" t="str" cm="1">
        <f t="array" ref="I12">_xll.VoseLognormalObject(F12,G12)</f>
        <v>VoseLognormal(12.5,9.2)</v>
      </c>
      <c r="J12" s="33">
        <f t="shared" si="0"/>
        <v>273.75</v>
      </c>
      <c r="K12" s="34" cm="1">
        <f t="array" aca="1" ref="K12" ca="1">_xll.VoseAggregateMC(H12,I12)</f>
        <v>273.56303006880574</v>
      </c>
      <c r="M12" s="35" t="s">
        <v>116</v>
      </c>
    </row>
    <row r="13" spans="1:13" x14ac:dyDescent="0.45">
      <c r="B13" s="30" t="s">
        <v>111</v>
      </c>
      <c r="C13" s="26" t="s">
        <v>112</v>
      </c>
      <c r="D13" s="26">
        <v>5</v>
      </c>
      <c r="E13" s="31">
        <v>8.8000000000000007</v>
      </c>
      <c r="F13" s="31">
        <v>2.7</v>
      </c>
      <c r="G13" s="31">
        <v>1.6</v>
      </c>
      <c r="H13" s="32" t="str" cm="1">
        <f t="array" ref="H13">_xll.VosePoissonObject(E13)</f>
        <v>VosePoisson(8.8)</v>
      </c>
      <c r="I13" s="32" t="str" cm="1">
        <f t="array" ref="I13">_xll.VoseLognormalObject(F13,G13)</f>
        <v>VoseLognormal(2.7,1.6)</v>
      </c>
      <c r="J13" s="33">
        <f t="shared" si="0"/>
        <v>23.760000000000005</v>
      </c>
      <c r="K13" s="34" cm="1">
        <f t="array" aca="1" ref="K13" ca="1">_xll.VoseAggregateMC(H13,I13)</f>
        <v>21.220415728097986</v>
      </c>
    </row>
    <row r="14" spans="1:13" x14ac:dyDescent="0.45">
      <c r="B14" s="30" t="s">
        <v>111</v>
      </c>
      <c r="C14" s="26" t="s">
        <v>117</v>
      </c>
      <c r="D14" s="26">
        <v>1</v>
      </c>
      <c r="E14" s="31">
        <v>32.6</v>
      </c>
      <c r="F14" s="31">
        <v>23.2</v>
      </c>
      <c r="G14" s="31">
        <v>3.2</v>
      </c>
      <c r="H14" s="32" t="str" cm="1">
        <f t="array" ref="H14">_xll.VosePoissonObject(E14)</f>
        <v>VosePoisson(32.6)</v>
      </c>
      <c r="I14" s="32" t="str" cm="1">
        <f t="array" ref="I14">_xll.VoseLognormalObject(F14,G14)</f>
        <v>VoseLognormal(23.2,3.2)</v>
      </c>
      <c r="J14" s="33">
        <f t="shared" si="0"/>
        <v>756.32</v>
      </c>
      <c r="K14" s="34" cm="1">
        <f t="array" aca="1" ref="K14" ca="1">_xll.VoseAggregateMC(H14,I14)</f>
        <v>756.38679348777839</v>
      </c>
    </row>
    <row r="15" spans="1:13" x14ac:dyDescent="0.45">
      <c r="B15" s="30" t="s">
        <v>111</v>
      </c>
      <c r="C15" s="26" t="s">
        <v>117</v>
      </c>
      <c r="D15" s="26">
        <v>2</v>
      </c>
      <c r="E15" s="31">
        <v>22.6</v>
      </c>
      <c r="F15" s="31">
        <v>13.5</v>
      </c>
      <c r="G15" s="31">
        <v>35.9</v>
      </c>
      <c r="H15" s="32" t="str" cm="1">
        <f t="array" ref="H15">_xll.VosePoissonObject(E15)</f>
        <v>VosePoisson(22.6)</v>
      </c>
      <c r="I15" s="32" t="str" cm="1">
        <f t="array" ref="I15">_xll.VoseLognormalObject(F15,G15)</f>
        <v>VoseLognormal(13.5,35.9)</v>
      </c>
      <c r="J15" s="33">
        <f t="shared" si="0"/>
        <v>305.10000000000002</v>
      </c>
      <c r="K15" s="34" cm="1">
        <f t="array" aca="1" ref="K15" ca="1">_xll.VoseAggregateMC(H15,I15)</f>
        <v>334.54735584911208</v>
      </c>
      <c r="M15" s="35" t="s">
        <v>118</v>
      </c>
    </row>
    <row r="16" spans="1:13" x14ac:dyDescent="0.45">
      <c r="B16" s="30" t="s">
        <v>111</v>
      </c>
      <c r="C16" s="26" t="s">
        <v>117</v>
      </c>
      <c r="D16" s="26">
        <v>3</v>
      </c>
      <c r="E16" s="31">
        <v>7.7</v>
      </c>
      <c r="F16" s="31">
        <v>13.8</v>
      </c>
      <c r="G16" s="31">
        <v>24.1</v>
      </c>
      <c r="H16" s="32" t="str" cm="1">
        <f t="array" ref="H16">_xll.VosePoissonObject(E16)</f>
        <v>VosePoisson(7.7)</v>
      </c>
      <c r="I16" s="32" t="str" cm="1">
        <f t="array" ref="I16">_xll.VoseLognormalObject(F16,G16)</f>
        <v>VoseLognormal(13.8,24.1)</v>
      </c>
      <c r="J16" s="33">
        <f t="shared" si="0"/>
        <v>106.26</v>
      </c>
      <c r="K16" s="34" cm="1">
        <f t="array" aca="1" ref="K16" ca="1">_xll.VoseAggregateMC(H16,I16)</f>
        <v>90.545288564737774</v>
      </c>
    </row>
    <row r="17" spans="2:11" x14ac:dyDescent="0.45">
      <c r="B17" s="30" t="s">
        <v>111</v>
      </c>
      <c r="C17" s="26" t="s">
        <v>117</v>
      </c>
      <c r="D17" s="26">
        <v>4</v>
      </c>
      <c r="E17" s="31">
        <v>11.1</v>
      </c>
      <c r="F17" s="31">
        <v>16.8</v>
      </c>
      <c r="G17" s="31">
        <v>2.4</v>
      </c>
      <c r="H17" s="32" t="str" cm="1">
        <f t="array" ref="H17">_xll.VosePoissonObject(E17)</f>
        <v>VosePoisson(11.1)</v>
      </c>
      <c r="I17" s="32" t="str" cm="1">
        <f t="array" ref="I17">_xll.VoseLognormalObject(F17,G17)</f>
        <v>VoseLognormal(16.8,2.4)</v>
      </c>
      <c r="J17" s="33">
        <f t="shared" si="0"/>
        <v>186.48</v>
      </c>
      <c r="K17" s="34" cm="1">
        <f t="array" aca="1" ref="K17" ca="1">_xll.VoseAggregateMC(H17,I17)</f>
        <v>170.09066418365097</v>
      </c>
    </row>
    <row r="18" spans="2:11" x14ac:dyDescent="0.45">
      <c r="B18" s="30" t="s">
        <v>111</v>
      </c>
      <c r="C18" s="26" t="s">
        <v>117</v>
      </c>
      <c r="D18" s="26">
        <v>5</v>
      </c>
      <c r="E18" s="31">
        <v>8.3000000000000007</v>
      </c>
      <c r="F18" s="31">
        <v>8.1</v>
      </c>
      <c r="G18" s="31">
        <v>14.6</v>
      </c>
      <c r="H18" s="32" t="str" cm="1">
        <f t="array" ref="H18">_xll.VosePoissonObject(E18)</f>
        <v>VosePoisson(8.3)</v>
      </c>
      <c r="I18" s="32" t="str" cm="1">
        <f t="array" ref="I18">_xll.VoseLognormalObject(F18,G18)</f>
        <v>VoseLognormal(8.1,14.6)</v>
      </c>
      <c r="J18" s="33">
        <f t="shared" si="0"/>
        <v>67.23</v>
      </c>
      <c r="K18" s="34" cm="1">
        <f t="array" aca="1" ref="K18" ca="1">_xll.VoseAggregateMC(H18,I18)</f>
        <v>110.12790869528385</v>
      </c>
    </row>
    <row r="19" spans="2:11" x14ac:dyDescent="0.45">
      <c r="B19" s="30" t="s">
        <v>111</v>
      </c>
      <c r="C19" s="26" t="s">
        <v>119</v>
      </c>
      <c r="D19" s="26">
        <v>1</v>
      </c>
      <c r="E19" s="31">
        <v>38.6</v>
      </c>
      <c r="F19" s="31">
        <v>4.8</v>
      </c>
      <c r="G19" s="31">
        <v>7.4</v>
      </c>
      <c r="H19" s="32" t="str" cm="1">
        <f t="array" ref="H19">_xll.VosePoissonObject(E19)</f>
        <v>VosePoisson(38.6)</v>
      </c>
      <c r="I19" s="32" t="str" cm="1">
        <f t="array" ref="I19">_xll.VoseLognormalObject(F19,G19)</f>
        <v>VoseLognormal(4.8,7.4)</v>
      </c>
      <c r="J19" s="33">
        <f t="shared" si="0"/>
        <v>185.28</v>
      </c>
      <c r="K19" s="34" cm="1">
        <f t="array" aca="1" ref="K19" ca="1">_xll.VoseAggregateMC(H19,I19)</f>
        <v>146.11679357613212</v>
      </c>
    </row>
    <row r="20" spans="2:11" x14ac:dyDescent="0.45">
      <c r="B20" s="30" t="s">
        <v>111</v>
      </c>
      <c r="C20" s="26" t="s">
        <v>119</v>
      </c>
      <c r="D20" s="26">
        <v>2</v>
      </c>
      <c r="E20" s="31">
        <v>11.5</v>
      </c>
      <c r="F20" s="31">
        <v>9.5</v>
      </c>
      <c r="G20" s="31">
        <v>12.3</v>
      </c>
      <c r="H20" s="32" t="str" cm="1">
        <f t="array" ref="H20">_xll.VosePoissonObject(E20)</f>
        <v>VosePoisson(11.5)</v>
      </c>
      <c r="I20" s="32" t="str" cm="1">
        <f t="array" ref="I20">_xll.VoseLognormalObject(F20,G20)</f>
        <v>VoseLognormal(9.5,12.3)</v>
      </c>
      <c r="J20" s="33">
        <f t="shared" si="0"/>
        <v>109.25</v>
      </c>
      <c r="K20" s="34" cm="1">
        <f t="array" aca="1" ref="K20" ca="1">_xll.VoseAggregateMC(H20,I20)</f>
        <v>94.426633412506064</v>
      </c>
    </row>
    <row r="21" spans="2:11" x14ac:dyDescent="0.45">
      <c r="B21" s="30" t="s">
        <v>111</v>
      </c>
      <c r="C21" s="26" t="s">
        <v>119</v>
      </c>
      <c r="D21" s="26">
        <v>3</v>
      </c>
      <c r="E21" s="31">
        <v>24.6</v>
      </c>
      <c r="F21" s="31">
        <v>6.6</v>
      </c>
      <c r="G21" s="31">
        <v>4.9000000000000004</v>
      </c>
      <c r="H21" s="32" t="str" cm="1">
        <f t="array" ref="H21">_xll.VosePoissonObject(E21)</f>
        <v>VosePoisson(24.6)</v>
      </c>
      <c r="I21" s="32" t="str" cm="1">
        <f t="array" ref="I21">_xll.VoseLognormalObject(F21,G21)</f>
        <v>VoseLognormal(6.6,4.9)</v>
      </c>
      <c r="J21" s="33">
        <f t="shared" si="0"/>
        <v>162.36000000000001</v>
      </c>
      <c r="K21" s="34" cm="1">
        <f t="array" aca="1" ref="K21" ca="1">_xll.VoseAggregateMC(H21,I21)</f>
        <v>169.55571023693571</v>
      </c>
    </row>
    <row r="22" spans="2:11" x14ac:dyDescent="0.45">
      <c r="B22" s="30" t="s">
        <v>111</v>
      </c>
      <c r="C22" s="26" t="s">
        <v>119</v>
      </c>
      <c r="D22" s="26">
        <v>4</v>
      </c>
      <c r="E22" s="31">
        <v>6.3</v>
      </c>
      <c r="F22" s="31">
        <v>25.6</v>
      </c>
      <c r="G22" s="31">
        <v>39.200000000000003</v>
      </c>
      <c r="H22" s="32" t="str" cm="1">
        <f t="array" ref="H22">_xll.VosePoissonObject(E22)</f>
        <v>VosePoisson(6.3)</v>
      </c>
      <c r="I22" s="32" t="str" cm="1">
        <f t="array" ref="I22">_xll.VoseLognormalObject(F22,G22)</f>
        <v>VoseLognormal(25.6,39.2)</v>
      </c>
      <c r="J22" s="33">
        <f t="shared" si="0"/>
        <v>161.28</v>
      </c>
      <c r="K22" s="34" cm="1">
        <f t="array" aca="1" ref="K22" ca="1">_xll.VoseAggregateMC(H22,I22)</f>
        <v>148.12816740317135</v>
      </c>
    </row>
    <row r="23" spans="2:11" x14ac:dyDescent="0.45">
      <c r="B23" s="36" t="s">
        <v>111</v>
      </c>
      <c r="C23" s="37" t="s">
        <v>119</v>
      </c>
      <c r="D23" s="37">
        <v>5</v>
      </c>
      <c r="E23" s="38">
        <v>13.7</v>
      </c>
      <c r="F23" s="38">
        <v>20.3</v>
      </c>
      <c r="G23" s="38">
        <v>11.6</v>
      </c>
      <c r="H23" s="39" t="str" cm="1">
        <f t="array" ref="H23">_xll.VosePoissonObject(E23)</f>
        <v>VosePoisson(13.7)</v>
      </c>
      <c r="I23" s="39" t="str" cm="1">
        <f t="array" ref="I23">_xll.VoseLognormalObject(F23,G23)</f>
        <v>VoseLognormal(20.3,11.6)</v>
      </c>
      <c r="J23" s="40">
        <f t="shared" si="0"/>
        <v>278.11</v>
      </c>
      <c r="K23" s="41" cm="1">
        <f t="array" aca="1" ref="K23" ca="1">_xll.VoseAggregateMC(H23,I23)</f>
        <v>230.54330798134103</v>
      </c>
    </row>
    <row r="24" spans="2:11" x14ac:dyDescent="0.45">
      <c r="B24" s="30" t="s">
        <v>120</v>
      </c>
      <c r="C24" s="26" t="s">
        <v>112</v>
      </c>
      <c r="D24" s="26">
        <v>1</v>
      </c>
      <c r="E24" s="31">
        <v>12.7</v>
      </c>
      <c r="F24" s="31">
        <v>18.100000000000001</v>
      </c>
      <c r="G24" s="31">
        <v>1.9</v>
      </c>
      <c r="H24" s="32" t="str" cm="1">
        <f t="array" ref="H24">_xll.VosePoissonObject(E24)</f>
        <v>VosePoisson(12.7)</v>
      </c>
      <c r="I24" s="32" t="str" cm="1">
        <f t="array" ref="I24">_xll.VoseLognormalObject(F24,G24)</f>
        <v>VoseLognormal(18.1,1.9)</v>
      </c>
      <c r="J24" s="33">
        <f t="shared" si="0"/>
        <v>229.87</v>
      </c>
      <c r="K24" s="34" cm="1">
        <f t="array" aca="1" ref="K24" ca="1">_xll.VoseAggregateMC(H24,I24)</f>
        <v>122.72481668660194</v>
      </c>
    </row>
    <row r="25" spans="2:11" x14ac:dyDescent="0.45">
      <c r="B25" s="30" t="s">
        <v>120</v>
      </c>
      <c r="C25" s="26" t="s">
        <v>112</v>
      </c>
      <c r="D25" s="26">
        <v>2</v>
      </c>
      <c r="E25" s="31">
        <v>29.1</v>
      </c>
      <c r="F25" s="31">
        <v>2.2000000000000002</v>
      </c>
      <c r="G25" s="31">
        <v>2.2999999999999998</v>
      </c>
      <c r="H25" s="32" t="str" cm="1">
        <f t="array" ref="H25">_xll.VosePoissonObject(E25)</f>
        <v>VosePoisson(29.1)</v>
      </c>
      <c r="I25" s="32" t="str" cm="1">
        <f t="array" ref="I25">_xll.VoseLognormalObject(F25,G25)</f>
        <v>VoseLognormal(2.2,2.3)</v>
      </c>
      <c r="J25" s="33">
        <f t="shared" si="0"/>
        <v>64.02000000000001</v>
      </c>
      <c r="K25" s="34" cm="1">
        <f t="array" aca="1" ref="K25" ca="1">_xll.VoseAggregateMC(H25,I25)</f>
        <v>50.468558119028387</v>
      </c>
    </row>
    <row r="26" spans="2:11" x14ac:dyDescent="0.45">
      <c r="B26" s="30" t="s">
        <v>120</v>
      </c>
      <c r="C26" s="26" t="s">
        <v>112</v>
      </c>
      <c r="D26" s="26">
        <v>3</v>
      </c>
      <c r="E26" s="31">
        <v>18.2</v>
      </c>
      <c r="F26" s="31">
        <v>12.3</v>
      </c>
      <c r="G26" s="31">
        <v>9.6</v>
      </c>
      <c r="H26" s="32" t="str" cm="1">
        <f t="array" ref="H26">_xll.VosePoissonObject(E26)</f>
        <v>VosePoisson(18.2)</v>
      </c>
      <c r="I26" s="32" t="str" cm="1">
        <f t="array" ref="I26">_xll.VoseLognormalObject(F26,G26)</f>
        <v>VoseLognormal(12.3,9.6)</v>
      </c>
      <c r="J26" s="33">
        <f t="shared" si="0"/>
        <v>223.86</v>
      </c>
      <c r="K26" s="34" cm="1">
        <f t="array" aca="1" ref="K26" ca="1">_xll.VoseAggregateMC(H26,I26)</f>
        <v>254.88282938570569</v>
      </c>
    </row>
    <row r="27" spans="2:11" x14ac:dyDescent="0.45">
      <c r="B27" s="30" t="s">
        <v>120</v>
      </c>
      <c r="C27" s="26" t="s">
        <v>112</v>
      </c>
      <c r="D27" s="26">
        <v>4</v>
      </c>
      <c r="E27" s="31">
        <v>12.8</v>
      </c>
      <c r="F27" s="31">
        <v>11.3</v>
      </c>
      <c r="G27" s="31">
        <v>5.6</v>
      </c>
      <c r="H27" s="32" t="str" cm="1">
        <f t="array" ref="H27">_xll.VosePoissonObject(E27)</f>
        <v>VosePoisson(12.8)</v>
      </c>
      <c r="I27" s="32" t="str" cm="1">
        <f t="array" ref="I27">_xll.VoseLognormalObject(F27,G27)</f>
        <v>VoseLognormal(11.3,5.6)</v>
      </c>
      <c r="J27" s="33">
        <f t="shared" si="0"/>
        <v>144.64000000000001</v>
      </c>
      <c r="K27" s="34" cm="1">
        <f t="array" aca="1" ref="K27" ca="1">_xll.VoseAggregateMC(H27,I27)</f>
        <v>135.36943580094791</v>
      </c>
    </row>
    <row r="28" spans="2:11" x14ac:dyDescent="0.45">
      <c r="B28" s="30" t="s">
        <v>120</v>
      </c>
      <c r="C28" s="26" t="s">
        <v>112</v>
      </c>
      <c r="D28" s="26">
        <v>5</v>
      </c>
      <c r="E28" s="31">
        <v>6.9</v>
      </c>
      <c r="F28" s="31">
        <v>15.8</v>
      </c>
      <c r="G28" s="31">
        <v>12.5</v>
      </c>
      <c r="H28" s="32" t="str" cm="1">
        <f t="array" ref="H28">_xll.VosePoissonObject(E28)</f>
        <v>VosePoisson(6.9)</v>
      </c>
      <c r="I28" s="32" t="str" cm="1">
        <f t="array" ref="I28">_xll.VoseLognormalObject(F28,G28)</f>
        <v>VoseLognormal(15.8,12.5)</v>
      </c>
      <c r="J28" s="33">
        <f t="shared" si="0"/>
        <v>109.02000000000001</v>
      </c>
      <c r="K28" s="34" cm="1">
        <f t="array" aca="1" ref="K28" ca="1">_xll.VoseAggregateMC(H28,I28)</f>
        <v>191.0017712248779</v>
      </c>
    </row>
    <row r="29" spans="2:11" x14ac:dyDescent="0.45">
      <c r="B29" s="30" t="s">
        <v>120</v>
      </c>
      <c r="C29" s="26" t="s">
        <v>117</v>
      </c>
      <c r="D29" s="26">
        <v>1</v>
      </c>
      <c r="E29" s="31">
        <v>10.1</v>
      </c>
      <c r="F29" s="31">
        <v>23.1</v>
      </c>
      <c r="G29" s="31">
        <v>21.6</v>
      </c>
      <c r="H29" s="32" t="str" cm="1">
        <f t="array" ref="H29">_xll.VosePoissonObject(E29)</f>
        <v>VosePoisson(10.1)</v>
      </c>
      <c r="I29" s="32" t="str" cm="1">
        <f t="array" ref="I29">_xll.VoseLognormalObject(F29,G29)</f>
        <v>VoseLognormal(23.1,21.6)</v>
      </c>
      <c r="J29" s="33">
        <f t="shared" si="0"/>
        <v>233.31</v>
      </c>
      <c r="K29" s="34" cm="1">
        <f t="array" aca="1" ref="K29" ca="1">_xll.VoseAggregateMC(H29,I29)</f>
        <v>269.96498008276853</v>
      </c>
    </row>
    <row r="30" spans="2:11" x14ac:dyDescent="0.45">
      <c r="B30" s="30" t="s">
        <v>120</v>
      </c>
      <c r="C30" s="26" t="s">
        <v>117</v>
      </c>
      <c r="D30" s="26">
        <v>2</v>
      </c>
      <c r="E30" s="31">
        <v>10.3</v>
      </c>
      <c r="F30" s="31">
        <v>6.2</v>
      </c>
      <c r="G30" s="31">
        <v>10.4</v>
      </c>
      <c r="H30" s="32" t="str" cm="1">
        <f t="array" ref="H30">_xll.VosePoissonObject(E30)</f>
        <v>VosePoisson(10.3)</v>
      </c>
      <c r="I30" s="32" t="str" cm="1">
        <f t="array" ref="I30">_xll.VoseLognormalObject(F30,G30)</f>
        <v>VoseLognormal(6.2,10.4)</v>
      </c>
      <c r="J30" s="33">
        <f t="shared" si="0"/>
        <v>63.860000000000007</v>
      </c>
      <c r="K30" s="34" cm="1">
        <f t="array" aca="1" ref="K30" ca="1">_xll.VoseAggregateMC(H30,I30)</f>
        <v>74.737537217708606</v>
      </c>
    </row>
    <row r="31" spans="2:11" x14ac:dyDescent="0.45">
      <c r="B31" s="30" t="s">
        <v>120</v>
      </c>
      <c r="C31" s="26" t="s">
        <v>117</v>
      </c>
      <c r="D31" s="26">
        <v>3</v>
      </c>
      <c r="E31" s="31">
        <v>21.7</v>
      </c>
      <c r="F31" s="31">
        <v>12.8</v>
      </c>
      <c r="G31" s="31">
        <v>13.7</v>
      </c>
      <c r="H31" s="32" t="str" cm="1">
        <f t="array" ref="H31">_xll.VosePoissonObject(E31)</f>
        <v>VosePoisson(21.7)</v>
      </c>
      <c r="I31" s="32" t="str" cm="1">
        <f t="array" ref="I31">_xll.VoseLognormalObject(F31,G31)</f>
        <v>VoseLognormal(12.8,13.7)</v>
      </c>
      <c r="J31" s="33">
        <f t="shared" si="0"/>
        <v>277.76</v>
      </c>
      <c r="K31" s="34" cm="1">
        <f t="array" aca="1" ref="K31" ca="1">_xll.VoseAggregateMC(H31,I31)</f>
        <v>206.23655595459547</v>
      </c>
    </row>
    <row r="32" spans="2:11" x14ac:dyDescent="0.45">
      <c r="B32" s="30" t="s">
        <v>120</v>
      </c>
      <c r="C32" s="26" t="s">
        <v>117</v>
      </c>
      <c r="D32" s="26">
        <v>4</v>
      </c>
      <c r="E32" s="31">
        <v>0.8</v>
      </c>
      <c r="F32" s="31">
        <v>18.8</v>
      </c>
      <c r="G32" s="31">
        <v>1.5</v>
      </c>
      <c r="H32" s="32" t="str" cm="1">
        <f t="array" ref="H32">_xll.VosePoissonObject(E32)</f>
        <v>VosePoisson(0.8)</v>
      </c>
      <c r="I32" s="32" t="str" cm="1">
        <f t="array" ref="I32">_xll.VoseLognormalObject(F32,G32)</f>
        <v>VoseLognormal(18.8,1.5)</v>
      </c>
      <c r="J32" s="33">
        <f t="shared" si="0"/>
        <v>15.040000000000001</v>
      </c>
      <c r="K32" s="34" cm="1">
        <f t="array" aca="1" ref="K32" ca="1">_xll.VoseAggregateMC(H32,I32)</f>
        <v>37.623686861548961</v>
      </c>
    </row>
    <row r="33" spans="2:11" x14ac:dyDescent="0.45">
      <c r="B33" s="30" t="s">
        <v>120</v>
      </c>
      <c r="C33" s="26" t="s">
        <v>117</v>
      </c>
      <c r="D33" s="26">
        <v>5</v>
      </c>
      <c r="E33" s="31">
        <v>4.2</v>
      </c>
      <c r="F33" s="31">
        <v>15.2</v>
      </c>
      <c r="G33" s="31">
        <v>10.5</v>
      </c>
      <c r="H33" s="32" t="str" cm="1">
        <f t="array" ref="H33">_xll.VosePoissonObject(E33)</f>
        <v>VosePoisson(4.2)</v>
      </c>
      <c r="I33" s="32" t="str" cm="1">
        <f t="array" ref="I33">_xll.VoseLognormalObject(F33,G33)</f>
        <v>VoseLognormal(15.2,10.5)</v>
      </c>
      <c r="J33" s="33">
        <f t="shared" si="0"/>
        <v>63.839999999999996</v>
      </c>
      <c r="K33" s="34" cm="1">
        <f t="array" aca="1" ref="K33" ca="1">_xll.VoseAggregateMC(H33,I33)</f>
        <v>79.889514707941672</v>
      </c>
    </row>
    <row r="34" spans="2:11" x14ac:dyDescent="0.45">
      <c r="B34" s="30" t="s">
        <v>120</v>
      </c>
      <c r="C34" s="26" t="s">
        <v>119</v>
      </c>
      <c r="D34" s="26">
        <v>1</v>
      </c>
      <c r="E34" s="31">
        <v>14.3</v>
      </c>
      <c r="F34" s="31">
        <v>24</v>
      </c>
      <c r="G34" s="31">
        <v>12.6</v>
      </c>
      <c r="H34" s="32" t="str" cm="1">
        <f t="array" ref="H34">_xll.VosePoissonObject(E34)</f>
        <v>VosePoisson(14.3)</v>
      </c>
      <c r="I34" s="32" t="str" cm="1">
        <f t="array" ref="I34">_xll.VoseLognormalObject(F34,G34)</f>
        <v>VoseLognormal(24,12.6)</v>
      </c>
      <c r="J34" s="33">
        <f t="shared" si="0"/>
        <v>343.20000000000005</v>
      </c>
      <c r="K34" s="34" cm="1">
        <f t="array" aca="1" ref="K34" ca="1">_xll.VoseAggregateMC(H34,I34)</f>
        <v>541.14283722041898</v>
      </c>
    </row>
    <row r="35" spans="2:11" x14ac:dyDescent="0.45">
      <c r="B35" s="30" t="s">
        <v>120</v>
      </c>
      <c r="C35" s="26" t="s">
        <v>119</v>
      </c>
      <c r="D35" s="26">
        <v>2</v>
      </c>
      <c r="E35" s="31">
        <v>9.4</v>
      </c>
      <c r="F35" s="31">
        <v>5.0999999999999996</v>
      </c>
      <c r="G35" s="31">
        <v>3.7</v>
      </c>
      <c r="H35" s="32" t="str" cm="1">
        <f t="array" ref="H35">_xll.VosePoissonObject(E35)</f>
        <v>VosePoisson(9.4)</v>
      </c>
      <c r="I35" s="32" t="str" cm="1">
        <f t="array" ref="I35">_xll.VoseLognormalObject(F35,G35)</f>
        <v>VoseLognormal(5.1,3.7)</v>
      </c>
      <c r="J35" s="33">
        <f t="shared" si="0"/>
        <v>47.94</v>
      </c>
      <c r="K35" s="34" cm="1">
        <f t="array" aca="1" ref="K35" ca="1">_xll.VoseAggregateMC(H35,I35)</f>
        <v>47.179389311763359</v>
      </c>
    </row>
    <row r="36" spans="2:11" x14ac:dyDescent="0.45">
      <c r="B36" s="30" t="s">
        <v>120</v>
      </c>
      <c r="C36" s="26" t="s">
        <v>119</v>
      </c>
      <c r="D36" s="26">
        <v>3</v>
      </c>
      <c r="E36" s="31">
        <v>4.2</v>
      </c>
      <c r="F36" s="31">
        <v>14.2</v>
      </c>
      <c r="G36" s="31">
        <v>9.6</v>
      </c>
      <c r="H36" s="32" t="str" cm="1">
        <f t="array" ref="H36">_xll.VosePoissonObject(E36)</f>
        <v>VosePoisson(4.2)</v>
      </c>
      <c r="I36" s="32" t="str" cm="1">
        <f t="array" ref="I36">_xll.VoseLognormalObject(F36,G36)</f>
        <v>VoseLognormal(14.2,9.6)</v>
      </c>
      <c r="J36" s="33">
        <f t="shared" si="0"/>
        <v>59.64</v>
      </c>
      <c r="K36" s="34" cm="1">
        <f t="array" aca="1" ref="K36" ca="1">_xll.VoseAggregateMC(H36,I36)</f>
        <v>61.143807237008176</v>
      </c>
    </row>
    <row r="37" spans="2:11" x14ac:dyDescent="0.45">
      <c r="B37" s="30" t="s">
        <v>120</v>
      </c>
      <c r="C37" s="26" t="s">
        <v>119</v>
      </c>
      <c r="D37" s="26">
        <v>4</v>
      </c>
      <c r="E37" s="31">
        <v>16.7</v>
      </c>
      <c r="F37" s="31">
        <v>6.3</v>
      </c>
      <c r="G37" s="31">
        <v>6.5</v>
      </c>
      <c r="H37" s="32" t="str" cm="1">
        <f t="array" ref="H37">_xll.VosePoissonObject(E37)</f>
        <v>VosePoisson(16.7)</v>
      </c>
      <c r="I37" s="32" t="str" cm="1">
        <f t="array" ref="I37">_xll.VoseLognormalObject(F37,G37)</f>
        <v>VoseLognormal(6.3,6.5)</v>
      </c>
      <c r="J37" s="33">
        <f t="shared" si="0"/>
        <v>105.21</v>
      </c>
      <c r="K37" s="34" cm="1">
        <f t="array" aca="1" ref="K37" ca="1">_xll.VoseAggregateMC(H37,I37)</f>
        <v>113.00116438541329</v>
      </c>
    </row>
    <row r="38" spans="2:11" x14ac:dyDescent="0.45">
      <c r="B38" s="36" t="s">
        <v>120</v>
      </c>
      <c r="C38" s="37" t="s">
        <v>119</v>
      </c>
      <c r="D38" s="37">
        <v>5</v>
      </c>
      <c r="E38" s="38">
        <v>1.3</v>
      </c>
      <c r="F38" s="38">
        <v>8.9</v>
      </c>
      <c r="G38" s="38">
        <v>6.9</v>
      </c>
      <c r="H38" s="39" t="str" cm="1">
        <f t="array" ref="H38">_xll.VosePoissonObject(E38)</f>
        <v>VosePoisson(1.3)</v>
      </c>
      <c r="I38" s="39" t="str" cm="1">
        <f t="array" ref="I38">_xll.VoseLognormalObject(F38,G38)</f>
        <v>VoseLognormal(8.9,6.9)</v>
      </c>
      <c r="J38" s="40">
        <f t="shared" si="0"/>
        <v>11.57</v>
      </c>
      <c r="K38" s="41" cm="1">
        <f t="array" aca="1" ref="K38" ca="1">_xll.VoseAggregateMC(H38,I38)</f>
        <v>6.0980807377869031</v>
      </c>
    </row>
    <row r="39" spans="2:11" x14ac:dyDescent="0.45">
      <c r="B39" s="30" t="s">
        <v>121</v>
      </c>
      <c r="C39" s="26" t="s">
        <v>112</v>
      </c>
      <c r="D39" s="26">
        <v>1</v>
      </c>
      <c r="E39" s="31">
        <v>18.3</v>
      </c>
      <c r="F39" s="31">
        <v>17.3</v>
      </c>
      <c r="G39" s="31">
        <v>7.5</v>
      </c>
      <c r="H39" s="32" t="str" cm="1">
        <f t="array" ref="H39">_xll.VosePoissonObject(E39)</f>
        <v>VosePoisson(18.3)</v>
      </c>
      <c r="I39" s="32" t="str" cm="1">
        <f t="array" ref="I39">_xll.VoseLognormalObject(F39,G39)</f>
        <v>VoseLognormal(17.3,7.5)</v>
      </c>
      <c r="J39" s="33">
        <f t="shared" si="0"/>
        <v>316.59000000000003</v>
      </c>
      <c r="K39" s="34" cm="1">
        <f t="array" aca="1" ref="K39" ca="1">_xll.VoseAggregateMC(H39,I39)</f>
        <v>299.33304142096745</v>
      </c>
    </row>
    <row r="40" spans="2:11" x14ac:dyDescent="0.45">
      <c r="B40" s="30" t="s">
        <v>121</v>
      </c>
      <c r="C40" s="26" t="s">
        <v>112</v>
      </c>
      <c r="D40" s="26">
        <v>2</v>
      </c>
      <c r="E40" s="31">
        <v>47</v>
      </c>
      <c r="F40" s="31">
        <v>1.8</v>
      </c>
      <c r="G40" s="31">
        <v>1.1000000000000001</v>
      </c>
      <c r="H40" s="32" t="str" cm="1">
        <f t="array" ref="H40">_xll.VosePoissonObject(E40)</f>
        <v>VosePoisson(47)</v>
      </c>
      <c r="I40" s="32" t="str" cm="1">
        <f t="array" ref="I40">_xll.VoseLognormalObject(F40,G40)</f>
        <v>VoseLognormal(1.8,1.1)</v>
      </c>
      <c r="J40" s="33">
        <f t="shared" si="0"/>
        <v>84.600000000000009</v>
      </c>
      <c r="K40" s="34" cm="1">
        <f t="array" aca="1" ref="K40" ca="1">_xll.VoseAggregateMC(H40,I40)</f>
        <v>79.135373040998971</v>
      </c>
    </row>
    <row r="41" spans="2:11" x14ac:dyDescent="0.45">
      <c r="B41" s="30" t="s">
        <v>121</v>
      </c>
      <c r="C41" s="26" t="s">
        <v>112</v>
      </c>
      <c r="D41" s="26">
        <v>3</v>
      </c>
      <c r="E41" s="31">
        <v>5.5</v>
      </c>
      <c r="F41" s="31">
        <v>20</v>
      </c>
      <c r="G41" s="31">
        <v>19.8</v>
      </c>
      <c r="H41" s="32" t="str" cm="1">
        <f t="array" ref="H41">_xll.VosePoissonObject(E41)</f>
        <v>VosePoisson(5.5)</v>
      </c>
      <c r="I41" s="32" t="str" cm="1">
        <f t="array" ref="I41">_xll.VoseLognormalObject(F41,G41)</f>
        <v>VoseLognormal(20,19.8)</v>
      </c>
      <c r="J41" s="33">
        <f t="shared" si="0"/>
        <v>110</v>
      </c>
      <c r="K41" s="34" cm="1">
        <f t="array" aca="1" ref="K41" ca="1">_xll.VoseAggregateMC(H41,I41)</f>
        <v>82.4904584376701</v>
      </c>
    </row>
    <row r="42" spans="2:11" x14ac:dyDescent="0.45">
      <c r="B42" s="30" t="s">
        <v>121</v>
      </c>
      <c r="C42" s="26" t="s">
        <v>112</v>
      </c>
      <c r="D42" s="26">
        <v>4</v>
      </c>
      <c r="E42" s="31">
        <v>12</v>
      </c>
      <c r="F42" s="31">
        <v>1.5</v>
      </c>
      <c r="G42" s="31">
        <v>2.2999999999999998</v>
      </c>
      <c r="H42" s="32" t="str" cm="1">
        <f t="array" ref="H42">_xll.VosePoissonObject(E42)</f>
        <v>VosePoisson(12)</v>
      </c>
      <c r="I42" s="32" t="str" cm="1">
        <f t="array" ref="I42">_xll.VoseLognormalObject(F42,G42)</f>
        <v>VoseLognormal(1.5,2.3)</v>
      </c>
      <c r="J42" s="33">
        <f t="shared" si="0"/>
        <v>18</v>
      </c>
      <c r="K42" s="34" cm="1">
        <f t="array" aca="1" ref="K42" ca="1">_xll.VoseAggregateMC(H42,I42)</f>
        <v>5.7961266528890727</v>
      </c>
    </row>
    <row r="43" spans="2:11" x14ac:dyDescent="0.45">
      <c r="B43" s="30" t="s">
        <v>121</v>
      </c>
      <c r="C43" s="26" t="s">
        <v>112</v>
      </c>
      <c r="D43" s="26">
        <v>5</v>
      </c>
      <c r="E43" s="31">
        <v>17.399999999999999</v>
      </c>
      <c r="F43" s="31">
        <v>21.8</v>
      </c>
      <c r="G43" s="31">
        <v>8.6</v>
      </c>
      <c r="H43" s="32" t="str" cm="1">
        <f t="array" ref="H43">_xll.VosePoissonObject(E43)</f>
        <v>VosePoisson(17.4)</v>
      </c>
      <c r="I43" s="32" t="str" cm="1">
        <f t="array" ref="I43">_xll.VoseLognormalObject(F43,G43)</f>
        <v>VoseLognormal(21.8,8.6)</v>
      </c>
      <c r="J43" s="33">
        <f t="shared" si="0"/>
        <v>379.32</v>
      </c>
      <c r="K43" s="34" cm="1">
        <f t="array" aca="1" ref="K43" ca="1">_xll.VoseAggregateMC(H43,I43)</f>
        <v>332.33103787349182</v>
      </c>
    </row>
    <row r="44" spans="2:11" x14ac:dyDescent="0.45">
      <c r="B44" s="30" t="s">
        <v>121</v>
      </c>
      <c r="C44" s="26" t="s">
        <v>117</v>
      </c>
      <c r="D44" s="26">
        <v>1</v>
      </c>
      <c r="E44" s="31">
        <v>5.6</v>
      </c>
      <c r="F44" s="31">
        <v>5.6</v>
      </c>
      <c r="G44" s="31">
        <v>9.3000000000000007</v>
      </c>
      <c r="H44" s="32" t="str" cm="1">
        <f t="array" ref="H44">_xll.VosePoissonObject(E44)</f>
        <v>VosePoisson(5.6)</v>
      </c>
      <c r="I44" s="32" t="str" cm="1">
        <f t="array" ref="I44">_xll.VoseLognormalObject(F44,G44)</f>
        <v>VoseLognormal(5.6,9.3)</v>
      </c>
      <c r="J44" s="33">
        <f t="shared" si="0"/>
        <v>31.359999999999996</v>
      </c>
      <c r="K44" s="34" cm="1">
        <f t="array" aca="1" ref="K44" ca="1">_xll.VoseAggregateMC(H44,I44)</f>
        <v>46.244341504808816</v>
      </c>
    </row>
    <row r="45" spans="2:11" x14ac:dyDescent="0.45">
      <c r="B45" s="30" t="s">
        <v>121</v>
      </c>
      <c r="C45" s="26" t="s">
        <v>117</v>
      </c>
      <c r="D45" s="26">
        <v>2</v>
      </c>
      <c r="E45" s="31">
        <v>16.100000000000001</v>
      </c>
      <c r="F45" s="31">
        <v>23.4</v>
      </c>
      <c r="G45" s="31">
        <v>32.5</v>
      </c>
      <c r="H45" s="32" t="str" cm="1">
        <f t="array" ref="H45">_xll.VosePoissonObject(E45)</f>
        <v>VosePoisson(16.1)</v>
      </c>
      <c r="I45" s="32" t="str" cm="1">
        <f t="array" ref="I45">_xll.VoseLognormalObject(F45,G45)</f>
        <v>VoseLognormal(23.4,32.5)</v>
      </c>
      <c r="J45" s="33">
        <f t="shared" si="0"/>
        <v>376.74</v>
      </c>
      <c r="K45" s="34" cm="1">
        <f t="array" aca="1" ref="K45" ca="1">_xll.VoseAggregateMC(H45,I45)</f>
        <v>210.37599801715629</v>
      </c>
    </row>
    <row r="46" spans="2:11" x14ac:dyDescent="0.45">
      <c r="B46" s="30" t="s">
        <v>121</v>
      </c>
      <c r="C46" s="26" t="s">
        <v>117</v>
      </c>
      <c r="D46" s="26">
        <v>3</v>
      </c>
      <c r="E46" s="31">
        <v>9.8000000000000007</v>
      </c>
      <c r="F46" s="31">
        <v>5.2</v>
      </c>
      <c r="G46" s="31">
        <v>13.9</v>
      </c>
      <c r="H46" s="32" t="str" cm="1">
        <f t="array" ref="H46">_xll.VosePoissonObject(E46)</f>
        <v>VosePoisson(9.8)</v>
      </c>
      <c r="I46" s="32" t="str" cm="1">
        <f t="array" ref="I46">_xll.VoseLognormalObject(F46,G46)</f>
        <v>VoseLognormal(5.2,13.9)</v>
      </c>
      <c r="J46" s="33">
        <f t="shared" si="0"/>
        <v>50.960000000000008</v>
      </c>
      <c r="K46" s="34" cm="1">
        <f t="array" aca="1" ref="K46" ca="1">_xll.VoseAggregateMC(H46,I46)</f>
        <v>20.696240773769063</v>
      </c>
    </row>
    <row r="47" spans="2:11" x14ac:dyDescent="0.45">
      <c r="B47" s="30" t="s">
        <v>121</v>
      </c>
      <c r="C47" s="26" t="s">
        <v>117</v>
      </c>
      <c r="D47" s="26">
        <v>4</v>
      </c>
      <c r="E47" s="31">
        <v>12.3</v>
      </c>
      <c r="F47" s="31">
        <v>16.100000000000001</v>
      </c>
      <c r="G47" s="31">
        <v>10.1</v>
      </c>
      <c r="H47" s="32" t="str" cm="1">
        <f t="array" ref="H47">_xll.VosePoissonObject(E47)</f>
        <v>VosePoisson(12.3)</v>
      </c>
      <c r="I47" s="32" t="str" cm="1">
        <f t="array" ref="I47">_xll.VoseLognormalObject(F47,G47)</f>
        <v>VoseLognormal(16.1,10.1)</v>
      </c>
      <c r="J47" s="33">
        <f t="shared" si="0"/>
        <v>198.03000000000003</v>
      </c>
      <c r="K47" s="34" cm="1">
        <f t="array" aca="1" ref="K47" ca="1">_xll.VoseAggregateMC(H47,I47)</f>
        <v>224.66363300674311</v>
      </c>
    </row>
    <row r="48" spans="2:11" x14ac:dyDescent="0.45">
      <c r="B48" s="30" t="s">
        <v>121</v>
      </c>
      <c r="C48" s="26" t="s">
        <v>117</v>
      </c>
      <c r="D48" s="26">
        <v>5</v>
      </c>
      <c r="E48" s="31">
        <v>24</v>
      </c>
      <c r="F48" s="31">
        <v>15.2</v>
      </c>
      <c r="G48" s="31">
        <v>38.4</v>
      </c>
      <c r="H48" s="32" t="str" cm="1">
        <f t="array" ref="H48">_xll.VosePoissonObject(E48)</f>
        <v>VosePoisson(24)</v>
      </c>
      <c r="I48" s="32" t="str" cm="1">
        <f t="array" ref="I48">_xll.VoseLognormalObject(F48,G48)</f>
        <v>VoseLognormal(15.2,38.4)</v>
      </c>
      <c r="J48" s="33">
        <f t="shared" si="0"/>
        <v>364.79999999999995</v>
      </c>
      <c r="K48" s="34" cm="1">
        <f t="array" aca="1" ref="K48" ca="1">_xll.VoseAggregateMC(H48,I48)</f>
        <v>110.21292575244438</v>
      </c>
    </row>
    <row r="49" spans="2:11" x14ac:dyDescent="0.45">
      <c r="B49" s="30" t="s">
        <v>121</v>
      </c>
      <c r="C49" s="26" t="s">
        <v>119</v>
      </c>
      <c r="D49" s="26">
        <v>1</v>
      </c>
      <c r="E49" s="31">
        <v>17.3</v>
      </c>
      <c r="F49" s="31">
        <v>56.6</v>
      </c>
      <c r="G49" s="31">
        <v>38.200000000000003</v>
      </c>
      <c r="H49" s="32" t="str" cm="1">
        <f t="array" ref="H49">_xll.VosePoissonObject(E49)</f>
        <v>VosePoisson(17.3)</v>
      </c>
      <c r="I49" s="32" t="str" cm="1">
        <f t="array" ref="I49">_xll.VoseLognormalObject(F49,G49)</f>
        <v>VoseLognormal(56.6,38.2)</v>
      </c>
      <c r="J49" s="33">
        <f t="shared" si="0"/>
        <v>979.18000000000006</v>
      </c>
      <c r="K49" s="34" cm="1">
        <f t="array" aca="1" ref="K49" ca="1">_xll.VoseAggregateMC(H49,I49)</f>
        <v>1345.1436517859529</v>
      </c>
    </row>
    <row r="50" spans="2:11" x14ac:dyDescent="0.45">
      <c r="B50" s="30" t="s">
        <v>121</v>
      </c>
      <c r="C50" s="26" t="s">
        <v>119</v>
      </c>
      <c r="D50" s="26">
        <v>2</v>
      </c>
      <c r="E50" s="31">
        <v>12.1</v>
      </c>
      <c r="F50" s="31">
        <v>18.2</v>
      </c>
      <c r="G50" s="31">
        <v>11.6</v>
      </c>
      <c r="H50" s="32" t="str" cm="1">
        <f t="array" ref="H50">_xll.VosePoissonObject(E50)</f>
        <v>VosePoisson(12.1)</v>
      </c>
      <c r="I50" s="32" t="str" cm="1">
        <f t="array" ref="I50">_xll.VoseLognormalObject(F50,G50)</f>
        <v>VoseLognormal(18.2,11.6)</v>
      </c>
      <c r="J50" s="33">
        <f t="shared" si="0"/>
        <v>220.22</v>
      </c>
      <c r="K50" s="34" cm="1">
        <f t="array" aca="1" ref="K50" ca="1">_xll.VoseAggregateMC(H50,I50)</f>
        <v>148.69036303105054</v>
      </c>
    </row>
    <row r="51" spans="2:11" x14ac:dyDescent="0.45">
      <c r="B51" s="30" t="s">
        <v>121</v>
      </c>
      <c r="C51" s="26" t="s">
        <v>119</v>
      </c>
      <c r="D51" s="26">
        <v>3</v>
      </c>
      <c r="E51" s="31">
        <v>10.1</v>
      </c>
      <c r="F51" s="31">
        <v>1.2</v>
      </c>
      <c r="G51" s="31">
        <v>0.7</v>
      </c>
      <c r="H51" s="32" t="str" cm="1">
        <f t="array" ref="H51">_xll.VosePoissonObject(E51)</f>
        <v>VosePoisson(10.1)</v>
      </c>
      <c r="I51" s="32" t="str" cm="1">
        <f t="array" ref="I51">_xll.VoseLognormalObject(F51,G51)</f>
        <v>VoseLognormal(1.2,0.7)</v>
      </c>
      <c r="J51" s="33">
        <f t="shared" si="0"/>
        <v>12.12</v>
      </c>
      <c r="K51" s="34" cm="1">
        <f t="array" aca="1" ref="K51" ca="1">_xll.VoseAggregateMC(H51,I51)</f>
        <v>16.736982361235651</v>
      </c>
    </row>
    <row r="52" spans="2:11" x14ac:dyDescent="0.45">
      <c r="B52" s="30" t="s">
        <v>121</v>
      </c>
      <c r="C52" s="26" t="s">
        <v>119</v>
      </c>
      <c r="D52" s="26">
        <v>4</v>
      </c>
      <c r="E52" s="31">
        <v>11.4</v>
      </c>
      <c r="F52" s="31">
        <v>13</v>
      </c>
      <c r="G52" s="31">
        <v>19</v>
      </c>
      <c r="H52" s="32" t="str" cm="1">
        <f t="array" ref="H52">_xll.VosePoissonObject(E52)</f>
        <v>VosePoisson(11.4)</v>
      </c>
      <c r="I52" s="32" t="str" cm="1">
        <f t="array" ref="I52">_xll.VoseLognormalObject(F52,G52)</f>
        <v>VoseLognormal(13,19)</v>
      </c>
      <c r="J52" s="33">
        <f t="shared" si="0"/>
        <v>148.20000000000002</v>
      </c>
      <c r="K52" s="34" cm="1">
        <f t="array" aca="1" ref="K52" ca="1">_xll.VoseAggregateMC(H52,I52)</f>
        <v>779.6262291626648</v>
      </c>
    </row>
    <row r="53" spans="2:11" x14ac:dyDescent="0.45">
      <c r="B53" s="30" t="s">
        <v>121</v>
      </c>
      <c r="C53" s="26" t="s">
        <v>119</v>
      </c>
      <c r="D53" s="26">
        <v>5</v>
      </c>
      <c r="E53" s="31">
        <v>5.7</v>
      </c>
      <c r="F53" s="31">
        <v>22.8</v>
      </c>
      <c r="G53" s="31">
        <v>17.399999999999999</v>
      </c>
      <c r="H53" s="32" t="str" cm="1">
        <f t="array" ref="H53">_xll.VosePoissonObject(E53)</f>
        <v>VosePoisson(5.7)</v>
      </c>
      <c r="I53" s="32" t="str" cm="1">
        <f t="array" ref="I53">_xll.VoseLognormalObject(F53,G53)</f>
        <v>VoseLognormal(22.8,17.4)</v>
      </c>
      <c r="J53" s="33">
        <f t="shared" si="0"/>
        <v>129.96</v>
      </c>
      <c r="K53" s="34" cm="1">
        <f t="array" aca="1" ref="K53" ca="1">_xll.VoseAggregateMC(H53,I53)</f>
        <v>152.62605166621893</v>
      </c>
    </row>
    <row r="54" spans="2:11" x14ac:dyDescent="0.45">
      <c r="B54" s="42" t="s">
        <v>122</v>
      </c>
      <c r="C54" s="43"/>
      <c r="D54" s="43"/>
      <c r="E54" s="44">
        <f>SUM(E9:E53)</f>
        <v>635.09999999999991</v>
      </c>
      <c r="F54" s="43"/>
      <c r="G54" s="43"/>
      <c r="H54" s="43"/>
      <c r="I54" s="43"/>
      <c r="J54" s="44">
        <f>SUM(J9:J53)</f>
        <v>8289.65</v>
      </c>
      <c r="K54" s="44">
        <f ca="1">SUM(K9:K53)</f>
        <v>8837.2351561431187</v>
      </c>
    </row>
  </sheetData>
  <hyperlinks>
    <hyperlink ref="B4" location="'Inputs'!A1" display="◂  Inputs" xr:uid="{00000000-0004-0000-0200-000000000000}"/>
    <hyperlink ref="M4" location="'Capital'!A1" display="Next:  Capital  ▸" xr:uid="{00000000-0004-0000-0200-000001000000}"/>
  </hyperlinks>
  <printOptions horizontalCentered="1"/>
  <pageMargins left="0.4" right="0.4" top="0.5" bottom="0.6" header="0.25" footer="0.25"/>
  <pageSetup paperSize="9" scale="71"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AA0BA"/>
    <pageSetUpPr fitToPage="1"/>
  </sheetPr>
  <dimension ref="A1:H45"/>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50" customWidth="1"/>
    <col min="3" max="6" width="14" customWidth="1"/>
    <col min="7" max="7" width="3" customWidth="1"/>
    <col min="8" max="8" width="76"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123</v>
      </c>
      <c r="C3" s="1"/>
      <c r="D3" s="1"/>
      <c r="E3" s="1"/>
      <c r="F3" s="1"/>
      <c r="G3" s="1"/>
      <c r="H3" s="1"/>
    </row>
    <row r="4" spans="1:8" ht="20" customHeight="1" x14ac:dyDescent="0.45">
      <c r="A4" s="5"/>
      <c r="B4" s="22" t="s">
        <v>124</v>
      </c>
      <c r="C4" s="5"/>
      <c r="D4" s="5"/>
      <c r="E4" s="5"/>
      <c r="F4" s="5"/>
      <c r="G4" s="5"/>
      <c r="H4" s="6" t="s">
        <v>125</v>
      </c>
    </row>
    <row r="5" spans="1:8" ht="8" customHeight="1" x14ac:dyDescent="0.45"/>
    <row r="6" spans="1:8" ht="22.05" customHeight="1" x14ac:dyDescent="0.5">
      <c r="B6" s="7" t="s">
        <v>126</v>
      </c>
      <c r="C6" s="8"/>
      <c r="D6" s="8"/>
      <c r="E6" s="8"/>
      <c r="F6" s="8"/>
    </row>
    <row r="7" spans="1:8" ht="18" customHeight="1" x14ac:dyDescent="0.45">
      <c r="B7" s="13" t="s">
        <v>127</v>
      </c>
    </row>
    <row r="8" spans="1:8" x14ac:dyDescent="0.45">
      <c r="B8" s="25" t="s">
        <v>128</v>
      </c>
      <c r="C8" s="32" t="str">
        <f t="array" ref="C8">_xll.VoseAggregateMultiFFTObject(FreqObjs,SevObjs)</f>
        <v>VoseAggregateMultiFFT('[GU-24 Operational risk capital FFT.xlsx]Cells'!H9:H53,'[GU-24 Operational risk capital FFT.xlsx]Cells'!I9:I53)</v>
      </c>
      <c r="D8" s="28"/>
      <c r="E8" s="28"/>
      <c r="F8" s="28"/>
    </row>
    <row r="9" spans="1:8" x14ac:dyDescent="0.45">
      <c r="B9" s="25" t="s">
        <v>129</v>
      </c>
      <c r="C9" s="33" cm="1">
        <f t="array" ref="C9">_xll.VoseAggregateMultiFFT(FreqObjs,SevObjs,0.99)</f>
        <v>9876.3752540094283</v>
      </c>
      <c r="D9" s="28"/>
      <c r="E9" s="28"/>
      <c r="F9" s="28"/>
    </row>
    <row r="10" spans="1:8" x14ac:dyDescent="0.45">
      <c r="B10" s="25" t="s">
        <v>130</v>
      </c>
      <c r="C10" s="33" cm="1">
        <f t="array" ref="C10">_xll.VoseAggregateMultiFFT(FreqObjs,SevObjs,Pctl)</f>
        <v>10705.223919797625</v>
      </c>
      <c r="D10" s="28"/>
      <c r="E10" s="28"/>
      <c r="F10" s="28"/>
      <c r="H10" s="35" t="s">
        <v>131</v>
      </c>
    </row>
    <row r="11" spans="1:8" x14ac:dyDescent="0.45">
      <c r="B11" s="25" t="s">
        <v>132</v>
      </c>
      <c r="C11" s="33" cm="1">
        <f t="array" ref="C11">_xll.VoseMean(FFTObj)</f>
        <v>8372.7284478645488</v>
      </c>
      <c r="D11" s="28"/>
      <c r="E11" s="28"/>
      <c r="F11" s="28"/>
    </row>
    <row r="12" spans="1:8" x14ac:dyDescent="0.45">
      <c r="B12" s="25" t="s">
        <v>133</v>
      </c>
      <c r="C12" s="33">
        <f>ExpLoss</f>
        <v>8289.65</v>
      </c>
      <c r="D12" s="28"/>
      <c r="E12" s="28"/>
      <c r="F12" s="28"/>
      <c r="H12" s="35" t="s">
        <v>134</v>
      </c>
    </row>
    <row r="13" spans="1:8" x14ac:dyDescent="0.45">
      <c r="B13" s="25" t="s">
        <v>135</v>
      </c>
      <c r="C13" s="33">
        <f>FFTMean-ExpLoss</f>
        <v>83.078447864549162</v>
      </c>
      <c r="D13" s="28"/>
      <c r="E13" s="28"/>
      <c r="F13" s="28"/>
      <c r="H13" s="35" t="s">
        <v>136</v>
      </c>
    </row>
    <row r="14" spans="1:8" x14ac:dyDescent="0.45">
      <c r="B14" s="25" t="s">
        <v>137</v>
      </c>
      <c r="C14" s="33">
        <f>SQRT(SUMPRODUCT(Lambdas,SevSDs^2+SevMeans^2))</f>
        <v>583.21363238525203</v>
      </c>
      <c r="D14" s="28"/>
      <c r="E14" s="28"/>
      <c r="F14" s="28"/>
      <c r="H14" s="35" t="s">
        <v>138</v>
      </c>
    </row>
    <row r="15" spans="1:8" x14ac:dyDescent="0.45">
      <c r="B15" s="45" t="s">
        <v>139</v>
      </c>
      <c r="C15" s="46">
        <f>PReq-FFTMean</f>
        <v>2332.4954719330763</v>
      </c>
      <c r="D15" s="28"/>
      <c r="E15" s="28"/>
      <c r="F15" s="28"/>
      <c r="H15" s="35" t="s">
        <v>140</v>
      </c>
    </row>
    <row r="16" spans="1:8" x14ac:dyDescent="0.45">
      <c r="B16" s="25" t="s">
        <v>141</v>
      </c>
      <c r="C16" s="33">
        <f>PReq-ExpLoss</f>
        <v>2415.5739197976254</v>
      </c>
      <c r="D16" s="28"/>
      <c r="E16" s="28"/>
      <c r="F16" s="28"/>
      <c r="H16" s="35" t="s">
        <v>142</v>
      </c>
    </row>
    <row r="17" spans="2:8" ht="8" customHeight="1" x14ac:dyDescent="0.45"/>
    <row r="18" spans="2:8" ht="22.05" customHeight="1" x14ac:dyDescent="0.5">
      <c r="B18" s="7" t="s">
        <v>143</v>
      </c>
      <c r="C18" s="8"/>
      <c r="D18" s="8"/>
      <c r="E18" s="8"/>
      <c r="F18" s="8"/>
    </row>
    <row r="19" spans="2:8" ht="18" customHeight="1" x14ac:dyDescent="0.45">
      <c r="B19" s="13" t="s">
        <v>144</v>
      </c>
    </row>
    <row r="20" spans="2:8" ht="18" customHeight="1" x14ac:dyDescent="0.45">
      <c r="B20" s="23" t="s">
        <v>101</v>
      </c>
      <c r="C20" s="23" t="s">
        <v>145</v>
      </c>
      <c r="D20" s="24" t="s">
        <v>146</v>
      </c>
      <c r="E20" s="24" t="s">
        <v>147</v>
      </c>
      <c r="F20" s="24" t="s">
        <v>43</v>
      </c>
    </row>
    <row r="21" spans="2:8" x14ac:dyDescent="0.45">
      <c r="B21" s="45" t="s">
        <v>111</v>
      </c>
      <c r="C21" s="32" t="str">
        <f t="array" ref="C21">_xll.VoseAggregateMultiFFTObject(Freq_T1,Sev_T1)</f>
        <v>VoseAggregateMultiFFT('[GU-24 Operational risk capital FFT.xlsx]Cells'!H9:H23,'[GU-24 Operational risk capital FFT.xlsx]Cells'!I9:I23)</v>
      </c>
      <c r="D21" s="33" cm="1">
        <f t="array" ref="D21">_xll.VoseAggregateMultiFFT(Freq_T1,Sev_T1,Pctl)</f>
        <v>4519.9030675274589</v>
      </c>
      <c r="E21" s="33" cm="1">
        <f t="array" ref="E21">_xll.VoseMean(FFTObj_T1)</f>
        <v>2911.7282455812015</v>
      </c>
      <c r="F21" s="33">
        <f>D21-E21</f>
        <v>1608.1748219462575</v>
      </c>
      <c r="H21" s="35" t="s">
        <v>148</v>
      </c>
    </row>
    <row r="22" spans="2:8" x14ac:dyDescent="0.45">
      <c r="B22" s="45" t="s">
        <v>120</v>
      </c>
      <c r="C22" s="32" t="str">
        <f t="array" ref="C22">_xll.VoseAggregateMultiFFTObject(Freq_T2,Sev_T2)</f>
        <v>VoseAggregateMultiFFT('[GU-24 Operational risk capital FFT.xlsx]Cells'!H24:H38,'[GU-24 Operational risk capital FFT.xlsx]Cells'!I24:I38)</v>
      </c>
      <c r="D22" s="33" cm="1">
        <f t="array" ref="D22">_xll.VoseAggregateMultiFFT(Freq_T2,Sev_T2,Pctl)</f>
        <v>2759.0072524456991</v>
      </c>
      <c r="E22" s="33" cm="1">
        <f t="array" ref="E22">_xll.VoseMean(FFTObj_T2)</f>
        <v>2001.8682918474724</v>
      </c>
      <c r="F22" s="33">
        <f>D22-E22</f>
        <v>757.13896059822673</v>
      </c>
    </row>
    <row r="23" spans="2:8" x14ac:dyDescent="0.45">
      <c r="B23" s="45" t="s">
        <v>121</v>
      </c>
      <c r="C23" s="32" t="str">
        <f t="array" ref="C23">_xll.VoseAggregateMultiFFTObject(Freq_T3,Sev_T3)</f>
        <v>VoseAggregateMultiFFT('[GU-24 Operational risk capital FFT.xlsx]Cells'!H39:H53,'[GU-24 Operational risk capital FFT.xlsx]Cells'!I39:I53)</v>
      </c>
      <c r="D23" s="33" cm="1">
        <f t="array" ref="D23">_xll.VoseAggregateMultiFFT(Freq_T3,Sev_T3,Pctl)</f>
        <v>5301.4124038366881</v>
      </c>
      <c r="E23" s="33" cm="1">
        <f t="array" ref="E23">_xll.VoseMean(FFTObj_T3)</f>
        <v>3459.1133716444119</v>
      </c>
      <c r="F23" s="33">
        <f>D23-E23</f>
        <v>1842.2990321922762</v>
      </c>
    </row>
    <row r="24" spans="2:8" x14ac:dyDescent="0.45">
      <c r="B24" s="42" t="s">
        <v>149</v>
      </c>
      <c r="C24" s="43"/>
      <c r="D24" s="43"/>
      <c r="E24" s="43"/>
      <c r="F24" s="47">
        <f>SUM(F21:F23)</f>
        <v>4207.6128147367599</v>
      </c>
      <c r="H24" s="35" t="s">
        <v>150</v>
      </c>
    </row>
    <row r="25" spans="2:8" x14ac:dyDescent="0.45">
      <c r="B25" s="25" t="s">
        <v>151</v>
      </c>
      <c r="C25" s="28"/>
      <c r="D25" s="28"/>
      <c r="E25" s="28"/>
      <c r="F25" s="33">
        <f>CapTotal</f>
        <v>2332.4954719330763</v>
      </c>
    </row>
    <row r="26" spans="2:8" x14ac:dyDescent="0.45">
      <c r="B26" s="45" t="s">
        <v>61</v>
      </c>
      <c r="C26" s="28"/>
      <c r="D26" s="28"/>
      <c r="E26" s="28"/>
      <c r="F26" s="48">
        <f>1-CapTotal/CapSum</f>
        <v>0.44564873845717579</v>
      </c>
      <c r="H26" s="35" t="s">
        <v>152</v>
      </c>
    </row>
    <row r="27" spans="2:8" ht="8" customHeight="1" x14ac:dyDescent="0.45"/>
    <row r="28" spans="2:8" ht="22.05" customHeight="1" x14ac:dyDescent="0.5">
      <c r="B28" s="7" t="s">
        <v>153</v>
      </c>
      <c r="C28" s="8"/>
      <c r="D28" s="8"/>
      <c r="E28" s="8"/>
      <c r="F28" s="8"/>
    </row>
    <row r="29" spans="2:8" ht="18" customHeight="1" x14ac:dyDescent="0.45">
      <c r="B29" s="13" t="s">
        <v>154</v>
      </c>
    </row>
    <row r="30" spans="2:8" x14ac:dyDescent="0.45">
      <c r="B30" s="25" t="s">
        <v>155</v>
      </c>
      <c r="C30" s="34" cm="1">
        <f t="array" aca="1" ref="C30" ca="1">_xll.VoseAggregateMultiFFT(FreqObjs,SevObjs)</f>
        <v>7679.6048973965871</v>
      </c>
      <c r="D30" s="28"/>
      <c r="E30" s="28"/>
      <c r="F30" s="28"/>
      <c r="H30" s="35" t="s">
        <v>156</v>
      </c>
    </row>
    <row r="31" spans="2:8" x14ac:dyDescent="0.45">
      <c r="B31" s="25" t="s">
        <v>157</v>
      </c>
      <c r="C31" s="33">
        <f ca="1">MCTotal</f>
        <v>8837.2351561431187</v>
      </c>
      <c r="D31" s="28"/>
      <c r="E31" s="28"/>
      <c r="F31" s="28"/>
    </row>
    <row r="32" spans="2:8" ht="8" customHeight="1" x14ac:dyDescent="0.45"/>
    <row r="33" spans="2:8" ht="22.05" customHeight="1" x14ac:dyDescent="0.5">
      <c r="B33" s="7" t="s">
        <v>158</v>
      </c>
      <c r="C33" s="8"/>
      <c r="D33" s="8"/>
      <c r="E33" s="8"/>
      <c r="F33" s="8"/>
    </row>
    <row r="34" spans="2:8" ht="18" customHeight="1" x14ac:dyDescent="0.45">
      <c r="B34" s="13" t="s">
        <v>159</v>
      </c>
    </row>
    <row r="35" spans="2:8" ht="18" customHeight="1" x14ac:dyDescent="0.45">
      <c r="B35" s="49" t="s">
        <v>160</v>
      </c>
      <c r="C35" s="49" t="s">
        <v>89</v>
      </c>
      <c r="D35" s="50" t="s">
        <v>161</v>
      </c>
      <c r="E35" s="5"/>
      <c r="F35" s="5"/>
      <c r="H35" s="51" t="s">
        <v>162</v>
      </c>
    </row>
    <row r="36" spans="2:8" x14ac:dyDescent="0.45">
      <c r="B36" s="25" t="s">
        <v>163</v>
      </c>
      <c r="C36" s="26" t="s">
        <v>164</v>
      </c>
      <c r="D36" s="52" cm="1">
        <f t="array" aca="1" ref="D36" ca="1">_xll.VoseOutput("Total loss, FFT","loss")+C30</f>
        <v>7679.6048973965871</v>
      </c>
      <c r="E36" s="28"/>
      <c r="F36" s="28"/>
      <c r="H36" s="35"/>
    </row>
    <row r="37" spans="2:8" x14ac:dyDescent="0.45">
      <c r="B37" s="25" t="s">
        <v>165</v>
      </c>
      <c r="C37" s="26" t="s">
        <v>164</v>
      </c>
      <c r="D37" s="52" cm="1">
        <f t="array" aca="1" ref="D37" ca="1">_xll.VoseOutput("Total loss, cell by cell","loss")+C31</f>
        <v>8837.2351561431187</v>
      </c>
      <c r="E37" s="28"/>
      <c r="F37" s="28"/>
      <c r="H37" s="35"/>
    </row>
    <row r="38" spans="2:8" ht="8" customHeight="1" x14ac:dyDescent="0.45"/>
    <row r="39" spans="2:8" ht="22.05" customHeight="1" x14ac:dyDescent="0.5">
      <c r="B39" s="7" t="s">
        <v>166</v>
      </c>
      <c r="C39" s="8"/>
      <c r="D39" s="8"/>
      <c r="E39" s="8"/>
      <c r="F39" s="8"/>
    </row>
    <row r="40" spans="2:8" ht="18" customHeight="1" x14ac:dyDescent="0.45">
      <c r="B40" s="13" t="s">
        <v>167</v>
      </c>
    </row>
    <row r="41" spans="2:8" x14ac:dyDescent="0.45">
      <c r="B41" s="25" t="s">
        <v>168</v>
      </c>
      <c r="C41" s="28"/>
      <c r="D41" s="53" t="str">
        <f>IF(MIN(Lambdas)&gt;=0,"OK","CHECK")</f>
        <v>OK</v>
      </c>
      <c r="E41" s="28"/>
      <c r="F41" s="28"/>
    </row>
    <row r="42" spans="2:8" x14ac:dyDescent="0.45">
      <c r="B42" s="25" t="s">
        <v>169</v>
      </c>
      <c r="C42" s="28"/>
      <c r="D42" s="53" t="str">
        <f>IF(AND(MIN(SevMeans)&gt;0,MIN(SevSDs)&gt;0),"OK","CHECK")</f>
        <v>OK</v>
      </c>
      <c r="E42" s="28"/>
      <c r="F42" s="28"/>
    </row>
    <row r="43" spans="2:8" x14ac:dyDescent="0.45">
      <c r="B43" s="25" t="s">
        <v>170</v>
      </c>
      <c r="C43" s="28"/>
      <c r="D43" s="53" t="str">
        <f>IF(AND(Pctl&gt;=0.9,Pctl&lt;=0.9999),"OK","CHECK")</f>
        <v>OK</v>
      </c>
      <c r="E43" s="28"/>
      <c r="F43" s="28"/>
    </row>
    <row r="44" spans="2:8" x14ac:dyDescent="0.45">
      <c r="B44" s="25" t="s">
        <v>171</v>
      </c>
      <c r="C44" s="28"/>
      <c r="D44" s="53" t="str">
        <f>IF(PReq&gt;ExpLoss,"OK","CHECK")</f>
        <v>OK</v>
      </c>
      <c r="E44" s="28"/>
      <c r="F44" s="28"/>
    </row>
    <row r="45" spans="2:8" ht="14" customHeight="1" x14ac:dyDescent="0.45"/>
  </sheetData>
  <conditionalFormatting sqref="D41:D44">
    <cfRule type="expression" dxfId="4" priority="1">
      <formula>D41="CHECK"</formula>
    </cfRule>
  </conditionalFormatting>
  <hyperlinks>
    <hyperlink ref="B4" location="'Cells'!A1" display="◂  Cells" xr:uid="{00000000-0004-0000-0300-000000000000}"/>
    <hyperlink ref="H4" location="'Results'!A1" display="Next:  Results  ▸" xr:uid="{00000000-0004-0000-0300-000001000000}"/>
  </hyperlinks>
  <printOptions horizontalCentered="1"/>
  <pageMargins left="0.4" right="0.4" top="0.5" bottom="0.6" header="0.25" footer="0.25"/>
  <pageSetup paperSize="9" scale="74"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15803D"/>
    <outlinePr summaryBelow="0"/>
    <pageSetUpPr fitToPage="1"/>
  </sheetPr>
  <dimension ref="A1:R23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19"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172</v>
      </c>
      <c r="C3" s="1"/>
      <c r="D3" s="1"/>
      <c r="E3" s="1"/>
      <c r="F3" s="1"/>
      <c r="G3" s="1"/>
      <c r="H3" s="1"/>
      <c r="I3" s="1"/>
      <c r="J3" s="1"/>
      <c r="K3" s="1"/>
      <c r="L3" s="1"/>
      <c r="M3" s="1"/>
      <c r="N3" s="1"/>
      <c r="O3" s="1"/>
      <c r="P3" s="1"/>
      <c r="Q3" s="1"/>
      <c r="R3" s="1"/>
    </row>
    <row r="4" spans="1:18" ht="20" customHeight="1" x14ac:dyDescent="0.45">
      <c r="A4" s="5"/>
      <c r="B4" s="22" t="s">
        <v>173</v>
      </c>
      <c r="C4" s="5"/>
      <c r="D4" s="5"/>
      <c r="E4" s="5"/>
      <c r="F4" s="5"/>
      <c r="G4" s="5"/>
      <c r="H4" s="5"/>
      <c r="I4" s="5"/>
      <c r="J4" s="5"/>
      <c r="K4" s="5"/>
      <c r="L4" s="5"/>
      <c r="M4" s="5"/>
      <c r="N4" s="5"/>
      <c r="O4" s="5"/>
      <c r="P4" s="5"/>
      <c r="Q4" s="5"/>
      <c r="R4" s="5"/>
    </row>
    <row r="5" spans="1:18" ht="8" customHeight="1" x14ac:dyDescent="0.45"/>
    <row r="6" spans="1:18" ht="26" customHeight="1" x14ac:dyDescent="0.45">
      <c r="B6" s="54" t="str" cm="1">
        <f t="array" aca="1" ref="B6" ca="1">IF(ISNUMBER(_xll.VoseSimMean(Tot_FFT)),"✔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5"/>
      <c r="D6" s="55"/>
      <c r="E6" s="55"/>
      <c r="F6" s="55"/>
      <c r="G6" s="55"/>
    </row>
    <row r="7" spans="1:18" x14ac:dyDescent="0.45">
      <c r="B7" s="35"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174</v>
      </c>
      <c r="C9" s="8"/>
      <c r="D9" s="8"/>
      <c r="E9" s="8"/>
      <c r="F9" s="8"/>
      <c r="G9" s="8"/>
      <c r="I9" s="56" t="s">
        <v>175</v>
      </c>
      <c r="J9" s="8"/>
      <c r="K9" s="8"/>
      <c r="L9" s="8"/>
      <c r="M9" s="8"/>
      <c r="N9" s="8"/>
      <c r="O9" s="8"/>
      <c r="P9" s="8"/>
      <c r="Q9" s="8"/>
      <c r="R9" s="8"/>
    </row>
    <row r="10" spans="1:18" ht="18" customHeight="1" x14ac:dyDescent="0.45">
      <c r="B10" s="13" t="s">
        <v>176</v>
      </c>
    </row>
    <row r="11" spans="1:18" ht="30" customHeight="1" x14ac:dyDescent="0.45">
      <c r="B11" s="23" t="s">
        <v>177</v>
      </c>
      <c r="C11" s="24" t="s">
        <v>178</v>
      </c>
      <c r="D11" s="24" t="s">
        <v>179</v>
      </c>
      <c r="E11" s="24" t="s">
        <v>180</v>
      </c>
      <c r="F11" s="24" t="s">
        <v>181</v>
      </c>
      <c r="G11" s="5"/>
    </row>
    <row r="12" spans="1:18" x14ac:dyDescent="0.45">
      <c r="B12" s="25" t="s">
        <v>182</v>
      </c>
      <c r="C12" s="57">
        <f>ExpLoss</f>
        <v>8289.65</v>
      </c>
      <c r="D12" s="57">
        <f>FFTMean</f>
        <v>8372.7284478645488</v>
      </c>
      <c r="E12" s="58" cm="1">
        <f t="array" aca="1" ref="E12" ca="1">_xll.VoseSimMean(Tot_FFT)</f>
        <v>8372.9023592069607</v>
      </c>
      <c r="F12" s="58" cm="1">
        <f t="array" aca="1" ref="F12" ca="1">_xll.VoseSimMean(Tot_MC)</f>
        <v>8296.2256190466323</v>
      </c>
      <c r="G12" s="28"/>
    </row>
    <row r="13" spans="1:18" x14ac:dyDescent="0.45">
      <c r="B13" s="25" t="s">
        <v>183</v>
      </c>
      <c r="C13" s="57">
        <f>TotSD</f>
        <v>583.21363238525203</v>
      </c>
      <c r="D13" s="57" cm="1">
        <f t="array" ref="D13">_xll.VoseStDev(FFTObj)</f>
        <v>587.50532359510146</v>
      </c>
      <c r="E13" s="58" cm="1">
        <f t="array" aca="1" ref="E13" ca="1">_xll.VoseSimStdev(Tot_FFT)</f>
        <v>580.14101970011723</v>
      </c>
      <c r="F13" s="58" cm="1">
        <f t="array" aca="1" ref="F13" ca="1">_xll.VoseSimStdev(Tot_MC)</f>
        <v>582.73344731653276</v>
      </c>
      <c r="G13" s="28"/>
    </row>
    <row r="14" spans="1:18" x14ac:dyDescent="0.45">
      <c r="B14" s="25" t="s">
        <v>184</v>
      </c>
      <c r="C14" s="28"/>
      <c r="D14" s="57">
        <f>Pctl99</f>
        <v>9876.3752540094283</v>
      </c>
      <c r="E14" s="58" cm="1">
        <f t="array" aca="1" ref="E14" ca="1">_xll.VoseSimPercentile(Tot_FFT,0.99)</f>
        <v>9826.3162013063356</v>
      </c>
      <c r="F14" s="58" cm="1">
        <f t="array" aca="1" ref="F14" ca="1">_xll.VoseSimPercentile(Tot_MC,0.99)</f>
        <v>9787.1270685406016</v>
      </c>
      <c r="G14" s="28"/>
    </row>
    <row r="15" spans="1:18" x14ac:dyDescent="0.45">
      <c r="B15" s="25" t="s">
        <v>185</v>
      </c>
      <c r="C15" s="28"/>
      <c r="D15" s="57">
        <f>PReq</f>
        <v>10705.223919797625</v>
      </c>
      <c r="E15" s="58" cm="1">
        <f t="array" aca="1" ref="E15" ca="1">_xll.VoseSimPercentile(Tot_FFT,Pctl)</f>
        <v>10513.871061726673</v>
      </c>
      <c r="F15" s="58" cm="1">
        <f t="array" aca="1" ref="F15" ca="1">_xll.VoseSimPercentile(Tot_MC,Pctl)</f>
        <v>10682.902141279917</v>
      </c>
      <c r="G15" s="28"/>
    </row>
    <row r="16" spans="1:18" x14ac:dyDescent="0.45">
      <c r="B16" s="45" t="s">
        <v>186</v>
      </c>
      <c r="C16" s="28"/>
      <c r="D16" s="59">
        <f>CapTotal</f>
        <v>2332.4954719330763</v>
      </c>
      <c r="E16" s="28"/>
      <c r="F16" s="28"/>
      <c r="G16" s="28"/>
    </row>
    <row r="17" spans="2:18" ht="8" customHeight="1" x14ac:dyDescent="0.45"/>
    <row r="18" spans="2:18" ht="22.05" customHeight="1" x14ac:dyDescent="0.5">
      <c r="B18" s="7" t="s">
        <v>187</v>
      </c>
      <c r="C18" s="8"/>
      <c r="D18" s="8"/>
      <c r="E18" s="8"/>
      <c r="F18" s="8"/>
      <c r="G18" s="8"/>
    </row>
    <row r="19" spans="2:18" ht="18" customHeight="1" x14ac:dyDescent="0.45">
      <c r="B19" s="13" t="s">
        <v>188</v>
      </c>
    </row>
    <row r="20" spans="2:18" ht="18" customHeight="1" x14ac:dyDescent="0.45">
      <c r="B20" s="23" t="s">
        <v>101</v>
      </c>
      <c r="C20" s="5"/>
      <c r="D20" s="24" t="s">
        <v>146</v>
      </c>
      <c r="E20" s="24" t="s">
        <v>43</v>
      </c>
      <c r="F20" s="5"/>
      <c r="G20" s="5"/>
    </row>
    <row r="21" spans="2:18" x14ac:dyDescent="0.45">
      <c r="B21" s="25" t="s">
        <v>111</v>
      </c>
      <c r="C21" s="28"/>
      <c r="D21" s="57">
        <f>PctT1</f>
        <v>4519.9030675274589</v>
      </c>
      <c r="E21" s="57">
        <f>CapT1</f>
        <v>1608.1748219462575</v>
      </c>
      <c r="F21" s="28"/>
      <c r="G21" s="28"/>
    </row>
    <row r="22" spans="2:18" x14ac:dyDescent="0.45">
      <c r="B22" s="25" t="s">
        <v>120</v>
      </c>
      <c r="C22" s="28"/>
      <c r="D22" s="57">
        <f>PctT2</f>
        <v>2759.0072524456991</v>
      </c>
      <c r="E22" s="57">
        <f>CapT2</f>
        <v>757.13896059822673</v>
      </c>
      <c r="F22" s="28"/>
      <c r="G22" s="28"/>
    </row>
    <row r="23" spans="2:18" x14ac:dyDescent="0.45">
      <c r="B23" s="25" t="s">
        <v>121</v>
      </c>
      <c r="C23" s="28"/>
      <c r="D23" s="57">
        <f>PctT3</f>
        <v>5301.4124038366881</v>
      </c>
      <c r="E23" s="57">
        <f>CapT3</f>
        <v>1842.2990321922762</v>
      </c>
      <c r="F23" s="28"/>
      <c r="G23" s="28"/>
    </row>
    <row r="24" spans="2:18" x14ac:dyDescent="0.45">
      <c r="B24" s="45" t="s">
        <v>149</v>
      </c>
      <c r="C24" s="28"/>
      <c r="D24" s="28"/>
      <c r="E24" s="57">
        <f>CapSum</f>
        <v>4207.6128147367599</v>
      </c>
      <c r="F24" s="28"/>
      <c r="G24" s="28"/>
    </row>
    <row r="25" spans="2:18" x14ac:dyDescent="0.45">
      <c r="B25" s="45" t="s">
        <v>151</v>
      </c>
      <c r="C25" s="28"/>
      <c r="D25" s="28"/>
      <c r="E25" s="57">
        <f>CapTotal</f>
        <v>2332.4954719330763</v>
      </c>
      <c r="F25" s="28"/>
      <c r="G25" s="28"/>
    </row>
    <row r="26" spans="2:18" x14ac:dyDescent="0.45">
      <c r="B26" s="45" t="s">
        <v>61</v>
      </c>
      <c r="C26" s="28"/>
      <c r="D26" s="28"/>
      <c r="E26" s="48">
        <f>DivBenefit</f>
        <v>0.44564873845717579</v>
      </c>
      <c r="F26" s="28"/>
      <c r="G26" s="28"/>
    </row>
    <row r="27" spans="2:18" ht="8" customHeight="1" x14ac:dyDescent="0.45"/>
    <row r="28" spans="2:18" x14ac:dyDescent="0.45">
      <c r="I28" s="56" t="s">
        <v>189</v>
      </c>
      <c r="J28" s="8"/>
      <c r="K28" s="8"/>
      <c r="L28" s="8"/>
      <c r="M28" s="8"/>
      <c r="N28" s="8"/>
      <c r="O28" s="8"/>
      <c r="P28" s="8"/>
      <c r="Q28" s="8"/>
      <c r="R28" s="8"/>
    </row>
    <row r="43" spans="2:7" ht="22.05" customHeight="1" x14ac:dyDescent="0.5">
      <c r="B43" s="7" t="s">
        <v>190</v>
      </c>
      <c r="C43" s="8"/>
      <c r="D43" s="8"/>
      <c r="E43" s="8"/>
      <c r="F43" s="8"/>
      <c r="G43" s="8"/>
    </row>
    <row r="44" spans="2:7" ht="45" customHeight="1" x14ac:dyDescent="0.45">
      <c r="B44" s="65" t="s">
        <v>191</v>
      </c>
      <c r="C44" s="66"/>
      <c r="D44" s="66"/>
      <c r="E44" s="66"/>
      <c r="F44" s="66"/>
      <c r="G44" s="66"/>
    </row>
    <row r="45" spans="2:7" ht="32" customHeight="1" x14ac:dyDescent="0.45">
      <c r="B45" s="65" t="s">
        <v>192</v>
      </c>
      <c r="C45" s="66"/>
      <c r="D45" s="66"/>
      <c r="E45" s="66"/>
      <c r="F45" s="66"/>
      <c r="G45" s="66"/>
    </row>
    <row r="46" spans="2:7" ht="45" customHeight="1" x14ac:dyDescent="0.45">
      <c r="B46" s="65" t="s">
        <v>193</v>
      </c>
      <c r="C46" s="66"/>
      <c r="D46" s="66"/>
      <c r="E46" s="66"/>
      <c r="F46" s="66"/>
      <c r="G46" s="66"/>
    </row>
    <row r="47" spans="2:7" ht="32" customHeight="1" x14ac:dyDescent="0.45">
      <c r="B47" s="65" t="s">
        <v>194</v>
      </c>
      <c r="C47" s="66"/>
      <c r="D47" s="66"/>
      <c r="E47" s="66"/>
      <c r="F47" s="66"/>
      <c r="G47" s="66"/>
    </row>
    <row r="48" spans="2:7" ht="32" customHeight="1" x14ac:dyDescent="0.45">
      <c r="B48" s="65" t="s">
        <v>195</v>
      </c>
      <c r="C48" s="66"/>
      <c r="D48" s="66"/>
      <c r="E48" s="66"/>
      <c r="F48" s="66"/>
      <c r="G48" s="66"/>
    </row>
    <row r="49" spans="2:7" ht="14" customHeight="1" x14ac:dyDescent="0.45"/>
    <row r="50" spans="2:7" ht="14" customHeight="1" x14ac:dyDescent="0.45"/>
    <row r="51" spans="2:7" ht="22.05" customHeight="1" x14ac:dyDescent="0.5">
      <c r="B51" s="7" t="s">
        <v>196</v>
      </c>
      <c r="C51" s="8"/>
      <c r="D51" s="8"/>
      <c r="E51" s="8"/>
      <c r="F51" s="8"/>
      <c r="G51" s="8"/>
    </row>
    <row r="52" spans="2:7" ht="18" customHeight="1" x14ac:dyDescent="0.45">
      <c r="B52" s="13" t="s">
        <v>197</v>
      </c>
    </row>
    <row r="53" spans="2:7" ht="28.05" hidden="1" customHeight="1" outlineLevel="1" x14ac:dyDescent="0.45">
      <c r="B53" s="24" t="s">
        <v>198</v>
      </c>
      <c r="C53" s="24" t="s">
        <v>199</v>
      </c>
      <c r="D53" s="24" t="s">
        <v>200</v>
      </c>
      <c r="E53" s="24" t="s">
        <v>201</v>
      </c>
      <c r="F53" s="24" t="s">
        <v>202</v>
      </c>
      <c r="G53" s="5"/>
    </row>
    <row r="54" spans="2:7" hidden="1" outlineLevel="1" x14ac:dyDescent="0.45">
      <c r="B54" s="60">
        <v>0.01</v>
      </c>
      <c r="C54" s="60">
        <f t="shared" ref="C54:C85" si="0">1-B54</f>
        <v>0.99</v>
      </c>
      <c r="D54" s="61" cm="1">
        <f t="array" aca="1" ref="D54" ca="1">IF(ISNUMBER(_xll.VoseSimPercentile(Tot_FFT,$B54)),_xll.VoseSimPercentile(Tot_FFT,$B54),NA())</f>
        <v>7123.6646650373004</v>
      </c>
      <c r="E54" s="61" cm="1">
        <f t="array" aca="1" ref="E54" ca="1">IF(ISNUMBER(_xll.VoseSimPercentile(Tot_MC,$B54)),_xll.VoseSimPercentile(Tot_MC,$B54),NA())</f>
        <v>7042.6113190058404</v>
      </c>
      <c r="F54" s="61">
        <f t="shared" ref="F54:F85" si="1">PReq</f>
        <v>10705.223919797625</v>
      </c>
    </row>
    <row r="55" spans="2:7" hidden="1" outlineLevel="1" x14ac:dyDescent="0.45">
      <c r="B55" s="60">
        <v>0.03</v>
      </c>
      <c r="C55" s="60">
        <f t="shared" si="0"/>
        <v>0.97</v>
      </c>
      <c r="D55" s="61" cm="1">
        <f t="array" aca="1" ref="D55" ca="1">IF(ISNUMBER(_xll.VoseSimPercentile(Tot_FFT,$B55)),_xll.VoseSimPercentile(Tot_FFT,$B55),NA())</f>
        <v>7346.5925854688057</v>
      </c>
      <c r="E55" s="61" cm="1">
        <f t="array" aca="1" ref="E55" ca="1">IF(ISNUMBER(_xll.VoseSimPercentile(Tot_MC,$B55)),_xll.VoseSimPercentile(Tot_MC,$B55),NA())</f>
        <v>7280.7658011219173</v>
      </c>
      <c r="F55" s="61">
        <f t="shared" si="1"/>
        <v>10705.223919797625</v>
      </c>
    </row>
    <row r="56" spans="2:7" hidden="1" outlineLevel="1" x14ac:dyDescent="0.45">
      <c r="B56" s="60">
        <v>0.05</v>
      </c>
      <c r="C56" s="60">
        <f t="shared" si="0"/>
        <v>0.95</v>
      </c>
      <c r="D56" s="61" cm="1">
        <f t="array" aca="1" ref="D56" ca="1">IF(ISNUMBER(_xll.VoseSimPercentile(Tot_FFT,$B56)),_xll.VoseSimPercentile(Tot_FFT,$B56),NA())</f>
        <v>7474.3748582012267</v>
      </c>
      <c r="E56" s="61" cm="1">
        <f t="array" aca="1" ref="E56" ca="1">IF(ISNUMBER(_xll.VoseSimPercentile(Tot_MC,$B56)),_xll.VoseSimPercentile(Tot_MC,$B56),NA())</f>
        <v>7387.4650097012336</v>
      </c>
      <c r="F56" s="61">
        <f t="shared" si="1"/>
        <v>10705.223919797625</v>
      </c>
    </row>
    <row r="57" spans="2:7" hidden="1" outlineLevel="1" x14ac:dyDescent="0.45">
      <c r="B57" s="60">
        <v>7.0000000000000007E-2</v>
      </c>
      <c r="C57" s="60">
        <f t="shared" si="0"/>
        <v>0.92999999999999994</v>
      </c>
      <c r="D57" s="61" cm="1">
        <f t="array" aca="1" ref="D57" ca="1">IF(ISNUMBER(_xll.VoseSimPercentile(Tot_FFT,$B57)),_xll.VoseSimPercentile(Tot_FFT,$B57),NA())</f>
        <v>7558.1135161683142</v>
      </c>
      <c r="E57" s="61" cm="1">
        <f t="array" aca="1" ref="E57" ca="1">IF(ISNUMBER(_xll.VoseSimPercentile(Tot_MC,$B57)),_xll.VoseSimPercentile(Tot_MC,$B57),NA())</f>
        <v>7476.9630405955668</v>
      </c>
      <c r="F57" s="61">
        <f t="shared" si="1"/>
        <v>10705.223919797625</v>
      </c>
    </row>
    <row r="58" spans="2:7" hidden="1" outlineLevel="1" x14ac:dyDescent="0.45">
      <c r="B58" s="60">
        <v>0.09</v>
      </c>
      <c r="C58" s="60">
        <f t="shared" si="0"/>
        <v>0.91</v>
      </c>
      <c r="D58" s="61" cm="1">
        <f t="array" aca="1" ref="D58" ca="1">IF(ISNUMBER(_xll.VoseSimPercentile(Tot_FFT,$B58)),_xll.VoseSimPercentile(Tot_FFT,$B58),NA())</f>
        <v>7627.6175777377575</v>
      </c>
      <c r="E58" s="61" cm="1">
        <f t="array" aca="1" ref="E58" ca="1">IF(ISNUMBER(_xll.VoseSimPercentile(Tot_MC,$B58)),_xll.VoseSimPercentile(Tot_MC,$B58),NA())</f>
        <v>7545.4011124015396</v>
      </c>
      <c r="F58" s="61">
        <f t="shared" si="1"/>
        <v>10705.223919797625</v>
      </c>
    </row>
    <row r="59" spans="2:7" hidden="1" outlineLevel="1" x14ac:dyDescent="0.45">
      <c r="B59" s="60">
        <v>0.11</v>
      </c>
      <c r="C59" s="60">
        <f t="shared" si="0"/>
        <v>0.89</v>
      </c>
      <c r="D59" s="61" cm="1">
        <f t="array" aca="1" ref="D59" ca="1">IF(ISNUMBER(_xll.VoseSimPercentile(Tot_FFT,$B59)),_xll.VoseSimPercentile(Tot_FFT,$B59),NA())</f>
        <v>7690.9521745970615</v>
      </c>
      <c r="E59" s="61" cm="1">
        <f t="array" aca="1" ref="E59" ca="1">IF(ISNUMBER(_xll.VoseSimPercentile(Tot_MC,$B59)),_xll.VoseSimPercentile(Tot_MC,$B59),NA())</f>
        <v>7606.2433386678613</v>
      </c>
      <c r="F59" s="61">
        <f t="shared" si="1"/>
        <v>10705.223919797625</v>
      </c>
    </row>
    <row r="60" spans="2:7" hidden="1" outlineLevel="1" x14ac:dyDescent="0.45">
      <c r="B60" s="60">
        <v>0.13</v>
      </c>
      <c r="C60" s="60">
        <f t="shared" si="0"/>
        <v>0.87</v>
      </c>
      <c r="D60" s="61" cm="1">
        <f t="array" aca="1" ref="D60" ca="1">IF(ISNUMBER(_xll.VoseSimPercentile(Tot_FFT,$B60)),_xll.VoseSimPercentile(Tot_FFT,$B60),NA())</f>
        <v>7739.0167595578268</v>
      </c>
      <c r="E60" s="61" cm="1">
        <f t="array" aca="1" ref="E60" ca="1">IF(ISNUMBER(_xll.VoseSimPercentile(Tot_MC,$B60)),_xll.VoseSimPercentile(Tot_MC,$B60),NA())</f>
        <v>7653.9887468079041</v>
      </c>
      <c r="F60" s="61">
        <f t="shared" si="1"/>
        <v>10705.223919797625</v>
      </c>
    </row>
    <row r="61" spans="2:7" hidden="1" outlineLevel="1" x14ac:dyDescent="0.45">
      <c r="B61" s="60">
        <v>0.15</v>
      </c>
      <c r="C61" s="60">
        <f t="shared" si="0"/>
        <v>0.85</v>
      </c>
      <c r="D61" s="61" cm="1">
        <f t="array" aca="1" ref="D61" ca="1">IF(ISNUMBER(_xll.VoseSimPercentile(Tot_FFT,$B61)),_xll.VoseSimPercentile(Tot_FFT,$B61),NA())</f>
        <v>7781.6388473875304</v>
      </c>
      <c r="E61" s="61" cm="1">
        <f t="array" aca="1" ref="E61" ca="1">IF(ISNUMBER(_xll.VoseSimPercentile(Tot_MC,$B61)),_xll.VoseSimPercentile(Tot_MC,$B61),NA())</f>
        <v>7700.2170025328833</v>
      </c>
      <c r="F61" s="61">
        <f t="shared" si="1"/>
        <v>10705.223919797625</v>
      </c>
    </row>
    <row r="62" spans="2:7" hidden="1" outlineLevel="1" x14ac:dyDescent="0.45">
      <c r="B62" s="60">
        <v>0.17</v>
      </c>
      <c r="C62" s="60">
        <f t="shared" si="0"/>
        <v>0.83</v>
      </c>
      <c r="D62" s="61" cm="1">
        <f t="array" aca="1" ref="D62" ca="1">IF(ISNUMBER(_xll.VoseSimPercentile(Tot_FFT,$B62)),_xll.VoseSimPercentile(Tot_FFT,$B62),NA())</f>
        <v>7822.617061519717</v>
      </c>
      <c r="E62" s="61" cm="1">
        <f t="array" aca="1" ref="E62" ca="1">IF(ISNUMBER(_xll.VoseSimPercentile(Tot_MC,$B62)),_xll.VoseSimPercentile(Tot_MC,$B62),NA())</f>
        <v>7743.3390981324119</v>
      </c>
      <c r="F62" s="61">
        <f t="shared" si="1"/>
        <v>10705.223919797625</v>
      </c>
    </row>
    <row r="63" spans="2:7" hidden="1" outlineLevel="1" x14ac:dyDescent="0.45">
      <c r="B63" s="60">
        <v>0.19</v>
      </c>
      <c r="C63" s="60">
        <f t="shared" si="0"/>
        <v>0.81</v>
      </c>
      <c r="D63" s="61" cm="1">
        <f t="array" aca="1" ref="D63" ca="1">IF(ISNUMBER(_xll.VoseSimPercentile(Tot_FFT,$B63)),_xll.VoseSimPercentile(Tot_FFT,$B63),NA())</f>
        <v>7862.0984200544281</v>
      </c>
      <c r="E63" s="61" cm="1">
        <f t="array" aca="1" ref="E63" ca="1">IF(ISNUMBER(_xll.VoseSimPercentile(Tot_MC,$B63)),_xll.VoseSimPercentile(Tot_MC,$B63),NA())</f>
        <v>7785.9068240476226</v>
      </c>
      <c r="F63" s="61">
        <f t="shared" si="1"/>
        <v>10705.223919797625</v>
      </c>
    </row>
    <row r="64" spans="2:7" hidden="1" outlineLevel="1" x14ac:dyDescent="0.45">
      <c r="B64" s="60">
        <v>0.21</v>
      </c>
      <c r="C64" s="60">
        <f t="shared" si="0"/>
        <v>0.79</v>
      </c>
      <c r="D64" s="61" cm="1">
        <f t="array" aca="1" ref="D64" ca="1">IF(ISNUMBER(_xll.VoseSimPercentile(Tot_FFT,$B64)),_xll.VoseSimPercentile(Tot_FFT,$B64),NA())</f>
        <v>7898.5538883409154</v>
      </c>
      <c r="E64" s="61" cm="1">
        <f t="array" aca="1" ref="E64" ca="1">IF(ISNUMBER(_xll.VoseSimPercentile(Tot_MC,$B64)),_xll.VoseSimPercentile(Tot_MC,$B64),NA())</f>
        <v>7827.1739753484653</v>
      </c>
      <c r="F64" s="61">
        <f t="shared" si="1"/>
        <v>10705.223919797625</v>
      </c>
    </row>
    <row r="65" spans="2:6" hidden="1" outlineLevel="1" x14ac:dyDescent="0.45">
      <c r="B65" s="60">
        <v>0.23</v>
      </c>
      <c r="C65" s="60">
        <f t="shared" si="0"/>
        <v>0.77</v>
      </c>
      <c r="D65" s="61" cm="1">
        <f t="array" aca="1" ref="D65" ca="1">IF(ISNUMBER(_xll.VoseSimPercentile(Tot_FFT,$B65)),_xll.VoseSimPercentile(Tot_FFT,$B65),NA())</f>
        <v>7934.8498622091256</v>
      </c>
      <c r="E65" s="61" cm="1">
        <f t="array" aca="1" ref="E65" ca="1">IF(ISNUMBER(_xll.VoseSimPercentile(Tot_MC,$B65)),_xll.VoseSimPercentile(Tot_MC,$B65),NA())</f>
        <v>7863.7110357855499</v>
      </c>
      <c r="F65" s="61">
        <f t="shared" si="1"/>
        <v>10705.223919797625</v>
      </c>
    </row>
    <row r="66" spans="2:6" hidden="1" outlineLevel="1" x14ac:dyDescent="0.45">
      <c r="B66" s="60">
        <v>0.25</v>
      </c>
      <c r="C66" s="60">
        <f t="shared" si="0"/>
        <v>0.75</v>
      </c>
      <c r="D66" s="61" cm="1">
        <f t="array" aca="1" ref="D66" ca="1">IF(ISNUMBER(_xll.VoseSimPercentile(Tot_FFT,$B66)),_xll.VoseSimPercentile(Tot_FFT,$B66),NA())</f>
        <v>7970.9331175761445</v>
      </c>
      <c r="E66" s="61" cm="1">
        <f t="array" aca="1" ref="E66" ca="1">IF(ISNUMBER(_xll.VoseSimPercentile(Tot_MC,$B66)),_xll.VoseSimPercentile(Tot_MC,$B66),NA())</f>
        <v>7899.494447683498</v>
      </c>
      <c r="F66" s="61">
        <f t="shared" si="1"/>
        <v>10705.223919797625</v>
      </c>
    </row>
    <row r="67" spans="2:6" hidden="1" outlineLevel="1" x14ac:dyDescent="0.45">
      <c r="B67" s="60">
        <v>0.27</v>
      </c>
      <c r="C67" s="60">
        <f t="shared" si="0"/>
        <v>0.73</v>
      </c>
      <c r="D67" s="61" cm="1">
        <f t="array" aca="1" ref="D67" ca="1">IF(ISNUMBER(_xll.VoseSimPercentile(Tot_FFT,$B67)),_xll.VoseSimPercentile(Tot_FFT,$B67),NA())</f>
        <v>8002.247502394267</v>
      </c>
      <c r="E67" s="61" cm="1">
        <f t="array" aca="1" ref="E67" ca="1">IF(ISNUMBER(_xll.VoseSimPercentile(Tot_MC,$B67)),_xll.VoseSimPercentile(Tot_MC,$B67),NA())</f>
        <v>7936.0488223965049</v>
      </c>
      <c r="F67" s="61">
        <f t="shared" si="1"/>
        <v>10705.223919797625</v>
      </c>
    </row>
    <row r="68" spans="2:6" hidden="1" outlineLevel="1" x14ac:dyDescent="0.45">
      <c r="B68" s="60">
        <v>0.28999999999999998</v>
      </c>
      <c r="C68" s="60">
        <f t="shared" si="0"/>
        <v>0.71</v>
      </c>
      <c r="D68" s="61" cm="1">
        <f t="array" aca="1" ref="D68" ca="1">IF(ISNUMBER(_xll.VoseSimPercentile(Tot_FFT,$B68)),_xll.VoseSimPercentile(Tot_FFT,$B68),NA())</f>
        <v>8031.4714182081761</v>
      </c>
      <c r="E68" s="61" cm="1">
        <f t="array" aca="1" ref="E68" ca="1">IF(ISNUMBER(_xll.VoseSimPercentile(Tot_MC,$B68)),_xll.VoseSimPercentile(Tot_MC,$B68),NA())</f>
        <v>7967.2668642944336</v>
      </c>
      <c r="F68" s="61">
        <f t="shared" si="1"/>
        <v>10705.223919797625</v>
      </c>
    </row>
    <row r="69" spans="2:6" hidden="1" outlineLevel="1" x14ac:dyDescent="0.45">
      <c r="B69" s="60">
        <v>0.31</v>
      </c>
      <c r="C69" s="60">
        <f t="shared" si="0"/>
        <v>0.69</v>
      </c>
      <c r="D69" s="61" cm="1">
        <f t="array" aca="1" ref="D69" ca="1">IF(ISNUMBER(_xll.VoseSimPercentile(Tot_FFT,$B69)),_xll.VoseSimPercentile(Tot_FFT,$B69),NA())</f>
        <v>8065.5229141654045</v>
      </c>
      <c r="E69" s="61" cm="1">
        <f t="array" aca="1" ref="E69" ca="1">IF(ISNUMBER(_xll.VoseSimPercentile(Tot_MC,$B69)),_xll.VoseSimPercentile(Tot_MC,$B69),NA())</f>
        <v>8000.6689581214741</v>
      </c>
      <c r="F69" s="61">
        <f t="shared" si="1"/>
        <v>10705.223919797625</v>
      </c>
    </row>
    <row r="70" spans="2:6" hidden="1" outlineLevel="1" x14ac:dyDescent="0.45">
      <c r="B70" s="60">
        <v>0.33</v>
      </c>
      <c r="C70" s="60">
        <f t="shared" si="0"/>
        <v>0.66999999999999993</v>
      </c>
      <c r="D70" s="61" cm="1">
        <f t="array" aca="1" ref="D70" ca="1">IF(ISNUMBER(_xll.VoseSimPercentile(Tot_FFT,$B70)),_xll.VoseSimPercentile(Tot_FFT,$B70),NA())</f>
        <v>8095.9736786211533</v>
      </c>
      <c r="E70" s="61" cm="1">
        <f t="array" aca="1" ref="E70" ca="1">IF(ISNUMBER(_xll.VoseSimPercentile(Tot_MC,$B70)),_xll.VoseSimPercentile(Tot_MC,$B70),NA())</f>
        <v>8029.2578092358372</v>
      </c>
      <c r="F70" s="61">
        <f t="shared" si="1"/>
        <v>10705.223919797625</v>
      </c>
    </row>
    <row r="71" spans="2:6" hidden="1" outlineLevel="1" x14ac:dyDescent="0.45">
      <c r="B71" s="60">
        <v>0.35</v>
      </c>
      <c r="C71" s="60">
        <f t="shared" si="0"/>
        <v>0.65</v>
      </c>
      <c r="D71" s="61" cm="1">
        <f t="array" aca="1" ref="D71" ca="1">IF(ISNUMBER(_xll.VoseSimPercentile(Tot_FFT,$B71)),_xll.VoseSimPercentile(Tot_FFT,$B71),NA())</f>
        <v>8130.4467095724658</v>
      </c>
      <c r="E71" s="61" cm="1">
        <f t="array" aca="1" ref="E71" ca="1">IF(ISNUMBER(_xll.VoseSimPercentile(Tot_MC,$B71)),_xll.VoseSimPercentile(Tot_MC,$B71),NA())</f>
        <v>8057.0105114246908</v>
      </c>
      <c r="F71" s="61">
        <f t="shared" si="1"/>
        <v>10705.223919797625</v>
      </c>
    </row>
    <row r="72" spans="2:6" hidden="1" outlineLevel="1" x14ac:dyDescent="0.45">
      <c r="B72" s="60">
        <v>0.37</v>
      </c>
      <c r="C72" s="60">
        <f t="shared" si="0"/>
        <v>0.63</v>
      </c>
      <c r="D72" s="61" cm="1">
        <f t="array" aca="1" ref="D72" ca="1">IF(ISNUMBER(_xll.VoseSimPercentile(Tot_FFT,$B72)),_xll.VoseSimPercentile(Tot_FFT,$B72),NA())</f>
        <v>8161.5087184412005</v>
      </c>
      <c r="E72" s="61" cm="1">
        <f t="array" aca="1" ref="E72" ca="1">IF(ISNUMBER(_xll.VoseSimPercentile(Tot_MC,$B72)),_xll.VoseSimPercentile(Tot_MC,$B72),NA())</f>
        <v>8085.8855300267787</v>
      </c>
      <c r="F72" s="61">
        <f t="shared" si="1"/>
        <v>10705.223919797625</v>
      </c>
    </row>
    <row r="73" spans="2:6" hidden="1" outlineLevel="1" x14ac:dyDescent="0.45">
      <c r="B73" s="60">
        <v>0.39</v>
      </c>
      <c r="C73" s="60">
        <f t="shared" si="0"/>
        <v>0.61</v>
      </c>
      <c r="D73" s="61" cm="1">
        <f t="array" aca="1" ref="D73" ca="1">IF(ISNUMBER(_xll.VoseSimPercentile(Tot_FFT,$B73)),_xll.VoseSimPercentile(Tot_FFT,$B73),NA())</f>
        <v>8191.5758899508401</v>
      </c>
      <c r="E73" s="61" cm="1">
        <f t="array" aca="1" ref="E73" ca="1">IF(ISNUMBER(_xll.VoseSimPercentile(Tot_MC,$B73)),_xll.VoseSimPercentile(Tot_MC,$B73),NA())</f>
        <v>8118.3105237749651</v>
      </c>
      <c r="F73" s="61">
        <f t="shared" si="1"/>
        <v>10705.223919797625</v>
      </c>
    </row>
    <row r="74" spans="2:6" hidden="1" outlineLevel="1" x14ac:dyDescent="0.45">
      <c r="B74" s="60">
        <v>0.41</v>
      </c>
      <c r="C74" s="60">
        <f t="shared" si="0"/>
        <v>0.59000000000000008</v>
      </c>
      <c r="D74" s="61" cm="1">
        <f t="array" aca="1" ref="D74" ca="1">IF(ISNUMBER(_xll.VoseSimPercentile(Tot_FFT,$B74)),_xll.VoseSimPercentile(Tot_FFT,$B74),NA())</f>
        <v>8219.6966545375635</v>
      </c>
      <c r="E74" s="61" cm="1">
        <f t="array" aca="1" ref="E74" ca="1">IF(ISNUMBER(_xll.VoseSimPercentile(Tot_MC,$B74)),_xll.VoseSimPercentile(Tot_MC,$B74),NA())</f>
        <v>8148.2110951294089</v>
      </c>
      <c r="F74" s="61">
        <f t="shared" si="1"/>
        <v>10705.223919797625</v>
      </c>
    </row>
    <row r="75" spans="2:6" hidden="1" outlineLevel="1" x14ac:dyDescent="0.45">
      <c r="B75" s="60">
        <v>0.43</v>
      </c>
      <c r="C75" s="60">
        <f t="shared" si="0"/>
        <v>0.57000000000000006</v>
      </c>
      <c r="D75" s="61" cm="1">
        <f t="array" aca="1" ref="D75" ca="1">IF(ISNUMBER(_xll.VoseSimPercentile(Tot_FFT,$B75)),_xll.VoseSimPercentile(Tot_FFT,$B75),NA())</f>
        <v>8247.3255955549266</v>
      </c>
      <c r="E75" s="61" cm="1">
        <f t="array" aca="1" ref="E75" ca="1">IF(ISNUMBER(_xll.VoseSimPercentile(Tot_MC,$B75)),_xll.VoseSimPercentile(Tot_MC,$B75),NA())</f>
        <v>8175.7763805263185</v>
      </c>
      <c r="F75" s="61">
        <f t="shared" si="1"/>
        <v>10705.223919797625</v>
      </c>
    </row>
    <row r="76" spans="2:6" hidden="1" outlineLevel="1" x14ac:dyDescent="0.45">
      <c r="B76" s="60">
        <v>0.45</v>
      </c>
      <c r="C76" s="60">
        <f t="shared" si="0"/>
        <v>0.55000000000000004</v>
      </c>
      <c r="D76" s="61" cm="1">
        <f t="array" aca="1" ref="D76" ca="1">IF(ISNUMBER(_xll.VoseSimPercentile(Tot_FFT,$B76)),_xll.VoseSimPercentile(Tot_FFT,$B76),NA())</f>
        <v>8278.2875946368968</v>
      </c>
      <c r="E76" s="61" cm="1">
        <f t="array" aca="1" ref="E76" ca="1">IF(ISNUMBER(_xll.VoseSimPercentile(Tot_MC,$B76)),_xll.VoseSimPercentile(Tot_MC,$B76),NA())</f>
        <v>8203.9621729432401</v>
      </c>
      <c r="F76" s="61">
        <f t="shared" si="1"/>
        <v>10705.223919797625</v>
      </c>
    </row>
    <row r="77" spans="2:6" hidden="1" outlineLevel="1" x14ac:dyDescent="0.45">
      <c r="B77" s="60">
        <v>0.47</v>
      </c>
      <c r="C77" s="60">
        <f t="shared" si="0"/>
        <v>0.53</v>
      </c>
      <c r="D77" s="61" cm="1">
        <f t="array" aca="1" ref="D77" ca="1">IF(ISNUMBER(_xll.VoseSimPercentile(Tot_FFT,$B77)),_xll.VoseSimPercentile(Tot_FFT,$B77),NA())</f>
        <v>8306.6102620772999</v>
      </c>
      <c r="E77" s="61" cm="1">
        <f t="array" aca="1" ref="E77" ca="1">IF(ISNUMBER(_xll.VoseSimPercentile(Tot_MC,$B77)),_xll.VoseSimPercentile(Tot_MC,$B77),NA())</f>
        <v>8231.4827247302237</v>
      </c>
      <c r="F77" s="61">
        <f t="shared" si="1"/>
        <v>10705.223919797625</v>
      </c>
    </row>
    <row r="78" spans="2:6" hidden="1" outlineLevel="1" x14ac:dyDescent="0.45">
      <c r="B78" s="60">
        <v>0.49</v>
      </c>
      <c r="C78" s="60">
        <f t="shared" si="0"/>
        <v>0.51</v>
      </c>
      <c r="D78" s="61" cm="1">
        <f t="array" aca="1" ref="D78" ca="1">IF(ISNUMBER(_xll.VoseSimPercentile(Tot_FFT,$B78)),_xll.VoseSimPercentile(Tot_FFT,$B78),NA())</f>
        <v>8340.2393201913201</v>
      </c>
      <c r="E78" s="61" cm="1">
        <f t="array" aca="1" ref="E78" ca="1">IF(ISNUMBER(_xll.VoseSimPercentile(Tot_MC,$B78)),_xll.VoseSimPercentile(Tot_MC,$B78),NA())</f>
        <v>8259.6934357906248</v>
      </c>
      <c r="F78" s="61">
        <f t="shared" si="1"/>
        <v>10705.223919797625</v>
      </c>
    </row>
    <row r="79" spans="2:6" hidden="1" outlineLevel="1" x14ac:dyDescent="0.45">
      <c r="B79" s="60">
        <v>0.51</v>
      </c>
      <c r="C79" s="60">
        <f t="shared" si="0"/>
        <v>0.49</v>
      </c>
      <c r="D79" s="61" cm="1">
        <f t="array" aca="1" ref="D79" ca="1">IF(ISNUMBER(_xll.VoseSimPercentile(Tot_FFT,$B79)),_xll.VoseSimPercentile(Tot_FFT,$B79),NA())</f>
        <v>8368.3973113690408</v>
      </c>
      <c r="E79" s="61" cm="1">
        <f t="array" aca="1" ref="E79" ca="1">IF(ISNUMBER(_xll.VoseSimPercentile(Tot_MC,$B79)),_xll.VoseSimPercentile(Tot_MC,$B79),NA())</f>
        <v>8291.949103889343</v>
      </c>
      <c r="F79" s="61">
        <f t="shared" si="1"/>
        <v>10705.223919797625</v>
      </c>
    </row>
    <row r="80" spans="2:6" hidden="1" outlineLevel="1" x14ac:dyDescent="0.45">
      <c r="B80" s="60">
        <v>0.53</v>
      </c>
      <c r="C80" s="60">
        <f t="shared" si="0"/>
        <v>0.47</v>
      </c>
      <c r="D80" s="61" cm="1">
        <f t="array" aca="1" ref="D80" ca="1">IF(ISNUMBER(_xll.VoseSimPercentile(Tot_FFT,$B80)),_xll.VoseSimPercentile(Tot_FFT,$B80),NA())</f>
        <v>8397.2391288324689</v>
      </c>
      <c r="E80" s="61" cm="1">
        <f t="array" aca="1" ref="E80" ca="1">IF(ISNUMBER(_xll.VoseSimPercentile(Tot_MC,$B80)),_xll.VoseSimPercentile(Tot_MC,$B80),NA())</f>
        <v>8320.8206860965056</v>
      </c>
      <c r="F80" s="61">
        <f t="shared" si="1"/>
        <v>10705.223919797625</v>
      </c>
    </row>
    <row r="81" spans="2:6" hidden="1" outlineLevel="1" x14ac:dyDescent="0.45">
      <c r="B81" s="60">
        <v>0.55000000000000004</v>
      </c>
      <c r="C81" s="60">
        <f t="shared" si="0"/>
        <v>0.44999999999999996</v>
      </c>
      <c r="D81" s="61" cm="1">
        <f t="array" aca="1" ref="D81" ca="1">IF(ISNUMBER(_xll.VoseSimPercentile(Tot_FFT,$B81)),_xll.VoseSimPercentile(Tot_FFT,$B81),NA())</f>
        <v>8424.7911080337472</v>
      </c>
      <c r="E81" s="61" cm="1">
        <f t="array" aca="1" ref="E81" ca="1">IF(ISNUMBER(_xll.VoseSimPercentile(Tot_MC,$B81)),_xll.VoseSimPercentile(Tot_MC,$B81),NA())</f>
        <v>8346.4589053945292</v>
      </c>
      <c r="F81" s="61">
        <f t="shared" si="1"/>
        <v>10705.223919797625</v>
      </c>
    </row>
    <row r="82" spans="2:6" hidden="1" outlineLevel="1" x14ac:dyDescent="0.45">
      <c r="B82" s="60">
        <v>0.56999999999999995</v>
      </c>
      <c r="C82" s="60">
        <f t="shared" si="0"/>
        <v>0.43000000000000005</v>
      </c>
      <c r="D82" s="61" cm="1">
        <f t="array" aca="1" ref="D82" ca="1">IF(ISNUMBER(_xll.VoseSimPercentile(Tot_FFT,$B82)),_xll.VoseSimPercentile(Tot_FFT,$B82),NA())</f>
        <v>8453.2159124251193</v>
      </c>
      <c r="E82" s="61" cm="1">
        <f t="array" aca="1" ref="E82" ca="1">IF(ISNUMBER(_xll.VoseSimPercentile(Tot_MC,$B82)),_xll.VoseSimPercentile(Tot_MC,$B82),NA())</f>
        <v>8373.652396224039</v>
      </c>
      <c r="F82" s="61">
        <f t="shared" si="1"/>
        <v>10705.223919797625</v>
      </c>
    </row>
    <row r="83" spans="2:6" hidden="1" outlineLevel="1" x14ac:dyDescent="0.45">
      <c r="B83" s="60">
        <v>0.59</v>
      </c>
      <c r="C83" s="60">
        <f t="shared" si="0"/>
        <v>0.41000000000000003</v>
      </c>
      <c r="D83" s="61" cm="1">
        <f t="array" aca="1" ref="D83" ca="1">IF(ISNUMBER(_xll.VoseSimPercentile(Tot_FFT,$B83)),_xll.VoseSimPercentile(Tot_FFT,$B83),NA())</f>
        <v>8481.4146736866187</v>
      </c>
      <c r="E83" s="61" cm="1">
        <f t="array" aca="1" ref="E83" ca="1">IF(ISNUMBER(_xll.VoseSimPercentile(Tot_MC,$B83)),_xll.VoseSimPercentile(Tot_MC,$B83),NA())</f>
        <v>8402.0157303705382</v>
      </c>
      <c r="F83" s="61">
        <f t="shared" si="1"/>
        <v>10705.223919797625</v>
      </c>
    </row>
    <row r="84" spans="2:6" hidden="1" outlineLevel="1" x14ac:dyDescent="0.45">
      <c r="B84" s="60">
        <v>0.61</v>
      </c>
      <c r="C84" s="60">
        <f t="shared" si="0"/>
        <v>0.39</v>
      </c>
      <c r="D84" s="61" cm="1">
        <f t="array" aca="1" ref="D84" ca="1">IF(ISNUMBER(_xll.VoseSimPercentile(Tot_FFT,$B84)),_xll.VoseSimPercentile(Tot_FFT,$B84),NA())</f>
        <v>8513.3031320979026</v>
      </c>
      <c r="E84" s="61" cm="1">
        <f t="array" aca="1" ref="E84" ca="1">IF(ISNUMBER(_xll.VoseSimPercentile(Tot_MC,$B84)),_xll.VoseSimPercentile(Tot_MC,$B84),NA())</f>
        <v>8431.6361271402948</v>
      </c>
      <c r="F84" s="61">
        <f t="shared" si="1"/>
        <v>10705.223919797625</v>
      </c>
    </row>
    <row r="85" spans="2:6" hidden="1" outlineLevel="1" x14ac:dyDescent="0.45">
      <c r="B85" s="60">
        <v>0.63</v>
      </c>
      <c r="C85" s="60">
        <f t="shared" si="0"/>
        <v>0.37</v>
      </c>
      <c r="D85" s="61" cm="1">
        <f t="array" aca="1" ref="D85" ca="1">IF(ISNUMBER(_xll.VoseSimPercentile(Tot_FFT,$B85)),_xll.VoseSimPercentile(Tot_FFT,$B85),NA())</f>
        <v>8545.1572062323576</v>
      </c>
      <c r="E85" s="61" cm="1">
        <f t="array" aca="1" ref="E85" ca="1">IF(ISNUMBER(_xll.VoseSimPercentile(Tot_MC,$B85)),_xll.VoseSimPercentile(Tot_MC,$B85),NA())</f>
        <v>8461.2759130773411</v>
      </c>
      <c r="F85" s="61">
        <f t="shared" si="1"/>
        <v>10705.223919797625</v>
      </c>
    </row>
    <row r="86" spans="2:6" hidden="1" outlineLevel="1" x14ac:dyDescent="0.45">
      <c r="B86" s="60">
        <v>0.65</v>
      </c>
      <c r="C86" s="60">
        <f t="shared" ref="C86:C103" si="2">1-B86</f>
        <v>0.35</v>
      </c>
      <c r="D86" s="61" cm="1">
        <f t="array" aca="1" ref="D86" ca="1">IF(ISNUMBER(_xll.VoseSimPercentile(Tot_FFT,$B86)),_xll.VoseSimPercentile(Tot_FFT,$B86),NA())</f>
        <v>8575.4615940120675</v>
      </c>
      <c r="E86" s="61" cm="1">
        <f t="array" aca="1" ref="E86" ca="1">IF(ISNUMBER(_xll.VoseSimPercentile(Tot_MC,$B86)),_xll.VoseSimPercentile(Tot_MC,$B86),NA())</f>
        <v>8490.5381300751505</v>
      </c>
      <c r="F86" s="61">
        <f t="shared" ref="F86:F103" si="3">PReq</f>
        <v>10705.223919797625</v>
      </c>
    </row>
    <row r="87" spans="2:6" hidden="1" outlineLevel="1" x14ac:dyDescent="0.45">
      <c r="B87" s="60">
        <v>0.67</v>
      </c>
      <c r="C87" s="60">
        <f t="shared" si="2"/>
        <v>0.32999999999999996</v>
      </c>
      <c r="D87" s="61" cm="1">
        <f t="array" aca="1" ref="D87" ca="1">IF(ISNUMBER(_xll.VoseSimPercentile(Tot_FFT,$B87)),_xll.VoseSimPercentile(Tot_FFT,$B87),NA())</f>
        <v>8606.168536201214</v>
      </c>
      <c r="E87" s="61" cm="1">
        <f t="array" aca="1" ref="E87" ca="1">IF(ISNUMBER(_xll.VoseSimPercentile(Tot_MC,$B87)),_xll.VoseSimPercentile(Tot_MC,$B87),NA())</f>
        <v>8522.1848854537566</v>
      </c>
      <c r="F87" s="61">
        <f t="shared" si="3"/>
        <v>10705.223919797625</v>
      </c>
    </row>
    <row r="88" spans="2:6" hidden="1" outlineLevel="1" x14ac:dyDescent="0.45">
      <c r="B88" s="60">
        <v>0.69</v>
      </c>
      <c r="C88" s="60">
        <f t="shared" si="2"/>
        <v>0.31000000000000005</v>
      </c>
      <c r="D88" s="61" cm="1">
        <f t="array" aca="1" ref="D88" ca="1">IF(ISNUMBER(_xll.VoseSimPercentile(Tot_FFT,$B88)),_xll.VoseSimPercentile(Tot_FFT,$B88),NA())</f>
        <v>8641.7452915997128</v>
      </c>
      <c r="E88" s="61" cm="1">
        <f t="array" aca="1" ref="E88" ca="1">IF(ISNUMBER(_xll.VoseSimPercentile(Tot_MC,$B88)),_xll.VoseSimPercentile(Tot_MC,$B88),NA())</f>
        <v>8555.1199065204491</v>
      </c>
      <c r="F88" s="61">
        <f t="shared" si="3"/>
        <v>10705.223919797625</v>
      </c>
    </row>
    <row r="89" spans="2:6" hidden="1" outlineLevel="1" x14ac:dyDescent="0.45">
      <c r="B89" s="60">
        <v>0.71</v>
      </c>
      <c r="C89" s="60">
        <f t="shared" si="2"/>
        <v>0.29000000000000004</v>
      </c>
      <c r="D89" s="61" cm="1">
        <f t="array" aca="1" ref="D89" ca="1">IF(ISNUMBER(_xll.VoseSimPercentile(Tot_FFT,$B89)),_xll.VoseSimPercentile(Tot_FFT,$B89),NA())</f>
        <v>8673.2648688195204</v>
      </c>
      <c r="E89" s="61" cm="1">
        <f t="array" aca="1" ref="E89" ca="1">IF(ISNUMBER(_xll.VoseSimPercentile(Tot_MC,$B89)),_xll.VoseSimPercentile(Tot_MC,$B89),NA())</f>
        <v>8591.9630703833081</v>
      </c>
      <c r="F89" s="61">
        <f t="shared" si="3"/>
        <v>10705.223919797625</v>
      </c>
    </row>
    <row r="90" spans="2:6" hidden="1" outlineLevel="1" x14ac:dyDescent="0.45">
      <c r="B90" s="60">
        <v>0.73</v>
      </c>
      <c r="C90" s="60">
        <f t="shared" si="2"/>
        <v>0.27</v>
      </c>
      <c r="D90" s="61" cm="1">
        <f t="array" aca="1" ref="D90" ca="1">IF(ISNUMBER(_xll.VoseSimPercentile(Tot_FFT,$B90)),_xll.VoseSimPercentile(Tot_FFT,$B90),NA())</f>
        <v>8708.4141599417562</v>
      </c>
      <c r="E90" s="61" cm="1">
        <f t="array" aca="1" ref="E90" ca="1">IF(ISNUMBER(_xll.VoseSimPercentile(Tot_MC,$B90)),_xll.VoseSimPercentile(Tot_MC,$B90),NA())</f>
        <v>8627.7151676713056</v>
      </c>
      <c r="F90" s="61">
        <f t="shared" si="3"/>
        <v>10705.223919797625</v>
      </c>
    </row>
    <row r="91" spans="2:6" hidden="1" outlineLevel="1" x14ac:dyDescent="0.45">
      <c r="B91" s="60">
        <v>0.75</v>
      </c>
      <c r="C91" s="60">
        <f t="shared" si="2"/>
        <v>0.25</v>
      </c>
      <c r="D91" s="61" cm="1">
        <f t="array" aca="1" ref="D91" ca="1">IF(ISNUMBER(_xll.VoseSimPercentile(Tot_FFT,$B91)),_xll.VoseSimPercentile(Tot_FFT,$B91),NA())</f>
        <v>8743.9549160954484</v>
      </c>
      <c r="E91" s="61" cm="1">
        <f t="array" aca="1" ref="E91" ca="1">IF(ISNUMBER(_xll.VoseSimPercentile(Tot_MC,$B91)),_xll.VoseSimPercentile(Tot_MC,$B91),NA())</f>
        <v>8661.1121679254175</v>
      </c>
      <c r="F91" s="61">
        <f t="shared" si="3"/>
        <v>10705.223919797625</v>
      </c>
    </row>
    <row r="92" spans="2:6" hidden="1" outlineLevel="1" x14ac:dyDescent="0.45">
      <c r="B92" s="60">
        <v>0.77</v>
      </c>
      <c r="C92" s="60">
        <f t="shared" si="2"/>
        <v>0.22999999999999998</v>
      </c>
      <c r="D92" s="61" cm="1">
        <f t="array" aca="1" ref="D92" ca="1">IF(ISNUMBER(_xll.VoseSimPercentile(Tot_FFT,$B92)),_xll.VoseSimPercentile(Tot_FFT,$B92),NA())</f>
        <v>8781.1869610124104</v>
      </c>
      <c r="E92" s="61" cm="1">
        <f t="array" aca="1" ref="E92" ca="1">IF(ISNUMBER(_xll.VoseSimPercentile(Tot_MC,$B92)),_xll.VoseSimPercentile(Tot_MC,$B92),NA())</f>
        <v>8695.4488949021725</v>
      </c>
      <c r="F92" s="61">
        <f t="shared" si="3"/>
        <v>10705.223919797625</v>
      </c>
    </row>
    <row r="93" spans="2:6" hidden="1" outlineLevel="1" x14ac:dyDescent="0.45">
      <c r="B93" s="60">
        <v>0.79</v>
      </c>
      <c r="C93" s="60">
        <f t="shared" si="2"/>
        <v>0.20999999999999996</v>
      </c>
      <c r="D93" s="61" cm="1">
        <f t="array" aca="1" ref="D93" ca="1">IF(ISNUMBER(_xll.VoseSimPercentile(Tot_FFT,$B93)),_xll.VoseSimPercentile(Tot_FFT,$B93),NA())</f>
        <v>8820.7929822797614</v>
      </c>
      <c r="E93" s="61" cm="1">
        <f t="array" aca="1" ref="E93" ca="1">IF(ISNUMBER(_xll.VoseSimPercentile(Tot_MC,$B93)),_xll.VoseSimPercentile(Tot_MC,$B93),NA())</f>
        <v>8734.4550440063958</v>
      </c>
      <c r="F93" s="61">
        <f t="shared" si="3"/>
        <v>10705.223919797625</v>
      </c>
    </row>
    <row r="94" spans="2:6" hidden="1" outlineLevel="1" x14ac:dyDescent="0.45">
      <c r="B94" s="60">
        <v>0.81</v>
      </c>
      <c r="C94" s="60">
        <f t="shared" si="2"/>
        <v>0.18999999999999995</v>
      </c>
      <c r="D94" s="61" cm="1">
        <f t="array" aca="1" ref="D94" ca="1">IF(ISNUMBER(_xll.VoseSimPercentile(Tot_FFT,$B94)),_xll.VoseSimPercentile(Tot_FFT,$B94),NA())</f>
        <v>8866.0525673254542</v>
      </c>
      <c r="E94" s="61" cm="1">
        <f t="array" aca="1" ref="E94" ca="1">IF(ISNUMBER(_xll.VoseSimPercentile(Tot_MC,$B94)),_xll.VoseSimPercentile(Tot_MC,$B94),NA())</f>
        <v>8776.0414423388811</v>
      </c>
      <c r="F94" s="61">
        <f t="shared" si="3"/>
        <v>10705.223919797625</v>
      </c>
    </row>
    <row r="95" spans="2:6" hidden="1" outlineLevel="1" x14ac:dyDescent="0.45">
      <c r="B95" s="60">
        <v>0.83</v>
      </c>
      <c r="C95" s="60">
        <f t="shared" si="2"/>
        <v>0.17000000000000004</v>
      </c>
      <c r="D95" s="61" cm="1">
        <f t="array" aca="1" ref="D95" ca="1">IF(ISNUMBER(_xll.VoseSimPercentile(Tot_FFT,$B95)),_xll.VoseSimPercentile(Tot_FFT,$B95),NA())</f>
        <v>8908.1399491066459</v>
      </c>
      <c r="E95" s="61" cm="1">
        <f t="array" aca="1" ref="E95" ca="1">IF(ISNUMBER(_xll.VoseSimPercentile(Tot_MC,$B95)),_xll.VoseSimPercentile(Tot_MC,$B95),NA())</f>
        <v>8828.5668531688043</v>
      </c>
      <c r="F95" s="61">
        <f t="shared" si="3"/>
        <v>10705.223919797625</v>
      </c>
    </row>
    <row r="96" spans="2:6" hidden="1" outlineLevel="1" x14ac:dyDescent="0.45">
      <c r="B96" s="60">
        <v>0.85</v>
      </c>
      <c r="C96" s="60">
        <f t="shared" si="2"/>
        <v>0.15000000000000002</v>
      </c>
      <c r="D96" s="61" cm="1">
        <f t="array" aca="1" ref="D96" ca="1">IF(ISNUMBER(_xll.VoseSimPercentile(Tot_FFT,$B96)),_xll.VoseSimPercentile(Tot_FFT,$B96),NA())</f>
        <v>8961.5017636141456</v>
      </c>
      <c r="E96" s="61" cm="1">
        <f t="array" aca="1" ref="E96" ca="1">IF(ISNUMBER(_xll.VoseSimPercentile(Tot_MC,$B96)),_xll.VoseSimPercentile(Tot_MC,$B96),NA())</f>
        <v>8877.6075864801314</v>
      </c>
      <c r="F96" s="61">
        <f t="shared" si="3"/>
        <v>10705.223919797625</v>
      </c>
    </row>
    <row r="97" spans="2:7" hidden="1" outlineLevel="1" x14ac:dyDescent="0.45">
      <c r="B97" s="60">
        <v>0.87</v>
      </c>
      <c r="C97" s="60">
        <f t="shared" si="2"/>
        <v>0.13</v>
      </c>
      <c r="D97" s="61" cm="1">
        <f t="array" aca="1" ref="D97" ca="1">IF(ISNUMBER(_xll.VoseSimPercentile(Tot_FFT,$B97)),_xll.VoseSimPercentile(Tot_FFT,$B97),NA())</f>
        <v>9019.0722122603074</v>
      </c>
      <c r="E97" s="61" cm="1">
        <f t="array" aca="1" ref="E97" ca="1">IF(ISNUMBER(_xll.VoseSimPercentile(Tot_MC,$B97)),_xll.VoseSimPercentile(Tot_MC,$B97),NA())</f>
        <v>8938.8571227936627</v>
      </c>
      <c r="F97" s="61">
        <f t="shared" si="3"/>
        <v>10705.223919797625</v>
      </c>
    </row>
    <row r="98" spans="2:7" hidden="1" outlineLevel="1" x14ac:dyDescent="0.45">
      <c r="B98" s="60">
        <v>0.89</v>
      </c>
      <c r="C98" s="60">
        <f t="shared" si="2"/>
        <v>0.10999999999999999</v>
      </c>
      <c r="D98" s="61" cm="1">
        <f t="array" aca="1" ref="D98" ca="1">IF(ISNUMBER(_xll.VoseSimPercentile(Tot_FFT,$B98)),_xll.VoseSimPercentile(Tot_FFT,$B98),NA())</f>
        <v>9078.4827355562684</v>
      </c>
      <c r="E98" s="61" cm="1">
        <f t="array" aca="1" ref="E98" ca="1">IF(ISNUMBER(_xll.VoseSimPercentile(Tot_MC,$B98)),_xll.VoseSimPercentile(Tot_MC,$B98),NA())</f>
        <v>9006.1065781802281</v>
      </c>
      <c r="F98" s="61">
        <f t="shared" si="3"/>
        <v>10705.223919797625</v>
      </c>
    </row>
    <row r="99" spans="2:7" hidden="1" outlineLevel="1" x14ac:dyDescent="0.45">
      <c r="B99" s="60">
        <v>0.91</v>
      </c>
      <c r="C99" s="60">
        <f t="shared" si="2"/>
        <v>8.9999999999999969E-2</v>
      </c>
      <c r="D99" s="61" cm="1">
        <f t="array" aca="1" ref="D99" ca="1">IF(ISNUMBER(_xll.VoseSimPercentile(Tot_FFT,$B99)),_xll.VoseSimPercentile(Tot_FFT,$B99),NA())</f>
        <v>9148.954746032221</v>
      </c>
      <c r="E99" s="61" cm="1">
        <f t="array" aca="1" ref="E99" ca="1">IF(ISNUMBER(_xll.VoseSimPercentile(Tot_MC,$B99)),_xll.VoseSimPercentile(Tot_MC,$B99),NA())</f>
        <v>9077.1835754416952</v>
      </c>
      <c r="F99" s="61">
        <f t="shared" si="3"/>
        <v>10705.223919797625</v>
      </c>
    </row>
    <row r="100" spans="2:7" hidden="1" outlineLevel="1" x14ac:dyDescent="0.45">
      <c r="B100" s="60">
        <v>0.93</v>
      </c>
      <c r="C100" s="60">
        <f t="shared" si="2"/>
        <v>6.9999999999999951E-2</v>
      </c>
      <c r="D100" s="61" cm="1">
        <f t="array" aca="1" ref="D100" ca="1">IF(ISNUMBER(_xll.VoseSimPercentile(Tot_FFT,$B100)),_xll.VoseSimPercentile(Tot_FFT,$B100),NA())</f>
        <v>9232.5483482136315</v>
      </c>
      <c r="E100" s="61" cm="1">
        <f t="array" aca="1" ref="E100" ca="1">IF(ISNUMBER(_xll.VoseSimPercentile(Tot_MC,$B100)),_xll.VoseSimPercentile(Tot_MC,$B100),NA())</f>
        <v>9162.9487466482424</v>
      </c>
      <c r="F100" s="61">
        <f t="shared" si="3"/>
        <v>10705.223919797625</v>
      </c>
    </row>
    <row r="101" spans="2:7" hidden="1" outlineLevel="1" x14ac:dyDescent="0.45">
      <c r="B101" s="60">
        <v>0.95</v>
      </c>
      <c r="C101" s="60">
        <f t="shared" si="2"/>
        <v>5.0000000000000044E-2</v>
      </c>
      <c r="D101" s="61" cm="1">
        <f t="array" aca="1" ref="D101" ca="1">IF(ISNUMBER(_xll.VoseSimPercentile(Tot_FFT,$B101)),_xll.VoseSimPercentile(Tot_FFT,$B101),NA())</f>
        <v>9347.8076094678108</v>
      </c>
      <c r="E101" s="61" cm="1">
        <f t="array" aca="1" ref="E101" ca="1">IF(ISNUMBER(_xll.VoseSimPercentile(Tot_MC,$B101)),_xll.VoseSimPercentile(Tot_MC,$B101),NA())</f>
        <v>9291.3038465885093</v>
      </c>
      <c r="F101" s="61">
        <f t="shared" si="3"/>
        <v>10705.223919797625</v>
      </c>
    </row>
    <row r="102" spans="2:7" hidden="1" outlineLevel="1" x14ac:dyDescent="0.45">
      <c r="B102" s="60">
        <v>0.97</v>
      </c>
      <c r="C102" s="60">
        <f t="shared" si="2"/>
        <v>3.0000000000000027E-2</v>
      </c>
      <c r="D102" s="61" cm="1">
        <f t="array" aca="1" ref="D102" ca="1">IF(ISNUMBER(_xll.VoseSimPercentile(Tot_FFT,$B102)),_xll.VoseSimPercentile(Tot_FFT,$B102),NA())</f>
        <v>9518.0526738763583</v>
      </c>
      <c r="E102" s="61" cm="1">
        <f t="array" aca="1" ref="E102" ca="1">IF(ISNUMBER(_xll.VoseSimPercentile(Tot_MC,$B102)),_xll.VoseSimPercentile(Tot_MC,$B102),NA())</f>
        <v>9440.2067703848716</v>
      </c>
      <c r="F102" s="61">
        <f t="shared" si="3"/>
        <v>10705.223919797625</v>
      </c>
    </row>
    <row r="103" spans="2:7" hidden="1" outlineLevel="1" x14ac:dyDescent="0.45">
      <c r="B103" s="60">
        <v>0.99</v>
      </c>
      <c r="C103" s="60">
        <f t="shared" si="2"/>
        <v>1.0000000000000009E-2</v>
      </c>
      <c r="D103" s="61" cm="1">
        <f t="array" aca="1" ref="D103" ca="1">IF(ISNUMBER(_xll.VoseSimPercentile(Tot_FFT,$B103)),_xll.VoseSimPercentile(Tot_FFT,$B103),NA())</f>
        <v>9826.3162013063356</v>
      </c>
      <c r="E103" s="61" cm="1">
        <f t="array" aca="1" ref="E103" ca="1">IF(ISNUMBER(_xll.VoseSimPercentile(Tot_MC,$B103)),_xll.VoseSimPercentile(Tot_MC,$B103),NA())</f>
        <v>9787.1270685406016</v>
      </c>
      <c r="F103" s="61">
        <f t="shared" si="3"/>
        <v>10705.223919797625</v>
      </c>
    </row>
    <row r="104" spans="2:7" hidden="1" outlineLevel="1" x14ac:dyDescent="0.45"/>
    <row r="105" spans="2:7" ht="18" hidden="1" customHeight="1" outlineLevel="1" x14ac:dyDescent="0.45">
      <c r="B105" s="23" t="s">
        <v>203</v>
      </c>
      <c r="C105" s="24" t="s">
        <v>161</v>
      </c>
      <c r="D105" s="5"/>
      <c r="E105" s="5"/>
      <c r="F105" s="5"/>
      <c r="G105" s="5"/>
    </row>
    <row r="106" spans="2:7" hidden="1" outlineLevel="1" x14ac:dyDescent="0.45">
      <c r="B106" s="62">
        <v>5.0000000000000001E-3</v>
      </c>
      <c r="C106" s="61" cm="1">
        <f t="array" aca="1" ref="C106" ca="1">IF(ISNUMBER(_xll.VoseSimPercentile(Tot_FFT,0.005)),_xll.VoseSimPercentile(Tot_FFT,0.005),NA())</f>
        <v>7000.3018143875606</v>
      </c>
    </row>
    <row r="107" spans="2:7" hidden="1" outlineLevel="1" x14ac:dyDescent="0.45">
      <c r="B107" s="62">
        <v>0.01</v>
      </c>
      <c r="C107" s="61" cm="1">
        <f t="array" aca="1" ref="C107" ca="1">IF(ISNUMBER(_xll.VoseSimPercentile(Tot_FFT,0.01)),_xll.VoseSimPercentile(Tot_FFT,0.01),NA())</f>
        <v>7123.6646650373004</v>
      </c>
    </row>
    <row r="108" spans="2:7" hidden="1" outlineLevel="1" x14ac:dyDescent="0.45">
      <c r="B108" s="62">
        <v>0.02</v>
      </c>
      <c r="C108" s="61" cm="1">
        <f t="array" aca="1" ref="C108" ca="1">IF(ISNUMBER(_xll.VoseSimPercentile(Tot_FFT,0.02)),_xll.VoseSimPercentile(Tot_FFT,0.02),NA())</f>
        <v>7257.2990088950592</v>
      </c>
    </row>
    <row r="109" spans="2:7" hidden="1" outlineLevel="1" x14ac:dyDescent="0.45">
      <c r="B109" s="62">
        <v>0.03</v>
      </c>
      <c r="C109" s="61" cm="1">
        <f t="array" aca="1" ref="C109" ca="1">IF(ISNUMBER(_xll.VoseSimPercentile(Tot_FFT,0.03)),_xll.VoseSimPercentile(Tot_FFT,0.03),NA())</f>
        <v>7346.5925854688057</v>
      </c>
    </row>
    <row r="110" spans="2:7" hidden="1" outlineLevel="1" x14ac:dyDescent="0.45">
      <c r="B110" s="62">
        <v>0.04</v>
      </c>
      <c r="C110" s="61" cm="1">
        <f t="array" aca="1" ref="C110" ca="1">IF(ISNUMBER(_xll.VoseSimPercentile(Tot_FFT,0.04)),_xll.VoseSimPercentile(Tot_FFT,0.04),NA())</f>
        <v>7422.0971973740579</v>
      </c>
    </row>
    <row r="111" spans="2:7" hidden="1" outlineLevel="1" x14ac:dyDescent="0.45">
      <c r="B111" s="62">
        <v>0.05</v>
      </c>
      <c r="C111" s="61" cm="1">
        <f t="array" aca="1" ref="C111" ca="1">IF(ISNUMBER(_xll.VoseSimPercentile(Tot_FFT,0.05)),_xll.VoseSimPercentile(Tot_FFT,0.05),NA())</f>
        <v>7474.3748582012267</v>
      </c>
    </row>
    <row r="112" spans="2:7" hidden="1" outlineLevel="1" x14ac:dyDescent="0.45">
      <c r="B112" s="62">
        <v>0.06</v>
      </c>
      <c r="C112" s="61" cm="1">
        <f t="array" aca="1" ref="C112" ca="1">IF(ISNUMBER(_xll.VoseSimPercentile(Tot_FFT,0.06)),_xll.VoseSimPercentile(Tot_FFT,0.06),NA())</f>
        <v>7517.1498565942111</v>
      </c>
    </row>
    <row r="113" spans="2:3" hidden="1" outlineLevel="1" x14ac:dyDescent="0.45">
      <c r="B113" s="62">
        <v>7.0000000000000007E-2</v>
      </c>
      <c r="C113" s="61" cm="1">
        <f t="array" aca="1" ref="C113" ca="1">IF(ISNUMBER(_xll.VoseSimPercentile(Tot_FFT,0.07)),_xll.VoseSimPercentile(Tot_FFT,0.07),NA())</f>
        <v>7558.1135161683142</v>
      </c>
    </row>
    <row r="114" spans="2:3" hidden="1" outlineLevel="1" x14ac:dyDescent="0.45">
      <c r="B114" s="62">
        <v>0.08</v>
      </c>
      <c r="C114" s="61" cm="1">
        <f t="array" aca="1" ref="C114" ca="1">IF(ISNUMBER(_xll.VoseSimPercentile(Tot_FFT,0.08)),_xll.VoseSimPercentile(Tot_FFT,0.08),NA())</f>
        <v>7595.5367256000718</v>
      </c>
    </row>
    <row r="115" spans="2:3" hidden="1" outlineLevel="1" x14ac:dyDescent="0.45">
      <c r="B115" s="62">
        <v>0.09</v>
      </c>
      <c r="C115" s="61" cm="1">
        <f t="array" aca="1" ref="C115" ca="1">IF(ISNUMBER(_xll.VoseSimPercentile(Tot_FFT,0.09)),_xll.VoseSimPercentile(Tot_FFT,0.09),NA())</f>
        <v>7627.6175777377575</v>
      </c>
    </row>
    <row r="116" spans="2:3" hidden="1" outlineLevel="1" x14ac:dyDescent="0.45">
      <c r="B116" s="62">
        <v>0.1</v>
      </c>
      <c r="C116" s="61" cm="1">
        <f t="array" aca="1" ref="C116" ca="1">IF(ISNUMBER(_xll.VoseSimPercentile(Tot_FFT,0.1)),_xll.VoseSimPercentile(Tot_FFT,0.1),NA())</f>
        <v>7663.2562896004029</v>
      </c>
    </row>
    <row r="117" spans="2:3" hidden="1" outlineLevel="1" x14ac:dyDescent="0.45">
      <c r="B117" s="62">
        <v>0.11</v>
      </c>
      <c r="C117" s="61" cm="1">
        <f t="array" aca="1" ref="C117" ca="1">IF(ISNUMBER(_xll.VoseSimPercentile(Tot_FFT,0.11)),_xll.VoseSimPercentile(Tot_FFT,0.11),NA())</f>
        <v>7690.9521745970615</v>
      </c>
    </row>
    <row r="118" spans="2:3" hidden="1" outlineLevel="1" x14ac:dyDescent="0.45">
      <c r="B118" s="62">
        <v>0.12</v>
      </c>
      <c r="C118" s="61" cm="1">
        <f t="array" aca="1" ref="C118" ca="1">IF(ISNUMBER(_xll.VoseSimPercentile(Tot_FFT,0.12)),_xll.VoseSimPercentile(Tot_FFT,0.12),NA())</f>
        <v>7714.4487736437804</v>
      </c>
    </row>
    <row r="119" spans="2:3" hidden="1" outlineLevel="1" x14ac:dyDescent="0.45">
      <c r="B119" s="62">
        <v>0.13</v>
      </c>
      <c r="C119" s="61" cm="1">
        <f t="array" aca="1" ref="C119" ca="1">IF(ISNUMBER(_xll.VoseSimPercentile(Tot_FFT,0.13)),_xll.VoseSimPercentile(Tot_FFT,0.13),NA())</f>
        <v>7739.0167595578268</v>
      </c>
    </row>
    <row r="120" spans="2:3" hidden="1" outlineLevel="1" x14ac:dyDescent="0.45">
      <c r="B120" s="62">
        <v>0.14000000000000001</v>
      </c>
      <c r="C120" s="61" cm="1">
        <f t="array" aca="1" ref="C120" ca="1">IF(ISNUMBER(_xll.VoseSimPercentile(Tot_FFT,0.14)),_xll.VoseSimPercentile(Tot_FFT,0.14),NA())</f>
        <v>7760.3066954726337</v>
      </c>
    </row>
    <row r="121" spans="2:3" hidden="1" outlineLevel="1" x14ac:dyDescent="0.45">
      <c r="B121" s="62">
        <v>0.15</v>
      </c>
      <c r="C121" s="61" cm="1">
        <f t="array" aca="1" ref="C121" ca="1">IF(ISNUMBER(_xll.VoseSimPercentile(Tot_FFT,0.15)),_xll.VoseSimPercentile(Tot_FFT,0.15),NA())</f>
        <v>7781.6388473875304</v>
      </c>
    </row>
    <row r="122" spans="2:3" hidden="1" outlineLevel="1" x14ac:dyDescent="0.45">
      <c r="B122" s="62">
        <v>0.16</v>
      </c>
      <c r="C122" s="61" cm="1">
        <f t="array" aca="1" ref="C122" ca="1">IF(ISNUMBER(_xll.VoseSimPercentile(Tot_FFT,0.16)),_xll.VoseSimPercentile(Tot_FFT,0.16),NA())</f>
        <v>7802.4327081028405</v>
      </c>
    </row>
    <row r="123" spans="2:3" hidden="1" outlineLevel="1" x14ac:dyDescent="0.45">
      <c r="B123" s="62">
        <v>0.17</v>
      </c>
      <c r="C123" s="61" cm="1">
        <f t="array" aca="1" ref="C123" ca="1">IF(ISNUMBER(_xll.VoseSimPercentile(Tot_FFT,0.17)),_xll.VoseSimPercentile(Tot_FFT,0.17),NA())</f>
        <v>7822.617061519717</v>
      </c>
    </row>
    <row r="124" spans="2:3" hidden="1" outlineLevel="1" x14ac:dyDescent="0.45">
      <c r="B124" s="62">
        <v>0.18</v>
      </c>
      <c r="C124" s="61" cm="1">
        <f t="array" aca="1" ref="C124" ca="1">IF(ISNUMBER(_xll.VoseSimPercentile(Tot_FFT,0.18)),_xll.VoseSimPercentile(Tot_FFT,0.18),NA())</f>
        <v>7841.3640656892367</v>
      </c>
    </row>
    <row r="125" spans="2:3" hidden="1" outlineLevel="1" x14ac:dyDescent="0.45">
      <c r="B125" s="62">
        <v>0.19</v>
      </c>
      <c r="C125" s="61" cm="1">
        <f t="array" aca="1" ref="C125" ca="1">IF(ISNUMBER(_xll.VoseSimPercentile(Tot_FFT,0.19)),_xll.VoseSimPercentile(Tot_FFT,0.19),NA())</f>
        <v>7862.0984200544281</v>
      </c>
    </row>
    <row r="126" spans="2:3" hidden="1" outlineLevel="1" x14ac:dyDescent="0.45">
      <c r="B126" s="62">
        <v>0.2</v>
      </c>
      <c r="C126" s="61" cm="1">
        <f t="array" aca="1" ref="C126" ca="1">IF(ISNUMBER(_xll.VoseSimPercentile(Tot_FFT,0.2)),_xll.VoseSimPercentile(Tot_FFT,0.2),NA())</f>
        <v>7878.4749330500836</v>
      </c>
    </row>
    <row r="127" spans="2:3" hidden="1" outlineLevel="1" x14ac:dyDescent="0.45">
      <c r="B127" s="62">
        <v>0.21</v>
      </c>
      <c r="C127" s="61" cm="1">
        <f t="array" aca="1" ref="C127" ca="1">IF(ISNUMBER(_xll.VoseSimPercentile(Tot_FFT,0.21)),_xll.VoseSimPercentile(Tot_FFT,0.21),NA())</f>
        <v>7898.5538883409154</v>
      </c>
    </row>
    <row r="128" spans="2:3" hidden="1" outlineLevel="1" x14ac:dyDescent="0.45">
      <c r="B128" s="62">
        <v>0.22</v>
      </c>
      <c r="C128" s="61" cm="1">
        <f t="array" aca="1" ref="C128" ca="1">IF(ISNUMBER(_xll.VoseSimPercentile(Tot_FFT,0.22)),_xll.VoseSimPercentile(Tot_FFT,0.22),NA())</f>
        <v>7917.8260227241499</v>
      </c>
    </row>
    <row r="129" spans="2:3" hidden="1" outlineLevel="1" x14ac:dyDescent="0.45">
      <c r="B129" s="62">
        <v>0.23</v>
      </c>
      <c r="C129" s="61" cm="1">
        <f t="array" aca="1" ref="C129" ca="1">IF(ISNUMBER(_xll.VoseSimPercentile(Tot_FFT,0.23)),_xll.VoseSimPercentile(Tot_FFT,0.23),NA())</f>
        <v>7934.8498622091256</v>
      </c>
    </row>
    <row r="130" spans="2:3" hidden="1" outlineLevel="1" x14ac:dyDescent="0.45">
      <c r="B130" s="62">
        <v>0.24</v>
      </c>
      <c r="C130" s="61" cm="1">
        <f t="array" aca="1" ref="C130" ca="1">IF(ISNUMBER(_xll.VoseSimPercentile(Tot_FFT,0.24)),_xll.VoseSimPercentile(Tot_FFT,0.24),NA())</f>
        <v>7953.9095469692302</v>
      </c>
    </row>
    <row r="131" spans="2:3" hidden="1" outlineLevel="1" x14ac:dyDescent="0.45">
      <c r="B131" s="62">
        <v>0.25</v>
      </c>
      <c r="C131" s="61" cm="1">
        <f t="array" aca="1" ref="C131" ca="1">IF(ISNUMBER(_xll.VoseSimPercentile(Tot_FFT,0.25)),_xll.VoseSimPercentile(Tot_FFT,0.25),NA())</f>
        <v>7970.9331175761445</v>
      </c>
    </row>
    <row r="132" spans="2:3" hidden="1" outlineLevel="1" x14ac:dyDescent="0.45">
      <c r="B132" s="62">
        <v>0.26</v>
      </c>
      <c r="C132" s="61" cm="1">
        <f t="array" aca="1" ref="C132" ca="1">IF(ISNUMBER(_xll.VoseSimPercentile(Tot_FFT,0.26)),_xll.VoseSimPercentile(Tot_FFT,0.26),NA())</f>
        <v>7986.1350488939397</v>
      </c>
    </row>
    <row r="133" spans="2:3" hidden="1" outlineLevel="1" x14ac:dyDescent="0.45">
      <c r="B133" s="62">
        <v>0.27</v>
      </c>
      <c r="C133" s="61" cm="1">
        <f t="array" aca="1" ref="C133" ca="1">IF(ISNUMBER(_xll.VoseSimPercentile(Tot_FFT,0.27)),_xll.VoseSimPercentile(Tot_FFT,0.27),NA())</f>
        <v>8002.247502394267</v>
      </c>
    </row>
    <row r="134" spans="2:3" hidden="1" outlineLevel="1" x14ac:dyDescent="0.45">
      <c r="B134" s="62">
        <v>0.28000000000000003</v>
      </c>
      <c r="C134" s="61" cm="1">
        <f t="array" aca="1" ref="C134" ca="1">IF(ISNUMBER(_xll.VoseSimPercentile(Tot_FFT,0.28)),_xll.VoseSimPercentile(Tot_FFT,0.28),NA())</f>
        <v>8017.2384621603387</v>
      </c>
    </row>
    <row r="135" spans="2:3" hidden="1" outlineLevel="1" x14ac:dyDescent="0.45">
      <c r="B135" s="62">
        <v>0.28999999999999998</v>
      </c>
      <c r="C135" s="61" cm="1">
        <f t="array" aca="1" ref="C135" ca="1">IF(ISNUMBER(_xll.VoseSimPercentile(Tot_FFT,0.29)),_xll.VoseSimPercentile(Tot_FFT,0.29),NA())</f>
        <v>8031.4714182081761</v>
      </c>
    </row>
    <row r="136" spans="2:3" hidden="1" outlineLevel="1" x14ac:dyDescent="0.45">
      <c r="B136" s="62">
        <v>0.3</v>
      </c>
      <c r="C136" s="61" cm="1">
        <f t="array" aca="1" ref="C136" ca="1">IF(ISNUMBER(_xll.VoseSimPercentile(Tot_FFT,0.3)),_xll.VoseSimPercentile(Tot_FFT,0.3),NA())</f>
        <v>8049.5520642358761</v>
      </c>
    </row>
    <row r="137" spans="2:3" hidden="1" outlineLevel="1" x14ac:dyDescent="0.45">
      <c r="B137" s="62">
        <v>0.31</v>
      </c>
      <c r="C137" s="61" cm="1">
        <f t="array" aca="1" ref="C137" ca="1">IF(ISNUMBER(_xll.VoseSimPercentile(Tot_FFT,0.31)),_xll.VoseSimPercentile(Tot_FFT,0.31),NA())</f>
        <v>8065.5229141654045</v>
      </c>
    </row>
    <row r="138" spans="2:3" hidden="1" outlineLevel="1" x14ac:dyDescent="0.45">
      <c r="B138" s="62">
        <v>0.32</v>
      </c>
      <c r="C138" s="61" cm="1">
        <f t="array" aca="1" ref="C138" ca="1">IF(ISNUMBER(_xll.VoseSimPercentile(Tot_FFT,0.32)),_xll.VoseSimPercentile(Tot_FFT,0.32),NA())</f>
        <v>8081.4723522325912</v>
      </c>
    </row>
    <row r="139" spans="2:3" hidden="1" outlineLevel="1" x14ac:dyDescent="0.45">
      <c r="B139" s="62">
        <v>0.33</v>
      </c>
      <c r="C139" s="61" cm="1">
        <f t="array" aca="1" ref="C139" ca="1">IF(ISNUMBER(_xll.VoseSimPercentile(Tot_FFT,0.33)),_xll.VoseSimPercentile(Tot_FFT,0.33),NA())</f>
        <v>8095.9736786211533</v>
      </c>
    </row>
    <row r="140" spans="2:3" hidden="1" outlineLevel="1" x14ac:dyDescent="0.45">
      <c r="B140" s="62">
        <v>0.34</v>
      </c>
      <c r="C140" s="61" cm="1">
        <f t="array" aca="1" ref="C140" ca="1">IF(ISNUMBER(_xll.VoseSimPercentile(Tot_FFT,0.34)),_xll.VoseSimPercentile(Tot_FFT,0.34),NA())</f>
        <v>8112.8808362503578</v>
      </c>
    </row>
    <row r="141" spans="2:3" hidden="1" outlineLevel="1" x14ac:dyDescent="0.45">
      <c r="B141" s="62">
        <v>0.35</v>
      </c>
      <c r="C141" s="61" cm="1">
        <f t="array" aca="1" ref="C141" ca="1">IF(ISNUMBER(_xll.VoseSimPercentile(Tot_FFT,0.35)),_xll.VoseSimPercentile(Tot_FFT,0.35),NA())</f>
        <v>8130.4467095724658</v>
      </c>
    </row>
    <row r="142" spans="2:3" hidden="1" outlineLevel="1" x14ac:dyDescent="0.45">
      <c r="B142" s="62">
        <v>0.36</v>
      </c>
      <c r="C142" s="61" cm="1">
        <f t="array" aca="1" ref="C142" ca="1">IF(ISNUMBER(_xll.VoseSimPercentile(Tot_FFT,0.36)),_xll.VoseSimPercentile(Tot_FFT,0.36),NA())</f>
        <v>8147.1497681239425</v>
      </c>
    </row>
    <row r="143" spans="2:3" hidden="1" outlineLevel="1" x14ac:dyDescent="0.45">
      <c r="B143" s="62">
        <v>0.37</v>
      </c>
      <c r="C143" s="61" cm="1">
        <f t="array" aca="1" ref="C143" ca="1">IF(ISNUMBER(_xll.VoseSimPercentile(Tot_FFT,0.37)),_xll.VoseSimPercentile(Tot_FFT,0.37),NA())</f>
        <v>8161.5087184412005</v>
      </c>
    </row>
    <row r="144" spans="2:3" hidden="1" outlineLevel="1" x14ac:dyDescent="0.45">
      <c r="B144" s="62">
        <v>0.38</v>
      </c>
      <c r="C144" s="61" cm="1">
        <f t="array" aca="1" ref="C144" ca="1">IF(ISNUMBER(_xll.VoseSimPercentile(Tot_FFT,0.38)),_xll.VoseSimPercentile(Tot_FFT,0.38),NA())</f>
        <v>8177.4342764235189</v>
      </c>
    </row>
    <row r="145" spans="2:3" hidden="1" outlineLevel="1" x14ac:dyDescent="0.45">
      <c r="B145" s="62">
        <v>0.39</v>
      </c>
      <c r="C145" s="61" cm="1">
        <f t="array" aca="1" ref="C145" ca="1">IF(ISNUMBER(_xll.VoseSimPercentile(Tot_FFT,0.39)),_xll.VoseSimPercentile(Tot_FFT,0.39),NA())</f>
        <v>8191.5758899508401</v>
      </c>
    </row>
    <row r="146" spans="2:3" hidden="1" outlineLevel="1" x14ac:dyDescent="0.45">
      <c r="B146" s="62">
        <v>0.4</v>
      </c>
      <c r="C146" s="61" cm="1">
        <f t="array" aca="1" ref="C146" ca="1">IF(ISNUMBER(_xll.VoseSimPercentile(Tot_FFT,0.4)),_xll.VoseSimPercentile(Tot_FFT,0.4),NA())</f>
        <v>8205.2585695608032</v>
      </c>
    </row>
    <row r="147" spans="2:3" hidden="1" outlineLevel="1" x14ac:dyDescent="0.45">
      <c r="B147" s="62">
        <v>0.41</v>
      </c>
      <c r="C147" s="61" cm="1">
        <f t="array" aca="1" ref="C147" ca="1">IF(ISNUMBER(_xll.VoseSimPercentile(Tot_FFT,0.41)),_xll.VoseSimPercentile(Tot_FFT,0.41),NA())</f>
        <v>8219.6966545375635</v>
      </c>
    </row>
    <row r="148" spans="2:3" hidden="1" outlineLevel="1" x14ac:dyDescent="0.45">
      <c r="B148" s="62">
        <v>0.42</v>
      </c>
      <c r="C148" s="61" cm="1">
        <f t="array" aca="1" ref="C148" ca="1">IF(ISNUMBER(_xll.VoseSimPercentile(Tot_FFT,0.42)),_xll.VoseSimPercentile(Tot_FFT,0.42),NA())</f>
        <v>8234.6900367075068</v>
      </c>
    </row>
    <row r="149" spans="2:3" hidden="1" outlineLevel="1" x14ac:dyDescent="0.45">
      <c r="B149" s="62">
        <v>0.43</v>
      </c>
      <c r="C149" s="61" cm="1">
        <f t="array" aca="1" ref="C149" ca="1">IF(ISNUMBER(_xll.VoseSimPercentile(Tot_FFT,0.43)),_xll.VoseSimPercentile(Tot_FFT,0.43),NA())</f>
        <v>8247.3255955549266</v>
      </c>
    </row>
    <row r="150" spans="2:3" hidden="1" outlineLevel="1" x14ac:dyDescent="0.45">
      <c r="B150" s="62">
        <v>0.44</v>
      </c>
      <c r="C150" s="61" cm="1">
        <f t="array" aca="1" ref="C150" ca="1">IF(ISNUMBER(_xll.VoseSimPercentile(Tot_FFT,0.44)),_xll.VoseSimPercentile(Tot_FFT,0.44),NA())</f>
        <v>8261.93691879379</v>
      </c>
    </row>
    <row r="151" spans="2:3" hidden="1" outlineLevel="1" x14ac:dyDescent="0.45">
      <c r="B151" s="62">
        <v>0.45</v>
      </c>
      <c r="C151" s="61" cm="1">
        <f t="array" aca="1" ref="C151" ca="1">IF(ISNUMBER(_xll.VoseSimPercentile(Tot_FFT,0.45)),_xll.VoseSimPercentile(Tot_FFT,0.45),NA())</f>
        <v>8278.2875946368968</v>
      </c>
    </row>
    <row r="152" spans="2:3" hidden="1" outlineLevel="1" x14ac:dyDescent="0.45">
      <c r="B152" s="62">
        <v>0.46</v>
      </c>
      <c r="C152" s="61" cm="1">
        <f t="array" aca="1" ref="C152" ca="1">IF(ISNUMBER(_xll.VoseSimPercentile(Tot_FFT,0.46)),_xll.VoseSimPercentile(Tot_FFT,0.46),NA())</f>
        <v>8291.559395608323</v>
      </c>
    </row>
    <row r="153" spans="2:3" hidden="1" outlineLevel="1" x14ac:dyDescent="0.45">
      <c r="B153" s="62">
        <v>0.47</v>
      </c>
      <c r="C153" s="61" cm="1">
        <f t="array" aca="1" ref="C153" ca="1">IF(ISNUMBER(_xll.VoseSimPercentile(Tot_FFT,0.47)),_xll.VoseSimPercentile(Tot_FFT,0.47),NA())</f>
        <v>8306.6102620772999</v>
      </c>
    </row>
    <row r="154" spans="2:3" hidden="1" outlineLevel="1" x14ac:dyDescent="0.45">
      <c r="B154" s="62">
        <v>0.48</v>
      </c>
      <c r="C154" s="61" cm="1">
        <f t="array" aca="1" ref="C154" ca="1">IF(ISNUMBER(_xll.VoseSimPercentile(Tot_FFT,0.48)),_xll.VoseSimPercentile(Tot_FFT,0.48),NA())</f>
        <v>8322.9548862674364</v>
      </c>
    </row>
    <row r="155" spans="2:3" hidden="1" outlineLevel="1" x14ac:dyDescent="0.45">
      <c r="B155" s="62">
        <v>0.49</v>
      </c>
      <c r="C155" s="61" cm="1">
        <f t="array" aca="1" ref="C155" ca="1">IF(ISNUMBER(_xll.VoseSimPercentile(Tot_FFT,0.49)),_xll.VoseSimPercentile(Tot_FFT,0.49),NA())</f>
        <v>8340.2393201913201</v>
      </c>
    </row>
    <row r="156" spans="2:3" hidden="1" outlineLevel="1" x14ac:dyDescent="0.45">
      <c r="B156" s="62">
        <v>0.5</v>
      </c>
      <c r="C156" s="61" cm="1">
        <f t="array" aca="1" ref="C156" ca="1">IF(ISNUMBER(_xll.VoseSimPercentile(Tot_FFT,0.5)),_xll.VoseSimPercentile(Tot_FFT,0.5),NA())</f>
        <v>8352.7633293519921</v>
      </c>
    </row>
    <row r="157" spans="2:3" hidden="1" outlineLevel="1" x14ac:dyDescent="0.45">
      <c r="B157" s="62">
        <v>0.51</v>
      </c>
      <c r="C157" s="61" cm="1">
        <f t="array" aca="1" ref="C157" ca="1">IF(ISNUMBER(_xll.VoseSimPercentile(Tot_FFT,0.51)),_xll.VoseSimPercentile(Tot_FFT,0.51),NA())</f>
        <v>8368.3973113690408</v>
      </c>
    </row>
    <row r="158" spans="2:3" hidden="1" outlineLevel="1" x14ac:dyDescent="0.45">
      <c r="B158" s="62">
        <v>0.52</v>
      </c>
      <c r="C158" s="61" cm="1">
        <f t="array" aca="1" ref="C158" ca="1">IF(ISNUMBER(_xll.VoseSimPercentile(Tot_FFT,0.52)),_xll.VoseSimPercentile(Tot_FFT,0.52),NA())</f>
        <v>8382.901466260395</v>
      </c>
    </row>
    <row r="159" spans="2:3" hidden="1" outlineLevel="1" x14ac:dyDescent="0.45">
      <c r="B159" s="62">
        <v>0.53</v>
      </c>
      <c r="C159" s="61" cm="1">
        <f t="array" aca="1" ref="C159" ca="1">IF(ISNUMBER(_xll.VoseSimPercentile(Tot_FFT,0.53)),_xll.VoseSimPercentile(Tot_FFT,0.53),NA())</f>
        <v>8397.2391288324689</v>
      </c>
    </row>
    <row r="160" spans="2:3" hidden="1" outlineLevel="1" x14ac:dyDescent="0.45">
      <c r="B160" s="62">
        <v>0.54</v>
      </c>
      <c r="C160" s="61" cm="1">
        <f t="array" aca="1" ref="C160" ca="1">IF(ISNUMBER(_xll.VoseSimPercentile(Tot_FFT,0.54)),_xll.VoseSimPercentile(Tot_FFT,0.54),NA())</f>
        <v>8412.217025938502</v>
      </c>
    </row>
    <row r="161" spans="2:3" hidden="1" outlineLevel="1" x14ac:dyDescent="0.45">
      <c r="B161" s="62">
        <v>0.55000000000000004</v>
      </c>
      <c r="C161" s="61" cm="1">
        <f t="array" aca="1" ref="C161" ca="1">IF(ISNUMBER(_xll.VoseSimPercentile(Tot_FFT,0.55)),_xll.VoseSimPercentile(Tot_FFT,0.55),NA())</f>
        <v>8424.7911080337472</v>
      </c>
    </row>
    <row r="162" spans="2:3" hidden="1" outlineLevel="1" x14ac:dyDescent="0.45">
      <c r="B162" s="62">
        <v>0.56000000000000005</v>
      </c>
      <c r="C162" s="61" cm="1">
        <f t="array" aca="1" ref="C162" ca="1">IF(ISNUMBER(_xll.VoseSimPercentile(Tot_FFT,0.56)),_xll.VoseSimPercentile(Tot_FFT,0.56),NA())</f>
        <v>8439.5036781135623</v>
      </c>
    </row>
    <row r="163" spans="2:3" hidden="1" outlineLevel="1" x14ac:dyDescent="0.45">
      <c r="B163" s="62">
        <v>0.56999999999999995</v>
      </c>
      <c r="C163" s="61" cm="1">
        <f t="array" aca="1" ref="C163" ca="1">IF(ISNUMBER(_xll.VoseSimPercentile(Tot_FFT,0.57)),_xll.VoseSimPercentile(Tot_FFT,0.57),NA())</f>
        <v>8453.2159124251193</v>
      </c>
    </row>
    <row r="164" spans="2:3" hidden="1" outlineLevel="1" x14ac:dyDescent="0.45">
      <c r="B164" s="62">
        <v>0.57999999999999996</v>
      </c>
      <c r="C164" s="61" cm="1">
        <f t="array" aca="1" ref="C164" ca="1">IF(ISNUMBER(_xll.VoseSimPercentile(Tot_FFT,0.58)),_xll.VoseSimPercentile(Tot_FFT,0.58),NA())</f>
        <v>8467.1129260334947</v>
      </c>
    </row>
    <row r="165" spans="2:3" hidden="1" outlineLevel="1" x14ac:dyDescent="0.45">
      <c r="B165" s="62">
        <v>0.59</v>
      </c>
      <c r="C165" s="61" cm="1">
        <f t="array" aca="1" ref="C165" ca="1">IF(ISNUMBER(_xll.VoseSimPercentile(Tot_FFT,0.59)),_xll.VoseSimPercentile(Tot_FFT,0.59),NA())</f>
        <v>8481.4146736866187</v>
      </c>
    </row>
    <row r="166" spans="2:3" hidden="1" outlineLevel="1" x14ac:dyDescent="0.45">
      <c r="B166" s="62">
        <v>0.6</v>
      </c>
      <c r="C166" s="61" cm="1">
        <f t="array" aca="1" ref="C166" ca="1">IF(ISNUMBER(_xll.VoseSimPercentile(Tot_FFT,0.6)),_xll.VoseSimPercentile(Tot_FFT,0.6),NA())</f>
        <v>8495.7333877310066</v>
      </c>
    </row>
    <row r="167" spans="2:3" hidden="1" outlineLevel="1" x14ac:dyDescent="0.45">
      <c r="B167" s="62">
        <v>0.61</v>
      </c>
      <c r="C167" s="61" cm="1">
        <f t="array" aca="1" ref="C167" ca="1">IF(ISNUMBER(_xll.VoseSimPercentile(Tot_FFT,0.61)),_xll.VoseSimPercentile(Tot_FFT,0.61),NA())</f>
        <v>8513.3031320979026</v>
      </c>
    </row>
    <row r="168" spans="2:3" hidden="1" outlineLevel="1" x14ac:dyDescent="0.45">
      <c r="B168" s="62">
        <v>0.62</v>
      </c>
      <c r="C168" s="61" cm="1">
        <f t="array" aca="1" ref="C168" ca="1">IF(ISNUMBER(_xll.VoseSimPercentile(Tot_FFT,0.62)),_xll.VoseSimPercentile(Tot_FFT,0.62),NA())</f>
        <v>8528.0490016542899</v>
      </c>
    </row>
    <row r="169" spans="2:3" hidden="1" outlineLevel="1" x14ac:dyDescent="0.45">
      <c r="B169" s="62">
        <v>0.63</v>
      </c>
      <c r="C169" s="61" cm="1">
        <f t="array" aca="1" ref="C169" ca="1">IF(ISNUMBER(_xll.VoseSimPercentile(Tot_FFT,0.63)),_xll.VoseSimPercentile(Tot_FFT,0.63),NA())</f>
        <v>8545.1572062323576</v>
      </c>
    </row>
    <row r="170" spans="2:3" hidden="1" outlineLevel="1" x14ac:dyDescent="0.45">
      <c r="B170" s="62">
        <v>0.64</v>
      </c>
      <c r="C170" s="61" cm="1">
        <f t="array" aca="1" ref="C170" ca="1">IF(ISNUMBER(_xll.VoseSimPercentile(Tot_FFT,0.64)),_xll.VoseSimPercentile(Tot_FFT,0.64),NA())</f>
        <v>8560.5975301064409</v>
      </c>
    </row>
    <row r="171" spans="2:3" hidden="1" outlineLevel="1" x14ac:dyDescent="0.45">
      <c r="B171" s="62">
        <v>0.65</v>
      </c>
      <c r="C171" s="61" cm="1">
        <f t="array" aca="1" ref="C171" ca="1">IF(ISNUMBER(_xll.VoseSimPercentile(Tot_FFT,0.65)),_xll.VoseSimPercentile(Tot_FFT,0.65),NA())</f>
        <v>8575.4615940120675</v>
      </c>
    </row>
    <row r="172" spans="2:3" hidden="1" outlineLevel="1" x14ac:dyDescent="0.45">
      <c r="B172" s="62">
        <v>0.66</v>
      </c>
      <c r="C172" s="61" cm="1">
        <f t="array" aca="1" ref="C172" ca="1">IF(ISNUMBER(_xll.VoseSimPercentile(Tot_FFT,0.66)),_xll.VoseSimPercentile(Tot_FFT,0.66),NA())</f>
        <v>8590.5162043558757</v>
      </c>
    </row>
    <row r="173" spans="2:3" hidden="1" outlineLevel="1" x14ac:dyDescent="0.45">
      <c r="B173" s="62">
        <v>0.67</v>
      </c>
      <c r="C173" s="61" cm="1">
        <f t="array" aca="1" ref="C173" ca="1">IF(ISNUMBER(_xll.VoseSimPercentile(Tot_FFT,0.67)),_xll.VoseSimPercentile(Tot_FFT,0.67),NA())</f>
        <v>8606.168536201214</v>
      </c>
    </row>
    <row r="174" spans="2:3" hidden="1" outlineLevel="1" x14ac:dyDescent="0.45">
      <c r="B174" s="62">
        <v>0.68</v>
      </c>
      <c r="C174" s="61" cm="1">
        <f t="array" aca="1" ref="C174" ca="1">IF(ISNUMBER(_xll.VoseSimPercentile(Tot_FFT,0.68)),_xll.VoseSimPercentile(Tot_FFT,0.68),NA())</f>
        <v>8625.5520769089471</v>
      </c>
    </row>
    <row r="175" spans="2:3" hidden="1" outlineLevel="1" x14ac:dyDescent="0.45">
      <c r="B175" s="62">
        <v>0.69</v>
      </c>
      <c r="C175" s="61" cm="1">
        <f t="array" aca="1" ref="C175" ca="1">IF(ISNUMBER(_xll.VoseSimPercentile(Tot_FFT,0.69)),_xll.VoseSimPercentile(Tot_FFT,0.69),NA())</f>
        <v>8641.7452915997128</v>
      </c>
    </row>
    <row r="176" spans="2:3" hidden="1" outlineLevel="1" x14ac:dyDescent="0.45">
      <c r="B176" s="62">
        <v>0.7</v>
      </c>
      <c r="C176" s="61" cm="1">
        <f t="array" aca="1" ref="C176" ca="1">IF(ISNUMBER(_xll.VoseSimPercentile(Tot_FFT,0.7)),_xll.VoseSimPercentile(Tot_FFT,0.7),NA())</f>
        <v>8656.6488347180293</v>
      </c>
    </row>
    <row r="177" spans="2:3" hidden="1" outlineLevel="1" x14ac:dyDescent="0.45">
      <c r="B177" s="62">
        <v>0.71</v>
      </c>
      <c r="C177" s="61" cm="1">
        <f t="array" aca="1" ref="C177" ca="1">IF(ISNUMBER(_xll.VoseSimPercentile(Tot_FFT,0.71)),_xll.VoseSimPercentile(Tot_FFT,0.71),NA())</f>
        <v>8673.2648688195204</v>
      </c>
    </row>
    <row r="178" spans="2:3" hidden="1" outlineLevel="1" x14ac:dyDescent="0.45">
      <c r="B178" s="62">
        <v>0.72</v>
      </c>
      <c r="C178" s="61" cm="1">
        <f t="array" aca="1" ref="C178" ca="1">IF(ISNUMBER(_xll.VoseSimPercentile(Tot_FFT,0.72)),_xll.VoseSimPercentile(Tot_FFT,0.72),NA())</f>
        <v>8691.4837830697033</v>
      </c>
    </row>
    <row r="179" spans="2:3" hidden="1" outlineLevel="1" x14ac:dyDescent="0.45">
      <c r="B179" s="62">
        <v>0.73</v>
      </c>
      <c r="C179" s="61" cm="1">
        <f t="array" aca="1" ref="C179" ca="1">IF(ISNUMBER(_xll.VoseSimPercentile(Tot_FFT,0.73)),_xll.VoseSimPercentile(Tot_FFT,0.73),NA())</f>
        <v>8708.4141599417562</v>
      </c>
    </row>
    <row r="180" spans="2:3" hidden="1" outlineLevel="1" x14ac:dyDescent="0.45">
      <c r="B180" s="62">
        <v>0.74</v>
      </c>
      <c r="C180" s="61" cm="1">
        <f t="array" aca="1" ref="C180" ca="1">IF(ISNUMBER(_xll.VoseSimPercentile(Tot_FFT,0.74)),_xll.VoseSimPercentile(Tot_FFT,0.74),NA())</f>
        <v>8726.4175930240472</v>
      </c>
    </row>
    <row r="181" spans="2:3" hidden="1" outlineLevel="1" x14ac:dyDescent="0.45">
      <c r="B181" s="62">
        <v>0.75</v>
      </c>
      <c r="C181" s="61" cm="1">
        <f t="array" aca="1" ref="C181" ca="1">IF(ISNUMBER(_xll.VoseSimPercentile(Tot_FFT,0.75)),_xll.VoseSimPercentile(Tot_FFT,0.75),NA())</f>
        <v>8743.9549160954484</v>
      </c>
    </row>
    <row r="182" spans="2:3" hidden="1" outlineLevel="1" x14ac:dyDescent="0.45">
      <c r="B182" s="62">
        <v>0.76</v>
      </c>
      <c r="C182" s="61" cm="1">
        <f t="array" aca="1" ref="C182" ca="1">IF(ISNUMBER(_xll.VoseSimPercentile(Tot_FFT,0.76)),_xll.VoseSimPercentile(Tot_FFT,0.76),NA())</f>
        <v>8761.2469690853504</v>
      </c>
    </row>
    <row r="183" spans="2:3" hidden="1" outlineLevel="1" x14ac:dyDescent="0.45">
      <c r="B183" s="62">
        <v>0.77</v>
      </c>
      <c r="C183" s="61" cm="1">
        <f t="array" aca="1" ref="C183" ca="1">IF(ISNUMBER(_xll.VoseSimPercentile(Tot_FFT,0.77)),_xll.VoseSimPercentile(Tot_FFT,0.77),NA())</f>
        <v>8781.1869610124104</v>
      </c>
    </row>
    <row r="184" spans="2:3" hidden="1" outlineLevel="1" x14ac:dyDescent="0.45">
      <c r="B184" s="62">
        <v>0.78</v>
      </c>
      <c r="C184" s="61" cm="1">
        <f t="array" aca="1" ref="C184" ca="1">IF(ISNUMBER(_xll.VoseSimPercentile(Tot_FFT,0.78)),_xll.VoseSimPercentile(Tot_FFT,0.78),NA())</f>
        <v>8801.8958027824337</v>
      </c>
    </row>
    <row r="185" spans="2:3" hidden="1" outlineLevel="1" x14ac:dyDescent="0.45">
      <c r="B185" s="62">
        <v>0.79</v>
      </c>
      <c r="C185" s="61" cm="1">
        <f t="array" aca="1" ref="C185" ca="1">IF(ISNUMBER(_xll.VoseSimPercentile(Tot_FFT,0.79)),_xll.VoseSimPercentile(Tot_FFT,0.79),NA())</f>
        <v>8820.7929822797614</v>
      </c>
    </row>
    <row r="186" spans="2:3" hidden="1" outlineLevel="1" x14ac:dyDescent="0.45">
      <c r="B186" s="62">
        <v>0.8</v>
      </c>
      <c r="C186" s="61" cm="1">
        <f t="array" aca="1" ref="C186" ca="1">IF(ISNUMBER(_xll.VoseSimPercentile(Tot_FFT,0.8)),_xll.VoseSimPercentile(Tot_FFT,0.8),NA())</f>
        <v>8841.9189772199261</v>
      </c>
    </row>
    <row r="187" spans="2:3" hidden="1" outlineLevel="1" x14ac:dyDescent="0.45">
      <c r="B187" s="62">
        <v>0.81</v>
      </c>
      <c r="C187" s="61" cm="1">
        <f t="array" aca="1" ref="C187" ca="1">IF(ISNUMBER(_xll.VoseSimPercentile(Tot_FFT,0.81)),_xll.VoseSimPercentile(Tot_FFT,0.81),NA())</f>
        <v>8866.0525673254542</v>
      </c>
    </row>
    <row r="188" spans="2:3" hidden="1" outlineLevel="1" x14ac:dyDescent="0.45">
      <c r="B188" s="62">
        <v>0.82</v>
      </c>
      <c r="C188" s="61" cm="1">
        <f t="array" aca="1" ref="C188" ca="1">IF(ISNUMBER(_xll.VoseSimPercentile(Tot_FFT,0.82)),_xll.VoseSimPercentile(Tot_FFT,0.82),NA())</f>
        <v>8888.0241011542548</v>
      </c>
    </row>
    <row r="189" spans="2:3" hidden="1" outlineLevel="1" x14ac:dyDescent="0.45">
      <c r="B189" s="62">
        <v>0.83</v>
      </c>
      <c r="C189" s="61" cm="1">
        <f t="array" aca="1" ref="C189" ca="1">IF(ISNUMBER(_xll.VoseSimPercentile(Tot_FFT,0.83)),_xll.VoseSimPercentile(Tot_FFT,0.83),NA())</f>
        <v>8908.1399491066459</v>
      </c>
    </row>
    <row r="190" spans="2:3" hidden="1" outlineLevel="1" x14ac:dyDescent="0.45">
      <c r="B190" s="62">
        <v>0.84</v>
      </c>
      <c r="C190" s="61" cm="1">
        <f t="array" aca="1" ref="C190" ca="1">IF(ISNUMBER(_xll.VoseSimPercentile(Tot_FFT,0.84)),_xll.VoseSimPercentile(Tot_FFT,0.84),NA())</f>
        <v>8935.1415959862243</v>
      </c>
    </row>
    <row r="191" spans="2:3" hidden="1" outlineLevel="1" x14ac:dyDescent="0.45">
      <c r="B191" s="62">
        <v>0.85</v>
      </c>
      <c r="C191" s="61" cm="1">
        <f t="array" aca="1" ref="C191" ca="1">IF(ISNUMBER(_xll.VoseSimPercentile(Tot_FFT,0.85)),_xll.VoseSimPercentile(Tot_FFT,0.85),NA())</f>
        <v>8961.5017636141456</v>
      </c>
    </row>
    <row r="192" spans="2:3" hidden="1" outlineLevel="1" x14ac:dyDescent="0.45">
      <c r="B192" s="62">
        <v>0.86</v>
      </c>
      <c r="C192" s="61" cm="1">
        <f t="array" aca="1" ref="C192" ca="1">IF(ISNUMBER(_xll.VoseSimPercentile(Tot_FFT,0.86)),_xll.VoseSimPercentile(Tot_FFT,0.86),NA())</f>
        <v>8993.1567828918833</v>
      </c>
    </row>
    <row r="193" spans="2:7" hidden="1" outlineLevel="1" x14ac:dyDescent="0.45">
      <c r="B193" s="62">
        <v>0.87</v>
      </c>
      <c r="C193" s="61" cm="1">
        <f t="array" aca="1" ref="C193" ca="1">IF(ISNUMBER(_xll.VoseSimPercentile(Tot_FFT,0.87)),_xll.VoseSimPercentile(Tot_FFT,0.87),NA())</f>
        <v>9019.0722122603074</v>
      </c>
    </row>
    <row r="194" spans="2:7" hidden="1" outlineLevel="1" x14ac:dyDescent="0.45">
      <c r="B194" s="62">
        <v>0.88</v>
      </c>
      <c r="C194" s="61" cm="1">
        <f t="array" aca="1" ref="C194" ca="1">IF(ISNUMBER(_xll.VoseSimPercentile(Tot_FFT,0.88)),_xll.VoseSimPercentile(Tot_FFT,0.88),NA())</f>
        <v>9048.4361954283613</v>
      </c>
    </row>
    <row r="195" spans="2:7" hidden="1" outlineLevel="1" x14ac:dyDescent="0.45">
      <c r="B195" s="62">
        <v>0.89</v>
      </c>
      <c r="C195" s="61" cm="1">
        <f t="array" aca="1" ref="C195" ca="1">IF(ISNUMBER(_xll.VoseSimPercentile(Tot_FFT,0.89)),_xll.VoseSimPercentile(Tot_FFT,0.89),NA())</f>
        <v>9078.4827355562684</v>
      </c>
    </row>
    <row r="196" spans="2:7" hidden="1" outlineLevel="1" x14ac:dyDescent="0.45">
      <c r="B196" s="62">
        <v>0.9</v>
      </c>
      <c r="C196" s="61" cm="1">
        <f t="array" aca="1" ref="C196" ca="1">IF(ISNUMBER(_xll.VoseSimPercentile(Tot_FFT,0.9)),_xll.VoseSimPercentile(Tot_FFT,0.9),NA())</f>
        <v>9113.2424931561163</v>
      </c>
    </row>
    <row r="197" spans="2:7" hidden="1" outlineLevel="1" x14ac:dyDescent="0.45">
      <c r="B197" s="62">
        <v>0.91</v>
      </c>
      <c r="C197" s="61" cm="1">
        <f t="array" aca="1" ref="C197" ca="1">IF(ISNUMBER(_xll.VoseSimPercentile(Tot_FFT,0.91)),_xll.VoseSimPercentile(Tot_FFT,0.91),NA())</f>
        <v>9148.954746032221</v>
      </c>
    </row>
    <row r="198" spans="2:7" hidden="1" outlineLevel="1" x14ac:dyDescent="0.45">
      <c r="B198" s="62">
        <v>0.92</v>
      </c>
      <c r="C198" s="61" cm="1">
        <f t="array" aca="1" ref="C198" ca="1">IF(ISNUMBER(_xll.VoseSimPercentile(Tot_FFT,0.92)),_xll.VoseSimPercentile(Tot_FFT,0.92),NA())</f>
        <v>9186.2335313536059</v>
      </c>
    </row>
    <row r="199" spans="2:7" hidden="1" outlineLevel="1" x14ac:dyDescent="0.45">
      <c r="B199" s="62">
        <v>0.93</v>
      </c>
      <c r="C199" s="61" cm="1">
        <f t="array" aca="1" ref="C199" ca="1">IF(ISNUMBER(_xll.VoseSimPercentile(Tot_FFT,0.93)),_xll.VoseSimPercentile(Tot_FFT,0.93),NA())</f>
        <v>9232.5483482136315</v>
      </c>
    </row>
    <row r="200" spans="2:7" hidden="1" outlineLevel="1" x14ac:dyDescent="0.45">
      <c r="B200" s="62">
        <v>0.94</v>
      </c>
      <c r="C200" s="61" cm="1">
        <f t="array" aca="1" ref="C200" ca="1">IF(ISNUMBER(_xll.VoseSimPercentile(Tot_FFT,0.94)),_xll.VoseSimPercentile(Tot_FFT,0.94),NA())</f>
        <v>9288.2505712743041</v>
      </c>
    </row>
    <row r="201" spans="2:7" hidden="1" outlineLevel="1" x14ac:dyDescent="0.45">
      <c r="B201" s="62">
        <v>0.95</v>
      </c>
      <c r="C201" s="61" cm="1">
        <f t="array" aca="1" ref="C201" ca="1">IF(ISNUMBER(_xll.VoseSimPercentile(Tot_FFT,0.95)),_xll.VoseSimPercentile(Tot_FFT,0.95),NA())</f>
        <v>9347.8076094678108</v>
      </c>
    </row>
    <row r="202" spans="2:7" hidden="1" outlineLevel="1" x14ac:dyDescent="0.45">
      <c r="B202" s="62">
        <v>0.96</v>
      </c>
      <c r="C202" s="61" cm="1">
        <f t="array" aca="1" ref="C202" ca="1">IF(ISNUMBER(_xll.VoseSimPercentile(Tot_FFT,0.96)),_xll.VoseSimPercentile(Tot_FFT,0.96),NA())</f>
        <v>9432.1396300059041</v>
      </c>
    </row>
    <row r="203" spans="2:7" hidden="1" outlineLevel="1" x14ac:dyDescent="0.45">
      <c r="B203" s="62">
        <v>0.97</v>
      </c>
      <c r="C203" s="61" cm="1">
        <f t="array" aca="1" ref="C203" ca="1">IF(ISNUMBER(_xll.VoseSimPercentile(Tot_FFT,0.97)),_xll.VoseSimPercentile(Tot_FFT,0.97),NA())</f>
        <v>9518.0526738763583</v>
      </c>
    </row>
    <row r="204" spans="2:7" hidden="1" outlineLevel="1" x14ac:dyDescent="0.45">
      <c r="B204" s="62">
        <v>0.98</v>
      </c>
      <c r="C204" s="61" cm="1">
        <f t="array" aca="1" ref="C204" ca="1">IF(ISNUMBER(_xll.VoseSimPercentile(Tot_FFT,0.98)),_xll.VoseSimPercentile(Tot_FFT,0.98),NA())</f>
        <v>9626.5546750850172</v>
      </c>
    </row>
    <row r="205" spans="2:7" hidden="1" outlineLevel="1" x14ac:dyDescent="0.45">
      <c r="B205" s="62">
        <v>0.99</v>
      </c>
      <c r="C205" s="61" cm="1">
        <f t="array" aca="1" ref="C205" ca="1">IF(ISNUMBER(_xll.VoseSimPercentile(Tot_FFT,0.99)),_xll.VoseSimPercentile(Tot_FFT,0.99),NA())</f>
        <v>9826.3162013063356</v>
      </c>
    </row>
    <row r="206" spans="2:7" hidden="1" outlineLevel="1" x14ac:dyDescent="0.45">
      <c r="B206" s="62">
        <v>0.995</v>
      </c>
      <c r="C206" s="61" cm="1">
        <f t="array" aca="1" ref="C206" ca="1">IF(ISNUMBER(_xll.VoseSimPercentile(Tot_FFT,0.995)),_xll.VoseSimPercentile(Tot_FFT,0.995),NA())</f>
        <v>10029.648151385927</v>
      </c>
    </row>
    <row r="207" spans="2:7" hidden="1" outlineLevel="1" x14ac:dyDescent="0.45"/>
    <row r="208" spans="2:7" ht="18" hidden="1" customHeight="1" outlineLevel="1" x14ac:dyDescent="0.45">
      <c r="B208" s="23" t="s">
        <v>204</v>
      </c>
      <c r="C208" s="24" t="s">
        <v>205</v>
      </c>
      <c r="D208" s="24" t="s">
        <v>206</v>
      </c>
      <c r="E208" s="24" t="s">
        <v>207</v>
      </c>
      <c r="F208" s="24" t="s">
        <v>208</v>
      </c>
      <c r="G208" s="24" t="s">
        <v>209</v>
      </c>
    </row>
    <row r="209" spans="2:7" hidden="1" outlineLevel="1" x14ac:dyDescent="0.45">
      <c r="B209" s="63">
        <v>0</v>
      </c>
      <c r="C209" s="61">
        <f ca="1">IF(ISNUMBER($C$106),$C$106+($C$206-$C$106)*0/24,NA())</f>
        <v>7000.3018143875606</v>
      </c>
      <c r="D209" s="64">
        <f t="shared" ref="D209:D233" ca="1" si="4">IF(ISNUMBER(C209),MATCH(C209,$C$106:$C$206,1),NA())</f>
        <v>1</v>
      </c>
      <c r="E209" s="61">
        <f t="shared" ref="E209:E232" ca="1" si="5">IF(ISNUMBER(C209),(C209+C210)/2,NA())</f>
        <v>7063.4131964083599</v>
      </c>
      <c r="F209" s="62">
        <f t="shared" ref="F209:F232" ca="1" si="6">IF(ISNUMBER(G210),G210-G209,NA())</f>
        <v>5.2140103591111929E-3</v>
      </c>
      <c r="G209" s="62" cm="1">
        <f t="array" aca="1" ref="G209" ca="1">IF(ISNUMBER(D209),IF(D209&gt;=101,INDEX($B$106:$B$206,101),INDEX($B$106:$B$206,D209)+(C209-INDEX($C$106:$C$206,D209))/MAX(0.000000000001,INDEX($C$106:$C$206,D209+1)-INDEX($C$106:$C$206,D209))*(INDEX($B$106:$B$206,D209+1)-INDEX($B$106:$B$206,D209))),NA())</f>
        <v>5.0000000000000001E-3</v>
      </c>
    </row>
    <row r="210" spans="2:7" hidden="1" outlineLevel="1" x14ac:dyDescent="0.45">
      <c r="B210" s="63">
        <v>1</v>
      </c>
      <c r="C210" s="61">
        <f ca="1">IF(ISNUMBER($C$106),$C$106+($C$206-$C$106)*1/24,NA())</f>
        <v>7126.5245784291592</v>
      </c>
      <c r="D210" s="64">
        <f t="shared" ca="1" si="4"/>
        <v>2</v>
      </c>
      <c r="E210" s="61">
        <f t="shared" ca="1" si="5"/>
        <v>7189.6359604499585</v>
      </c>
      <c r="F210" s="62">
        <f t="shared" ca="1" si="6"/>
        <v>9.4453836040794218E-3</v>
      </c>
      <c r="G210" s="62" cm="1">
        <f t="array" aca="1" ref="G210" ca="1">IF(ISNUMBER(D210),IF(D210&gt;=101,INDEX($B$106:$B$206,101),INDEX($B$106:$B$206,D210)+(C210-INDEX($C$106:$C$206,D210))/MAX(0.000000000001,INDEX($C$106:$C$206,D210+1)-INDEX($C$106:$C$206,D210))*(INDEX($B$106:$B$206,D210+1)-INDEX($B$106:$B$206,D210))),NA())</f>
        <v>1.0214010359111193E-2</v>
      </c>
    </row>
    <row r="211" spans="2:7" hidden="1" outlineLevel="1" x14ac:dyDescent="0.45">
      <c r="B211" s="63">
        <v>2</v>
      </c>
      <c r="C211" s="61">
        <f ca="1">IF(ISNUMBER($C$106),$C$106+($C$206-$C$106)*2/24,NA())</f>
        <v>7252.7473424707578</v>
      </c>
      <c r="D211" s="64">
        <f t="shared" ca="1" si="4"/>
        <v>2</v>
      </c>
      <c r="E211" s="61">
        <f t="shared" ca="1" si="5"/>
        <v>7315.858724491557</v>
      </c>
      <c r="F211" s="62">
        <f t="shared" ca="1" si="6"/>
        <v>1.4628757479025901E-2</v>
      </c>
      <c r="G211" s="62" cm="1">
        <f t="array" aca="1" ref="G211" ca="1">IF(ISNUMBER(D211),IF(D211&gt;=101,INDEX($B$106:$B$206,101),INDEX($B$106:$B$206,D211)+(C211-INDEX($C$106:$C$206,D211))/MAX(0.000000000001,INDEX($C$106:$C$206,D211+1)-INDEX($C$106:$C$206,D211))*(INDEX($B$106:$B$206,D211+1)-INDEX($B$106:$B$206,D211))),NA())</f>
        <v>1.9659393963190615E-2</v>
      </c>
    </row>
    <row r="212" spans="2:7" hidden="1" outlineLevel="1" x14ac:dyDescent="0.45">
      <c r="B212" s="63">
        <v>3</v>
      </c>
      <c r="C212" s="61">
        <f ca="1">IF(ISNUMBER($C$106),$C$106+($C$206-$C$106)*3/24,NA())</f>
        <v>7378.9701065123563</v>
      </c>
      <c r="D212" s="64">
        <f t="shared" ca="1" si="4"/>
        <v>4</v>
      </c>
      <c r="E212" s="61">
        <f t="shared" ca="1" si="5"/>
        <v>7442.0814885331556</v>
      </c>
      <c r="F212" s="62">
        <f t="shared" ca="1" si="6"/>
        <v>2.2916527344582154E-2</v>
      </c>
      <c r="G212" s="62" cm="1">
        <f t="array" aca="1" ref="G212" ca="1">IF(ISNUMBER(D212),IF(D212&gt;=101,INDEX($B$106:$B$206,101),INDEX($B$106:$B$206,D212)+(C212-INDEX($C$106:$C$206,D212))/MAX(0.000000000001,INDEX($C$106:$C$206,D212+1)-INDEX($C$106:$C$206,D212))*(INDEX($B$106:$B$206,D212+1)-INDEX($B$106:$B$206,D212))),NA())</f>
        <v>3.4288151442216516E-2</v>
      </c>
    </row>
    <row r="213" spans="2:7" hidden="1" outlineLevel="1" x14ac:dyDescent="0.45">
      <c r="B213" s="63">
        <v>4</v>
      </c>
      <c r="C213" s="61">
        <f ca="1">IF(ISNUMBER($C$106),$C$106+($C$206-$C$106)*4/24,NA())</f>
        <v>7505.1928705539549</v>
      </c>
      <c r="D213" s="64">
        <f t="shared" ca="1" si="4"/>
        <v>6</v>
      </c>
      <c r="E213" s="61">
        <f t="shared" ca="1" si="5"/>
        <v>7568.3042525747542</v>
      </c>
      <c r="F213" s="62">
        <f t="shared" ca="1" si="6"/>
        <v>3.3861032250242722E-2</v>
      </c>
      <c r="G213" s="62" cm="1">
        <f t="array" aca="1" ref="G213" ca="1">IF(ISNUMBER(D213),IF(D213&gt;=101,INDEX($B$106:$B$206,101),INDEX($B$106:$B$206,D213)+(C213-INDEX($C$106:$C$206,D213))/MAX(0.000000000001,INDEX($C$106:$C$206,D213+1)-INDEX($C$106:$C$206,D213))*(INDEX($B$106:$B$206,D213+1)-INDEX($B$106:$B$206,D213))),NA())</f>
        <v>5.720467878679867E-2</v>
      </c>
    </row>
    <row r="214" spans="2:7" hidden="1" outlineLevel="1" x14ac:dyDescent="0.45">
      <c r="B214" s="63">
        <v>5</v>
      </c>
      <c r="C214" s="61">
        <f ca="1">IF(ISNUMBER($C$106),$C$106+($C$206-$C$106)*5/24,NA())</f>
        <v>7631.4156345955535</v>
      </c>
      <c r="D214" s="64">
        <f t="shared" ca="1" si="4"/>
        <v>10</v>
      </c>
      <c r="E214" s="61">
        <f t="shared" ca="1" si="5"/>
        <v>7694.5270166163527</v>
      </c>
      <c r="F214" s="62">
        <f t="shared" ca="1" si="6"/>
        <v>4.7680975262927278E-2</v>
      </c>
      <c r="G214" s="62" cm="1">
        <f t="array" aca="1" ref="G214" ca="1">IF(ISNUMBER(D214),IF(D214&gt;=101,INDEX($B$106:$B$206,101),INDEX($B$106:$B$206,D214)+(C214-INDEX($C$106:$C$206,D214))/MAX(0.000000000001,INDEX($C$106:$C$206,D214+1)-INDEX($C$106:$C$206,D214))*(INDEX($B$106:$B$206,D214+1)-INDEX($B$106:$B$206,D214))),NA())</f>
        <v>9.1065711037041391E-2</v>
      </c>
    </row>
    <row r="215" spans="2:7" hidden="1" outlineLevel="1" x14ac:dyDescent="0.45">
      <c r="B215" s="63">
        <v>6</v>
      </c>
      <c r="C215" s="61">
        <f ca="1">IF(ISNUMBER($C$106),$C$106+($C$206-$C$106)*6/24,NA())</f>
        <v>7757.638398637152</v>
      </c>
      <c r="D215" s="64">
        <f t="shared" ca="1" si="4"/>
        <v>14</v>
      </c>
      <c r="E215" s="61">
        <f t="shared" ca="1" si="5"/>
        <v>7820.7497806579513</v>
      </c>
      <c r="F215" s="62">
        <f t="shared" ca="1" si="6"/>
        <v>6.3935838537927864E-2</v>
      </c>
      <c r="G215" s="62" cm="1">
        <f t="array" aca="1" ref="G215" ca="1">IF(ISNUMBER(D215),IF(D215&gt;=101,INDEX($B$106:$B$206,101),INDEX($B$106:$B$206,D215)+(C215-INDEX($C$106:$C$206,D215))/MAX(0.000000000001,INDEX($C$106:$C$206,D215+1)-INDEX($C$106:$C$206,D215))*(INDEX($B$106:$B$206,D215+1)-INDEX($B$106:$B$206,D215))),NA())</f>
        <v>0.13874668629996867</v>
      </c>
    </row>
    <row r="216" spans="2:7" hidden="1" outlineLevel="1" x14ac:dyDescent="0.45">
      <c r="B216" s="63">
        <v>7</v>
      </c>
      <c r="C216" s="61">
        <f ca="1">IF(ISNUMBER($C$106),$C$106+($C$206-$C$106)*7/24,NA())</f>
        <v>7883.8611626787506</v>
      </c>
      <c r="D216" s="64">
        <f t="shared" ca="1" si="4"/>
        <v>21</v>
      </c>
      <c r="E216" s="61">
        <f t="shared" ca="1" si="5"/>
        <v>7946.9725446995499</v>
      </c>
      <c r="F216" s="62">
        <f t="shared" ca="1" si="6"/>
        <v>7.2544908527522795E-2</v>
      </c>
      <c r="G216" s="62" cm="1">
        <f t="array" aca="1" ref="G216" ca="1">IF(ISNUMBER(D216),IF(D216&gt;=101,INDEX($B$106:$B$206,101),INDEX($B$106:$B$206,D216)+(C216-INDEX($C$106:$C$206,D216))/MAX(0.000000000001,INDEX($C$106:$C$206,D216+1)-INDEX($C$106:$C$206,D216))*(INDEX($B$106:$B$206,D216+1)-INDEX($B$106:$B$206,D216))),NA())</f>
        <v>0.20268252483789653</v>
      </c>
    </row>
    <row r="217" spans="2:7" hidden="1" outlineLevel="1" x14ac:dyDescent="0.45">
      <c r="B217" s="63">
        <v>8</v>
      </c>
      <c r="C217" s="61">
        <f ca="1">IF(ISNUMBER($C$106),$C$106+($C$206-$C$106)*8/24,NA())</f>
        <v>8010.0839267203492</v>
      </c>
      <c r="D217" s="64">
        <f t="shared" ca="1" si="4"/>
        <v>28</v>
      </c>
      <c r="E217" s="61">
        <f t="shared" ca="1" si="5"/>
        <v>8073.1953087411484</v>
      </c>
      <c r="F217" s="62">
        <f t="shared" ca="1" si="6"/>
        <v>7.8280894867653772E-2</v>
      </c>
      <c r="G217" s="62" cm="1">
        <f t="array" aca="1" ref="G217" ca="1">IF(ISNUMBER(D217),IF(D217&gt;=101,INDEX($B$106:$B$206,101),INDEX($B$106:$B$206,D217)+(C217-INDEX($C$106:$C$206,D217))/MAX(0.000000000001,INDEX($C$106:$C$206,D217+1)-INDEX($C$106:$C$206,D217))*(INDEX($B$106:$B$206,D217+1)-INDEX($B$106:$B$206,D217))),NA())</f>
        <v>0.27522743336541933</v>
      </c>
    </row>
    <row r="218" spans="2:7" hidden="1" outlineLevel="1" x14ac:dyDescent="0.45">
      <c r="B218" s="63">
        <v>9</v>
      </c>
      <c r="C218" s="61">
        <f ca="1">IF(ISNUMBER($C$106),$C$106+($C$206-$C$106)*9/24,NA())</f>
        <v>8136.3066907619477</v>
      </c>
      <c r="D218" s="64">
        <f t="shared" ca="1" si="4"/>
        <v>36</v>
      </c>
      <c r="E218" s="61">
        <f t="shared" ca="1" si="5"/>
        <v>8199.4180727827479</v>
      </c>
      <c r="F218" s="62">
        <f t="shared" ca="1" si="6"/>
        <v>8.6854064132504238E-2</v>
      </c>
      <c r="G218" s="62" cm="1">
        <f t="array" aca="1" ref="G218" ca="1">IF(ISNUMBER(D218),IF(D218&gt;=101,INDEX($B$106:$B$206,101),INDEX($B$106:$B$206,D218)+(C218-INDEX($C$106:$C$206,D218))/MAX(0.000000000001,INDEX($C$106:$C$206,D218+1)-INDEX($C$106:$C$206,D218))*(INDEX($B$106:$B$206,D218+1)-INDEX($B$106:$B$206,D218))),NA())</f>
        <v>0.3535083282330731</v>
      </c>
    </row>
    <row r="219" spans="2:7" hidden="1" outlineLevel="1" x14ac:dyDescent="0.45">
      <c r="B219" s="63">
        <v>10</v>
      </c>
      <c r="C219" s="61">
        <f ca="1">IF(ISNUMBER($C$106),$C$106+($C$206-$C$106)*10/24,NA())</f>
        <v>8262.5294548035472</v>
      </c>
      <c r="D219" s="64">
        <f t="shared" ca="1" si="4"/>
        <v>45</v>
      </c>
      <c r="E219" s="61">
        <f t="shared" ca="1" si="5"/>
        <v>8325.6408368243465</v>
      </c>
      <c r="F219" s="62">
        <f t="shared" ca="1" si="6"/>
        <v>8.3718295511780394E-2</v>
      </c>
      <c r="G219" s="62" cm="1">
        <f t="array" aca="1" ref="G219" ca="1">IF(ISNUMBER(D219),IF(D219&gt;=101,INDEX($B$106:$B$206,101),INDEX($B$106:$B$206,D219)+(C219-INDEX($C$106:$C$206,D219))/MAX(0.000000000001,INDEX($C$106:$C$206,D219+1)-INDEX($C$106:$C$206,D219))*(INDEX($B$106:$B$206,D219+1)-INDEX($B$106:$B$206,D219))),NA())</f>
        <v>0.44036239236557734</v>
      </c>
    </row>
    <row r="220" spans="2:7" hidden="1" outlineLevel="1" x14ac:dyDescent="0.45">
      <c r="B220" s="63">
        <v>11</v>
      </c>
      <c r="C220" s="61">
        <f ca="1">IF(ISNUMBER($C$106),$C$106+($C$206-$C$106)*11/24,NA())</f>
        <v>8388.7522188451458</v>
      </c>
      <c r="D220" s="64">
        <f t="shared" ca="1" si="4"/>
        <v>53</v>
      </c>
      <c r="E220" s="61">
        <f t="shared" ca="1" si="5"/>
        <v>8451.863600865945</v>
      </c>
      <c r="F220" s="62">
        <f t="shared" ca="1" si="6"/>
        <v>8.7053087775850524E-2</v>
      </c>
      <c r="G220" s="62" cm="1">
        <f t="array" aca="1" ref="G220" ca="1">IF(ISNUMBER(D220),IF(D220&gt;=101,INDEX($B$106:$B$206,101),INDEX($B$106:$B$206,D220)+(C220-INDEX($C$106:$C$206,D220))/MAX(0.000000000001,INDEX($C$106:$C$206,D220+1)-INDEX($C$106:$C$206,D220))*(INDEX($B$106:$B$206,D220+1)-INDEX($B$106:$B$206,D220))),NA())</f>
        <v>0.52408068787735773</v>
      </c>
    </row>
    <row r="221" spans="2:7" hidden="1" outlineLevel="1" x14ac:dyDescent="0.45">
      <c r="B221" s="63">
        <v>12</v>
      </c>
      <c r="C221" s="61">
        <f ca="1">IF(ISNUMBER($C$106),$C$106+($C$206-$C$106)*12/24,NA())</f>
        <v>8514.9749828867443</v>
      </c>
      <c r="D221" s="64">
        <f t="shared" ca="1" si="4"/>
        <v>62</v>
      </c>
      <c r="E221" s="61">
        <f t="shared" ca="1" si="5"/>
        <v>8578.0863649075436</v>
      </c>
      <c r="F221" s="62">
        <f t="shared" ca="1" si="6"/>
        <v>7.8528092183520748E-2</v>
      </c>
      <c r="G221" s="62" cm="1">
        <f t="array" aca="1" ref="G221" ca="1">IF(ISNUMBER(D221),IF(D221&gt;=101,INDEX($B$106:$B$206,101),INDEX($B$106:$B$206,D221)+(C221-INDEX($C$106:$C$206,D221))/MAX(0.000000000001,INDEX($C$106:$C$206,D221+1)-INDEX($C$106:$C$206,D221))*(INDEX($B$106:$B$206,D221+1)-INDEX($B$106:$B$206,D221))),NA())</f>
        <v>0.61113377565320826</v>
      </c>
    </row>
    <row r="222" spans="2:7" hidden="1" outlineLevel="1" x14ac:dyDescent="0.45">
      <c r="B222" s="63">
        <v>13</v>
      </c>
      <c r="C222" s="61">
        <f ca="1">IF(ISNUMBER($C$106),$C$106+($C$206-$C$106)*13/24,NA())</f>
        <v>8641.1977469283429</v>
      </c>
      <c r="D222" s="64">
        <f t="shared" ca="1" si="4"/>
        <v>69</v>
      </c>
      <c r="E222" s="61">
        <f t="shared" ca="1" si="5"/>
        <v>8704.3091289491422</v>
      </c>
      <c r="F222" s="62">
        <f t="shared" ca="1" si="6"/>
        <v>7.3434192536401377E-2</v>
      </c>
      <c r="G222" s="62" cm="1">
        <f t="array" aca="1" ref="G222" ca="1">IF(ISNUMBER(D222),IF(D222&gt;=101,INDEX($B$106:$B$206,101),INDEX($B$106:$B$206,D222)+(C222-INDEX($C$106:$C$206,D222))/MAX(0.000000000001,INDEX($C$106:$C$206,D222+1)-INDEX($C$106:$C$206,D222))*(INDEX($B$106:$B$206,D222+1)-INDEX($B$106:$B$206,D222))),NA())</f>
        <v>0.689661867836729</v>
      </c>
    </row>
    <row r="223" spans="2:7" hidden="1" outlineLevel="1" x14ac:dyDescent="0.45">
      <c r="B223" s="63">
        <v>14</v>
      </c>
      <c r="C223" s="61">
        <f ca="1">IF(ISNUMBER($C$106),$C$106+($C$206-$C$106)*14/24,NA())</f>
        <v>8767.4205109699415</v>
      </c>
      <c r="D223" s="64">
        <f t="shared" ca="1" si="4"/>
        <v>77</v>
      </c>
      <c r="E223" s="61">
        <f t="shared" ca="1" si="5"/>
        <v>8830.5318929907407</v>
      </c>
      <c r="F223" s="62">
        <f t="shared" ca="1" si="6"/>
        <v>5.9697346034883969E-2</v>
      </c>
      <c r="G223" s="62" cm="1">
        <f t="array" aca="1" ref="G223" ca="1">IF(ISNUMBER(D223),IF(D223&gt;=101,INDEX($B$106:$B$206,101),INDEX($B$106:$B$206,D223)+(C223-INDEX($C$106:$C$206,D223))/MAX(0.000000000001,INDEX($C$106:$C$206,D223+1)-INDEX($C$106:$C$206,D223))*(INDEX($B$106:$B$206,D223+1)-INDEX($B$106:$B$206,D223))),NA())</f>
        <v>0.76309606037313038</v>
      </c>
    </row>
    <row r="224" spans="2:7" hidden="1" outlineLevel="1" x14ac:dyDescent="0.45">
      <c r="B224" s="63">
        <v>15</v>
      </c>
      <c r="C224" s="61">
        <f ca="1">IF(ISNUMBER($C$106),$C$106+($C$206-$C$106)*15/24,NA())</f>
        <v>8893.64327501154</v>
      </c>
      <c r="D224" s="64">
        <f t="shared" ca="1" si="4"/>
        <v>83</v>
      </c>
      <c r="E224" s="61">
        <f t="shared" ca="1" si="5"/>
        <v>8956.7546570323393</v>
      </c>
      <c r="F224" s="62">
        <f t="shared" ca="1" si="6"/>
        <v>4.7476933888902395E-2</v>
      </c>
      <c r="G224" s="62" cm="1">
        <f t="array" aca="1" ref="G224" ca="1">IF(ISNUMBER(D224),IF(D224&gt;=101,INDEX($B$106:$B$206,101),INDEX($B$106:$B$206,D224)+(C224-INDEX($C$106:$C$206,D224))/MAX(0.000000000001,INDEX($C$106:$C$206,D224+1)-INDEX($C$106:$C$206,D224))*(INDEX($B$106:$B$206,D224+1)-INDEX($B$106:$B$206,D224))),NA())</f>
        <v>0.82279340640801435</v>
      </c>
    </row>
    <row r="225" spans="2:7" hidden="1" outlineLevel="1" x14ac:dyDescent="0.45">
      <c r="B225" s="63">
        <v>16</v>
      </c>
      <c r="C225" s="61">
        <f ca="1">IF(ISNUMBER($C$106),$C$106+($C$206-$C$106)*16/24,NA())</f>
        <v>9019.8660390531386</v>
      </c>
      <c r="D225" s="64">
        <f t="shared" ca="1" si="4"/>
        <v>88</v>
      </c>
      <c r="E225" s="61">
        <f t="shared" ca="1" si="5"/>
        <v>9082.9774210739379</v>
      </c>
      <c r="F225" s="62">
        <f t="shared" ca="1" si="6"/>
        <v>3.8927150002161737E-2</v>
      </c>
      <c r="G225" s="62" cm="1">
        <f t="array" aca="1" ref="G225" ca="1">IF(ISNUMBER(D225),IF(D225&gt;=101,INDEX($B$106:$B$206,101),INDEX($B$106:$B$206,D225)+(C225-INDEX($C$106:$C$206,D225))/MAX(0.000000000001,INDEX($C$106:$C$206,D225+1)-INDEX($C$106:$C$206,D225))*(INDEX($B$106:$B$206,D225+1)-INDEX($B$106:$B$206,D225))),NA())</f>
        <v>0.87027034029691674</v>
      </c>
    </row>
    <row r="226" spans="2:7" hidden="1" outlineLevel="1" x14ac:dyDescent="0.45">
      <c r="B226" s="63">
        <v>17</v>
      </c>
      <c r="C226" s="61">
        <f ca="1">IF(ISNUMBER($C$106),$C$106+($C$206-$C$106)*17/24,NA())</f>
        <v>9146.0888030947372</v>
      </c>
      <c r="D226" s="64">
        <f t="shared" ca="1" si="4"/>
        <v>91</v>
      </c>
      <c r="E226" s="61">
        <f t="shared" ca="1" si="5"/>
        <v>9209.2001851155364</v>
      </c>
      <c r="F226" s="62">
        <f t="shared" ca="1" si="6"/>
        <v>2.7941043270648613E-2</v>
      </c>
      <c r="G226" s="62" cm="1">
        <f t="array" aca="1" ref="G226" ca="1">IF(ISNUMBER(D226),IF(D226&gt;=101,INDEX($B$106:$B$206,101),INDEX($B$106:$B$206,D226)+(C226-INDEX($C$106:$C$206,D226))/MAX(0.000000000001,INDEX($C$106:$C$206,D226+1)-INDEX($C$106:$C$206,D226))*(INDEX($B$106:$B$206,D226+1)-INDEX($B$106:$B$206,D226))),NA())</f>
        <v>0.90919749029907848</v>
      </c>
    </row>
    <row r="227" spans="2:7" hidden="1" outlineLevel="1" x14ac:dyDescent="0.45">
      <c r="B227" s="63">
        <v>18</v>
      </c>
      <c r="C227" s="61">
        <f ca="1">IF(ISNUMBER($C$106),$C$106+($C$206-$C$106)*18/24,NA())</f>
        <v>9272.3115671363357</v>
      </c>
      <c r="D227" s="64">
        <f t="shared" ca="1" si="4"/>
        <v>94</v>
      </c>
      <c r="E227" s="61">
        <f t="shared" ca="1" si="5"/>
        <v>9335.422949157135</v>
      </c>
      <c r="F227" s="62">
        <f t="shared" ca="1" si="6"/>
        <v>1.8876586355830671E-2</v>
      </c>
      <c r="G227" s="62" cm="1">
        <f t="array" aca="1" ref="G227" ca="1">IF(ISNUMBER(D227),IF(D227&gt;=101,INDEX($B$106:$B$206,101),INDEX($B$106:$B$206,D227)+(C227-INDEX($C$106:$C$206,D227))/MAX(0.000000000001,INDEX($C$106:$C$206,D227+1)-INDEX($C$106:$C$206,D227))*(INDEX($B$106:$B$206,D227+1)-INDEX($B$106:$B$206,D227))),NA())</f>
        <v>0.93713853356972709</v>
      </c>
    </row>
    <row r="228" spans="2:7" hidden="1" outlineLevel="1" x14ac:dyDescent="0.45">
      <c r="B228" s="63">
        <v>19</v>
      </c>
      <c r="C228" s="61">
        <f ca="1">IF(ISNUMBER($C$106),$C$106+($C$206-$C$106)*19/24,NA())</f>
        <v>9398.5343311779343</v>
      </c>
      <c r="D228" s="64">
        <f t="shared" ca="1" si="4"/>
        <v>96</v>
      </c>
      <c r="E228" s="61">
        <f t="shared" ca="1" si="5"/>
        <v>9461.6457131987336</v>
      </c>
      <c r="F228" s="62">
        <f t="shared" ca="1" si="6"/>
        <v>1.4602787695360719E-2</v>
      </c>
      <c r="G228" s="62" cm="1">
        <f t="array" aca="1" ref="G228" ca="1">IF(ISNUMBER(D228),IF(D228&gt;=101,INDEX($B$106:$B$206,101),INDEX($B$106:$B$206,D228)+(C228-INDEX($C$106:$C$206,D228))/MAX(0.000000000001,INDEX($C$106:$C$206,D228+1)-INDEX($C$106:$C$206,D228))*(INDEX($B$106:$B$206,D228+1)-INDEX($B$106:$B$206,D228))),NA())</f>
        <v>0.95601511992555777</v>
      </c>
    </row>
    <row r="229" spans="2:7" hidden="1" outlineLevel="1" x14ac:dyDescent="0.45">
      <c r="B229" s="63">
        <v>20</v>
      </c>
      <c r="C229" s="61">
        <f ca="1">IF(ISNUMBER($C$106),$C$106+($C$206-$C$106)*20/24,NA())</f>
        <v>9524.7570952195329</v>
      </c>
      <c r="D229" s="64">
        <f t="shared" ca="1" si="4"/>
        <v>98</v>
      </c>
      <c r="E229" s="61">
        <f t="shared" ca="1" si="5"/>
        <v>9587.8684772403321</v>
      </c>
      <c r="F229" s="62">
        <f t="shared" ca="1" si="6"/>
        <v>1.0604809517768765E-2</v>
      </c>
      <c r="G229" s="62" cm="1">
        <f t="array" aca="1" ref="G229" ca="1">IF(ISNUMBER(D229),IF(D229&gt;=101,INDEX($B$106:$B$206,101),INDEX($B$106:$B$206,D229)+(C229-INDEX($C$106:$C$206,D229))/MAX(0.000000000001,INDEX($C$106:$C$206,D229+1)-INDEX($C$106:$C$206,D229))*(INDEX($B$106:$B$206,D229+1)-INDEX($B$106:$B$206,D229))),NA())</f>
        <v>0.97061790762091849</v>
      </c>
    </row>
    <row r="230" spans="2:7" hidden="1" outlineLevel="1" x14ac:dyDescent="0.45">
      <c r="B230" s="63">
        <v>21</v>
      </c>
      <c r="C230" s="61">
        <f ca="1">IF(ISNUMBER($C$106),$C$106+($C$206-$C$106)*21/24,NA())</f>
        <v>9650.9798592611314</v>
      </c>
      <c r="D230" s="64">
        <f t="shared" ca="1" si="4"/>
        <v>99</v>
      </c>
      <c r="E230" s="61">
        <f t="shared" ca="1" si="5"/>
        <v>9714.0912412819307</v>
      </c>
      <c r="F230" s="62">
        <f t="shared" ca="1" si="6"/>
        <v>6.318672390486002E-3</v>
      </c>
      <c r="G230" s="62" cm="1">
        <f t="array" aca="1" ref="G230" ca="1">IF(ISNUMBER(D230),IF(D230&gt;=101,INDEX($B$106:$B$206,101),INDEX($B$106:$B$206,D230)+(C230-INDEX($C$106:$C$206,D230))/MAX(0.000000000001,INDEX($C$106:$C$206,D230+1)-INDEX($C$106:$C$206,D230))*(INDEX($B$106:$B$206,D230+1)-INDEX($B$106:$B$206,D230))),NA())</f>
        <v>0.98122271713868725</v>
      </c>
    </row>
    <row r="231" spans="2:7" hidden="1" outlineLevel="1" x14ac:dyDescent="0.45">
      <c r="B231" s="63">
        <v>22</v>
      </c>
      <c r="C231" s="61">
        <f ca="1">IF(ISNUMBER($C$106),$C$106+($C$206-$C$106)*22/24,NA())</f>
        <v>9777.20262330273</v>
      </c>
      <c r="D231" s="64">
        <f t="shared" ca="1" si="4"/>
        <v>99</v>
      </c>
      <c r="E231" s="61">
        <f t="shared" ca="1" si="5"/>
        <v>9840.3140053235293</v>
      </c>
      <c r="F231" s="62">
        <f t="shared" ca="1" si="6"/>
        <v>4.3547508955806835E-3</v>
      </c>
      <c r="G231" s="62" cm="1">
        <f t="array" aca="1" ref="G231" ca="1">IF(ISNUMBER(D231),IF(D231&gt;=101,INDEX($B$106:$B$206,101),INDEX($B$106:$B$206,D231)+(C231-INDEX($C$106:$C$206,D231))/MAX(0.000000000001,INDEX($C$106:$C$206,D231+1)-INDEX($C$106:$C$206,D231))*(INDEX($B$106:$B$206,D231+1)-INDEX($B$106:$B$206,D231))),NA())</f>
        <v>0.98754138952917325</v>
      </c>
    </row>
    <row r="232" spans="2:7" hidden="1" outlineLevel="1" x14ac:dyDescent="0.45">
      <c r="B232" s="63">
        <v>23</v>
      </c>
      <c r="C232" s="61">
        <f ca="1">IF(ISNUMBER($C$106),$C$106+($C$206-$C$106)*23/24,NA())</f>
        <v>9903.4253873443286</v>
      </c>
      <c r="D232" s="64">
        <f t="shared" ca="1" si="4"/>
        <v>100</v>
      </c>
      <c r="E232" s="61">
        <f t="shared" ca="1" si="5"/>
        <v>9966.5367693651278</v>
      </c>
      <c r="F232" s="62">
        <f t="shared" ca="1" si="6"/>
        <v>3.1038595752460596E-3</v>
      </c>
      <c r="G232" s="62" cm="1">
        <f t="array" aca="1" ref="G232" ca="1">IF(ISNUMBER(D232),IF(D232&gt;=101,INDEX($B$106:$B$206,101),INDEX($B$106:$B$206,D232)+(C232-INDEX($C$106:$C$206,D232))/MAX(0.000000000001,INDEX($C$106:$C$206,D232+1)-INDEX($C$106:$C$206,D232))*(INDEX($B$106:$B$206,D232+1)-INDEX($B$106:$B$206,D232))),NA())</f>
        <v>0.99189614042475394</v>
      </c>
    </row>
    <row r="233" spans="2:7" hidden="1" outlineLevel="1" x14ac:dyDescent="0.45">
      <c r="B233" s="63">
        <v>24</v>
      </c>
      <c r="C233" s="61">
        <f ca="1">IF(ISNUMBER($C$106),$C$106+($C$206-$C$106)*24/24,NA())</f>
        <v>10029.648151385927</v>
      </c>
      <c r="D233" s="64">
        <f t="shared" ca="1" si="4"/>
        <v>101</v>
      </c>
      <c r="G233" s="62" cm="1">
        <f t="array" aca="1" ref="G233" ca="1">IF(ISNUMBER(D233),IF(D233&gt;=101,INDEX($B$106:$B$206,101),INDEX($B$106:$B$206,D233)+(C233-INDEX($C$106:$C$206,D233))/MAX(0.000000000001,INDEX($C$106:$C$206,D233+1)-INDEX($C$106:$C$206,D233))*(INDEX($B$106:$B$206,D233+1)-INDEX($B$106:$B$206,D233))),NA())</f>
        <v>0.995</v>
      </c>
    </row>
  </sheetData>
  <mergeCells count="5">
    <mergeCell ref="B47:G47"/>
    <mergeCell ref="B46:G46"/>
    <mergeCell ref="B45:G45"/>
    <mergeCell ref="B44:G44"/>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6:G233">
    <cfRule type="expression" dxfId="1" priority="4">
      <formula>ISNA($C$106)</formula>
    </cfRule>
  </conditionalFormatting>
  <conditionalFormatting sqref="D54:F103">
    <cfRule type="expression" dxfId="0" priority="3">
      <formula>ISNA(D54)</formula>
    </cfRule>
  </conditionalFormatting>
  <hyperlinks>
    <hyperlink ref="B4" location="'Capital'!A1" display="◂  Capital"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8E99D-5915-41B4-ADCA-6EC5F5707DDB}">
  <dimension ref="A1:B1"/>
  <sheetViews>
    <sheetView workbookViewId="0"/>
  </sheetViews>
  <sheetFormatPr defaultRowHeight="14.25" x14ac:dyDescent="0.45"/>
  <sheetData>
    <row r="1" spans="1:2" x14ac:dyDescent="0.45">
      <c r="A1" s="69" t="s">
        <v>210</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24D5-9102-454A-AD6E-8CA6DA2E79BA}">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10E12-0CA5-48E0-8C75-408A30CA1013}">
  <dimension ref="B3:B22"/>
  <sheetViews>
    <sheetView workbookViewId="0"/>
  </sheetViews>
  <sheetFormatPr defaultRowHeight="14.25" x14ac:dyDescent="0.45"/>
  <sheetData>
    <row r="3" spans="2:2" x14ac:dyDescent="0.45">
      <c r="B3">
        <v>37</v>
      </c>
    </row>
    <row r="4" spans="2:2" x14ac:dyDescent="0.45">
      <c r="B4">
        <v>497</v>
      </c>
    </row>
    <row r="5" spans="2:2" x14ac:dyDescent="0.45">
      <c r="B5">
        <v>988</v>
      </c>
    </row>
    <row r="6" spans="2:2" x14ac:dyDescent="0.45">
      <c r="B6">
        <v>426</v>
      </c>
    </row>
    <row r="7" spans="2:2" x14ac:dyDescent="0.45">
      <c r="B7">
        <v>46</v>
      </c>
    </row>
    <row r="8" spans="2:2" x14ac:dyDescent="0.45">
      <c r="B8">
        <v>5</v>
      </c>
    </row>
    <row r="9" spans="2:2" x14ac:dyDescent="0.45">
      <c r="B9">
        <v>0</v>
      </c>
    </row>
    <row r="10" spans="2:2" x14ac:dyDescent="0.45">
      <c r="B10">
        <v>0</v>
      </c>
    </row>
    <row r="11" spans="2:2" x14ac:dyDescent="0.45">
      <c r="B11">
        <v>0</v>
      </c>
    </row>
    <row r="12" spans="2:2" x14ac:dyDescent="0.45">
      <c r="B12">
        <v>1</v>
      </c>
    </row>
    <row r="13" spans="2:2" x14ac:dyDescent="0.45">
      <c r="B13">
        <v>91</v>
      </c>
    </row>
    <row r="14" spans="2:2" x14ac:dyDescent="0.45">
      <c r="B14">
        <v>582</v>
      </c>
    </row>
    <row r="15" spans="2:2" x14ac:dyDescent="0.45">
      <c r="B15">
        <v>870</v>
      </c>
    </row>
    <row r="16" spans="2:2" x14ac:dyDescent="0.45">
      <c r="B16">
        <v>387</v>
      </c>
    </row>
    <row r="17" spans="2:2" x14ac:dyDescent="0.45">
      <c r="B17">
        <v>61</v>
      </c>
    </row>
    <row r="18" spans="2:2" x14ac:dyDescent="0.45">
      <c r="B18">
        <v>6</v>
      </c>
    </row>
    <row r="19" spans="2:2" x14ac:dyDescent="0.45">
      <c r="B19">
        <v>1</v>
      </c>
    </row>
    <row r="20" spans="2:2" x14ac:dyDescent="0.45">
      <c r="B20">
        <v>0</v>
      </c>
    </row>
    <row r="21" spans="2:2" x14ac:dyDescent="0.45">
      <c r="B21">
        <v>0</v>
      </c>
    </row>
    <row r="22" spans="2:2" x14ac:dyDescent="0.45">
      <c r="B2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DFA913EB-178D-44C5-98B6-A493418D47C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44</vt:i4>
      </vt:variant>
    </vt:vector>
  </HeadingPairs>
  <TitlesOfParts>
    <vt:vector size="52" baseType="lpstr">
      <vt:lpstr>About</vt:lpstr>
      <vt:lpstr>Inputs</vt:lpstr>
      <vt:lpstr>Cells</vt:lpstr>
      <vt:lpstr>Capital</vt:lpstr>
      <vt:lpstr>Results</vt:lpstr>
      <vt:lpstr>ModelRiskDSN</vt:lpstr>
      <vt:lpstr>ModelRiskSYS1</vt:lpstr>
      <vt:lpstr>ModelRiskCharts</vt:lpstr>
      <vt:lpstr>CapExact</vt:lpstr>
      <vt:lpstr>CapSum</vt:lpstr>
      <vt:lpstr>CapT1</vt:lpstr>
      <vt:lpstr>CapT2</vt:lpstr>
      <vt:lpstr>CapT3</vt:lpstr>
      <vt:lpstr>CapTotal</vt:lpstr>
      <vt:lpstr>Checks</vt:lpstr>
      <vt:lpstr>DivBenefit</vt:lpstr>
      <vt:lpstr>EL_T1</vt:lpstr>
      <vt:lpstr>EL_T2</vt:lpstr>
      <vt:lpstr>EL_T3</vt:lpstr>
      <vt:lpstr>ExpLoss</vt:lpstr>
      <vt:lpstr>FFTMean</vt:lpstr>
      <vt:lpstr>FFTObj</vt:lpstr>
      <vt:lpstr>FFTObj_T1</vt:lpstr>
      <vt:lpstr>FFTObj_T2</vt:lpstr>
      <vt:lpstr>FFTObj_T3</vt:lpstr>
      <vt:lpstr>FFTShift</vt:lpstr>
      <vt:lpstr>Freq_T1</vt:lpstr>
      <vt:lpstr>Freq_T2</vt:lpstr>
      <vt:lpstr>Freq_T3</vt:lpstr>
      <vt:lpstr>FreqObjs</vt:lpstr>
      <vt:lpstr>Lambdas</vt:lpstr>
      <vt:lpstr>MCTotal</vt:lpstr>
      <vt:lpstr>Pctl</vt:lpstr>
      <vt:lpstr>Pctl99</vt:lpstr>
      <vt:lpstr>PctT1</vt:lpstr>
      <vt:lpstr>PctT2</vt:lpstr>
      <vt:lpstr>PctT3</vt:lpstr>
      <vt:lpstr>PReq</vt:lpstr>
      <vt:lpstr>Capital!Print_Area</vt:lpstr>
      <vt:lpstr>Cells!Print_Area</vt:lpstr>
      <vt:lpstr>Results!Print_Area</vt:lpstr>
      <vt:lpstr>Inputs!Print_Titles</vt:lpstr>
      <vt:lpstr>Results!Print_Titles</vt:lpstr>
      <vt:lpstr>Sev_T1</vt:lpstr>
      <vt:lpstr>Sev_T2</vt:lpstr>
      <vt:lpstr>Sev_T3</vt:lpstr>
      <vt:lpstr>SevMeans</vt:lpstr>
      <vt:lpstr>SevObjs</vt:lpstr>
      <vt:lpstr>SevSDs</vt:lpstr>
      <vt:lpstr>Tot_FFT</vt:lpstr>
      <vt:lpstr>Tot_MC</vt:lpstr>
      <vt:lpstr>TotSD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GU-24 Operational Risk Capital (FFT)</dc:title>
  <dc:subject>ModelRisk industry example library — General use</dc:subject>
  <dc:creator>Vose Software</dc:creator>
  <cp:keywords>ModelRisk; Monte Carlo; General use</cp:keywords>
  <dc:description>Basel II operational-risk capital at 99.9% from 45 Poisson–Lognormal cells with VoseAggregateMultiFFT.</dc:description>
  <cp:lastModifiedBy>Timour Koupeev</cp:lastModifiedBy>
  <cp:lastPrinted>2026-10-07T16:46:59Z</cp:lastPrinted>
  <dcterms:created xsi:type="dcterms:W3CDTF">2026-10-07T16:44:00Z</dcterms:created>
  <dcterms:modified xsi:type="dcterms:W3CDTF">2026-10-07T16:47:01Z</dcterms:modified>
</cp:coreProperties>
</file>