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66EB66C0-4C29-4D0A-BE7F-6ADB4A707A96}"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ortfolio A" sheetId="3" r:id="rId3"/>
    <sheet name="Portfolio B" sheetId="4" r:id="rId4"/>
    <sheet name="Row by row" sheetId="5" r:id="rId5"/>
    <sheet name="Results" sheetId="6" r:id="rId6"/>
    <sheet name="ModelRiskDSN" sheetId="7" state="hidden" r:id="rId7"/>
    <sheet name="ModelRiskSYS1" sheetId="8" state="hidden" r:id="rId8"/>
    <sheet name="ModelRiskCharts" sheetId="9" state="hidden" r:id="rId9"/>
  </sheets>
  <definedNames>
    <definedName name="A_Defaults">'Portfolio A'!$C$8</definedName>
    <definedName name="A_ES">'Portfolio A'!$C$19</definedName>
    <definedName name="A_FFT">'Portfolio A'!$C$16</definedName>
    <definedName name="A_FFTs">'Portfolio A'!$D$31</definedName>
    <definedName name="A_Loss">'Portfolio A'!$C$9</definedName>
    <definedName name="A_LossMean">Inputs!$D$12</definedName>
    <definedName name="A_LossSD">Inputs!$D$13</definedName>
    <definedName name="A_MC">'Portfolio A'!$D$30</definedName>
    <definedName name="A_Mean">'Portfolio A'!$C$13</definedName>
    <definedName name="A_Obligors">Inputs!$D$10</definedName>
    <definedName name="A_PD">Inputs!$D$11</definedName>
    <definedName name="A_SD">'Portfolio A'!$C$14</definedName>
    <definedName name="A_Upper">'Portfolio A'!$C$18</definedName>
    <definedName name="A_VaR">'Portfolio A'!$C$17</definedName>
    <definedName name="A_VarShare">'Portfolio A'!$C$15</definedName>
    <definedName name="B_ExpMean">Inputs!$D$19</definedName>
    <definedName name="B_Exposure">'Portfolio B'!$C$7</definedName>
    <definedName name="B_ExpSD">Inputs!$D$20</definedName>
    <definedName name="B_FracA">Inputs!$D$21</definedName>
    <definedName name="B_FracB">Inputs!$D$22</definedName>
    <definedName name="B_Fraction">'Portfolio B'!$C$8</definedName>
    <definedName name="B_LossMean">'Portfolio B'!$C$13</definedName>
    <definedName name="B_LossVar">'Portfolio B'!$C$14</definedName>
    <definedName name="B_Mean">'Portfolio B'!$C$15</definedName>
    <definedName name="B_N">'Portfolio B'!$C$9</definedName>
    <definedName name="B_Obligors">Inputs!$D$17</definedName>
    <definedName name="B_PD">Inputs!$D$18</definedName>
    <definedName name="B_Rows">'Portfolio B'!$D$28</definedName>
    <definedName name="B_RowTotal">'Row by row'!$T$59</definedName>
    <definedName name="B_SD">'Portfolio B'!$C$16</definedName>
    <definedName name="B_SP">'Portfolio B'!$D$27</definedName>
    <definedName name="B_VarShare">'Portfolio B'!$C$17</definedName>
    <definedName name="Checks">'Row by row'!$L$64:$L$66</definedName>
    <definedName name="Conf">Inputs!$D$26</definedName>
    <definedName name="_xlnm.Print_Area" localSheetId="2">'Portfolio A'!$A$1:$F$33</definedName>
    <definedName name="_xlnm.Print_Area" localSheetId="3">'Portfolio B'!$A$1:$G$30</definedName>
    <definedName name="_xlnm.Print_Area" localSheetId="5">Results!$A$1:$R$45</definedName>
    <definedName name="_xlnm.Print_Area" localSheetId="4">'Row by row'!$A$1:$U$68</definedName>
    <definedName name="_xlnm.Print_Titles" localSheetId="1">Inputs!$1:$4</definedName>
    <definedName name="_xlnm.Print_Titles" localSheetId="5">Results!$1:$4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0" i="6" l="1"/>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L66" i="5"/>
  <c r="L64" i="5"/>
  <c r="C13" i="4"/>
  <c r="C8" i="4" a="1"/>
  <c r="C8" i="4" s="1"/>
  <c r="C7" i="4" a="1"/>
  <c r="C7" i="4" s="1"/>
  <c r="C14" i="3"/>
  <c r="F13" i="6" s="1"/>
  <c r="C13" i="3"/>
  <c r="F12" i="6"/>
  <c r="C9" i="3" a="1"/>
  <c r="C9" i="3" s="1"/>
  <c r="C8" i="3" a="1"/>
  <c r="C8" i="3" s="1"/>
  <c r="C16" i="3" s="1" a="1"/>
  <c r="C16" i="3" s="1"/>
  <c r="C14" i="4"/>
  <c r="C16" i="4" s="1"/>
  <c r="C17" i="4" s="1"/>
  <c r="D29" i="6" s="1"/>
  <c r="F21" i="6"/>
  <c r="C15" i="4"/>
  <c r="F20" i="6" s="1"/>
  <c r="C9" i="4" a="1"/>
  <c r="C17" i="3" a="1"/>
  <c r="C23" i="3" a="1"/>
  <c r="C25" i="3" a="1"/>
  <c r="C18" i="3" l="1"/>
  <c r="C15" i="3"/>
  <c r="D28" i="6" s="1"/>
  <c r="C9" i="4"/>
  <c r="C25" i="3"/>
  <c r="D31" i="3" s="1" a="1"/>
  <c r="D31" i="3" s="1"/>
  <c r="C23" i="3"/>
  <c r="C17" i="3"/>
  <c r="E93" i="6" a="1"/>
  <c r="E85" i="6" a="1"/>
  <c r="E77" i="6" a="1"/>
  <c r="E69" i="6" a="1"/>
  <c r="E100" i="6" a="1"/>
  <c r="E92" i="6" a="1"/>
  <c r="E84" i="6" a="1"/>
  <c r="E76" i="6" a="1"/>
  <c r="E62" i="6" a="1"/>
  <c r="E61" i="6" a="1"/>
  <c r="E14" i="6" a="1"/>
  <c r="E99" i="6" a="1"/>
  <c r="E91" i="6" a="1"/>
  <c r="E83" i="6" a="1"/>
  <c r="E75" i="6" a="1"/>
  <c r="E54" i="6" a="1"/>
  <c r="E56" i="6" a="1"/>
  <c r="E13" i="6" a="1"/>
  <c r="E98" i="6" a="1"/>
  <c r="E90" i="6" a="1"/>
  <c r="E82" i="6" a="1"/>
  <c r="E74" i="6" a="1"/>
  <c r="E63" i="6" a="1"/>
  <c r="E68" i="6" a="1"/>
  <c r="E53" i="6" a="1"/>
  <c r="E97" i="6" a="1"/>
  <c r="E89" i="6" a="1"/>
  <c r="E81" i="6" a="1"/>
  <c r="E73" i="6" a="1"/>
  <c r="E55" i="6" a="1"/>
  <c r="E57" i="6" a="1"/>
  <c r="E60" i="6" a="1"/>
  <c r="E96" i="6" a="1"/>
  <c r="E88" i="6" a="1"/>
  <c r="E80" i="6" a="1"/>
  <c r="E72" i="6" a="1"/>
  <c r="E64" i="6" a="1"/>
  <c r="E51" i="6" a="1"/>
  <c r="E12" i="6" a="1"/>
  <c r="E95" i="6" a="1"/>
  <c r="E87" i="6" a="1"/>
  <c r="E79" i="6" a="1"/>
  <c r="E71" i="6" a="1"/>
  <c r="E58" i="6" a="1"/>
  <c r="E66" i="6" a="1"/>
  <c r="E59" i="6" a="1"/>
  <c r="E94" i="6" a="1"/>
  <c r="E86" i="6" a="1"/>
  <c r="E78" i="6" a="1"/>
  <c r="E70" i="6" a="1"/>
  <c r="E52" i="6" a="1"/>
  <c r="E15" i="6" a="1"/>
  <c r="E67" i="6" a="1"/>
  <c r="E65" i="6" a="1"/>
  <c r="C21" i="4" a="1"/>
  <c r="C24" i="3" a="1"/>
  <c r="C19" i="3" a="1"/>
  <c r="F99" i="6" l="1"/>
  <c r="F64" i="6"/>
  <c r="F98" i="6"/>
  <c r="F88" i="6"/>
  <c r="F61" i="6"/>
  <c r="F91" i="6"/>
  <c r="F92" i="6"/>
  <c r="F57" i="6"/>
  <c r="F74" i="6"/>
  <c r="F76" i="6"/>
  <c r="F80" i="6"/>
  <c r="F63" i="6"/>
  <c r="F72" i="6"/>
  <c r="F53" i="6"/>
  <c r="F81" i="6"/>
  <c r="F55" i="6"/>
  <c r="F59" i="6"/>
  <c r="F95" i="6"/>
  <c r="F79" i="6"/>
  <c r="F60" i="6"/>
  <c r="F94" i="6"/>
  <c r="F83" i="6"/>
  <c r="L65" i="5"/>
  <c r="B7" i="6" s="1"/>
  <c r="F54" i="6"/>
  <c r="F67" i="6"/>
  <c r="F56" i="6"/>
  <c r="F90" i="6"/>
  <c r="F66" i="6"/>
  <c r="F75" i="6"/>
  <c r="F86" i="6"/>
  <c r="F87" i="6"/>
  <c r="F96" i="6"/>
  <c r="F77" i="6"/>
  <c r="F58" i="6"/>
  <c r="F71" i="6"/>
  <c r="F93" i="6"/>
  <c r="F97" i="6"/>
  <c r="F84" i="6"/>
  <c r="F51" i="6"/>
  <c r="F89" i="6"/>
  <c r="F70" i="6"/>
  <c r="F73" i="6"/>
  <c r="F14" i="6"/>
  <c r="F82" i="6"/>
  <c r="F69" i="6"/>
  <c r="F100" i="6"/>
  <c r="F85" i="6"/>
  <c r="F62" i="6"/>
  <c r="F68" i="6"/>
  <c r="F78" i="6"/>
  <c r="F65" i="6"/>
  <c r="F52" i="6"/>
  <c r="E65" i="6"/>
  <c r="E67" i="6"/>
  <c r="E15" i="6"/>
  <c r="E52" i="6"/>
  <c r="E70" i="6"/>
  <c r="E78" i="6"/>
  <c r="E86" i="6"/>
  <c r="E94" i="6"/>
  <c r="E59" i="6"/>
  <c r="E66" i="6"/>
  <c r="E58" i="6"/>
  <c r="E71" i="6"/>
  <c r="E79" i="6"/>
  <c r="E87" i="6"/>
  <c r="E95" i="6"/>
  <c r="E12" i="6"/>
  <c r="E51" i="6"/>
  <c r="E64" i="6"/>
  <c r="E72" i="6"/>
  <c r="E80" i="6"/>
  <c r="E88" i="6"/>
  <c r="E96" i="6"/>
  <c r="E60" i="6"/>
  <c r="E57" i="6"/>
  <c r="E55" i="6"/>
  <c r="E73" i="6"/>
  <c r="E81" i="6"/>
  <c r="E89" i="6"/>
  <c r="E97" i="6"/>
  <c r="E53" i="6"/>
  <c r="E68" i="6"/>
  <c r="E63" i="6"/>
  <c r="E74" i="6"/>
  <c r="E82" i="6"/>
  <c r="E90" i="6"/>
  <c r="E98" i="6"/>
  <c r="E13" i="6"/>
  <c r="E56" i="6"/>
  <c r="E54" i="6"/>
  <c r="E75" i="6"/>
  <c r="E83" i="6"/>
  <c r="E91" i="6"/>
  <c r="E99" i="6"/>
  <c r="E14" i="6"/>
  <c r="E61" i="6"/>
  <c r="E62" i="6"/>
  <c r="E76" i="6"/>
  <c r="E84" i="6"/>
  <c r="E92" i="6"/>
  <c r="E100" i="6"/>
  <c r="E69" i="6"/>
  <c r="E77" i="6"/>
  <c r="E85" i="6"/>
  <c r="E93" i="6"/>
  <c r="M50" i="5" a="1"/>
  <c r="M50" i="5" s="1"/>
  <c r="N52" i="5" a="1"/>
  <c r="N52" i="5" s="1"/>
  <c r="R49" i="5" a="1"/>
  <c r="R49" i="5" s="1"/>
  <c r="R33" i="5" a="1"/>
  <c r="R33" i="5" s="1"/>
  <c r="R17" i="5" a="1"/>
  <c r="R17" i="5" s="1"/>
  <c r="S56" i="5" a="1"/>
  <c r="S56" i="5" s="1"/>
  <c r="R46" i="5" a="1"/>
  <c r="R46" i="5" s="1"/>
  <c r="R20" i="5" a="1"/>
  <c r="R20" i="5" s="1"/>
  <c r="S9" i="5" a="1"/>
  <c r="S9" i="5" s="1"/>
  <c r="S50" i="5" a="1"/>
  <c r="S50" i="5" s="1"/>
  <c r="R35" i="5" a="1"/>
  <c r="R35" i="5" s="1"/>
  <c r="R58" i="5" a="1"/>
  <c r="R58" i="5" s="1"/>
  <c r="S53" i="5" a="1"/>
  <c r="S53" i="5" s="1"/>
  <c r="S37" i="5" a="1"/>
  <c r="S37" i="5" s="1"/>
  <c r="S21" i="5" a="1"/>
  <c r="S21" i="5" s="1"/>
  <c r="N55" i="5" a="1"/>
  <c r="N55" i="5" s="1"/>
  <c r="S48" i="5" a="1"/>
  <c r="S48" i="5" s="1"/>
  <c r="S22" i="5" a="1"/>
  <c r="S22" i="5" s="1"/>
  <c r="R12" i="5" a="1"/>
  <c r="R12" i="5" s="1"/>
  <c r="R56" i="5" a="1"/>
  <c r="R56" i="5" s="1"/>
  <c r="R43" i="5" a="1"/>
  <c r="R43" i="5" s="1"/>
  <c r="S19" i="5" a="1"/>
  <c r="S19" i="5" s="1"/>
  <c r="R9" i="5" a="1"/>
  <c r="R9" i="5" s="1"/>
  <c r="R47" i="5" a="1"/>
  <c r="R47" i="5" s="1"/>
  <c r="S28" i="5" a="1"/>
  <c r="S28" i="5" s="1"/>
  <c r="R13" i="5" a="1"/>
  <c r="R13" i="5" s="1"/>
  <c r="S32" i="5" a="1"/>
  <c r="S32" i="5" s="1"/>
  <c r="N53" i="5" a="1"/>
  <c r="N53" i="5" s="1"/>
  <c r="S40" i="5" a="1"/>
  <c r="S40" i="5" s="1"/>
  <c r="R24" i="5" a="1"/>
  <c r="R24" i="5" s="1"/>
  <c r="R23" i="5" a="1"/>
  <c r="R23" i="5" s="1"/>
  <c r="S52" i="5" a="1"/>
  <c r="S52" i="5" s="1"/>
  <c r="S27" i="5" a="1"/>
  <c r="S27" i="5" s="1"/>
  <c r="N56" i="5" a="1"/>
  <c r="N56" i="5" s="1"/>
  <c r="S55" i="5" a="1"/>
  <c r="S55" i="5" s="1"/>
  <c r="S26" i="5" a="1"/>
  <c r="S26" i="5" s="1"/>
  <c r="R30" i="5" a="1"/>
  <c r="R30" i="5" s="1"/>
  <c r="R34" i="5" a="1"/>
  <c r="R34" i="5" s="1"/>
  <c r="N54" i="5" a="1"/>
  <c r="N54" i="5" s="1"/>
  <c r="R21" i="5" a="1"/>
  <c r="R21" i="5" s="1"/>
  <c r="N51" i="5" a="1"/>
  <c r="N51" i="5" s="1"/>
  <c r="R42" i="5" a="1"/>
  <c r="R42" i="5" s="1"/>
  <c r="R10" i="5" a="1"/>
  <c r="R10" i="5" s="1"/>
  <c r="R41" i="5" a="1"/>
  <c r="R41" i="5" s="1"/>
  <c r="S58" i="5" a="1"/>
  <c r="S58" i="5" s="1"/>
  <c r="R22" i="5" a="1"/>
  <c r="R22" i="5" s="1"/>
  <c r="M55" i="5" a="1"/>
  <c r="M55" i="5" s="1"/>
  <c r="S57" i="5" a="1"/>
  <c r="S57" i="5" s="1"/>
  <c r="R28" i="5" a="1"/>
  <c r="R28" i="5" s="1"/>
  <c r="S31" i="5" a="1"/>
  <c r="S31" i="5" s="1"/>
  <c r="R51" i="5" a="1"/>
  <c r="R51" i="5" s="1"/>
  <c r="R38" i="5" a="1"/>
  <c r="R38" i="5" s="1"/>
  <c r="N50" i="5" a="1"/>
  <c r="N50" i="5" s="1"/>
  <c r="R52" i="5" a="1"/>
  <c r="R52" i="5" s="1"/>
  <c r="S20" i="5" a="1"/>
  <c r="S20" i="5" s="1"/>
  <c r="R37" i="5" a="1"/>
  <c r="R37" i="5" s="1"/>
  <c r="M56" i="5" a="1"/>
  <c r="M56" i="5" s="1"/>
  <c r="S23" i="5" a="1"/>
  <c r="S23" i="5" s="1"/>
  <c r="S10" i="5" a="1"/>
  <c r="S10" i="5" s="1"/>
  <c r="S33" i="5" a="1"/>
  <c r="S33" i="5" s="1"/>
  <c r="S16" i="5" a="1"/>
  <c r="S16" i="5" s="1"/>
  <c r="S49" i="5" a="1"/>
  <c r="S49" i="5" s="1"/>
  <c r="R53" i="5" a="1"/>
  <c r="R53" i="5" s="1"/>
  <c r="M53" i="5" a="1"/>
  <c r="M53" i="5" s="1"/>
  <c r="R57" i="5" a="1"/>
  <c r="R57" i="5" s="1"/>
  <c r="T57" i="5" s="1"/>
  <c r="S30" i="5" a="1"/>
  <c r="S30" i="5" s="1"/>
  <c r="R54" i="5" a="1"/>
  <c r="R54" i="5" s="1"/>
  <c r="S17" i="5" a="1"/>
  <c r="S17" i="5" s="1"/>
  <c r="R48" i="5" a="1"/>
  <c r="R48" i="5" s="1"/>
  <c r="R18" i="5" a="1"/>
  <c r="R18" i="5" s="1"/>
  <c r="R29" i="5" a="1"/>
  <c r="R29" i="5" s="1"/>
  <c r="R45" i="5" a="1"/>
  <c r="R45" i="5" s="1"/>
  <c r="R26" i="5" a="1"/>
  <c r="R26" i="5" s="1"/>
  <c r="S51" i="5" a="1"/>
  <c r="S51" i="5" s="1"/>
  <c r="R15" i="5" a="1"/>
  <c r="R15" i="5" s="1"/>
  <c r="S45" i="5" a="1"/>
  <c r="S45" i="5" s="1"/>
  <c r="R14" i="5" a="1"/>
  <c r="R14" i="5" s="1"/>
  <c r="R44" i="5" a="1"/>
  <c r="R44" i="5" s="1"/>
  <c r="S15" i="5" a="1"/>
  <c r="S15" i="5" s="1"/>
  <c r="S35" i="5" a="1"/>
  <c r="S35" i="5" s="1"/>
  <c r="S44" i="5" a="1"/>
  <c r="S44" i="5" s="1"/>
  <c r="R11" i="5" a="1"/>
  <c r="R11" i="5" s="1"/>
  <c r="S25" i="5" a="1"/>
  <c r="S25" i="5" s="1"/>
  <c r="S12" i="5" a="1"/>
  <c r="S12" i="5" s="1"/>
  <c r="M49" i="5" a="1"/>
  <c r="M49" i="5" s="1"/>
  <c r="S11" i="5" a="1"/>
  <c r="S11" i="5" s="1"/>
  <c r="R16" i="5" a="1"/>
  <c r="R16" i="5" s="1"/>
  <c r="S36" i="5" a="1"/>
  <c r="S36" i="5" s="1"/>
  <c r="R27" i="5" a="1"/>
  <c r="R27" i="5" s="1"/>
  <c r="S41" i="5" a="1"/>
  <c r="S41" i="5" s="1"/>
  <c r="N57" i="5" a="1"/>
  <c r="N57" i="5" s="1"/>
  <c r="S46" i="5" a="1"/>
  <c r="S46" i="5" s="1"/>
  <c r="S14" i="5" a="1"/>
  <c r="S14" i="5" s="1"/>
  <c r="S43" i="5" a="1"/>
  <c r="S43" i="5" s="1"/>
  <c r="M57" i="5" a="1"/>
  <c r="M57" i="5" s="1"/>
  <c r="S24" i="5" a="1"/>
  <c r="S24" i="5" s="1"/>
  <c r="S54" i="5" a="1"/>
  <c r="S54" i="5" s="1"/>
  <c r="R39" i="5" a="1"/>
  <c r="R39" i="5" s="1"/>
  <c r="R32" i="5" a="1"/>
  <c r="R32" i="5" s="1"/>
  <c r="S18" i="5" a="1"/>
  <c r="S18" i="5" s="1"/>
  <c r="R36" i="5" a="1"/>
  <c r="R36" i="5" s="1"/>
  <c r="R55" i="5" a="1"/>
  <c r="R55" i="5" s="1"/>
  <c r="R50" i="5" a="1"/>
  <c r="R50" i="5" s="1"/>
  <c r="M52" i="5" a="1"/>
  <c r="M52" i="5" s="1"/>
  <c r="N49" i="5" a="1"/>
  <c r="N49" i="5" s="1"/>
  <c r="S34" i="5" a="1"/>
  <c r="S34" i="5" s="1"/>
  <c r="N58" i="5" a="1"/>
  <c r="N58" i="5" s="1"/>
  <c r="R40" i="5" a="1"/>
  <c r="R40" i="5" s="1"/>
  <c r="R31" i="5" a="1"/>
  <c r="R31" i="5" s="1"/>
  <c r="S42" i="5" a="1"/>
  <c r="S42" i="5" s="1"/>
  <c r="R25" i="5" a="1"/>
  <c r="R25" i="5" s="1"/>
  <c r="R19" i="5" a="1"/>
  <c r="R19" i="5" s="1"/>
  <c r="S38" i="5" a="1"/>
  <c r="S38" i="5" s="1"/>
  <c r="S13" i="5" a="1"/>
  <c r="S13" i="5" s="1"/>
  <c r="M51" i="5" a="1"/>
  <c r="M51" i="5" s="1"/>
  <c r="M58" i="5" a="1"/>
  <c r="M58" i="5" s="1"/>
  <c r="S39" i="5" a="1"/>
  <c r="S39" i="5" s="1"/>
  <c r="M54" i="5" a="1"/>
  <c r="M54" i="5" s="1"/>
  <c r="S29" i="5" a="1"/>
  <c r="S29" i="5" s="1"/>
  <c r="S47" i="5" a="1"/>
  <c r="S47" i="5" s="1"/>
  <c r="C21" i="4"/>
  <c r="D27" i="4" s="1" a="1"/>
  <c r="D27" i="4" s="1"/>
  <c r="C19" i="3"/>
  <c r="F15" i="6" s="1"/>
  <c r="C24" i="3"/>
  <c r="D30" i="3" s="1" a="1"/>
  <c r="D30" i="3" s="1"/>
  <c r="N44" i="5" a="1"/>
  <c r="M40" i="5" a="1"/>
  <c r="N43" i="5" a="1"/>
  <c r="N40" i="5" a="1"/>
  <c r="N42" i="5" a="1"/>
  <c r="M42" i="5" a="1"/>
  <c r="N39" i="5" a="1"/>
  <c r="M43" i="5" a="1"/>
  <c r="M46" i="5" a="1"/>
  <c r="M44" i="5" a="1"/>
  <c r="M45" i="5" a="1"/>
  <c r="M41" i="5" a="1"/>
  <c r="N47" i="5" a="1"/>
  <c r="M39" i="5" a="1"/>
  <c r="N48" i="5" a="1"/>
  <c r="N41" i="5" a="1"/>
  <c r="M47" i="5" a="1"/>
  <c r="M48" i="5" a="1"/>
  <c r="N45" i="5" a="1"/>
  <c r="N46" i="5" a="1"/>
  <c r="D23" i="6" a="1"/>
  <c r="G74" i="6" a="1"/>
  <c r="G77" i="6" a="1"/>
  <c r="G58" i="6" a="1"/>
  <c r="G91" i="6" a="1"/>
  <c r="G97" i="6" a="1"/>
  <c r="G90" i="6" a="1"/>
  <c r="G75" i="6" a="1"/>
  <c r="G61" i="6" a="1"/>
  <c r="G68" i="6" a="1"/>
  <c r="G63" i="6" a="1"/>
  <c r="D22" i="6" a="1"/>
  <c r="G86" i="6" a="1"/>
  <c r="G57" i="6" a="1"/>
  <c r="G96" i="6" a="1"/>
  <c r="G55" i="6" a="1"/>
  <c r="G62" i="6" a="1"/>
  <c r="G85" i="6" a="1"/>
  <c r="G52" i="6" a="1"/>
  <c r="G82" i="6" a="1"/>
  <c r="G98" i="6" a="1"/>
  <c r="G93" i="6" a="1"/>
  <c r="G80" i="6" a="1"/>
  <c r="G92" i="6" a="1"/>
  <c r="G69" i="6" a="1"/>
  <c r="D21" i="6" a="1"/>
  <c r="G70" i="6" a="1"/>
  <c r="G87" i="6" a="1"/>
  <c r="G78" i="6" a="1"/>
  <c r="G95" i="6" a="1"/>
  <c r="G89" i="6" a="1"/>
  <c r="G72" i="6" a="1"/>
  <c r="G88" i="6" a="1"/>
  <c r="G66" i="6" a="1"/>
  <c r="D20" i="6" a="1"/>
  <c r="G99" i="6" a="1"/>
  <c r="G84" i="6" a="1"/>
  <c r="G73" i="6" a="1"/>
  <c r="G51" i="6" a="1"/>
  <c r="G100" i="6" a="1"/>
  <c r="G64" i="6" a="1"/>
  <c r="G83" i="6" a="1"/>
  <c r="G76" i="6" a="1"/>
  <c r="G54" i="6" a="1"/>
  <c r="G59" i="6" a="1"/>
  <c r="G71" i="6" a="1"/>
  <c r="G94" i="6" a="1"/>
  <c r="G56" i="6" a="1"/>
  <c r="G79" i="6" a="1"/>
  <c r="G67" i="6" a="1"/>
  <c r="G53" i="6" a="1"/>
  <c r="G81" i="6" a="1"/>
  <c r="G60" i="6" a="1"/>
  <c r="G65" i="6" a="1"/>
  <c r="D15" i="6" a="1"/>
  <c r="D61" i="6" a="1"/>
  <c r="D91" i="6" a="1"/>
  <c r="D66" i="6" a="1"/>
  <c r="D59" i="6" a="1"/>
  <c r="D56" i="6" a="1"/>
  <c r="D93" i="6" a="1"/>
  <c r="D53" i="6" a="1"/>
  <c r="D83" i="6" a="1"/>
  <c r="D14" i="6" a="1"/>
  <c r="D64" i="6" a="1"/>
  <c r="D95" i="6" a="1"/>
  <c r="D12" i="6" a="1"/>
  <c r="D89" i="6" a="1"/>
  <c r="D97" i="6" a="1"/>
  <c r="D71" i="6" a="1"/>
  <c r="B6" i="6" a="1"/>
  <c r="D58" i="6" a="1"/>
  <c r="D79" i="6" a="1"/>
  <c r="D67" i="6" a="1"/>
  <c r="D85" i="6" a="1"/>
  <c r="D100" i="6" a="1"/>
  <c r="D63" i="6" a="1"/>
  <c r="D98" i="6" a="1"/>
  <c r="D86" i="6" a="1"/>
  <c r="D62" i="6" a="1"/>
  <c r="D99" i="6" a="1"/>
  <c r="D81" i="6" a="1"/>
  <c r="D96" i="6" a="1"/>
  <c r="D57" i="6" a="1"/>
  <c r="D78" i="6" a="1"/>
  <c r="D80" i="6" a="1"/>
  <c r="D54" i="6" a="1"/>
  <c r="D68" i="6" a="1"/>
  <c r="D77" i="6" a="1"/>
  <c r="D92" i="6" a="1"/>
  <c r="D51" i="6" a="1"/>
  <c r="D74" i="6" a="1"/>
  <c r="D84" i="6" a="1"/>
  <c r="D72" i="6" a="1"/>
  <c r="D60" i="6" a="1"/>
  <c r="D73" i="6" a="1"/>
  <c r="D88" i="6" a="1"/>
  <c r="D90" i="6" a="1"/>
  <c r="D55" i="6" a="1"/>
  <c r="D75" i="6" a="1"/>
  <c r="D70" i="6" a="1"/>
  <c r="D52" i="6" a="1"/>
  <c r="D69" i="6" a="1"/>
  <c r="D94" i="6" a="1"/>
  <c r="D87" i="6" a="1"/>
  <c r="D82" i="6" a="1"/>
  <c r="D65" i="6" a="1"/>
  <c r="D13" i="6" a="1"/>
  <c r="D76" i="6" a="1"/>
  <c r="I10" i="5" a="1"/>
  <c r="C38" i="5" a="1"/>
  <c r="D16" i="5" a="1"/>
  <c r="I39" i="5" a="1"/>
  <c r="M34" i="5" a="1"/>
  <c r="I16" i="5" a="1"/>
  <c r="M18" i="5" a="1"/>
  <c r="C42" i="5" a="1"/>
  <c r="D34" i="5" a="1"/>
  <c r="I29" i="5" a="1"/>
  <c r="C40" i="5" a="1"/>
  <c r="I43" i="5" a="1"/>
  <c r="M38" i="5" a="1"/>
  <c r="D24" i="5" a="1"/>
  <c r="C54" i="5" a="1"/>
  <c r="I19" i="5" a="1"/>
  <c r="M12" i="5" a="1"/>
  <c r="D50" i="5" a="1"/>
  <c r="I13" i="5" a="1"/>
  <c r="D12" i="5" a="1"/>
  <c r="D32" i="5" a="1"/>
  <c r="D46" i="5" a="1"/>
  <c r="C21" i="5" a="1"/>
  <c r="D53" i="5" a="1"/>
  <c r="C30" i="5" a="1"/>
  <c r="D23" i="5" a="1"/>
  <c r="C37" i="5" a="1"/>
  <c r="N34" i="5" a="1"/>
  <c r="D55" i="5" a="1"/>
  <c r="N17" i="5" a="1"/>
  <c r="I45" i="5" a="1"/>
  <c r="H20" i="5" a="1"/>
  <c r="N37" i="5" a="1"/>
  <c r="H49" i="5" a="1"/>
  <c r="C12" i="5" a="1"/>
  <c r="H35" i="5" a="1"/>
  <c r="M29" i="5" a="1"/>
  <c r="I53" i="5" a="1"/>
  <c r="I47" i="5" a="1"/>
  <c r="H12" i="5" a="1"/>
  <c r="N11" i="5" a="1"/>
  <c r="C9" i="5" a="1"/>
  <c r="H46" i="5" a="1"/>
  <c r="M16" i="5" a="1"/>
  <c r="I9" i="5" a="1"/>
  <c r="H9" i="5" a="1"/>
  <c r="H43" i="5" a="1"/>
  <c r="C32" i="5" a="1"/>
  <c r="D47" i="5" a="1"/>
  <c r="C49" i="5" a="1"/>
  <c r="C17" i="5" a="1"/>
  <c r="I18" i="5" a="1"/>
  <c r="H24" i="5" a="1"/>
  <c r="C31" i="5" a="1"/>
  <c r="C36" i="5" a="1"/>
  <c r="C52" i="5" a="1"/>
  <c r="H15" i="5" a="1"/>
  <c r="H48" i="5" a="1"/>
  <c r="I11" i="5" a="1"/>
  <c r="I44" i="5" a="1"/>
  <c r="N15" i="5" a="1"/>
  <c r="H57" i="5" a="1"/>
  <c r="N21" i="5" a="1"/>
  <c r="D17" i="5" a="1"/>
  <c r="M37" i="5" a="1"/>
  <c r="D41" i="5" a="1"/>
  <c r="I32" i="5" a="1"/>
  <c r="H40" i="5" a="1"/>
  <c r="M32" i="5" a="1"/>
  <c r="C50" i="5" a="1"/>
  <c r="C51" i="5" a="1"/>
  <c r="I42" i="5" a="1"/>
  <c r="N19" i="5" a="1"/>
  <c r="M21" i="5" a="1"/>
  <c r="I37" i="5" a="1"/>
  <c r="H51" i="5" a="1"/>
  <c r="C34" i="5" a="1"/>
  <c r="C20" i="5" a="1"/>
  <c r="M9" i="5" a="1"/>
  <c r="I52" i="5" a="1"/>
  <c r="I20" i="5" a="1"/>
  <c r="I17" i="5" a="1"/>
  <c r="H17" i="5" a="1"/>
  <c r="D9" i="5" a="1"/>
  <c r="D30" i="5" a="1"/>
  <c r="C29" i="5" a="1"/>
  <c r="H33" i="5" a="1"/>
  <c r="D36" i="5" a="1"/>
  <c r="D56" i="5" a="1"/>
  <c r="M11" i="5" a="1"/>
  <c r="H19" i="5" a="1"/>
  <c r="M23" i="5" a="1"/>
  <c r="C24" i="5" a="1"/>
  <c r="H13" i="5" a="1"/>
  <c r="D48" i="5" a="1"/>
  <c r="M30" i="5" a="1"/>
  <c r="D42" i="5" a="1"/>
  <c r="H36" i="5" a="1"/>
  <c r="M10" i="5" a="1"/>
  <c r="N13" i="5" a="1"/>
  <c r="D14" i="5" a="1"/>
  <c r="C56" i="5" a="1"/>
  <c r="C55" i="5" a="1"/>
  <c r="N24" i="5" a="1"/>
  <c r="C26" i="5" a="1"/>
  <c r="I25" i="5" a="1"/>
  <c r="N20" i="5" a="1"/>
  <c r="I27" i="5" a="1"/>
  <c r="N29" i="5" a="1"/>
  <c r="D58" i="5" a="1"/>
  <c r="H42" i="5" a="1"/>
  <c r="N38" i="5" a="1"/>
  <c r="I51" i="5" a="1"/>
  <c r="H11" i="5" a="1"/>
  <c r="N23" i="5" a="1"/>
  <c r="C45" i="5" a="1"/>
  <c r="D51" i="5" a="1"/>
  <c r="M13" i="5" a="1"/>
  <c r="M35" i="5" a="1"/>
  <c r="N36" i="5" a="1"/>
  <c r="M22" i="5" a="1"/>
  <c r="H32" i="5" a="1"/>
  <c r="H26" i="5" a="1"/>
  <c r="D52" i="5" a="1"/>
  <c r="C47" i="5" a="1"/>
  <c r="H16" i="5" a="1"/>
  <c r="H39" i="5" a="1"/>
  <c r="N9" i="5" a="1"/>
  <c r="N33" i="5" a="1"/>
  <c r="C14" i="5" a="1"/>
  <c r="I23" i="5" a="1"/>
  <c r="C35" i="5" a="1"/>
  <c r="C57" i="5" a="1"/>
  <c r="D15" i="5" a="1"/>
  <c r="M36" i="5" a="1"/>
  <c r="H50" i="5" a="1"/>
  <c r="C11" i="5" a="1"/>
  <c r="N32" i="5" a="1"/>
  <c r="H28" i="5" a="1"/>
  <c r="D38" i="5" a="1"/>
  <c r="N22" i="5" a="1"/>
  <c r="D21" i="5" a="1"/>
  <c r="H53" i="5" a="1"/>
  <c r="N26" i="5" a="1"/>
  <c r="D40" i="5" a="1"/>
  <c r="N10" i="5" a="1"/>
  <c r="N35" i="5" a="1"/>
  <c r="C10" i="5" a="1"/>
  <c r="C27" i="5" a="1"/>
  <c r="C46" i="5" a="1"/>
  <c r="N30" i="5" a="1"/>
  <c r="D35" i="5" a="1"/>
  <c r="H21" i="5" a="1"/>
  <c r="N12" i="5" a="1"/>
  <c r="N25" i="5" a="1"/>
  <c r="H23" i="5" a="1"/>
  <c r="I38" i="5" a="1"/>
  <c r="M27" i="5" a="1"/>
  <c r="C18" i="5" a="1"/>
  <c r="C19" i="5" a="1"/>
  <c r="I21" i="5" a="1"/>
  <c r="C23" i="5" a="1"/>
  <c r="D19" i="5" a="1"/>
  <c r="H30" i="5" a="1"/>
  <c r="C53" i="5" a="1"/>
  <c r="H34" i="5" a="1"/>
  <c r="H29" i="5" a="1"/>
  <c r="I30" i="5" a="1"/>
  <c r="C22" i="5" a="1"/>
  <c r="I31" i="5" a="1"/>
  <c r="H10" i="5" a="1"/>
  <c r="M33" i="5" a="1"/>
  <c r="D25" i="5" a="1"/>
  <c r="M15" i="5" a="1"/>
  <c r="N31" i="5" a="1"/>
  <c r="H14" i="5" a="1"/>
  <c r="I46" i="5" a="1"/>
  <c r="I50" i="5" a="1"/>
  <c r="H56" i="5" a="1"/>
  <c r="I55" i="5" a="1"/>
  <c r="D57" i="5" a="1"/>
  <c r="N28" i="5" a="1"/>
  <c r="D10" i="5" a="1"/>
  <c r="H54" i="5" a="1"/>
  <c r="H55" i="5" a="1"/>
  <c r="I40" i="5" a="1"/>
  <c r="C28" i="5" a="1"/>
  <c r="D39" i="5" a="1"/>
  <c r="I24" i="5" a="1"/>
  <c r="H58" i="5" a="1"/>
  <c r="D27" i="5" a="1"/>
  <c r="D13" i="5" a="1"/>
  <c r="D37" i="5" a="1"/>
  <c r="I54" i="5" a="1"/>
  <c r="C43" i="5" a="1"/>
  <c r="M24" i="5" a="1"/>
  <c r="D20" i="5" a="1"/>
  <c r="H18" i="5" a="1"/>
  <c r="I58" i="5" a="1"/>
  <c r="D33" i="5" a="1"/>
  <c r="C39" i="5" a="1"/>
  <c r="C15" i="5" a="1"/>
  <c r="I22" i="5" a="1"/>
  <c r="C48" i="5" a="1"/>
  <c r="D31" i="5" a="1"/>
  <c r="H45" i="5" a="1"/>
  <c r="C25" i="5" a="1"/>
  <c r="N27" i="5" a="1"/>
  <c r="H38" i="5" a="1"/>
  <c r="C44" i="5" a="1"/>
  <c r="I36" i="5" a="1"/>
  <c r="D45" i="5" a="1"/>
  <c r="H22" i="5" a="1"/>
  <c r="I26" i="5" a="1"/>
  <c r="M14" i="5" a="1"/>
  <c r="I48" i="5" a="1"/>
  <c r="I57" i="5" a="1"/>
  <c r="H25" i="5" a="1"/>
  <c r="M31" i="5" a="1"/>
  <c r="I41" i="5" a="1"/>
  <c r="D49" i="5" a="1"/>
  <c r="D28" i="5" a="1"/>
  <c r="H47" i="5" a="1"/>
  <c r="H27" i="5" a="1"/>
  <c r="I12" i="5" a="1"/>
  <c r="C41" i="5" a="1"/>
  <c r="D43" i="5" a="1"/>
  <c r="I56" i="5" a="1"/>
  <c r="H37" i="5" a="1"/>
  <c r="H41" i="5" a="1"/>
  <c r="I33" i="5" a="1"/>
  <c r="M19" i="5" a="1"/>
  <c r="I28" i="5" a="1"/>
  <c r="M17" i="5" a="1"/>
  <c r="D11" i="5" a="1"/>
  <c r="H52" i="5" a="1"/>
  <c r="H31" i="5" a="1"/>
  <c r="I35" i="5" a="1"/>
  <c r="I34" i="5" a="1"/>
  <c r="C33" i="5" a="1"/>
  <c r="M20" i="5" a="1"/>
  <c r="M25" i="5" a="1"/>
  <c r="C58" i="5" a="1"/>
  <c r="D44" i="5" a="1"/>
  <c r="I14" i="5" a="1"/>
  <c r="D18" i="5" a="1"/>
  <c r="D54" i="5" a="1"/>
  <c r="D26" i="5" a="1"/>
  <c r="H44" i="5" a="1"/>
  <c r="D29" i="5" a="1"/>
  <c r="N14" i="5" a="1"/>
  <c r="C16" i="5" a="1"/>
  <c r="I15" i="5" a="1"/>
  <c r="N16" i="5" a="1"/>
  <c r="I49" i="5" a="1"/>
  <c r="D22" i="5" a="1"/>
  <c r="M26" i="5" a="1"/>
  <c r="C13" i="5" a="1"/>
  <c r="N18" i="5" a="1"/>
  <c r="M28" i="5" a="1"/>
  <c r="T40" i="5" l="1"/>
  <c r="T37" i="5"/>
  <c r="T19" i="5"/>
  <c r="O52" i="5"/>
  <c r="T45" i="5"/>
  <c r="T22" i="5"/>
  <c r="T32" i="5"/>
  <c r="T26" i="5"/>
  <c r="T50" i="5"/>
  <c r="T27" i="5"/>
  <c r="T9" i="5"/>
  <c r="T18" i="5"/>
  <c r="T36" i="5"/>
  <c r="T43" i="5"/>
  <c r="N46" i="5"/>
  <c r="N45" i="5"/>
  <c r="M48" i="5"/>
  <c r="M47" i="5"/>
  <c r="N41" i="5"/>
  <c r="N48" i="5"/>
  <c r="M39" i="5"/>
  <c r="N47" i="5"/>
  <c r="M41" i="5"/>
  <c r="M45" i="5"/>
  <c r="M44" i="5"/>
  <c r="M46" i="5"/>
  <c r="M43" i="5"/>
  <c r="N39" i="5"/>
  <c r="M42" i="5"/>
  <c r="N42" i="5"/>
  <c r="N40" i="5"/>
  <c r="N43" i="5"/>
  <c r="M40" i="5"/>
  <c r="N44" i="5"/>
  <c r="O54" i="5"/>
  <c r="D76" i="6"/>
  <c r="D13" i="6"/>
  <c r="D65" i="6"/>
  <c r="D82" i="6"/>
  <c r="D87" i="6"/>
  <c r="D94" i="6"/>
  <c r="D69" i="6"/>
  <c r="D52" i="6"/>
  <c r="D70" i="6"/>
  <c r="D75" i="6"/>
  <c r="D55" i="6"/>
  <c r="D90" i="6"/>
  <c r="D88" i="6"/>
  <c r="D73" i="6"/>
  <c r="D60" i="6"/>
  <c r="D72" i="6"/>
  <c r="D84" i="6"/>
  <c r="D74" i="6"/>
  <c r="D51" i="6"/>
  <c r="D92" i="6"/>
  <c r="D77" i="6"/>
  <c r="D68" i="6"/>
  <c r="D54" i="6"/>
  <c r="D80" i="6"/>
  <c r="D78" i="6"/>
  <c r="D57" i="6"/>
  <c r="D96" i="6"/>
  <c r="D81" i="6"/>
  <c r="D99" i="6"/>
  <c r="D62" i="6"/>
  <c r="D86" i="6"/>
  <c r="D98" i="6"/>
  <c r="D63" i="6"/>
  <c r="D100" i="6"/>
  <c r="D85" i="6"/>
  <c r="D67" i="6"/>
  <c r="D79" i="6"/>
  <c r="D58" i="6"/>
  <c r="B6" i="6"/>
  <c r="D71" i="6"/>
  <c r="D97" i="6"/>
  <c r="D89" i="6"/>
  <c r="D12" i="6"/>
  <c r="D95" i="6"/>
  <c r="D64" i="6"/>
  <c r="D14" i="6"/>
  <c r="D83" i="6"/>
  <c r="D53" i="6"/>
  <c r="D93" i="6"/>
  <c r="D56" i="6"/>
  <c r="D59" i="6"/>
  <c r="D66" i="6"/>
  <c r="D91" i="6"/>
  <c r="D61" i="6"/>
  <c r="D15" i="6"/>
  <c r="G65" i="6"/>
  <c r="G60" i="6"/>
  <c r="G81" i="6"/>
  <c r="G53" i="6"/>
  <c r="G67" i="6"/>
  <c r="G79" i="6"/>
  <c r="G56" i="6"/>
  <c r="G94" i="6"/>
  <c r="G71" i="6"/>
  <c r="G59" i="6"/>
  <c r="G54" i="6"/>
  <c r="G76" i="6"/>
  <c r="G83" i="6"/>
  <c r="G64" i="6"/>
  <c r="G100" i="6"/>
  <c r="G51" i="6"/>
  <c r="G73" i="6"/>
  <c r="G84" i="6"/>
  <c r="G99" i="6"/>
  <c r="D20" i="6"/>
  <c r="G66" i="6"/>
  <c r="G88" i="6"/>
  <c r="G72" i="6"/>
  <c r="G89" i="6"/>
  <c r="G95" i="6"/>
  <c r="G78" i="6"/>
  <c r="G87" i="6"/>
  <c r="G70" i="6"/>
  <c r="D21" i="6"/>
  <c r="G69" i="6"/>
  <c r="G92" i="6"/>
  <c r="G80" i="6"/>
  <c r="G93" i="6"/>
  <c r="G98" i="6"/>
  <c r="G82" i="6"/>
  <c r="G52" i="6"/>
  <c r="G85" i="6"/>
  <c r="G62" i="6"/>
  <c r="G55" i="6"/>
  <c r="G96" i="6"/>
  <c r="G57" i="6"/>
  <c r="G86" i="6"/>
  <c r="D22" i="6"/>
  <c r="G63" i="6"/>
  <c r="G68" i="6"/>
  <c r="G61" i="6"/>
  <c r="G75" i="6"/>
  <c r="G90" i="6"/>
  <c r="G97" i="6"/>
  <c r="G91" i="6"/>
  <c r="G58" i="6"/>
  <c r="G77" i="6"/>
  <c r="G74" i="6"/>
  <c r="D23" i="6"/>
  <c r="T30" i="5"/>
  <c r="T48" i="5"/>
  <c r="T52" i="5"/>
  <c r="T12" i="5"/>
  <c r="T16" i="5"/>
  <c r="O53" i="5"/>
  <c r="T25" i="5"/>
  <c r="O51" i="5"/>
  <c r="T31" i="5"/>
  <c r="T53" i="5"/>
  <c r="O56" i="5"/>
  <c r="T51" i="5"/>
  <c r="T10" i="5"/>
  <c r="M28" i="5"/>
  <c r="N18" i="5"/>
  <c r="C13" i="5"/>
  <c r="M26" i="5"/>
  <c r="D22" i="5"/>
  <c r="I49" i="5"/>
  <c r="N16" i="5"/>
  <c r="I15" i="5"/>
  <c r="C16" i="5"/>
  <c r="N14" i="5"/>
  <c r="D29" i="5"/>
  <c r="H44" i="5"/>
  <c r="D26" i="5"/>
  <c r="D54" i="5"/>
  <c r="D18" i="5"/>
  <c r="I14" i="5"/>
  <c r="D44" i="5"/>
  <c r="C58" i="5"/>
  <c r="M25" i="5"/>
  <c r="M20" i="5"/>
  <c r="C33" i="5"/>
  <c r="I34" i="5"/>
  <c r="I35" i="5"/>
  <c r="H31" i="5"/>
  <c r="H52" i="5"/>
  <c r="D11" i="5"/>
  <c r="M17" i="5"/>
  <c r="I28" i="5"/>
  <c r="M19" i="5"/>
  <c r="I33" i="5"/>
  <c r="H41" i="5"/>
  <c r="H37" i="5"/>
  <c r="I56" i="5"/>
  <c r="D43" i="5"/>
  <c r="C41" i="5"/>
  <c r="I12" i="5"/>
  <c r="H27" i="5"/>
  <c r="H47" i="5"/>
  <c r="D28" i="5"/>
  <c r="D49" i="5"/>
  <c r="I41" i="5"/>
  <c r="M31" i="5"/>
  <c r="H25" i="5"/>
  <c r="I57" i="5"/>
  <c r="I48" i="5"/>
  <c r="M14" i="5"/>
  <c r="I26" i="5"/>
  <c r="H22" i="5"/>
  <c r="D45" i="5"/>
  <c r="I36" i="5"/>
  <c r="C44" i="5"/>
  <c r="H38" i="5"/>
  <c r="N27" i="5"/>
  <c r="C25" i="5"/>
  <c r="H45" i="5"/>
  <c r="D31" i="5"/>
  <c r="C48" i="5"/>
  <c r="I22" i="5"/>
  <c r="C15" i="5"/>
  <c r="C39" i="5"/>
  <c r="D33" i="5"/>
  <c r="I58" i="5"/>
  <c r="H18" i="5"/>
  <c r="D20" i="5"/>
  <c r="M24" i="5"/>
  <c r="C43" i="5"/>
  <c r="I54" i="5"/>
  <c r="D37" i="5"/>
  <c r="D13" i="5"/>
  <c r="D27" i="5"/>
  <c r="H58" i="5"/>
  <c r="I24" i="5"/>
  <c r="D39" i="5"/>
  <c r="C28" i="5"/>
  <c r="I40" i="5"/>
  <c r="H55" i="5"/>
  <c r="H54" i="5"/>
  <c r="D10" i="5"/>
  <c r="N28" i="5"/>
  <c r="D57" i="5"/>
  <c r="I55" i="5"/>
  <c r="H56" i="5"/>
  <c r="I50" i="5"/>
  <c r="I46" i="5"/>
  <c r="H14" i="5"/>
  <c r="N31" i="5"/>
  <c r="M15" i="5"/>
  <c r="D25" i="5"/>
  <c r="M33" i="5"/>
  <c r="H10" i="5"/>
  <c r="I31" i="5"/>
  <c r="C22" i="5"/>
  <c r="I30" i="5"/>
  <c r="H29" i="5"/>
  <c r="H34" i="5"/>
  <c r="C53" i="5"/>
  <c r="H30" i="5"/>
  <c r="D19" i="5"/>
  <c r="C23" i="5"/>
  <c r="I21" i="5"/>
  <c r="C19" i="5"/>
  <c r="C18" i="5"/>
  <c r="M27" i="5"/>
  <c r="I38" i="5"/>
  <c r="H23" i="5"/>
  <c r="N25" i="5"/>
  <c r="N12" i="5"/>
  <c r="H21" i="5"/>
  <c r="J21" i="5" s="1"/>
  <c r="D35" i="5"/>
  <c r="N30" i="5"/>
  <c r="C46" i="5"/>
  <c r="C27" i="5"/>
  <c r="C10" i="5"/>
  <c r="N35" i="5"/>
  <c r="N10" i="5"/>
  <c r="D40" i="5"/>
  <c r="N26" i="5"/>
  <c r="H53" i="5"/>
  <c r="D21" i="5"/>
  <c r="N22" i="5"/>
  <c r="D38" i="5"/>
  <c r="H28" i="5"/>
  <c r="N32" i="5"/>
  <c r="C11" i="5"/>
  <c r="H50" i="5"/>
  <c r="M36" i="5"/>
  <c r="D15" i="5"/>
  <c r="C57" i="5"/>
  <c r="E57" i="5" s="1"/>
  <c r="C35" i="5"/>
  <c r="I23" i="5"/>
  <c r="C14" i="5"/>
  <c r="N33" i="5"/>
  <c r="N9" i="5"/>
  <c r="H39" i="5"/>
  <c r="H16" i="5"/>
  <c r="C47" i="5"/>
  <c r="D52" i="5"/>
  <c r="H26" i="5"/>
  <c r="H32" i="5"/>
  <c r="M22" i="5"/>
  <c r="N36" i="5"/>
  <c r="M35" i="5"/>
  <c r="M13" i="5"/>
  <c r="D51" i="5"/>
  <c r="C45" i="5"/>
  <c r="E45" i="5" s="1"/>
  <c r="N23" i="5"/>
  <c r="H11" i="5"/>
  <c r="I51" i="5"/>
  <c r="N38" i="5"/>
  <c r="H42" i="5"/>
  <c r="D58" i="5"/>
  <c r="N29" i="5"/>
  <c r="I27" i="5"/>
  <c r="N20" i="5"/>
  <c r="I25" i="5"/>
  <c r="C26" i="5"/>
  <c r="N24" i="5"/>
  <c r="C55" i="5"/>
  <c r="C56" i="5"/>
  <c r="D14" i="5"/>
  <c r="N13" i="5"/>
  <c r="M10" i="5"/>
  <c r="H36" i="5"/>
  <c r="D42" i="5"/>
  <c r="M30" i="5"/>
  <c r="D48" i="5"/>
  <c r="H13" i="5"/>
  <c r="C24" i="5"/>
  <c r="M23" i="5"/>
  <c r="H19" i="5"/>
  <c r="M11" i="5"/>
  <c r="D56" i="5"/>
  <c r="D36" i="5"/>
  <c r="H33" i="5"/>
  <c r="J33" i="5" s="1"/>
  <c r="C29" i="5"/>
  <c r="D30" i="5"/>
  <c r="D9" i="5"/>
  <c r="H17" i="5"/>
  <c r="I17" i="5"/>
  <c r="I20" i="5"/>
  <c r="I52" i="5"/>
  <c r="M9" i="5"/>
  <c r="C20" i="5"/>
  <c r="C34" i="5"/>
  <c r="H51" i="5"/>
  <c r="I37" i="5"/>
  <c r="M21" i="5"/>
  <c r="N19" i="5"/>
  <c r="I42" i="5"/>
  <c r="C51" i="5"/>
  <c r="C50" i="5"/>
  <c r="M32" i="5"/>
  <c r="H40" i="5"/>
  <c r="I32" i="5"/>
  <c r="D41" i="5"/>
  <c r="M37" i="5"/>
  <c r="D17" i="5"/>
  <c r="N21" i="5"/>
  <c r="H57" i="5"/>
  <c r="N15" i="5"/>
  <c r="I44" i="5"/>
  <c r="I11" i="5"/>
  <c r="H48" i="5"/>
  <c r="H15" i="5"/>
  <c r="C52" i="5"/>
  <c r="C36" i="5"/>
  <c r="C31" i="5"/>
  <c r="H24" i="5"/>
  <c r="J24" i="5" s="1"/>
  <c r="I18" i="5"/>
  <c r="C17" i="5"/>
  <c r="C49" i="5"/>
  <c r="D47" i="5"/>
  <c r="C32" i="5"/>
  <c r="H43" i="5"/>
  <c r="H9" i="5"/>
  <c r="I9" i="5"/>
  <c r="M16" i="5"/>
  <c r="H46" i="5"/>
  <c r="C9" i="5"/>
  <c r="N11" i="5"/>
  <c r="H12" i="5"/>
  <c r="I47" i="5"/>
  <c r="I53" i="5"/>
  <c r="M29" i="5"/>
  <c r="O29" i="5" s="1"/>
  <c r="H35" i="5"/>
  <c r="C12" i="5"/>
  <c r="H49" i="5"/>
  <c r="N37" i="5"/>
  <c r="H20" i="5"/>
  <c r="I45" i="5"/>
  <c r="N17" i="5"/>
  <c r="D55" i="5"/>
  <c r="N34" i="5"/>
  <c r="C37" i="5"/>
  <c r="D23" i="5"/>
  <c r="C30" i="5"/>
  <c r="D53" i="5"/>
  <c r="C21" i="5"/>
  <c r="D46" i="5"/>
  <c r="D32" i="5"/>
  <c r="D12" i="5"/>
  <c r="I13" i="5"/>
  <c r="D50" i="5"/>
  <c r="M12" i="5"/>
  <c r="I19" i="5"/>
  <c r="C54" i="5"/>
  <c r="E54" i="5" s="1"/>
  <c r="D24" i="5"/>
  <c r="M38" i="5"/>
  <c r="I43" i="5"/>
  <c r="C40" i="5"/>
  <c r="I29" i="5"/>
  <c r="D34" i="5"/>
  <c r="C42" i="5"/>
  <c r="M18" i="5"/>
  <c r="I16" i="5"/>
  <c r="M34" i="5"/>
  <c r="I39" i="5"/>
  <c r="D16" i="5"/>
  <c r="C38" i="5"/>
  <c r="I10" i="5"/>
  <c r="O58" i="5"/>
  <c r="T15" i="5"/>
  <c r="T54" i="5"/>
  <c r="T11" i="5"/>
  <c r="O55" i="5"/>
  <c r="T13" i="5"/>
  <c r="T17" i="5"/>
  <c r="T33" i="5"/>
  <c r="T39" i="5"/>
  <c r="T21" i="5"/>
  <c r="T47" i="5"/>
  <c r="T35" i="5"/>
  <c r="T49" i="5"/>
  <c r="T29" i="5"/>
  <c r="T38" i="5"/>
  <c r="T41" i="5"/>
  <c r="T23" i="5"/>
  <c r="T44" i="5"/>
  <c r="T34" i="5"/>
  <c r="T24" i="5"/>
  <c r="O57" i="5"/>
  <c r="O49" i="5"/>
  <c r="T14" i="5"/>
  <c r="T42" i="5"/>
  <c r="T20" i="5"/>
  <c r="O50" i="5"/>
  <c r="T55" i="5"/>
  <c r="T28" i="5"/>
  <c r="T56" i="5"/>
  <c r="T58" i="5"/>
  <c r="T46" i="5"/>
  <c r="O45" i="5" l="1"/>
  <c r="O39" i="5"/>
  <c r="O41" i="5"/>
  <c r="O43" i="5"/>
  <c r="E36" i="5"/>
  <c r="O9" i="5"/>
  <c r="J42" i="5"/>
  <c r="O36" i="5"/>
  <c r="O12" i="5"/>
  <c r="O40" i="5"/>
  <c r="O48" i="5"/>
  <c r="J29" i="5"/>
  <c r="E42" i="5"/>
  <c r="J20" i="5"/>
  <c r="J12" i="5"/>
  <c r="J50" i="5"/>
  <c r="J54" i="5"/>
  <c r="E18" i="5"/>
  <c r="O46" i="5"/>
  <c r="O42" i="5"/>
  <c r="O47" i="5"/>
  <c r="O44" i="5"/>
  <c r="J57" i="5"/>
  <c r="E50" i="5"/>
  <c r="E29" i="5"/>
  <c r="E56" i="5"/>
  <c r="O27" i="5"/>
  <c r="J34" i="5"/>
  <c r="J58" i="5"/>
  <c r="E32" i="5"/>
  <c r="E52" i="5"/>
  <c r="O30" i="5"/>
  <c r="E19" i="5"/>
  <c r="J14" i="5"/>
  <c r="J27" i="5"/>
  <c r="E30" i="5"/>
  <c r="J15" i="5"/>
  <c r="E26" i="5"/>
  <c r="O22" i="5"/>
  <c r="E11" i="5"/>
  <c r="E22" i="5"/>
  <c r="J55" i="5"/>
  <c r="E39" i="5"/>
  <c r="J38" i="5"/>
  <c r="O20" i="5"/>
  <c r="J44" i="5"/>
  <c r="E38" i="5"/>
  <c r="J49" i="5"/>
  <c r="E9" i="5"/>
  <c r="E49" i="5"/>
  <c r="J48" i="5"/>
  <c r="J36" i="5"/>
  <c r="J11" i="5"/>
  <c r="J32" i="5"/>
  <c r="E14" i="5"/>
  <c r="E44" i="5"/>
  <c r="O25" i="5"/>
  <c r="E12" i="5"/>
  <c r="J56" i="5"/>
  <c r="J18" i="5"/>
  <c r="J41" i="5"/>
  <c r="J9" i="5"/>
  <c r="E31" i="5"/>
  <c r="E20" i="5"/>
  <c r="J13" i="5"/>
  <c r="O13" i="5"/>
  <c r="O15" i="5"/>
  <c r="O18" i="5"/>
  <c r="E21" i="5"/>
  <c r="J43" i="5"/>
  <c r="E51" i="5"/>
  <c r="E55" i="5"/>
  <c r="O35" i="5"/>
  <c r="J39" i="5"/>
  <c r="E25" i="5"/>
  <c r="O14" i="5"/>
  <c r="O11" i="5"/>
  <c r="J17" i="5"/>
  <c r="O10" i="5"/>
  <c r="J26" i="5"/>
  <c r="J28" i="5"/>
  <c r="E28" i="5"/>
  <c r="E43" i="5"/>
  <c r="O31" i="5"/>
  <c r="J35" i="5"/>
  <c r="O16" i="5"/>
  <c r="J40" i="5"/>
  <c r="J51" i="5"/>
  <c r="O23" i="5"/>
  <c r="E35" i="5"/>
  <c r="E10" i="5"/>
  <c r="J23" i="5"/>
  <c r="J30" i="5"/>
  <c r="O33" i="5"/>
  <c r="O24" i="5"/>
  <c r="E48" i="5"/>
  <c r="J52" i="5"/>
  <c r="E16" i="5"/>
  <c r="O28" i="5"/>
  <c r="O34" i="5"/>
  <c r="O38" i="5"/>
  <c r="O32" i="5"/>
  <c r="E34" i="5"/>
  <c r="E24" i="5"/>
  <c r="E47" i="5"/>
  <c r="E27" i="5"/>
  <c r="E53" i="5"/>
  <c r="J22" i="5"/>
  <c r="J37" i="5"/>
  <c r="J31" i="5"/>
  <c r="J16" i="5"/>
  <c r="E46" i="5"/>
  <c r="J45" i="5"/>
  <c r="J53" i="5"/>
  <c r="J47" i="5"/>
  <c r="O19" i="5"/>
  <c r="E33" i="5"/>
  <c r="O26" i="5"/>
  <c r="O37" i="5"/>
  <c r="J25" i="5"/>
  <c r="E13" i="5"/>
  <c r="E58" i="5"/>
  <c r="O21" i="5"/>
  <c r="E23" i="5"/>
  <c r="E15" i="5"/>
  <c r="E41" i="5"/>
  <c r="O17" i="5"/>
  <c r="E40" i="5"/>
  <c r="E37" i="5"/>
  <c r="J46" i="5"/>
  <c r="E17" i="5"/>
  <c r="J19" i="5"/>
  <c r="J10" i="5"/>
  <c r="T59" i="5" l="1"/>
  <c r="C22" i="4" s="1"/>
  <c r="D28" i="4" s="1" a="1"/>
  <c r="D28" i="4" s="1"/>
  <c r="H77" i="6" a="1"/>
  <c r="H79" i="6" a="1"/>
  <c r="E20" i="6" a="1"/>
  <c r="H55" i="6" a="1"/>
  <c r="H90" i="6" a="1"/>
  <c r="H76" i="6" a="1"/>
  <c r="H83" i="6" a="1"/>
  <c r="H80" i="6" a="1"/>
  <c r="H63" i="6" a="1"/>
  <c r="H89" i="6" a="1"/>
  <c r="H96" i="6" a="1"/>
  <c r="H53" i="6" a="1"/>
  <c r="H92" i="6" a="1"/>
  <c r="H97" i="6" a="1"/>
  <c r="H85" i="6" a="1"/>
  <c r="H84" i="6" a="1"/>
  <c r="H95" i="6" a="1"/>
  <c r="H100" i="6" a="1"/>
  <c r="H61" i="6" a="1"/>
  <c r="H81" i="6" a="1"/>
  <c r="H70" i="6" a="1"/>
  <c r="H64" i="6" a="1"/>
  <c r="H66" i="6" a="1"/>
  <c r="E21" i="6" a="1"/>
  <c r="H71" i="6" a="1"/>
  <c r="H57" i="6" a="1"/>
  <c r="H67" i="6" a="1"/>
  <c r="H52" i="6" a="1"/>
  <c r="H56" i="6" a="1"/>
  <c r="H59" i="6" a="1"/>
  <c r="H94" i="6" a="1"/>
  <c r="H60" i="6" a="1"/>
  <c r="H73" i="6" a="1"/>
  <c r="H88" i="6" a="1"/>
  <c r="H82" i="6" a="1"/>
  <c r="H72" i="6" a="1"/>
  <c r="H51" i="6" a="1"/>
  <c r="H54" i="6" a="1"/>
  <c r="H86" i="6" a="1"/>
  <c r="H93" i="6" a="1"/>
  <c r="H74" i="6" a="1"/>
  <c r="H75" i="6" a="1"/>
  <c r="H65" i="6" a="1"/>
  <c r="H98" i="6" a="1"/>
  <c r="H87" i="6" a="1"/>
  <c r="E22" i="6" a="1"/>
  <c r="H69" i="6" a="1"/>
  <c r="H62" i="6" a="1"/>
  <c r="H78" i="6" a="1"/>
  <c r="E23" i="6" a="1"/>
  <c r="H91" i="6" a="1"/>
  <c r="H99" i="6" a="1"/>
  <c r="H68" i="6" a="1"/>
  <c r="H58" i="6" a="1"/>
  <c r="H58" i="6" l="1"/>
  <c r="H68" i="6"/>
  <c r="H99" i="6"/>
  <c r="H91" i="6"/>
  <c r="E23" i="6"/>
  <c r="H78" i="6"/>
  <c r="H62" i="6"/>
  <c r="H69" i="6"/>
  <c r="E22" i="6"/>
  <c r="H87" i="6"/>
  <c r="H98" i="6"/>
  <c r="H65" i="6"/>
  <c r="H75" i="6"/>
  <c r="H74" i="6"/>
  <c r="H93" i="6"/>
  <c r="H86" i="6"/>
  <c r="H54" i="6"/>
  <c r="H51" i="6"/>
  <c r="H72" i="6"/>
  <c r="H82" i="6"/>
  <c r="H88" i="6"/>
  <c r="H73" i="6"/>
  <c r="H60" i="6"/>
  <c r="H94" i="6"/>
  <c r="H59" i="6"/>
  <c r="H56" i="6"/>
  <c r="H52" i="6"/>
  <c r="H67" i="6"/>
  <c r="H57" i="6"/>
  <c r="H71" i="6"/>
  <c r="E21" i="6"/>
  <c r="H66" i="6"/>
  <c r="H64" i="6"/>
  <c r="H70" i="6"/>
  <c r="H81" i="6"/>
  <c r="H61" i="6"/>
  <c r="H100" i="6"/>
  <c r="H95" i="6"/>
  <c r="H84" i="6"/>
  <c r="H85" i="6"/>
  <c r="H97" i="6"/>
  <c r="H92" i="6"/>
  <c r="H53" i="6"/>
  <c r="H96" i="6"/>
  <c r="H89" i="6"/>
  <c r="H63" i="6"/>
  <c r="H80" i="6"/>
  <c r="H83" i="6"/>
  <c r="H76" i="6"/>
  <c r="H90" i="6"/>
  <c r="H55" i="6"/>
  <c r="E20" i="6"/>
  <c r="H79" i="6"/>
  <c r="H77"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<sst xmlns="http://schemas.openxmlformats.org/spreadsheetml/2006/main" count="302" uniqueCount="228">
  <si>
    <t>Credit Portfolio Losses Two Ways</t>
  </si>
  <si>
    <t>ModelRisk example  ·  General use  ·  GU-23</t>
  </si>
  <si>
    <t>A year's default losses: simulated, built by Fast Fourier Transform, and summed product by product.</t>
  </si>
  <si>
    <t>Next:  Inputs  ▸</t>
  </si>
  <si>
    <t>Model card</t>
  </si>
  <si>
    <t>Industry</t>
  </si>
  <si>
    <t>General use</t>
  </si>
  <si>
    <t>Difficulty</t>
  </si>
  <si>
    <t>★★★☆☆   Two portfolios, each modelled two ways that must agree; VaR and expected shortfall without simulation noise from the FFT.</t>
  </si>
  <si>
    <t>Business question</t>
  </si>
  <si>
    <t>A lender holds many loans, each of which may default. How large could next year's total loss be: its 95% VaR and expected shortfall? And does it matter whether a default loses a whole amount or a fraction of the exposure?</t>
  </si>
  <si>
    <t>Who it is for</t>
  </si>
  <si>
    <t>Credit risk analysts and anyone modelling the total of a random number of losses: defaults, claims, failures.</t>
  </si>
  <si>
    <t>Main outputs</t>
  </si>
  <si>
    <t>For a portfolio where each default loses a whole amount: the total loss by Monte Carlo and by FFT, its mean, spread, 95% VaR and expected shortfall, exact from the FFT · for a portfolio where each default loses a fraction of its exposure: the total by VoseSumProduct and row by row · how much of the risk comes from the number of defaults.</t>
  </si>
  <si>
    <t>ModelRisk techniques</t>
  </si>
  <si>
    <t>VoseBinomialObject for the number of defaults · VoseAggregateMC and VoseAggregateFFT / VoseAggregateFFTObject · VaR and expected shortfall: VoseSimPercentile and VoseSimCVARp, and exactly with VoseAggregateFFT(…, U) and VoseIntegrate over VoseAggregateFFTProb · VoseSumProduct · an explicit row-by-row sum.</t>
  </si>
  <si>
    <t>File</t>
  </si>
  <si>
    <t>GU-23 Credit portfolio losses two ways  ·  Version 1.0  ·  October 2026  ·  re-issues the examples Credit Risk Single Portfolio and Credit Risk Separated  ·  built with ModelRisk 10</t>
  </si>
  <si>
    <t>The business question</t>
  </si>
  <si>
    <t>Portfolio A has 2,135 obligors, each with an 8.3% chance of defaulting in the year; a default loses a Lognormal amount with mean 55 and standard deviation 12 ($ thousand). Portfolio B has 5,384 obligors with a 2.3% chance; a default loses a fraction of the exposure (a Beta), and the exposure itself is uncertain (a Lognormal with mean 100 and standard deviation 10). For A, the total is simulated (VoseAggregateMC) and built numerically by Fast Fourier Transform, which gives the VaR and the expected shortfall without simulation noise. For B, VoseSumProduct adds the products of exposure and fraction in one step, against an explicit sum with a row per possible default.</t>
  </si>
  <si>
    <t>How the model works</t>
  </si>
  <si>
    <t>Five sheets after this one, read from left to right. Each one feeds the next.</t>
  </si>
  <si>
    <t>1  Inputs</t>
  </si>
  <si>
    <t>Obligors, default probability and loss for each portfolio; the confidence level (95%).</t>
  </si>
  <si>
    <t>2  Portfolio A</t>
  </si>
  <si>
    <t>The number of defaults is Binomial and each loss Lognormal. Monte Carlo: VoseAggregateMC adds one simulated loss per simulated default. FFT: VoseAggregateFFTObject builds the total's distribution; its VaR comes from VoseAggregateFFT with U, and its expected shortfall from VoseIntegrate over the density VoseAggregateFFTProb.</t>
  </si>
  <si>
    <t>3  Portfolio B</t>
  </si>
  <si>
    <t>The number of defaults is drawn once; VoseSumProduct adds that many products of an exposure and a loss fraction. The Row by row sheet does the same the long way: a row per possible default, zero beyond the number drawn.</t>
  </si>
  <si>
    <t>4  Results</t>
  </si>
  <si>
    <t>Mean, standard deviation, VaR and expected shortfall both ways, and the share of the variance from the number of defaults.</t>
  </si>
  <si>
    <t>How to use it</t>
  </si>
  <si>
    <t>Step 1</t>
  </si>
  <si>
    <t>Set the portfolios on the Inputs sheet.</t>
  </si>
  <si>
    <t>Step 2</t>
  </si>
  <si>
    <t>Run a simulation from the ModelRisk ribbon (10,000 samples with a fixed seed are set); the FFT's exact VaR and expected shortfall need none.</t>
  </si>
  <si>
    <t>Step 3</t>
  </si>
  <si>
    <t>Prefer VoseAggregateFFT for tail measures of a single portfolio and VoseSumProduct for products; keep row by row only to show what the functions do.</t>
  </si>
  <si>
    <t>Workbook map</t>
  </si>
  <si>
    <t>Inputs</t>
  </si>
  <si>
    <t>Both portfolios and the confidence level.</t>
  </si>
  <si>
    <t>Portfolio A</t>
  </si>
  <si>
    <t>Monte Carlo and FFT; VaR and expected shortfall.</t>
  </si>
  <si>
    <t>Portfolio B</t>
  </si>
  <si>
    <t>VoseSumProduct, and the exact moments.</t>
  </si>
  <si>
    <t>Row by row</t>
  </si>
  <si>
    <t>The row-by-row sum; checks.</t>
  </si>
  <si>
    <t>Results</t>
  </si>
  <si>
    <t>Both portfolios, both ways.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</si>
  <si>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</si>
  <si>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</si>
  <si>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</si>
  <si>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</si>
  <si>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</si>
  <si>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</si>
  <si>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</si>
  <si>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</si>
  <si>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</si>
  <si>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</si>
  <si>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</si>
  <si>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</si>
  <si>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VaR</t>
  </si>
  <si>
    <t>The loss exceeded with probability 1 − confidence (here 5%): the 95th percentile.</t>
  </si>
  <si>
    <t>Expected shortfall</t>
  </si>
  <si>
    <t>The mean loss in the worst 5% of years (CVaR).</t>
  </si>
  <si>
    <t>$ thousand</t>
  </si>
  <si>
    <t>All amounts.</t>
  </si>
  <si>
    <t>Key assumptions and limitations</t>
  </si>
  <si>
    <t>Independence</t>
  </si>
  <si>
    <t>Obligors default independently, and loss sizes are independent. Real defaults are correlated (a downturn raises them all), which widens the distribution a lot.</t>
  </si>
  <si>
    <t>One year</t>
  </si>
  <si>
    <t>Each obligor defaults at most once in the year.</t>
  </si>
  <si>
    <t>Data</t>
  </si>
  <si>
    <t>The portfolios are those of ModelRisk's earlier Credit Risk Single Portfolio and Credit Risk Separated examples; their units are not stated, $ thousand is assumed.</t>
  </si>
  <si>
    <t>ModelRisk functions used</t>
  </si>
  <si>
    <t>VoseBinomialObject, VoseLognormalObject, VoseBetaObject</t>
  </si>
  <si>
    <t>Distributions as objects.</t>
  </si>
  <si>
    <t>VoseAggregateMC</t>
  </si>
  <si>
    <t>A total: a number of losses, then one simulated loss for each, added up.</t>
  </si>
  <si>
    <t>VoseAggregateFFTObject, VoseAggregateFFT, VoseAggregateFFTProb</t>
  </si>
  <si>
    <t>The total's distribution by Fast Fourier Transform: object, sample or percentile, density.</t>
  </si>
  <si>
    <t>VoseIntegrate</t>
  </si>
  <si>
    <t>Numerical integration: here the expected shortfall from the FFT density.</t>
  </si>
  <si>
    <t>VoseSumProduct</t>
  </si>
  <si>
    <t>The sum of N products of independent draws, in one step.</t>
  </si>
  <si>
    <t>VoseSimPercentile, VoseSimCVARp</t>
  </si>
  <si>
    <t>VaR and expected shortfall of the simulation.</t>
  </si>
  <si>
    <t>Further reading</t>
  </si>
  <si>
    <t>Credit risk</t>
  </si>
  <si>
    <t>Vose, D. (2008). Risk Analysis: A Quantitative Guide, 3rd edition. Wiley: credit risk and aggregate distributions.</t>
  </si>
  <si>
    <t>© 2026 Vose Software   ·   www.vosesoftware.com   ·   An illustrative example: the figures are invented for teaching and do not describe a real company, project or asset.</t>
  </si>
  <si>
    <t>INPUTS   ·   The two portfolios and the confidence level. Change only the yellow cells.</t>
  </si>
  <si>
    <t>◂  About</t>
  </si>
  <si>
    <t>Next:  Portfolio A  ▸</t>
  </si>
  <si>
    <t>How to read this sheet:  yellow cells are inputs.</t>
  </si>
  <si>
    <t>1   Portfolio A: a default loses a whole amount</t>
  </si>
  <si>
    <t>Assumption</t>
  </si>
  <si>
    <t>Unit</t>
  </si>
  <si>
    <t>Value in model</t>
  </si>
  <si>
    <t>Uncertainty</t>
  </si>
  <si>
    <t>Basis / source (illustrative)</t>
  </si>
  <si>
    <t>Obligors</t>
  </si>
  <si>
    <t>obligors</t>
  </si>
  <si>
    <t>Fixed</t>
  </si>
  <si>
    <t>Probability of default in the year</t>
  </si>
  <si>
    <t>Loss on a default: mean</t>
  </si>
  <si>
    <t>Lognormal</t>
  </si>
  <si>
    <t>Loss on a default: standard deviation</t>
  </si>
  <si>
    <t>2   Portfolio B: a default loses a fraction of the exposure</t>
  </si>
  <si>
    <t>At most 200 defaults are modelled row by row (checked)</t>
  </si>
  <si>
    <t>Exposure: mean</t>
  </si>
  <si>
    <t>Exposure: standard deviation</t>
  </si>
  <si>
    <t>Loss fraction: Beta α</t>
  </si>
  <si>
    <t>Mean α ÷ (α + β) = 23%</t>
  </si>
  <si>
    <t>Loss fraction: Beta β</t>
  </si>
  <si>
    <t>3   Risk measures</t>
  </si>
  <si>
    <t>Confidence level for VaR and expected shortfall</t>
  </si>
  <si>
    <t>PORTFOLIO A   ·   A default loses a whole amount: Monte Carlo and FFT.</t>
  </si>
  <si>
    <t>◂  Inputs</t>
  </si>
  <si>
    <t>Next:  Portfolio B  ▸</t>
  </si>
  <si>
    <t>1   Defaults and losses</t>
  </si>
  <si>
    <t>As distribution objects.</t>
  </si>
  <si>
    <t>Number of defaults: Binomial(obligors, probability)</t>
  </si>
  <si>
    <t>Mean 2,135 × 8.3% = 177 defaults</t>
  </si>
  <si>
    <t>Loss on a default: Lognormal(mean, sd)</t>
  </si>
  <si>
    <t>2   The total, exactly</t>
  </si>
  <si>
    <t>Moments by formula; VaR and expected shortfall from the FFT, without sampling.</t>
  </si>
  <si>
    <t>Mean of the total</t>
  </si>
  <si>
    <t>Mean number of defaults × mean loss</t>
  </si>
  <si>
    <t>Standard deviation of the total</t>
  </si>
  <si>
    <t>√(mean number × loss variance + number variance × mean loss²)</t>
  </si>
  <si>
    <t>Share of the variance from the number of defaults</t>
  </si>
  <si>
    <t>The rest comes from the size of each loss</t>
  </si>
  <si>
    <t>FFT object: VoseAggregateFFTObject(defaults, loss, 16)</t>
  </si>
  <si>
    <t>2^16 steps: the original example's accuracy</t>
  </si>
  <si>
    <t>VaR: VoseAggregateFFT(defaults, loss, 16, confidence)</t>
  </si>
  <si>
    <t>With U, the U-th percentile of the total</t>
  </si>
  <si>
    <t>Upper limit for the integral (mean + 12 standard deviations)</t>
  </si>
  <si>
    <t>Far enough into the tail that nothing beyond it matters</t>
  </si>
  <si>
    <t>Expected shortfall: VoseIntegrate ÷ (1 − confidence)</t>
  </si>
  <si>
    <t>The mean of the worst years: ∫ x f(x) dx above VaR, divided by their probability</t>
  </si>
  <si>
    <t>3   The total, simulated</t>
  </si>
  <si>
    <t>One year per simulation, two ways.</t>
  </si>
  <si>
    <t>Defaults this year: VoseSimulate(defaults)</t>
  </si>
  <si>
    <t>Monte Carlo: VoseAggregateMC(defaults this year, loss)</t>
  </si>
  <si>
    <t>One simulated loss per default, added up</t>
  </si>
  <si>
    <t>FFT: VoseSimulate(FFT object)</t>
  </si>
  <si>
    <t>A sample from the FFT distribution: the same total, built numerically</t>
  </si>
  <si>
    <t>4   Value in this iteration</t>
  </si>
  <si>
    <t>Key outputs, recorded by ModelRisk at every sample (VoseOutput). Their statistics appear on the Results sheet.</t>
  </si>
  <si>
    <t>Output</t>
  </si>
  <si>
    <t>Value</t>
  </si>
  <si>
    <t>Meaning</t>
  </si>
  <si>
    <t>Total loss, Monte Carlo</t>
  </si>
  <si>
    <t>Total loss, FFT</t>
  </si>
  <si>
    <t>PORTFOLIO B   ·   A default loses a fraction of its exposure: VoseSumProduct and row by row.</t>
  </si>
  <si>
    <t>◂  Portfolio A</t>
  </si>
  <si>
    <t>Next:  Row by row  ▸</t>
  </si>
  <si>
    <t>1   Exposure, loss fraction and defaults</t>
  </si>
  <si>
    <t>Exposure: Lognormal(mean, sd)</t>
  </si>
  <si>
    <t>Loss fraction: Beta(α, β)</t>
  </si>
  <si>
    <t>Defaults this year: VoseBinomial(obligors, probability)</t>
  </si>
  <si>
    <t>Drawn once and shared by both methods</t>
  </si>
  <si>
    <t>Moments by formula.</t>
  </si>
  <si>
    <t>Mean loss per default</t>
  </si>
  <si>
    <t>Mean exposure × mean fraction (independent)</t>
  </si>
  <si>
    <t>Variance of the loss per default</t>
  </si>
  <si>
    <t>E[exposure²] × E[fraction²] − mean²</t>
  </si>
  <si>
    <t>VoseSumProduct(defaults, exposure, fraction)</t>
  </si>
  <si>
    <t>The sum of N products exposure × fraction, each from new draws, in one step</t>
  </si>
  <si>
    <t>Row by row: the total on the Row by row sheet</t>
  </si>
  <si>
    <t>A row per possible default, zero beyond the number drawn: the same total, the long way</t>
  </si>
  <si>
    <t>Total loss, VoseSumProduct</t>
  </si>
  <si>
    <t>Total loss, row by row</t>
  </si>
  <si>
    <t>ROW BY ROW   ·   Portfolio B's total the long way: a row for each of up to 200 defaults.</t>
  </si>
  <si>
    <t>◂  Portfolio B</t>
  </si>
  <si>
    <t>Next:  Results  ▸</t>
  </si>
  <si>
    <t>1   A row per possible default</t>
  </si>
  <si>
    <t>Exposure and loss fraction drawn for every default up to the number drawn on the Portfolio B sheet; zero beyond it.</t>
  </si>
  <si>
    <t>No.</t>
  </si>
  <si>
    <t>Exposure</t>
  </si>
  <si>
    <t>Fraction</t>
  </si>
  <si>
    <t>Loss</t>
  </si>
  <si>
    <t>Total loss</t>
  </si>
  <si>
    <t>200 rows: more defaults than that has a chance below one in a billion (checked below).</t>
  </si>
  <si>
    <t>2   Model checks</t>
  </si>
  <si>
    <t>Should all read OK. A CHECK means an input has been set outside the range the model is built for.</t>
  </si>
  <si>
    <t>200 rows cover the defaults (99.9999th percentile)</t>
  </si>
  <si>
    <t>Portfolio A: the FFT's VaR is above the mean</t>
  </si>
  <si>
    <t>Default probabilities are between 0 and 1</t>
  </si>
  <si>
    <t>RESULTS   ·   Filled in automatically from the last simulation. Run a simulation after changing any input.</t>
  </si>
  <si>
    <t>◂  Row by row</t>
  </si>
  <si>
    <t>1   Portfolio A: whole loss on default</t>
  </si>
  <si>
    <t>Portfolio A: total loss, two ways</t>
  </si>
  <si>
    <t>Monte Carlo, the FFT sampled, and the FFT exactly.</t>
  </si>
  <si>
    <t>Measure</t>
  </si>
  <si>
    <t>Monte Carlo</t>
  </si>
  <si>
    <t>FFT, sampled</t>
  </si>
  <si>
    <t>Exact</t>
  </si>
  <si>
    <t>Mean</t>
  </si>
  <si>
    <t>Standard deviation</t>
  </si>
  <si>
    <t>VaR (95%)</t>
  </si>
  <si>
    <t>Expected shortfall (95%)</t>
  </si>
  <si>
    <t>2   Portfolio B: loss as a fraction of the exposure</t>
  </si>
  <si>
    <t>VoseSumProduct against the row-by-row sum.</t>
  </si>
  <si>
    <t>Sum product</t>
  </si>
  <si>
    <t>3   Where the risk comes from</t>
  </si>
  <si>
    <t>Portfolio B: total loss, two ways</t>
  </si>
  <si>
    <t>Share of the total's variance from the number of defaults; the rest is the size of each loss.</t>
  </si>
  <si>
    <t>Portfolio</t>
  </si>
  <si>
    <t>Share</t>
  </si>
  <si>
    <t>A: whole loss</t>
  </si>
  <si>
    <t>B: fraction of the exposure</t>
  </si>
  <si>
    <t>4   How to read these results</t>
  </si>
  <si>
    <t>•  Portfolio A expects about 177 defaults a year at about 55 each: an expected loss of 9,746. One year in 20 the loss exceeds the VaR of about 10,940, and those worst years average about 11,260 (the expected shortfall).</t>
  </si>
  <si>
    <t>•  Monte Carlo and FFT describe the same total. The FFT builds its distribution numerically, so its VaR and expected shortfall carry no sampling noise; the simulated ones agree within it.</t>
  </si>
  <si>
    <t>•  Portfolio B: when a default loses a fraction of an uncertain exposure, VoseSumProduct adds the products in one step; the row-by-row sum gives the same distribution but needs a row per possible default.</t>
  </si>
  <si>
    <t>•  In both, the number of defaults drives most of the risk (95% and 93% of the variance): what each default costs matters far less than how many there are. With correlated defaults, which these examples leave out, that number becomes much more uncertain.</t>
  </si>
  <si>
    <t>Chart data</t>
  </si>
  <si>
    <t>Statistics of the last simulation behind the charts and the ranking above. Grouped: click + in the left margin to show them.</t>
  </si>
  <si>
    <t>Cumulative probability</t>
  </si>
  <si>
    <t>Exceedance</t>
  </si>
  <si>
    <t>A_MC</t>
  </si>
  <si>
    <t>A_FFTs</t>
  </si>
  <si>
    <t>line at A_VaR</t>
  </si>
  <si>
    <t>B_SP</t>
  </si>
  <si>
    <t>B_Rows</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</si>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</sst>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_);\(#,##0.0\);&quot;–&quot;_)"/>
    <numFmt numFmtId="166" formatCode="#,##0_);\(#,##0\);&quot;–&quot;_)"/>
    <numFmt numFmtId="167" formatCode="#,##0.00_);\(#,##0.00\);&quot;–&quot;_)"/>
    <numFmt numFmtId="168" formatCode="0.000;\-0.000;\–"/>
    <numFmt numFmtId="169" formatCode="#,##0_);\(#,##0\);&quot;–&quot;_);&quot;–&quot;"/>
  </numFmts>
  <fonts count="21"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10"/>
      <color rgb="FF15803D"/>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3F5876"/>
      </top>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2">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4" fontId="1" fillId="2" borderId="7" xfId="1" applyNumberFormat="1" applyBorder="1">
      <alignment horizontal="right" vertical="center"/>
    </xf>
    <xf numFmtId="165" fontId="1" fillId="2" borderId="7" xfId="1" applyNumberFormat="1" applyBorder="1">
      <alignment horizontal="right" vertical="center"/>
    </xf>
    <xf numFmtId="9" fontId="1" fillId="2" borderId="7" xfId="1" applyNumberFormat="1" applyBorder="1">
      <alignment horizontal="right" vertical="center"/>
    </xf>
    <xf numFmtId="0" fontId="3" fillId="0" borderId="8" xfId="3" applyBorder="1" applyAlignment="1">
      <alignment horizontal="left" vertical="center" indent="1"/>
    </xf>
    <xf numFmtId="0" fontId="18" fillId="0" borderId="0" xfId="0" applyFont="1" applyAlignment="1">
      <alignment horizontal="left" vertical="center" indent="1"/>
    </xf>
    <xf numFmtId="165" fontId="3" fillId="0" borderId="8" xfId="3" applyNumberFormat="1" applyBorder="1">
      <alignment horizontal="right" vertical="center"/>
    </xf>
    <xf numFmtId="9" fontId="3" fillId="0" borderId="8" xfId="3" applyNumberFormat="1" applyBorder="1">
      <alignment horizontal="right" vertical="center"/>
    </xf>
    <xf numFmtId="166" fontId="3" fillId="0" borderId="8" xfId="3" applyNumberFormat="1" applyBorder="1">
      <alignment horizontal="right" vertical="center"/>
    </xf>
    <xf numFmtId="1" fontId="2" fillId="3" borderId="7" xfId="2" applyNumberFormat="1" applyBorder="1">
      <alignment horizontal="right" vertical="center"/>
    </xf>
    <xf numFmtId="165" fontId="2" fillId="3" borderId="7" xfId="2"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7" fillId="0" borderId="0" xfId="0" applyFont="1" applyAlignment="1">
      <alignment horizontal="left" vertical="center" indent="1"/>
    </xf>
    <xf numFmtId="165" fontId="4" fillId="4" borderId="9" xfId="4" applyNumberFormat="1" applyBorder="1">
      <alignment horizontal="right" vertical="center"/>
    </xf>
    <xf numFmtId="167" fontId="3" fillId="0" borderId="8" xfId="3" applyNumberFormat="1" applyBorder="1">
      <alignment horizontal="right" vertical="center"/>
    </xf>
    <xf numFmtId="0" fontId="12" fillId="0" borderId="6" xfId="0" applyFont="1" applyBorder="1" applyAlignment="1">
      <alignment horizontal="left" vertical="center" indent="1"/>
    </xf>
    <xf numFmtId="168" fontId="2" fillId="3" borderId="7" xfId="2" applyNumberFormat="1" applyBorder="1">
      <alignment horizontal="right" vertical="center"/>
    </xf>
    <xf numFmtId="0" fontId="12" fillId="0" borderId="10" xfId="0" applyFont="1" applyBorder="1" applyAlignment="1">
      <alignment horizontal="left" vertical="center" indent="1"/>
    </xf>
    <xf numFmtId="0" fontId="0" fillId="0" borderId="10" xfId="0" applyBorder="1"/>
    <xf numFmtId="165" fontId="12" fillId="0" borderId="10" xfId="3" applyNumberFormat="1" applyFont="1" applyBorder="1">
      <alignment horizontal="right" vertical="center"/>
    </xf>
    <xf numFmtId="0" fontId="19"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20" fillId="0" borderId="5" xfId="0" applyFont="1" applyBorder="1"/>
    <xf numFmtId="169"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4">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Monte Carlo</c:v>
          </c:tx>
          <c:spPr>
            <a:ln w="25400">
              <a:solidFill>
                <a:srgbClr val="0E4F92"/>
              </a:solidFill>
              <a:prstDash val="solid"/>
            </a:ln>
          </c:spPr>
          <c:marker>
            <c:symbol val="none"/>
          </c:marker>
          <c:xVal>
            <c:numRef>
              <c:f>Results!$D$51:$D$100</c:f>
              <c:numCache>
                <c:formatCode>#,##0.00</c:formatCode>
                <c:ptCount val="50"/>
                <c:pt idx="0">
                  <c:v>8107.8160847281979</c:v>
                </c:pt>
                <c:pt idx="1">
                  <c:v>8418.5213259784541</c:v>
                </c:pt>
                <c:pt idx="2">
                  <c:v>8590.5714919808706</c:v>
                </c:pt>
                <c:pt idx="3">
                  <c:v>8703.7689365151346</c:v>
                </c:pt>
                <c:pt idx="4">
                  <c:v>8796.3908312554959</c:v>
                </c:pt>
                <c:pt idx="5">
                  <c:v>8869.5017213768842</c:v>
                </c:pt>
                <c:pt idx="6">
                  <c:v>8943.8812002855848</c:v>
                </c:pt>
                <c:pt idx="7">
                  <c:v>9006.286669764766</c:v>
                </c:pt>
                <c:pt idx="8">
                  <c:v>9065.1223030700912</c:v>
                </c:pt>
                <c:pt idx="9">
                  <c:v>9120.820786551636</c:v>
                </c:pt>
                <c:pt idx="10">
                  <c:v>9172.9898344836838</c:v>
                </c:pt>
                <c:pt idx="11">
                  <c:v>9217.9658613707506</c:v>
                </c:pt>
                <c:pt idx="12">
                  <c:v>9264.2977052098813</c:v>
                </c:pt>
                <c:pt idx="13">
                  <c:v>9301.8975535615446</c:v>
                </c:pt>
                <c:pt idx="14">
                  <c:v>9345.6161786286593</c:v>
                </c:pt>
                <c:pt idx="15">
                  <c:v>9386.5743226783197</c:v>
                </c:pt>
                <c:pt idx="16">
                  <c:v>9427.2274435938489</c:v>
                </c:pt>
                <c:pt idx="17">
                  <c:v>9466.7282005923571</c:v>
                </c:pt>
                <c:pt idx="18">
                  <c:v>9500.7438921123485</c:v>
                </c:pt>
                <c:pt idx="19">
                  <c:v>9537.7379419209901</c:v>
                </c:pt>
                <c:pt idx="20">
                  <c:v>9578.5711786803877</c:v>
                </c:pt>
                <c:pt idx="21">
                  <c:v>9617.4226536940223</c:v>
                </c:pt>
                <c:pt idx="22">
                  <c:v>9652.9017130381562</c:v>
                </c:pt>
                <c:pt idx="23">
                  <c:v>9688.6645915052231</c:v>
                </c:pt>
                <c:pt idx="24">
                  <c:v>9725.9808670115181</c:v>
                </c:pt>
                <c:pt idx="25">
                  <c:v>9763.8590544155395</c:v>
                </c:pt>
                <c:pt idx="26">
                  <c:v>9796.2981670943718</c:v>
                </c:pt>
                <c:pt idx="27">
                  <c:v>9837.861184880403</c:v>
                </c:pt>
                <c:pt idx="28">
                  <c:v>9876.6964881206768</c:v>
                </c:pt>
                <c:pt idx="29">
                  <c:v>9919.7442143204007</c:v>
                </c:pt>
                <c:pt idx="30">
                  <c:v>9959.6808160704277</c:v>
                </c:pt>
                <c:pt idx="31">
                  <c:v>9996.8181055065979</c:v>
                </c:pt>
                <c:pt idx="32">
                  <c:v>10035.924964125274</c:v>
                </c:pt>
                <c:pt idx="33">
                  <c:v>10076.41097139345</c:v>
                </c:pt>
                <c:pt idx="34">
                  <c:v>10119.053233037805</c:v>
                </c:pt>
                <c:pt idx="35">
                  <c:v>10161.173763735613</c:v>
                </c:pt>
                <c:pt idx="36">
                  <c:v>10205.962272483708</c:v>
                </c:pt>
                <c:pt idx="37">
                  <c:v>10248.429214905196</c:v>
                </c:pt>
                <c:pt idx="38">
                  <c:v>10294.412344142744</c:v>
                </c:pt>
                <c:pt idx="39">
                  <c:v>10343.17938099656</c:v>
                </c:pt>
                <c:pt idx="40">
                  <c:v>10388.175093265914</c:v>
                </c:pt>
                <c:pt idx="41">
                  <c:v>10445.637536656273</c:v>
                </c:pt>
                <c:pt idx="42">
                  <c:v>10510.767061208608</c:v>
                </c:pt>
                <c:pt idx="43">
                  <c:v>10575.816367107192</c:v>
                </c:pt>
                <c:pt idx="44">
                  <c:v>10650.049630864365</c:v>
                </c:pt>
                <c:pt idx="45">
                  <c:v>10739.473671922535</c:v>
                </c:pt>
                <c:pt idx="46">
                  <c:v>10835.952272631155</c:v>
                </c:pt>
                <c:pt idx="47">
                  <c:v>10951.309005411082</c:v>
                </c:pt>
                <c:pt idx="48">
                  <c:v>11126.196311340627</c:v>
                </c:pt>
                <c:pt idx="49">
                  <c:v>11457.461908622172</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8844-4BC6-BCB1-A771A3D6B05A}"/>
            </c:ext>
          </c:extLst>
        </c:ser>
        <c:ser>
          <c:idx val="1"/>
          <c:order val="1"/>
          <c:tx>
            <c:v>FFT</c:v>
          </c:tx>
          <c:spPr>
            <a:ln w="25400">
              <a:solidFill>
                <a:srgbClr val="B45309"/>
              </a:solidFill>
              <a:prstDash val="dash"/>
            </a:ln>
          </c:spPr>
          <c:marker>
            <c:symbol val="none"/>
          </c:marker>
          <c:xVal>
            <c:numRef>
              <c:f>Results!$E$51:$E$100</c:f>
              <c:numCache>
                <c:formatCode>#,##0.00</c:formatCode>
                <c:ptCount val="50"/>
                <c:pt idx="0">
                  <c:v>8090.8607188194192</c:v>
                </c:pt>
                <c:pt idx="1">
                  <c:v>8378.9004299787448</c:v>
                </c:pt>
                <c:pt idx="2">
                  <c:v>8547.0201051129498</c:v>
                </c:pt>
                <c:pt idx="3">
                  <c:v>8673.0854469901878</c:v>
                </c:pt>
                <c:pt idx="4">
                  <c:v>8759.0867897394837</c:v>
                </c:pt>
                <c:pt idx="5">
                  <c:v>8849.2874635028329</c:v>
                </c:pt>
                <c:pt idx="6">
                  <c:v>8921.5201756725346</c:v>
                </c:pt>
                <c:pt idx="7">
                  <c:v>8987.7691188704703</c:v>
                </c:pt>
                <c:pt idx="8">
                  <c:v>9050.5019087913952</c:v>
                </c:pt>
                <c:pt idx="9">
                  <c:v>9106.764506034644</c:v>
                </c:pt>
                <c:pt idx="10">
                  <c:v>9160.4087531671048</c:v>
                </c:pt>
                <c:pt idx="11">
                  <c:v>9212.6574432688558</c:v>
                </c:pt>
                <c:pt idx="12">
                  <c:v>9258.9192146373807</c:v>
                </c:pt>
                <c:pt idx="13">
                  <c:v>9299.3664525159129</c:v>
                </c:pt>
                <c:pt idx="14">
                  <c:v>9337.7267287369341</c:v>
                </c:pt>
                <c:pt idx="15">
                  <c:v>9379.3001625451816</c:v>
                </c:pt>
                <c:pt idx="16">
                  <c:v>9415.2993188323453</c:v>
                </c:pt>
                <c:pt idx="17">
                  <c:v>9454.9157546864062</c:v>
                </c:pt>
                <c:pt idx="18">
                  <c:v>9487.8309852909006</c:v>
                </c:pt>
                <c:pt idx="19">
                  <c:v>9523.1077939562365</c:v>
                </c:pt>
                <c:pt idx="20">
                  <c:v>9561.1699406123244</c:v>
                </c:pt>
                <c:pt idx="21">
                  <c:v>9600.0636263282377</c:v>
                </c:pt>
                <c:pt idx="22">
                  <c:v>9635.9447939917918</c:v>
                </c:pt>
                <c:pt idx="23">
                  <c:v>9673.2744552256499</c:v>
                </c:pt>
                <c:pt idx="24">
                  <c:v>9708.671162300423</c:v>
                </c:pt>
                <c:pt idx="25">
                  <c:v>9745.1959135642537</c:v>
                </c:pt>
                <c:pt idx="26">
                  <c:v>9782.4556345171313</c:v>
                </c:pt>
                <c:pt idx="27">
                  <c:v>9817.5347673834913</c:v>
                </c:pt>
                <c:pt idx="28">
                  <c:v>9854.3551883053606</c:v>
                </c:pt>
                <c:pt idx="29">
                  <c:v>9890.6064865543867</c:v>
                </c:pt>
                <c:pt idx="30">
                  <c:v>9929.1342452910103</c:v>
                </c:pt>
                <c:pt idx="31">
                  <c:v>9970.2790417613705</c:v>
                </c:pt>
                <c:pt idx="32">
                  <c:v>10006.527950666663</c:v>
                </c:pt>
                <c:pt idx="33">
                  <c:v>10042.610083040072</c:v>
                </c:pt>
                <c:pt idx="34">
                  <c:v>10084.794678215078</c:v>
                </c:pt>
                <c:pt idx="35">
                  <c:v>10124.07421500133</c:v>
                </c:pt>
                <c:pt idx="36">
                  <c:v>10167.954344810625</c:v>
                </c:pt>
                <c:pt idx="37">
                  <c:v>10220.145914383007</c:v>
                </c:pt>
                <c:pt idx="38">
                  <c:v>10270.687450365473</c:v>
                </c:pt>
                <c:pt idx="39">
                  <c:v>10321.265241352885</c:v>
                </c:pt>
                <c:pt idx="40">
                  <c:v>10374.250237909549</c:v>
                </c:pt>
                <c:pt idx="41">
                  <c:v>10430.160323945802</c:v>
                </c:pt>
                <c:pt idx="42">
                  <c:v>10493.523535968043</c:v>
                </c:pt>
                <c:pt idx="43">
                  <c:v>10558.696937640512</c:v>
                </c:pt>
                <c:pt idx="44">
                  <c:v>10633.754878983826</c:v>
                </c:pt>
                <c:pt idx="45">
                  <c:v>10706.379334815132</c:v>
                </c:pt>
                <c:pt idx="46">
                  <c:v>10821.402435002828</c:v>
                </c:pt>
                <c:pt idx="47">
                  <c:v>10948.453738780769</c:v>
                </c:pt>
                <c:pt idx="48">
                  <c:v>11146.974432956275</c:v>
                </c:pt>
                <c:pt idx="49">
                  <c:v>11480.065248954568</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8844-4BC6-BCB1-A771A3D6B05A}"/>
            </c:ext>
          </c:extLst>
        </c:ser>
        <c:ser>
          <c:idx val="2"/>
          <c:order val="2"/>
          <c:tx>
            <c:v>VaR (95%), FFT</c:v>
          </c:tx>
          <c:spPr>
            <a:ln w="19050">
              <a:solidFill>
                <a:srgbClr val="B91C1C"/>
              </a:solidFill>
              <a:prstDash val="sysDash"/>
            </a:ln>
          </c:spPr>
          <c:marker>
            <c:symbol val="none"/>
          </c:marker>
          <c:xVal>
            <c:numRef>
              <c:f>Results!$F$51:$F$100</c:f>
              <c:numCache>
                <c:formatCode>#,##0.00</c:formatCode>
                <c:ptCount val="50"/>
                <c:pt idx="0">
                  <c:v>10943.548434988104</c:v>
                </c:pt>
                <c:pt idx="1">
                  <c:v>10943.548434988104</c:v>
                </c:pt>
                <c:pt idx="2">
                  <c:v>10943.548434988104</c:v>
                </c:pt>
                <c:pt idx="3">
                  <c:v>10943.548434988104</c:v>
                </c:pt>
                <c:pt idx="4">
                  <c:v>10943.548434988104</c:v>
                </c:pt>
                <c:pt idx="5">
                  <c:v>10943.548434988104</c:v>
                </c:pt>
                <c:pt idx="6">
                  <c:v>10943.548434988104</c:v>
                </c:pt>
                <c:pt idx="7">
                  <c:v>10943.548434988104</c:v>
                </c:pt>
                <c:pt idx="8">
                  <c:v>10943.548434988104</c:v>
                </c:pt>
                <c:pt idx="9">
                  <c:v>10943.548434988104</c:v>
                </c:pt>
                <c:pt idx="10">
                  <c:v>10943.548434988104</c:v>
                </c:pt>
                <c:pt idx="11">
                  <c:v>10943.548434988104</c:v>
                </c:pt>
                <c:pt idx="12">
                  <c:v>10943.548434988104</c:v>
                </c:pt>
                <c:pt idx="13">
                  <c:v>10943.548434988104</c:v>
                </c:pt>
                <c:pt idx="14">
                  <c:v>10943.548434988104</c:v>
                </c:pt>
                <c:pt idx="15">
                  <c:v>10943.548434988104</c:v>
                </c:pt>
                <c:pt idx="16">
                  <c:v>10943.548434988104</c:v>
                </c:pt>
                <c:pt idx="17">
                  <c:v>10943.548434988104</c:v>
                </c:pt>
                <c:pt idx="18">
                  <c:v>10943.548434988104</c:v>
                </c:pt>
                <c:pt idx="19">
                  <c:v>10943.548434988104</c:v>
                </c:pt>
                <c:pt idx="20">
                  <c:v>10943.548434988104</c:v>
                </c:pt>
                <c:pt idx="21">
                  <c:v>10943.548434988104</c:v>
                </c:pt>
                <c:pt idx="22">
                  <c:v>10943.548434988104</c:v>
                </c:pt>
                <c:pt idx="23">
                  <c:v>10943.548434988104</c:v>
                </c:pt>
                <c:pt idx="24">
                  <c:v>10943.548434988104</c:v>
                </c:pt>
                <c:pt idx="25">
                  <c:v>10943.548434988104</c:v>
                </c:pt>
                <c:pt idx="26">
                  <c:v>10943.548434988104</c:v>
                </c:pt>
                <c:pt idx="27">
                  <c:v>10943.548434988104</c:v>
                </c:pt>
                <c:pt idx="28">
                  <c:v>10943.548434988104</c:v>
                </c:pt>
                <c:pt idx="29">
                  <c:v>10943.548434988104</c:v>
                </c:pt>
                <c:pt idx="30">
                  <c:v>10943.548434988104</c:v>
                </c:pt>
                <c:pt idx="31">
                  <c:v>10943.548434988104</c:v>
                </c:pt>
                <c:pt idx="32">
                  <c:v>10943.548434988104</c:v>
                </c:pt>
                <c:pt idx="33">
                  <c:v>10943.548434988104</c:v>
                </c:pt>
                <c:pt idx="34">
                  <c:v>10943.548434988104</c:v>
                </c:pt>
                <c:pt idx="35">
                  <c:v>10943.548434988104</c:v>
                </c:pt>
                <c:pt idx="36">
                  <c:v>10943.548434988104</c:v>
                </c:pt>
                <c:pt idx="37">
                  <c:v>10943.548434988104</c:v>
                </c:pt>
                <c:pt idx="38">
                  <c:v>10943.548434988104</c:v>
                </c:pt>
                <c:pt idx="39">
                  <c:v>10943.548434988104</c:v>
                </c:pt>
                <c:pt idx="40">
                  <c:v>10943.548434988104</c:v>
                </c:pt>
                <c:pt idx="41">
                  <c:v>10943.548434988104</c:v>
                </c:pt>
                <c:pt idx="42">
                  <c:v>10943.548434988104</c:v>
                </c:pt>
                <c:pt idx="43">
                  <c:v>10943.548434988104</c:v>
                </c:pt>
                <c:pt idx="44">
                  <c:v>10943.548434988104</c:v>
                </c:pt>
                <c:pt idx="45">
                  <c:v>10943.548434988104</c:v>
                </c:pt>
                <c:pt idx="46">
                  <c:v>10943.548434988104</c:v>
                </c:pt>
                <c:pt idx="47">
                  <c:v>10943.548434988104</c:v>
                </c:pt>
                <c:pt idx="48">
                  <c:v>10943.548434988104</c:v>
                </c:pt>
                <c:pt idx="49">
                  <c:v>10943.548434988104</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8844-4BC6-BCB1-A771A3D6B05A}"/>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Total loss ($ thousand)</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VoseSumProduct</c:v>
          </c:tx>
          <c:spPr>
            <a:ln w="25400">
              <a:solidFill>
                <a:srgbClr val="0E4F92"/>
              </a:solidFill>
              <a:prstDash val="solid"/>
            </a:ln>
          </c:spPr>
          <c:marker>
            <c:symbol val="none"/>
          </c:marker>
          <c:xVal>
            <c:numRef>
              <c:f>Results!$G$51:$G$100</c:f>
              <c:numCache>
                <c:formatCode>#,##0.00</c:formatCode>
                <c:ptCount val="50"/>
                <c:pt idx="0">
                  <c:v>2267.1673140787752</c:v>
                </c:pt>
                <c:pt idx="1">
                  <c:v>2388.8244861981798</c:v>
                </c:pt>
                <c:pt idx="2">
                  <c:v>2453.7159753215169</c:v>
                </c:pt>
                <c:pt idx="3">
                  <c:v>2494.4880546279037</c:v>
                </c:pt>
                <c:pt idx="4">
                  <c:v>2527.2024154149426</c:v>
                </c:pt>
                <c:pt idx="5">
                  <c:v>2552.971165607928</c:v>
                </c:pt>
                <c:pt idx="6">
                  <c:v>2578.0418908317447</c:v>
                </c:pt>
                <c:pt idx="7">
                  <c:v>2603.1098686631053</c:v>
                </c:pt>
                <c:pt idx="8">
                  <c:v>2621.226734259842</c:v>
                </c:pt>
                <c:pt idx="9">
                  <c:v>2640.229403001621</c:v>
                </c:pt>
                <c:pt idx="10">
                  <c:v>2658.4813570840911</c:v>
                </c:pt>
                <c:pt idx="11">
                  <c:v>2677.3073676616236</c:v>
                </c:pt>
                <c:pt idx="12">
                  <c:v>2694.8726991509557</c:v>
                </c:pt>
                <c:pt idx="13">
                  <c:v>2712.5886839069112</c:v>
                </c:pt>
                <c:pt idx="14">
                  <c:v>2727.8256597512382</c:v>
                </c:pt>
                <c:pt idx="15">
                  <c:v>2743.1925642851411</c:v>
                </c:pt>
                <c:pt idx="16">
                  <c:v>2756.7492622745663</c:v>
                </c:pt>
                <c:pt idx="17">
                  <c:v>2771.6171262593248</c:v>
                </c:pt>
                <c:pt idx="18">
                  <c:v>2783.868592285819</c:v>
                </c:pt>
                <c:pt idx="19">
                  <c:v>2798.8927292740541</c:v>
                </c:pt>
                <c:pt idx="20">
                  <c:v>2811.8692044921677</c:v>
                </c:pt>
                <c:pt idx="21">
                  <c:v>2825.616162786831</c:v>
                </c:pt>
                <c:pt idx="22">
                  <c:v>2839.8763964957443</c:v>
                </c:pt>
                <c:pt idx="23">
                  <c:v>2851.8887564154343</c:v>
                </c:pt>
                <c:pt idx="24">
                  <c:v>2864.7311161614284</c:v>
                </c:pt>
                <c:pt idx="25">
                  <c:v>2877.2351666331133</c:v>
                </c:pt>
                <c:pt idx="26">
                  <c:v>2889.7425912149529</c:v>
                </c:pt>
                <c:pt idx="27">
                  <c:v>2903.5104115361164</c:v>
                </c:pt>
                <c:pt idx="28">
                  <c:v>2918.3583491633221</c:v>
                </c:pt>
                <c:pt idx="29">
                  <c:v>2932.8669405465021</c:v>
                </c:pt>
                <c:pt idx="30">
                  <c:v>2946.3807924137741</c:v>
                </c:pt>
                <c:pt idx="31">
                  <c:v>2960.1477143497482</c:v>
                </c:pt>
                <c:pt idx="32">
                  <c:v>2973.3986803063899</c:v>
                </c:pt>
                <c:pt idx="33">
                  <c:v>2987.6243944648991</c:v>
                </c:pt>
                <c:pt idx="34">
                  <c:v>3002.6478672478574</c:v>
                </c:pt>
                <c:pt idx="35">
                  <c:v>3017.6652796038898</c:v>
                </c:pt>
                <c:pt idx="36">
                  <c:v>3030.3869311390231</c:v>
                </c:pt>
                <c:pt idx="37">
                  <c:v>3048.2915746545305</c:v>
                </c:pt>
                <c:pt idx="38">
                  <c:v>3065.6776040213958</c:v>
                </c:pt>
                <c:pt idx="39">
                  <c:v>3083.4554790664552</c:v>
                </c:pt>
                <c:pt idx="40">
                  <c:v>3104.5390776604272</c:v>
                </c:pt>
                <c:pt idx="41">
                  <c:v>3124.9848837894078</c:v>
                </c:pt>
                <c:pt idx="42">
                  <c:v>3149.3789039045423</c:v>
                </c:pt>
                <c:pt idx="43">
                  <c:v>3177.4166224848459</c:v>
                </c:pt>
                <c:pt idx="44">
                  <c:v>3204.0467532787306</c:v>
                </c:pt>
                <c:pt idx="45">
                  <c:v>3235.3972804290429</c:v>
                </c:pt>
                <c:pt idx="46">
                  <c:v>3271.9272738834043</c:v>
                </c:pt>
                <c:pt idx="47">
                  <c:v>3325.30011129378</c:v>
                </c:pt>
                <c:pt idx="48">
                  <c:v>3394.6959676341176</c:v>
                </c:pt>
                <c:pt idx="49">
                  <c:v>3524.1378008276056</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A0E2-4F9B-A077-77EFD79E4013}"/>
            </c:ext>
          </c:extLst>
        </c:ser>
        <c:ser>
          <c:idx val="1"/>
          <c:order val="1"/>
          <c:tx>
            <c:v>Row by row</c:v>
          </c:tx>
          <c:spPr>
            <a:ln w="25400">
              <a:solidFill>
                <a:srgbClr val="B45309"/>
              </a:solidFill>
              <a:prstDash val="dash"/>
            </a:ln>
          </c:spPr>
          <c:marker>
            <c:symbol val="none"/>
          </c:marker>
          <c:xVal>
            <c:numRef>
              <c:f>Results!$H$51:$H$100</c:f>
              <c:numCache>
                <c:formatCode>#,##0.00</c:formatCode>
                <c:ptCount val="50"/>
                <c:pt idx="0">
                  <c:v>2264.7570709104707</c:v>
                </c:pt>
                <c:pt idx="1">
                  <c:v>2390.8145832902205</c:v>
                </c:pt>
                <c:pt idx="2">
                  <c:v>2454.3028819549786</c:v>
                </c:pt>
                <c:pt idx="3">
                  <c:v>2495.4570113352693</c:v>
                </c:pt>
                <c:pt idx="4">
                  <c:v>2525.9929545398054</c:v>
                </c:pt>
                <c:pt idx="5">
                  <c:v>2551.8175033479069</c:v>
                </c:pt>
                <c:pt idx="6">
                  <c:v>2580.3026640231901</c:v>
                </c:pt>
                <c:pt idx="7">
                  <c:v>2605.4815932698561</c:v>
                </c:pt>
                <c:pt idx="8">
                  <c:v>2625.5565551806517</c:v>
                </c:pt>
                <c:pt idx="9">
                  <c:v>2644.8025745960135</c:v>
                </c:pt>
                <c:pt idx="10">
                  <c:v>2660.5163691541661</c:v>
                </c:pt>
                <c:pt idx="11">
                  <c:v>2679.8457799580424</c:v>
                </c:pt>
                <c:pt idx="12">
                  <c:v>2694.7495431277794</c:v>
                </c:pt>
                <c:pt idx="13">
                  <c:v>2709.1897969326533</c:v>
                </c:pt>
                <c:pt idx="14">
                  <c:v>2723.5581457183498</c:v>
                </c:pt>
                <c:pt idx="15">
                  <c:v>2740.4740742726294</c:v>
                </c:pt>
                <c:pt idx="16">
                  <c:v>2755.7769230501408</c:v>
                </c:pt>
                <c:pt idx="17">
                  <c:v>2770.1085242413669</c:v>
                </c:pt>
                <c:pt idx="18">
                  <c:v>2784.7020091238851</c:v>
                </c:pt>
                <c:pt idx="19">
                  <c:v>2799.3659318127457</c:v>
                </c:pt>
                <c:pt idx="20">
                  <c:v>2814.2729786632212</c:v>
                </c:pt>
                <c:pt idx="21">
                  <c:v>2827.8993532989325</c:v>
                </c:pt>
                <c:pt idx="22">
                  <c:v>2840.0518422106124</c:v>
                </c:pt>
                <c:pt idx="23">
                  <c:v>2853.4604085035521</c:v>
                </c:pt>
                <c:pt idx="24">
                  <c:v>2866.8460159296837</c:v>
                </c:pt>
                <c:pt idx="25">
                  <c:v>2881.6137189055517</c:v>
                </c:pt>
                <c:pt idx="26">
                  <c:v>2894.2824627581131</c:v>
                </c:pt>
                <c:pt idx="27">
                  <c:v>2906.929065980109</c:v>
                </c:pt>
                <c:pt idx="28">
                  <c:v>2920.3343988027918</c:v>
                </c:pt>
                <c:pt idx="29">
                  <c:v>2932.6063382752545</c:v>
                </c:pt>
                <c:pt idx="30">
                  <c:v>2947.0313977553142</c:v>
                </c:pt>
                <c:pt idx="31">
                  <c:v>2959.0559345635183</c:v>
                </c:pt>
                <c:pt idx="32">
                  <c:v>2974.2814372024063</c:v>
                </c:pt>
                <c:pt idx="33">
                  <c:v>2987.3055045360966</c:v>
                </c:pt>
                <c:pt idx="34">
                  <c:v>3001.9836137463117</c:v>
                </c:pt>
                <c:pt idx="35">
                  <c:v>3017.7149135173668</c:v>
                </c:pt>
                <c:pt idx="36">
                  <c:v>3034.4118191195944</c:v>
                </c:pt>
                <c:pt idx="37">
                  <c:v>3050.4783474474116</c:v>
                </c:pt>
                <c:pt idx="38">
                  <c:v>3068.4432841934076</c:v>
                </c:pt>
                <c:pt idx="39">
                  <c:v>3088.1845580081681</c:v>
                </c:pt>
                <c:pt idx="40">
                  <c:v>3109.2273368384422</c:v>
                </c:pt>
                <c:pt idx="41">
                  <c:v>3128.1744214025007</c:v>
                </c:pt>
                <c:pt idx="42">
                  <c:v>3150.4055186839605</c:v>
                </c:pt>
                <c:pt idx="43">
                  <c:v>3172.0661921959636</c:v>
                </c:pt>
                <c:pt idx="44">
                  <c:v>3198.7428272043835</c:v>
                </c:pt>
                <c:pt idx="45">
                  <c:v>3234.1697996709108</c:v>
                </c:pt>
                <c:pt idx="46">
                  <c:v>3275.0802695470247</c:v>
                </c:pt>
                <c:pt idx="47">
                  <c:v>3325.8704498467641</c:v>
                </c:pt>
                <c:pt idx="48">
                  <c:v>3391.4786578176227</c:v>
                </c:pt>
                <c:pt idx="49">
                  <c:v>3516.5765887673701</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A0E2-4F9B-A077-77EFD79E4013}"/>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Total loss ($ thousand)</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664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39.4" x14ac:dyDescent="0.45">
      <c r="B11" s="9" t="s">
        <v>13</v>
      </c>
      <c r="C11" s="10" t="s">
        <v>14</v>
      </c>
    </row>
    <row r="12" spans="1:4" ht="39.4"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57" t="s">
        <v>20</v>
      </c>
      <c r="C16" s="58"/>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39.4" x14ac:dyDescent="0.45">
      <c r="B29" s="9" t="s">
        <v>25</v>
      </c>
      <c r="C29" s="10" t="s">
        <v>26</v>
      </c>
    </row>
    <row r="30" spans="2:3" ht="26.25" x14ac:dyDescent="0.45">
      <c r="B30" s="9" t="s">
        <v>27</v>
      </c>
      <c r="C30" s="10" t="s">
        <v>28</v>
      </c>
    </row>
    <row r="31" spans="2:3"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x14ac:dyDescent="0.45">
      <c r="B35" s="9" t="s">
        <v>34</v>
      </c>
      <c r="C35" s="10" t="s">
        <v>35</v>
      </c>
    </row>
    <row r="36" spans="2:3" ht="26.25"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ht="12" customHeight="1" x14ac:dyDescent="0.45"/>
    <row r="45" spans="2:3" ht="22.05" customHeight="1" x14ac:dyDescent="0.5">
      <c r="B45" s="7" t="s">
        <v>49</v>
      </c>
      <c r="C45" s="8"/>
    </row>
    <row r="46" spans="2:3" x14ac:dyDescent="0.45">
      <c r="B46" s="15" t="s">
        <v>50</v>
      </c>
      <c r="C46" s="12" t="s">
        <v>51</v>
      </c>
    </row>
    <row r="47" spans="2:3" x14ac:dyDescent="0.45">
      <c r="B47" s="16" t="s">
        <v>52</v>
      </c>
      <c r="C47" s="12" t="s">
        <v>53</v>
      </c>
    </row>
    <row r="48" spans="2:3" x14ac:dyDescent="0.45">
      <c r="B48" s="17" t="s">
        <v>54</v>
      </c>
      <c r="C48" s="12" t="s">
        <v>55</v>
      </c>
    </row>
    <row r="49" spans="2:3" x14ac:dyDescent="0.45">
      <c r="B49" s="18" t="s">
        <v>56</v>
      </c>
      <c r="C49" s="12" t="s">
        <v>57</v>
      </c>
    </row>
    <row r="50" spans="2:3" x14ac:dyDescent="0.45">
      <c r="B50" s="19" t="s">
        <v>58</v>
      </c>
      <c r="C50" s="12" t="s">
        <v>59</v>
      </c>
    </row>
    <row r="51" spans="2:3" ht="12" customHeight="1" x14ac:dyDescent="0.45"/>
    <row r="52" spans="2:3" ht="22.05" customHeight="1" x14ac:dyDescent="0.5">
      <c r="B52" s="7" t="s">
        <v>60</v>
      </c>
      <c r="C52" s="8"/>
    </row>
    <row r="53" spans="2:3" x14ac:dyDescent="0.45">
      <c r="B53" s="9" t="s">
        <v>61</v>
      </c>
      <c r="C53" s="10" t="s">
        <v>62</v>
      </c>
    </row>
    <row r="54" spans="2:3" x14ac:dyDescent="0.45">
      <c r="B54" s="9" t="s">
        <v>63</v>
      </c>
      <c r="C54" s="10" t="s">
        <v>64</v>
      </c>
    </row>
    <row r="55" spans="2:3" x14ac:dyDescent="0.45">
      <c r="B55" s="9" t="s">
        <v>65</v>
      </c>
      <c r="C55" s="10" t="s">
        <v>66</v>
      </c>
    </row>
    <row r="56" spans="2:3" ht="12" customHeight="1" x14ac:dyDescent="0.45"/>
    <row r="57" spans="2:3" ht="22.05" customHeight="1" x14ac:dyDescent="0.5">
      <c r="B57" s="7" t="s">
        <v>67</v>
      </c>
      <c r="C57" s="8"/>
    </row>
    <row r="58" spans="2:3" ht="26.25" x14ac:dyDescent="0.45">
      <c r="B58" s="9" t="s">
        <v>68</v>
      </c>
      <c r="C58" s="10" t="s">
        <v>69</v>
      </c>
    </row>
    <row r="59" spans="2:3" x14ac:dyDescent="0.45">
      <c r="B59" s="9" t="s">
        <v>70</v>
      </c>
      <c r="C59" s="10" t="s">
        <v>71</v>
      </c>
    </row>
    <row r="60" spans="2:3" ht="26.25" x14ac:dyDescent="0.45">
      <c r="B60" s="9" t="s">
        <v>72</v>
      </c>
      <c r="C60" s="10" t="s">
        <v>73</v>
      </c>
    </row>
    <row r="61" spans="2:3" ht="12" customHeight="1" x14ac:dyDescent="0.45"/>
    <row r="62" spans="2:3" ht="22.05" customHeight="1" x14ac:dyDescent="0.5">
      <c r="B62" s="7" t="s">
        <v>74</v>
      </c>
      <c r="C62" s="8"/>
    </row>
    <row r="63" spans="2:3" ht="39.4" x14ac:dyDescent="0.45">
      <c r="B63" s="20" t="s">
        <v>75</v>
      </c>
      <c r="C63" s="10" t="s">
        <v>76</v>
      </c>
    </row>
    <row r="64" spans="2:3" x14ac:dyDescent="0.45">
      <c r="B64" s="20" t="s">
        <v>77</v>
      </c>
      <c r="C64" s="10" t="s">
        <v>78</v>
      </c>
    </row>
    <row r="65" spans="2:3" ht="39.4" x14ac:dyDescent="0.45">
      <c r="B65" s="20" t="s">
        <v>79</v>
      </c>
      <c r="C65" s="10" t="s">
        <v>80</v>
      </c>
    </row>
    <row r="66" spans="2:3" x14ac:dyDescent="0.45">
      <c r="B66" s="20" t="s">
        <v>81</v>
      </c>
      <c r="C66" s="10" t="s">
        <v>82</v>
      </c>
    </row>
    <row r="67" spans="2:3" x14ac:dyDescent="0.45">
      <c r="B67" s="20" t="s">
        <v>83</v>
      </c>
      <c r="C67" s="10" t="s">
        <v>84</v>
      </c>
    </row>
    <row r="68" spans="2:3" ht="26.25" x14ac:dyDescent="0.45">
      <c r="B68" s="20" t="s">
        <v>85</v>
      </c>
      <c r="C68" s="10" t="s">
        <v>86</v>
      </c>
    </row>
    <row r="69" spans="2:3" ht="12" customHeight="1" x14ac:dyDescent="0.45"/>
    <row r="70" spans="2:3" ht="22.05" customHeight="1" x14ac:dyDescent="0.5">
      <c r="B70" s="7" t="s">
        <v>87</v>
      </c>
      <c r="C70" s="8"/>
    </row>
    <row r="71" spans="2:3" x14ac:dyDescent="0.45">
      <c r="B71" s="9" t="s">
        <v>88</v>
      </c>
      <c r="C71" s="10" t="s">
        <v>89</v>
      </c>
    </row>
    <row r="72" spans="2:3" ht="16.05" customHeight="1" x14ac:dyDescent="0.45"/>
    <row r="73" spans="2:3" x14ac:dyDescent="0.45">
      <c r="B73" s="59" t="s">
        <v>90</v>
      </c>
      <c r="C73" s="58"/>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Portfolio A'!A1" display="Portfolio A" xr:uid="{00000000-0004-0000-0000-000002000000}"/>
    <hyperlink ref="B41" location="'Portfolio B'!A1" display="Portfolio B" xr:uid="{00000000-0004-0000-0000-000003000000}"/>
    <hyperlink ref="B42" location="'Row by row'!A1" display="Row by row" xr:uid="{00000000-0004-0000-0000-000004000000}"/>
    <hyperlink ref="B43" location="'Results'!A1" display="Results" xr:uid="{00000000-0004-0000-0000-000005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7"/>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20" customHeight="1" x14ac:dyDescent="0.45">
      <c r="B6" s="60" t="s">
        <v>94</v>
      </c>
      <c r="C6" s="58"/>
      <c r="D6" s="58"/>
      <c r="E6" s="58"/>
      <c r="F6" s="58"/>
      <c r="G6" s="58"/>
      <c r="H6" s="58"/>
      <c r="I6" s="58"/>
      <c r="J6" s="58"/>
    </row>
    <row r="7" spans="1:10" ht="6" customHeight="1" x14ac:dyDescent="0.45"/>
    <row r="8" spans="1:10" ht="22.05" customHeight="1" x14ac:dyDescent="0.5">
      <c r="B8" s="7" t="s">
        <v>95</v>
      </c>
      <c r="C8" s="8"/>
      <c r="D8" s="8"/>
      <c r="E8" s="8"/>
      <c r="F8" s="8"/>
      <c r="G8" s="8"/>
      <c r="H8" s="8"/>
      <c r="I8" s="8"/>
      <c r="J8" s="8"/>
    </row>
    <row r="9" spans="1:10" ht="18" customHeight="1" x14ac:dyDescent="0.45">
      <c r="B9" s="23" t="s">
        <v>96</v>
      </c>
      <c r="C9" s="23" t="s">
        <v>97</v>
      </c>
      <c r="D9" s="24" t="s">
        <v>98</v>
      </c>
      <c r="E9" s="23" t="s">
        <v>99</v>
      </c>
      <c r="F9" s="5"/>
      <c r="G9" s="5"/>
      <c r="H9" s="5"/>
      <c r="I9" s="5"/>
      <c r="J9" s="23" t="s">
        <v>100</v>
      </c>
    </row>
    <row r="10" spans="1:10" x14ac:dyDescent="0.45">
      <c r="B10" s="25" t="s">
        <v>101</v>
      </c>
      <c r="C10" s="26" t="s">
        <v>102</v>
      </c>
      <c r="D10" s="27">
        <v>2135</v>
      </c>
      <c r="E10" s="26" t="s">
        <v>103</v>
      </c>
      <c r="F10" s="28"/>
      <c r="G10" s="28"/>
      <c r="H10" s="28"/>
      <c r="I10" s="28"/>
      <c r="J10" s="29"/>
    </row>
    <row r="11" spans="1:10" x14ac:dyDescent="0.45">
      <c r="B11" s="25" t="s">
        <v>104</v>
      </c>
      <c r="C11" s="26"/>
      <c r="D11" s="30">
        <v>8.3000000000000004E-2</v>
      </c>
      <c r="E11" s="26" t="s">
        <v>103</v>
      </c>
      <c r="F11" s="28"/>
      <c r="G11" s="28"/>
      <c r="H11" s="28"/>
      <c r="I11" s="28"/>
      <c r="J11" s="29"/>
    </row>
    <row r="12" spans="1:10" x14ac:dyDescent="0.45">
      <c r="B12" s="25" t="s">
        <v>105</v>
      </c>
      <c r="C12" s="26" t="s">
        <v>65</v>
      </c>
      <c r="D12" s="31">
        <v>55</v>
      </c>
      <c r="E12" s="26" t="s">
        <v>103</v>
      </c>
      <c r="F12" s="28"/>
      <c r="G12" s="28"/>
      <c r="H12" s="28"/>
      <c r="I12" s="28"/>
      <c r="J12" s="29" t="s">
        <v>106</v>
      </c>
    </row>
    <row r="13" spans="1:10" x14ac:dyDescent="0.45">
      <c r="B13" s="25" t="s">
        <v>107</v>
      </c>
      <c r="C13" s="26" t="s">
        <v>65</v>
      </c>
      <c r="D13" s="31">
        <v>12</v>
      </c>
      <c r="E13" s="26" t="s">
        <v>103</v>
      </c>
      <c r="F13" s="28"/>
      <c r="G13" s="28"/>
      <c r="H13" s="28"/>
      <c r="I13" s="28"/>
      <c r="J13" s="29"/>
    </row>
    <row r="14" spans="1:10" ht="8" customHeight="1" x14ac:dyDescent="0.45"/>
    <row r="15" spans="1:10" ht="22.05" customHeight="1" x14ac:dyDescent="0.5">
      <c r="B15" s="7" t="s">
        <v>108</v>
      </c>
      <c r="C15" s="8"/>
      <c r="D15" s="8"/>
      <c r="E15" s="8"/>
      <c r="F15" s="8"/>
      <c r="G15" s="8"/>
      <c r="H15" s="8"/>
      <c r="I15" s="8"/>
      <c r="J15" s="8"/>
    </row>
    <row r="16" spans="1:10" ht="18" customHeight="1" x14ac:dyDescent="0.45">
      <c r="B16" s="23" t="s">
        <v>96</v>
      </c>
      <c r="C16" s="23" t="s">
        <v>97</v>
      </c>
      <c r="D16" s="24" t="s">
        <v>98</v>
      </c>
      <c r="E16" s="23" t="s">
        <v>99</v>
      </c>
      <c r="F16" s="5"/>
      <c r="G16" s="5"/>
      <c r="H16" s="5"/>
      <c r="I16" s="5"/>
      <c r="J16" s="23" t="s">
        <v>100</v>
      </c>
    </row>
    <row r="17" spans="2:10" x14ac:dyDescent="0.45">
      <c r="B17" s="25" t="s">
        <v>101</v>
      </c>
      <c r="C17" s="26" t="s">
        <v>102</v>
      </c>
      <c r="D17" s="27">
        <v>5384</v>
      </c>
      <c r="E17" s="26" t="s">
        <v>103</v>
      </c>
      <c r="F17" s="28"/>
      <c r="G17" s="28"/>
      <c r="H17" s="28"/>
      <c r="I17" s="28"/>
      <c r="J17" s="29" t="s">
        <v>109</v>
      </c>
    </row>
    <row r="18" spans="2:10" x14ac:dyDescent="0.45">
      <c r="B18" s="25" t="s">
        <v>104</v>
      </c>
      <c r="C18" s="26"/>
      <c r="D18" s="30">
        <v>2.3E-2</v>
      </c>
      <c r="E18" s="26" t="s">
        <v>103</v>
      </c>
      <c r="F18" s="28"/>
      <c r="G18" s="28"/>
      <c r="H18" s="28"/>
      <c r="I18" s="28"/>
      <c r="J18" s="29"/>
    </row>
    <row r="19" spans="2:10" x14ac:dyDescent="0.45">
      <c r="B19" s="25" t="s">
        <v>110</v>
      </c>
      <c r="C19" s="26" t="s">
        <v>65</v>
      </c>
      <c r="D19" s="31">
        <v>100</v>
      </c>
      <c r="E19" s="26" t="s">
        <v>103</v>
      </c>
      <c r="F19" s="28"/>
      <c r="G19" s="28"/>
      <c r="H19" s="28"/>
      <c r="I19" s="28"/>
      <c r="J19" s="29" t="s">
        <v>106</v>
      </c>
    </row>
    <row r="20" spans="2:10" x14ac:dyDescent="0.45">
      <c r="B20" s="25" t="s">
        <v>111</v>
      </c>
      <c r="C20" s="26" t="s">
        <v>65</v>
      </c>
      <c r="D20" s="31">
        <v>10</v>
      </c>
      <c r="E20" s="26" t="s">
        <v>103</v>
      </c>
      <c r="F20" s="28"/>
      <c r="G20" s="28"/>
      <c r="H20" s="28"/>
      <c r="I20" s="28"/>
      <c r="J20" s="29"/>
    </row>
    <row r="21" spans="2:10" x14ac:dyDescent="0.45">
      <c r="B21" s="25" t="s">
        <v>112</v>
      </c>
      <c r="C21" s="26"/>
      <c r="D21" s="31">
        <v>13</v>
      </c>
      <c r="E21" s="26" t="s">
        <v>103</v>
      </c>
      <c r="F21" s="28"/>
      <c r="G21" s="28"/>
      <c r="H21" s="28"/>
      <c r="I21" s="28"/>
      <c r="J21" s="29" t="s">
        <v>113</v>
      </c>
    </row>
    <row r="22" spans="2:10" x14ac:dyDescent="0.45">
      <c r="B22" s="25" t="s">
        <v>114</v>
      </c>
      <c r="C22" s="26"/>
      <c r="D22" s="31">
        <v>43</v>
      </c>
      <c r="E22" s="26" t="s">
        <v>103</v>
      </c>
      <c r="F22" s="28"/>
      <c r="G22" s="28"/>
      <c r="H22" s="28"/>
      <c r="I22" s="28"/>
      <c r="J22" s="29"/>
    </row>
    <row r="23" spans="2:10" ht="8" customHeight="1" x14ac:dyDescent="0.45"/>
    <row r="24" spans="2:10" ht="22.05" customHeight="1" x14ac:dyDescent="0.5">
      <c r="B24" s="7" t="s">
        <v>115</v>
      </c>
      <c r="C24" s="8"/>
      <c r="D24" s="8"/>
      <c r="E24" s="8"/>
      <c r="F24" s="8"/>
      <c r="G24" s="8"/>
      <c r="H24" s="8"/>
      <c r="I24" s="8"/>
      <c r="J24" s="8"/>
    </row>
    <row r="25" spans="2:10" ht="18" customHeight="1" x14ac:dyDescent="0.45">
      <c r="B25" s="23" t="s">
        <v>96</v>
      </c>
      <c r="C25" s="23" t="s">
        <v>97</v>
      </c>
      <c r="D25" s="24" t="s">
        <v>98</v>
      </c>
      <c r="E25" s="23" t="s">
        <v>99</v>
      </c>
      <c r="F25" s="5"/>
      <c r="G25" s="5"/>
      <c r="H25" s="5"/>
      <c r="I25" s="5"/>
      <c r="J25" s="23" t="s">
        <v>100</v>
      </c>
    </row>
    <row r="26" spans="2:10" x14ac:dyDescent="0.45">
      <c r="B26" s="25" t="s">
        <v>116</v>
      </c>
      <c r="C26" s="26"/>
      <c r="D26" s="32">
        <v>0.95</v>
      </c>
      <c r="E26" s="26" t="s">
        <v>103</v>
      </c>
      <c r="F26" s="28"/>
      <c r="G26" s="28"/>
      <c r="H26" s="28"/>
      <c r="I26" s="28"/>
      <c r="J26" s="29"/>
    </row>
    <row r="27" spans="2:10" ht="8" customHeight="1" x14ac:dyDescent="0.45"/>
  </sheetData>
  <mergeCells count="1">
    <mergeCell ref="B6:J6"/>
  </mergeCells>
  <dataValidations count="3">
    <dataValidation type="whole" showErrorMessage="1" errorTitle="Whole number" error="Enter a whole number from 1 to 10000000." sqref="D10 D17" xr:uid="{00000000-0002-0000-0100-000000000000}">
      <formula1>1</formula1>
      <formula2>10000000</formula2>
    </dataValidation>
    <dataValidation type="decimal" showErrorMessage="1" errorTitle="Probability" error="Enter a value between 0% and 100%." sqref="D11 D26 D18" xr:uid="{00000000-0002-0000-0100-000001000000}">
      <formula1>0</formula1>
      <formula2>1</formula2>
    </dataValidation>
    <dataValidation type="decimal" operator="greaterThan" showErrorMessage="1" errorTitle="Positive value" error="Enter a value greater than zero." sqref="D19:D22 D12:D13" xr:uid="{00000000-0002-0000-0100-000002000000}">
      <formula1>0</formula1>
    </dataValidation>
  </dataValidations>
  <hyperlinks>
    <hyperlink ref="B4" location="'About'!A1" display="◂  About" xr:uid="{00000000-0004-0000-0100-000000000000}"/>
    <hyperlink ref="J4" location="'Portfolio A'!A1" display="Next:  Portfolio A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F32"/>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46" customWidth="1"/>
    <col min="3" max="4" width="16" customWidth="1"/>
    <col min="5" max="5" width="3" customWidth="1"/>
    <col min="6" max="6" width="80" customWidth="1"/>
  </cols>
  <sheetData>
    <row r="1" spans="1:6" ht="6" customHeight="1" x14ac:dyDescent="0.45"/>
    <row r="2" spans="1:6" ht="30" customHeight="1" x14ac:dyDescent="0.45">
      <c r="A2" s="1"/>
      <c r="B2" s="21" t="s">
        <v>0</v>
      </c>
      <c r="C2" s="1"/>
      <c r="D2" s="1"/>
      <c r="E2" s="1"/>
      <c r="F2" s="3" t="s">
        <v>1</v>
      </c>
    </row>
    <row r="3" spans="1:6" ht="20" customHeight="1" x14ac:dyDescent="0.45">
      <c r="A3" s="1"/>
      <c r="B3" s="4" t="s">
        <v>117</v>
      </c>
      <c r="C3" s="1"/>
      <c r="D3" s="1"/>
      <c r="E3" s="1"/>
      <c r="F3" s="1"/>
    </row>
    <row r="4" spans="1:6" ht="20" customHeight="1" x14ac:dyDescent="0.45">
      <c r="A4" s="5"/>
      <c r="B4" s="22" t="s">
        <v>118</v>
      </c>
      <c r="C4" s="5"/>
      <c r="D4" s="5"/>
      <c r="E4" s="5"/>
      <c r="F4" s="6" t="s">
        <v>119</v>
      </c>
    </row>
    <row r="5" spans="1:6" ht="8" customHeight="1" x14ac:dyDescent="0.45"/>
    <row r="6" spans="1:6" ht="22.05" customHeight="1" x14ac:dyDescent="0.5">
      <c r="B6" s="7" t="s">
        <v>120</v>
      </c>
      <c r="C6" s="8"/>
      <c r="D6" s="8"/>
    </row>
    <row r="7" spans="1:6" ht="18" customHeight="1" x14ac:dyDescent="0.45">
      <c r="B7" s="13" t="s">
        <v>121</v>
      </c>
    </row>
    <row r="8" spans="1:6" x14ac:dyDescent="0.45">
      <c r="B8" s="25" t="s">
        <v>122</v>
      </c>
      <c r="C8" s="33" t="str">
        <f t="array" ref="C8">_xll.VoseBinomialObject(A_Obligors,A_PD)</f>
        <v>VoseBinomial(2135,0.083)</v>
      </c>
      <c r="D8" s="28"/>
      <c r="F8" s="34" t="s">
        <v>123</v>
      </c>
    </row>
    <row r="9" spans="1:6" x14ac:dyDescent="0.45">
      <c r="B9" s="25" t="s">
        <v>124</v>
      </c>
      <c r="C9" s="33" t="str">
        <f t="array" ref="C9">_xll.VoseLognormalObject(A_LossMean,A_LossSD)</f>
        <v>VoseLognormal(55,12)</v>
      </c>
      <c r="D9" s="28"/>
    </row>
    <row r="10" spans="1:6" ht="8" customHeight="1" x14ac:dyDescent="0.45"/>
    <row r="11" spans="1:6" ht="22.05" customHeight="1" x14ac:dyDescent="0.5">
      <c r="B11" s="7" t="s">
        <v>125</v>
      </c>
      <c r="C11" s="8"/>
      <c r="D11" s="8"/>
    </row>
    <row r="12" spans="1:6" ht="18" customHeight="1" x14ac:dyDescent="0.45">
      <c r="B12" s="13" t="s">
        <v>126</v>
      </c>
    </row>
    <row r="13" spans="1:6" x14ac:dyDescent="0.45">
      <c r="B13" s="25" t="s">
        <v>127</v>
      </c>
      <c r="C13" s="35">
        <f>A_Obligors*A_PD*A_LossMean</f>
        <v>9746.2750000000015</v>
      </c>
      <c r="D13" s="28"/>
      <c r="F13" s="34" t="s">
        <v>128</v>
      </c>
    </row>
    <row r="14" spans="1:6" x14ac:dyDescent="0.45">
      <c r="B14" s="25" t="s">
        <v>129</v>
      </c>
      <c r="C14" s="35">
        <f>SQRT(A_Obligors*A_PD*A_LossSD^2+A_Obligors*A_PD*(1-A_PD)*A_LossMean^2)</f>
        <v>719.07642126897758</v>
      </c>
      <c r="D14" s="28"/>
      <c r="F14" s="34" t="s">
        <v>130</v>
      </c>
    </row>
    <row r="15" spans="1:6" x14ac:dyDescent="0.45">
      <c r="B15" s="25" t="s">
        <v>131</v>
      </c>
      <c r="C15" s="36">
        <f>A_Obligors*A_PD*(1-A_PD)*A_LossMean^2/A_SD^2</f>
        <v>0.95064986248789796</v>
      </c>
      <c r="D15" s="28"/>
      <c r="F15" s="34" t="s">
        <v>132</v>
      </c>
    </row>
    <row r="16" spans="1:6" x14ac:dyDescent="0.45">
      <c r="B16" s="25" t="s">
        <v>133</v>
      </c>
      <c r="C16" s="33" t="str">
        <f t="array" ref="C16">_xll.VoseAggregateFFTObject(A_Defaults,A_Loss,16)</f>
        <v>VoseAggregateFFT('[GU-23 Credit portfolio losses two ways.xlsx]Portfolio A'!C8,'[GU-23 Credit portfolio losses two ways.xlsx]Portfolio A'!C9,16)</v>
      </c>
      <c r="D16" s="28"/>
      <c r="F16" s="34" t="s">
        <v>134</v>
      </c>
    </row>
    <row r="17" spans="2:6" x14ac:dyDescent="0.45">
      <c r="B17" s="25" t="s">
        <v>135</v>
      </c>
      <c r="C17" s="35" cm="1">
        <f t="array" ref="C17">_xll.VoseAggregateFFT(A_Defaults,A_Loss,16,Conf)</f>
        <v>10943.548434988104</v>
      </c>
      <c r="D17" s="28"/>
      <c r="F17" s="34" t="s">
        <v>136</v>
      </c>
    </row>
    <row r="18" spans="2:6" x14ac:dyDescent="0.45">
      <c r="B18" s="25" t="s">
        <v>137</v>
      </c>
      <c r="C18" s="37">
        <f>A_Mean+12*A_SD</f>
        <v>18375.192055227733</v>
      </c>
      <c r="D18" s="28"/>
      <c r="F18" s="34" t="s">
        <v>138</v>
      </c>
    </row>
    <row r="19" spans="2:6" x14ac:dyDescent="0.45">
      <c r="B19" s="25" t="s">
        <v>139</v>
      </c>
      <c r="C19" s="35" cm="1">
        <f t="array" aca="1" ref="C19" ca="1">_xll.VoseIntegrate("#*VoseAggregateFFTProb(#,'Portfolio A'!$C$8,'Portfolio A'!$C$9,16,0)",A_VaR,A_Upper,1)/(1-Conf)</f>
        <v>11258.19267126902</v>
      </c>
      <c r="D19" s="28"/>
      <c r="F19" s="34" t="s">
        <v>140</v>
      </c>
    </row>
    <row r="20" spans="2:6" ht="8" customHeight="1" x14ac:dyDescent="0.45"/>
    <row r="21" spans="2:6" ht="22.05" customHeight="1" x14ac:dyDescent="0.5">
      <c r="B21" s="7" t="s">
        <v>141</v>
      </c>
      <c r="C21" s="8"/>
      <c r="D21" s="8"/>
    </row>
    <row r="22" spans="2:6" ht="18" customHeight="1" x14ac:dyDescent="0.45">
      <c r="B22" s="13" t="s">
        <v>142</v>
      </c>
    </row>
    <row r="23" spans="2:6" x14ac:dyDescent="0.45">
      <c r="B23" s="25" t="s">
        <v>143</v>
      </c>
      <c r="C23" s="38" cm="1">
        <f t="array" aca="1" ref="C23" ca="1">_xll.VoseSimulate(A_Defaults)</f>
        <v>171</v>
      </c>
      <c r="D23" s="28"/>
    </row>
    <row r="24" spans="2:6" x14ac:dyDescent="0.45">
      <c r="B24" s="25" t="s">
        <v>144</v>
      </c>
      <c r="C24" s="39" cm="1">
        <f t="array" aca="1" ref="C24" ca="1">_xll.VoseAggregateMC(C23,A_Loss)</f>
        <v>9388.330678560289</v>
      </c>
      <c r="D24" s="28"/>
      <c r="F24" s="34" t="s">
        <v>145</v>
      </c>
    </row>
    <row r="25" spans="2:6" x14ac:dyDescent="0.45">
      <c r="B25" s="25" t="s">
        <v>146</v>
      </c>
      <c r="C25" s="39" cm="1">
        <f t="array" aca="1" ref="C25" ca="1">_xll.VoseSimulate(A_FFT)</f>
        <v>10047.757313651511</v>
      </c>
      <c r="D25" s="28"/>
      <c r="F25" s="34" t="s">
        <v>147</v>
      </c>
    </row>
    <row r="26" spans="2:6" ht="8" customHeight="1" x14ac:dyDescent="0.45"/>
    <row r="27" spans="2:6" ht="22.05" customHeight="1" x14ac:dyDescent="0.5">
      <c r="B27" s="7" t="s">
        <v>148</v>
      </c>
      <c r="C27" s="8"/>
      <c r="D27" s="8"/>
    </row>
    <row r="28" spans="2:6" ht="18" customHeight="1" x14ac:dyDescent="0.45">
      <c r="B28" s="13" t="s">
        <v>149</v>
      </c>
    </row>
    <row r="29" spans="2:6" ht="18" customHeight="1" x14ac:dyDescent="0.45">
      <c r="B29" s="40" t="s">
        <v>150</v>
      </c>
      <c r="C29" s="40" t="s">
        <v>97</v>
      </c>
      <c r="D29" s="41" t="s">
        <v>151</v>
      </c>
      <c r="F29" s="42" t="s">
        <v>152</v>
      </c>
    </row>
    <row r="30" spans="2:6" x14ac:dyDescent="0.45">
      <c r="B30" s="25" t="s">
        <v>153</v>
      </c>
      <c r="C30" s="26" t="s">
        <v>65</v>
      </c>
      <c r="D30" s="43" cm="1">
        <f t="array" aca="1" ref="D30" ca="1">_xll.VoseOutput("Portfolio A total, Monte Carlo","$ thousand")+C24</f>
        <v>9388.330678560289</v>
      </c>
      <c r="F30" s="34"/>
    </row>
    <row r="31" spans="2:6" x14ac:dyDescent="0.45">
      <c r="B31" s="25" t="s">
        <v>154</v>
      </c>
      <c r="C31" s="26" t="s">
        <v>65</v>
      </c>
      <c r="D31" s="43" cm="1">
        <f t="array" aca="1" ref="D31" ca="1">_xll.VoseOutput("Portfolio A total, FFT","$ thousand")+C25</f>
        <v>10047.757313651511</v>
      </c>
      <c r="F31" s="34"/>
    </row>
    <row r="32" spans="2:6" ht="8" customHeight="1" x14ac:dyDescent="0.45"/>
  </sheetData>
  <hyperlinks>
    <hyperlink ref="B4" location="'Inputs'!A1" display="◂  Inputs" xr:uid="{00000000-0004-0000-0200-000000000000}"/>
    <hyperlink ref="F4" location="'Portfolio B'!A1" display="Next:  Portfolio B  ▸" xr:uid="{00000000-0004-0000-0200-000001000000}"/>
  </hyperlinks>
  <printOptions horizontalCentered="1"/>
  <pageMargins left="0.4" right="0.4" top="0.5" bottom="0.6" header="0.25" footer="0.25"/>
  <pageSetup paperSize="9" scale="85"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G29"/>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46" customWidth="1"/>
    <col min="3" max="5" width="16" customWidth="1"/>
    <col min="6" max="6" width="3" customWidth="1"/>
    <col min="7" max="7" width="70" customWidth="1"/>
  </cols>
  <sheetData>
    <row r="1" spans="1:7" ht="6" customHeight="1" x14ac:dyDescent="0.45"/>
    <row r="2" spans="1:7" ht="30" customHeight="1" x14ac:dyDescent="0.45">
      <c r="A2" s="1"/>
      <c r="B2" s="21" t="s">
        <v>0</v>
      </c>
      <c r="C2" s="1"/>
      <c r="D2" s="1"/>
      <c r="E2" s="1"/>
      <c r="F2" s="1"/>
      <c r="G2" s="3" t="s">
        <v>1</v>
      </c>
    </row>
    <row r="3" spans="1:7" ht="20" customHeight="1" x14ac:dyDescent="0.45">
      <c r="A3" s="1"/>
      <c r="B3" s="4" t="s">
        <v>155</v>
      </c>
      <c r="C3" s="1"/>
      <c r="D3" s="1"/>
      <c r="E3" s="1"/>
      <c r="F3" s="1"/>
      <c r="G3" s="1"/>
    </row>
    <row r="4" spans="1:7" ht="20" customHeight="1" x14ac:dyDescent="0.45">
      <c r="A4" s="5"/>
      <c r="B4" s="22" t="s">
        <v>156</v>
      </c>
      <c r="C4" s="5"/>
      <c r="D4" s="5"/>
      <c r="E4" s="5"/>
      <c r="F4" s="5"/>
      <c r="G4" s="6" t="s">
        <v>157</v>
      </c>
    </row>
    <row r="5" spans="1:7" ht="8" customHeight="1" x14ac:dyDescent="0.45"/>
    <row r="6" spans="1:7" ht="22.05" customHeight="1" x14ac:dyDescent="0.5">
      <c r="B6" s="7" t="s">
        <v>158</v>
      </c>
      <c r="C6" s="8"/>
      <c r="D6" s="8"/>
      <c r="E6" s="8"/>
    </row>
    <row r="7" spans="1:7" x14ac:dyDescent="0.45">
      <c r="B7" s="25" t="s">
        <v>159</v>
      </c>
      <c r="C7" s="33" t="str">
        <f t="array" ref="C7">_xll.VoseLognormalObject(B_ExpMean,B_ExpSD)</f>
        <v>VoseLognormal(100,10)</v>
      </c>
      <c r="D7" s="28"/>
      <c r="E7" s="28"/>
    </row>
    <row r="8" spans="1:7" x14ac:dyDescent="0.45">
      <c r="B8" s="25" t="s">
        <v>160</v>
      </c>
      <c r="C8" s="33" t="str">
        <f t="array" ref="C8">_xll.VoseBetaObject(B_FracA,B_FracB)</f>
        <v>VoseBeta(13,43)</v>
      </c>
      <c r="D8" s="28"/>
      <c r="E8" s="28"/>
    </row>
    <row r="9" spans="1:7" x14ac:dyDescent="0.45">
      <c r="B9" s="25" t="s">
        <v>161</v>
      </c>
      <c r="C9" s="38" cm="1">
        <f t="array" aca="1" ref="C9" ca="1">_xll.VoseBinomial(B_Obligors,B_PD)</f>
        <v>124</v>
      </c>
      <c r="D9" s="28"/>
      <c r="E9" s="28"/>
      <c r="G9" s="34" t="s">
        <v>162</v>
      </c>
    </row>
    <row r="10" spans="1:7" ht="8" customHeight="1" x14ac:dyDescent="0.45"/>
    <row r="11" spans="1:7" ht="22.05" customHeight="1" x14ac:dyDescent="0.5">
      <c r="B11" s="7" t="s">
        <v>125</v>
      </c>
      <c r="C11" s="8"/>
      <c r="D11" s="8"/>
      <c r="E11" s="8"/>
    </row>
    <row r="12" spans="1:7" ht="18" customHeight="1" x14ac:dyDescent="0.45">
      <c r="B12" s="13" t="s">
        <v>163</v>
      </c>
    </row>
    <row r="13" spans="1:7" x14ac:dyDescent="0.45">
      <c r="B13" s="25" t="s">
        <v>164</v>
      </c>
      <c r="C13" s="44">
        <f>B_ExpMean*B_FracA/(B_FracA+B_FracB)</f>
        <v>23.214285714285715</v>
      </c>
      <c r="D13" s="28"/>
      <c r="E13" s="28"/>
      <c r="G13" s="34" t="s">
        <v>165</v>
      </c>
    </row>
    <row r="14" spans="1:7" x14ac:dyDescent="0.45">
      <c r="B14" s="25" t="s">
        <v>166</v>
      </c>
      <c r="C14" s="44">
        <f>(B_ExpMean^2+B_ExpSD^2)*(B_FracA*B_FracB/((B_FracA+B_FracB)^2*(B_FracA+B_FracB+1))+(B_FracA/(B_FracA+B_FracB))^2)-B_LossMean^2</f>
        <v>36.974131757966347</v>
      </c>
      <c r="D14" s="28"/>
      <c r="E14" s="28"/>
      <c r="G14" s="34" t="s">
        <v>167</v>
      </c>
    </row>
    <row r="15" spans="1:7" x14ac:dyDescent="0.45">
      <c r="B15" s="25" t="s">
        <v>127</v>
      </c>
      <c r="C15" s="35">
        <f>B_Obligors*B_PD*B_LossMean</f>
        <v>2874.6714285714284</v>
      </c>
      <c r="D15" s="28"/>
      <c r="E15" s="28"/>
    </row>
    <row r="16" spans="1:7" x14ac:dyDescent="0.45">
      <c r="B16" s="25" t="s">
        <v>129</v>
      </c>
      <c r="C16" s="35">
        <f>SQRT(B_Obligors*B_PD*B_LossVar+B_Obligors*B_PD*(1-B_PD)*B_LossMean^2)</f>
        <v>264.1536586008603</v>
      </c>
      <c r="D16" s="28"/>
      <c r="E16" s="28"/>
    </row>
    <row r="17" spans="2:7" x14ac:dyDescent="0.45">
      <c r="B17" s="25" t="s">
        <v>131</v>
      </c>
      <c r="C17" s="36">
        <f>B_Obligors*B_PD*(1-B_PD)*B_LossMean^2/B_SD^2</f>
        <v>0.9343828125302498</v>
      </c>
      <c r="D17" s="28"/>
      <c r="E17" s="28"/>
    </row>
    <row r="18" spans="2:7" ht="8" customHeight="1" x14ac:dyDescent="0.45"/>
    <row r="19" spans="2:7" ht="22.05" customHeight="1" x14ac:dyDescent="0.5">
      <c r="B19" s="7" t="s">
        <v>141</v>
      </c>
      <c r="C19" s="8"/>
      <c r="D19" s="8"/>
      <c r="E19" s="8"/>
    </row>
    <row r="20" spans="2:7" ht="18" customHeight="1" x14ac:dyDescent="0.45">
      <c r="B20" s="13" t="s">
        <v>142</v>
      </c>
    </row>
    <row r="21" spans="2:7" x14ac:dyDescent="0.45">
      <c r="B21" s="45" t="s">
        <v>168</v>
      </c>
      <c r="C21" s="39" cm="1">
        <f t="array" aca="1" ref="C21" ca="1">_xll.VoseSumProduct(B_N,B_Exposure,B_Fraction)</f>
        <v>2914.8111015336563</v>
      </c>
      <c r="D21" s="28"/>
      <c r="E21" s="28"/>
      <c r="G21" s="34" t="s">
        <v>169</v>
      </c>
    </row>
    <row r="22" spans="2:7" x14ac:dyDescent="0.45">
      <c r="B22" s="45" t="s">
        <v>170</v>
      </c>
      <c r="C22" s="35">
        <f ca="1">B_RowTotal</f>
        <v>2753.5237845640604</v>
      </c>
      <c r="D22" s="28"/>
      <c r="E22" s="28"/>
      <c r="G22" s="34" t="s">
        <v>171</v>
      </c>
    </row>
    <row r="23" spans="2:7" ht="8" customHeight="1" x14ac:dyDescent="0.45"/>
    <row r="24" spans="2:7" ht="22.05" customHeight="1" x14ac:dyDescent="0.5">
      <c r="B24" s="7" t="s">
        <v>148</v>
      </c>
      <c r="C24" s="8"/>
      <c r="D24" s="8"/>
      <c r="E24" s="8"/>
    </row>
    <row r="25" spans="2:7" ht="18" customHeight="1" x14ac:dyDescent="0.45">
      <c r="B25" s="13" t="s">
        <v>149</v>
      </c>
    </row>
    <row r="26" spans="2:7" ht="18" customHeight="1" x14ac:dyDescent="0.45">
      <c r="B26" s="40" t="s">
        <v>150</v>
      </c>
      <c r="C26" s="40" t="s">
        <v>97</v>
      </c>
      <c r="D26" s="41" t="s">
        <v>151</v>
      </c>
      <c r="E26" s="5"/>
      <c r="G26" s="42" t="s">
        <v>152</v>
      </c>
    </row>
    <row r="27" spans="2:7" x14ac:dyDescent="0.45">
      <c r="B27" s="25" t="s">
        <v>172</v>
      </c>
      <c r="C27" s="26" t="s">
        <v>65</v>
      </c>
      <c r="D27" s="43" cm="1">
        <f t="array" aca="1" ref="D27" ca="1">_xll.VoseOutput("Portfolio B total, VoseSumProduct","$ thousand")+C21</f>
        <v>2914.8111015336563</v>
      </c>
      <c r="E27" s="28"/>
      <c r="G27" s="34"/>
    </row>
    <row r="28" spans="2:7" x14ac:dyDescent="0.45">
      <c r="B28" s="25" t="s">
        <v>173</v>
      </c>
      <c r="C28" s="26" t="s">
        <v>65</v>
      </c>
      <c r="D28" s="43" cm="1">
        <f t="array" aca="1" ref="D28" ca="1">_xll.VoseOutput("Portfolio B total, row by row","$ thousand")+C22</f>
        <v>2753.5237845640604</v>
      </c>
      <c r="E28" s="28"/>
      <c r="G28" s="34"/>
    </row>
    <row r="29" spans="2:7" ht="8" customHeight="1" x14ac:dyDescent="0.45"/>
  </sheetData>
  <hyperlinks>
    <hyperlink ref="B4" location="'Portfolio A'!A1" display="◂  Portfolio A" xr:uid="{00000000-0004-0000-0300-000000000000}"/>
    <hyperlink ref="G4" location="'Row by row'!A1" display="Next:  Row by row  ▸" xr:uid="{00000000-0004-0000-0300-000001000000}"/>
  </hyperlinks>
  <printOptions horizontalCentered="1"/>
  <pageMargins left="0.4" right="0.4" top="0.5" bottom="0.6" header="0.25" footer="0.25"/>
  <pageSetup paperSize="9" scale="82"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AA0BA"/>
    <pageSetUpPr fitToPage="1"/>
  </sheetPr>
  <dimension ref="A1:U67"/>
  <sheetViews>
    <sheetView showGridLines="0" workbookViewId="0">
      <pane ySplit="5" topLeftCell="A6" activePane="bottomLeft" state="frozen"/>
      <selection pane="bottomLeft"/>
    </sheetView>
  </sheetViews>
  <sheetFormatPr defaultRowHeight="14.25" x14ac:dyDescent="0.45"/>
  <cols>
    <col min="1" max="1" width="2" customWidth="1"/>
    <col min="2" max="2" width="7" customWidth="1"/>
    <col min="3" max="3" width="10" customWidth="1"/>
    <col min="4" max="5" width="9" customWidth="1"/>
    <col min="6" max="6" width="2" customWidth="1"/>
    <col min="7" max="7" width="7" customWidth="1"/>
    <col min="8" max="8" width="10" customWidth="1"/>
    <col min="9" max="10" width="9" customWidth="1"/>
    <col min="11" max="11" width="2" customWidth="1"/>
    <col min="12" max="12" width="7" customWidth="1"/>
    <col min="13" max="13" width="10" customWidth="1"/>
    <col min="14" max="15" width="9" customWidth="1"/>
    <col min="16" max="16" width="2" customWidth="1"/>
    <col min="17" max="17" width="7" customWidth="1"/>
    <col min="18" max="18" width="10" customWidth="1"/>
    <col min="19" max="20" width="9" customWidth="1"/>
    <col min="21" max="21" width="2" customWidth="1"/>
  </cols>
  <sheetData>
    <row r="1" spans="1:21" ht="6" customHeight="1" x14ac:dyDescent="0.45"/>
    <row r="2" spans="1:21" ht="30" customHeight="1" x14ac:dyDescent="0.45">
      <c r="A2" s="1"/>
      <c r="B2" s="21" t="s">
        <v>0</v>
      </c>
      <c r="C2" s="1"/>
      <c r="D2" s="1"/>
      <c r="E2" s="1"/>
      <c r="F2" s="1"/>
      <c r="G2" s="1"/>
      <c r="H2" s="1"/>
      <c r="I2" s="1"/>
      <c r="J2" s="1"/>
      <c r="K2" s="1"/>
      <c r="L2" s="1"/>
      <c r="M2" s="1"/>
      <c r="N2" s="1"/>
      <c r="O2" s="1"/>
      <c r="P2" s="1"/>
      <c r="Q2" s="1"/>
      <c r="R2" s="1"/>
      <c r="S2" s="1"/>
      <c r="T2" s="1"/>
      <c r="U2" s="3" t="s">
        <v>1</v>
      </c>
    </row>
    <row r="3" spans="1:21" ht="20" customHeight="1" x14ac:dyDescent="0.45">
      <c r="A3" s="1"/>
      <c r="B3" s="4" t="s">
        <v>174</v>
      </c>
      <c r="C3" s="1"/>
      <c r="D3" s="1"/>
      <c r="E3" s="1"/>
      <c r="F3" s="1"/>
      <c r="G3" s="1"/>
      <c r="H3" s="1"/>
      <c r="I3" s="1"/>
      <c r="J3" s="1"/>
      <c r="K3" s="1"/>
      <c r="L3" s="1"/>
      <c r="M3" s="1"/>
      <c r="N3" s="1"/>
      <c r="O3" s="1"/>
      <c r="P3" s="1"/>
      <c r="Q3" s="1"/>
      <c r="R3" s="1"/>
      <c r="S3" s="1"/>
      <c r="T3" s="1"/>
      <c r="U3" s="1"/>
    </row>
    <row r="4" spans="1:21" ht="20" customHeight="1" x14ac:dyDescent="0.45">
      <c r="A4" s="5"/>
      <c r="B4" s="22" t="s">
        <v>175</v>
      </c>
      <c r="C4" s="5"/>
      <c r="D4" s="5"/>
      <c r="E4" s="5"/>
      <c r="F4" s="5"/>
      <c r="G4" s="5"/>
      <c r="H4" s="5"/>
      <c r="I4" s="5"/>
      <c r="J4" s="5"/>
      <c r="K4" s="5"/>
      <c r="L4" s="5"/>
      <c r="M4" s="5"/>
      <c r="N4" s="5"/>
      <c r="O4" s="5"/>
      <c r="P4" s="5"/>
      <c r="Q4" s="5"/>
      <c r="R4" s="5"/>
      <c r="S4" s="5"/>
      <c r="T4" s="5"/>
      <c r="U4" s="6" t="s">
        <v>176</v>
      </c>
    </row>
    <row r="5" spans="1:21" ht="8" customHeight="1" x14ac:dyDescent="0.45"/>
    <row r="6" spans="1:21" ht="22.05" customHeight="1" x14ac:dyDescent="0.5">
      <c r="B6" s="7" t="s">
        <v>177</v>
      </c>
      <c r="C6" s="8"/>
      <c r="D6" s="8"/>
      <c r="E6" s="8"/>
      <c r="F6" s="8"/>
      <c r="G6" s="8"/>
      <c r="H6" s="8"/>
      <c r="I6" s="8"/>
      <c r="J6" s="8"/>
      <c r="K6" s="8"/>
      <c r="L6" s="8"/>
      <c r="M6" s="8"/>
      <c r="N6" s="8"/>
      <c r="O6" s="8"/>
      <c r="P6" s="8"/>
      <c r="Q6" s="8"/>
      <c r="R6" s="8"/>
      <c r="S6" s="8"/>
      <c r="T6" s="8"/>
      <c r="U6" s="8"/>
    </row>
    <row r="7" spans="1:21" ht="18" customHeight="1" x14ac:dyDescent="0.45">
      <c r="B7" s="13" t="s">
        <v>178</v>
      </c>
    </row>
    <row r="8" spans="1:21" ht="18" customHeight="1" x14ac:dyDescent="0.45">
      <c r="B8" s="23" t="s">
        <v>179</v>
      </c>
      <c r="C8" s="24" t="s">
        <v>180</v>
      </c>
      <c r="D8" s="24" t="s">
        <v>181</v>
      </c>
      <c r="E8" s="24" t="s">
        <v>182</v>
      </c>
      <c r="F8" s="5"/>
      <c r="G8" s="23" t="s">
        <v>179</v>
      </c>
      <c r="H8" s="24" t="s">
        <v>180</v>
      </c>
      <c r="I8" s="24" t="s">
        <v>181</v>
      </c>
      <c r="J8" s="24" t="s">
        <v>182</v>
      </c>
      <c r="K8" s="5"/>
      <c r="L8" s="23" t="s">
        <v>179</v>
      </c>
      <c r="M8" s="24" t="s">
        <v>180</v>
      </c>
      <c r="N8" s="24" t="s">
        <v>181</v>
      </c>
      <c r="O8" s="24" t="s">
        <v>182</v>
      </c>
      <c r="P8" s="5"/>
      <c r="Q8" s="23" t="s">
        <v>179</v>
      </c>
      <c r="R8" s="24" t="s">
        <v>180</v>
      </c>
      <c r="S8" s="24" t="s">
        <v>181</v>
      </c>
      <c r="T8" s="24" t="s">
        <v>182</v>
      </c>
      <c r="U8" s="5"/>
    </row>
    <row r="9" spans="1:21" x14ac:dyDescent="0.45">
      <c r="B9" s="26">
        <v>1</v>
      </c>
      <c r="C9" s="39" cm="1">
        <f t="array" aca="1" ref="C9" ca="1">IF(B9&gt;B_N,0,_xll.VoseSimulate(B_Exposure))</f>
        <v>102.09976720232574</v>
      </c>
      <c r="D9" s="46" cm="1">
        <f t="array" aca="1" ref="D9" ca="1">IF(B9&gt;B_N,0,_xll.VoseSimulate(B_Fraction))</f>
        <v>0.19195786221730765</v>
      </c>
      <c r="E9" s="44">
        <f t="shared" ref="E9:E40" ca="1" si="0">C9*D9</f>
        <v>19.598853045043231</v>
      </c>
      <c r="F9" s="28"/>
      <c r="G9" s="26">
        <v>51</v>
      </c>
      <c r="H9" s="39" cm="1">
        <f t="array" aca="1" ref="H9" ca="1">IF(G9&gt;B_N,0,_xll.VoseSimulate(B_Exposure))</f>
        <v>114.88871924431824</v>
      </c>
      <c r="I9" s="46" cm="1">
        <f t="array" aca="1" ref="I9" ca="1">IF(G9&gt;B_N,0,_xll.VoseSimulate(B_Fraction))</f>
        <v>0.26973878800012707</v>
      </c>
      <c r="J9" s="44">
        <f t="shared" ref="J9:J40" ca="1" si="1">H9*I9</f>
        <v>30.989943883849278</v>
      </c>
      <c r="K9" s="28"/>
      <c r="L9" s="26">
        <v>101</v>
      </c>
      <c r="M9" s="39" cm="1">
        <f t="array" aca="1" ref="M9" ca="1">IF(L9&gt;B_N,0,_xll.VoseSimulate(B_Exposure))</f>
        <v>101.75295152379883</v>
      </c>
      <c r="N9" s="46" cm="1">
        <f t="array" aca="1" ref="N9" ca="1">IF(L9&gt;B_N,0,_xll.VoseSimulate(B_Fraction))</f>
        <v>0.26005519281826583</v>
      </c>
      <c r="O9" s="44">
        <f t="shared" ref="O9:O40" ca="1" si="2">M9*N9</f>
        <v>26.461383428349162</v>
      </c>
      <c r="P9" s="28"/>
      <c r="Q9" s="26">
        <v>151</v>
      </c>
      <c r="R9" s="39" cm="1">
        <f t="array" aca="1" ref="R9" ca="1">IF(Q9&gt;B_N,0,_xll.VoseSimulate(B_Exposure))</f>
        <v>0</v>
      </c>
      <c r="S9" s="46" cm="1">
        <f t="array" aca="1" ref="S9" ca="1">IF(Q9&gt;B_N,0,_xll.VoseSimulate(B_Fraction))</f>
        <v>0</v>
      </c>
      <c r="T9" s="44">
        <f t="shared" ref="T9:T40" ca="1" si="3">R9*S9</f>
        <v>0</v>
      </c>
      <c r="U9" s="28"/>
    </row>
    <row r="10" spans="1:21" x14ac:dyDescent="0.45">
      <c r="B10" s="26">
        <v>2</v>
      </c>
      <c r="C10" s="39" cm="1">
        <f t="array" aca="1" ref="C10" ca="1">IF(B10&gt;B_N,0,_xll.VoseSimulate(B_Exposure))</f>
        <v>85.326850991268287</v>
      </c>
      <c r="D10" s="46" cm="1">
        <f t="array" aca="1" ref="D10" ca="1">IF(B10&gt;B_N,0,_xll.VoseSimulate(B_Fraction))</f>
        <v>0.31296028878865434</v>
      </c>
      <c r="E10" s="44">
        <f t="shared" ca="1" si="0"/>
        <v>26.703915927653799</v>
      </c>
      <c r="F10" s="28"/>
      <c r="G10" s="26">
        <v>52</v>
      </c>
      <c r="H10" s="39" cm="1">
        <f t="array" aca="1" ref="H10" ca="1">IF(G10&gt;B_N,0,_xll.VoseSimulate(B_Exposure))</f>
        <v>109.27131284933868</v>
      </c>
      <c r="I10" s="46" cm="1">
        <f t="array" aca="1" ref="I10" ca="1">IF(G10&gt;B_N,0,_xll.VoseSimulate(B_Fraction))</f>
        <v>0.31081717334913905</v>
      </c>
      <c r="J10" s="44">
        <f t="shared" ca="1" si="1"/>
        <v>33.963400587980907</v>
      </c>
      <c r="K10" s="28"/>
      <c r="L10" s="26">
        <v>102</v>
      </c>
      <c r="M10" s="39" cm="1">
        <f t="array" aca="1" ref="M10" ca="1">IF(L10&gt;B_N,0,_xll.VoseSimulate(B_Exposure))</f>
        <v>94.580875908333056</v>
      </c>
      <c r="N10" s="46" cm="1">
        <f t="array" aca="1" ref="N10" ca="1">IF(L10&gt;B_N,0,_xll.VoseSimulate(B_Fraction))</f>
        <v>0.24692728920400642</v>
      </c>
      <c r="O10" s="44">
        <f t="shared" ca="1" si="2"/>
        <v>23.3545992985852</v>
      </c>
      <c r="P10" s="28"/>
      <c r="Q10" s="26">
        <v>152</v>
      </c>
      <c r="R10" s="39" cm="1">
        <f t="array" aca="1" ref="R10" ca="1">IF(Q10&gt;B_N,0,_xll.VoseSimulate(B_Exposure))</f>
        <v>0</v>
      </c>
      <c r="S10" s="46" cm="1">
        <f t="array" aca="1" ref="S10" ca="1">IF(Q10&gt;B_N,0,_xll.VoseSimulate(B_Fraction))</f>
        <v>0</v>
      </c>
      <c r="T10" s="44">
        <f t="shared" ca="1" si="3"/>
        <v>0</v>
      </c>
      <c r="U10" s="28"/>
    </row>
    <row r="11" spans="1:21" x14ac:dyDescent="0.45">
      <c r="B11" s="26">
        <v>3</v>
      </c>
      <c r="C11" s="39" cm="1">
        <f t="array" aca="1" ref="C11" ca="1">IF(B11&gt;B_N,0,_xll.VoseSimulate(B_Exposure))</f>
        <v>97.746619082579869</v>
      </c>
      <c r="D11" s="46" cm="1">
        <f t="array" aca="1" ref="D11" ca="1">IF(B11&gt;B_N,0,_xll.VoseSimulate(B_Fraction))</f>
        <v>0.25664669664148287</v>
      </c>
      <c r="E11" s="44">
        <f t="shared" ca="1" si="0"/>
        <v>25.086346895417456</v>
      </c>
      <c r="F11" s="28"/>
      <c r="G11" s="26">
        <v>53</v>
      </c>
      <c r="H11" s="39" cm="1">
        <f t="array" aca="1" ref="H11" ca="1">IF(G11&gt;B_N,0,_xll.VoseSimulate(B_Exposure))</f>
        <v>105.46346469425301</v>
      </c>
      <c r="I11" s="46" cm="1">
        <f t="array" aca="1" ref="I11" ca="1">IF(G11&gt;B_N,0,_xll.VoseSimulate(B_Fraction))</f>
        <v>0.27278828473985284</v>
      </c>
      <c r="J11" s="44">
        <f t="shared" ca="1" si="1"/>
        <v>28.769197636667304</v>
      </c>
      <c r="K11" s="28"/>
      <c r="L11" s="26">
        <v>103</v>
      </c>
      <c r="M11" s="39" cm="1">
        <f t="array" aca="1" ref="M11" ca="1">IF(L11&gt;B_N,0,_xll.VoseSimulate(B_Exposure))</f>
        <v>90.678295594776202</v>
      </c>
      <c r="N11" s="46" cm="1">
        <f t="array" aca="1" ref="N11" ca="1">IF(L11&gt;B_N,0,_xll.VoseSimulate(B_Fraction))</f>
        <v>0.1864286995492416</v>
      </c>
      <c r="O11" s="44">
        <f t="shared" ca="1" si="2"/>
        <v>16.905036725075849</v>
      </c>
      <c r="P11" s="28"/>
      <c r="Q11" s="26">
        <v>153</v>
      </c>
      <c r="R11" s="39" cm="1">
        <f t="array" aca="1" ref="R11" ca="1">IF(Q11&gt;B_N,0,_xll.VoseSimulate(B_Exposure))</f>
        <v>0</v>
      </c>
      <c r="S11" s="46" cm="1">
        <f t="array" aca="1" ref="S11" ca="1">IF(Q11&gt;B_N,0,_xll.VoseSimulate(B_Fraction))</f>
        <v>0</v>
      </c>
      <c r="T11" s="44">
        <f t="shared" ca="1" si="3"/>
        <v>0</v>
      </c>
      <c r="U11" s="28"/>
    </row>
    <row r="12" spans="1:21" x14ac:dyDescent="0.45">
      <c r="B12" s="26">
        <v>4</v>
      </c>
      <c r="C12" s="39" cm="1">
        <f t="array" aca="1" ref="C12" ca="1">IF(B12&gt;B_N,0,_xll.VoseSimulate(B_Exposure))</f>
        <v>91.202349127375825</v>
      </c>
      <c r="D12" s="46" cm="1">
        <f t="array" aca="1" ref="D12" ca="1">IF(B12&gt;B_N,0,_xll.VoseSimulate(B_Fraction))</f>
        <v>0.23539679063056129</v>
      </c>
      <c r="E12" s="44">
        <f t="shared" ca="1" si="0"/>
        <v>21.46874028255224</v>
      </c>
      <c r="F12" s="28"/>
      <c r="G12" s="26">
        <v>54</v>
      </c>
      <c r="H12" s="39" cm="1">
        <f t="array" aca="1" ref="H12" ca="1">IF(G12&gt;B_N,0,_xll.VoseSimulate(B_Exposure))</f>
        <v>100.38705007498655</v>
      </c>
      <c r="I12" s="46" cm="1">
        <f t="array" aca="1" ref="I12" ca="1">IF(G12&gt;B_N,0,_xll.VoseSimulate(B_Fraction))</f>
        <v>0.23811872724382011</v>
      </c>
      <c r="J12" s="44">
        <f t="shared" ca="1" si="1"/>
        <v>23.904036595617431</v>
      </c>
      <c r="K12" s="28"/>
      <c r="L12" s="26">
        <v>104</v>
      </c>
      <c r="M12" s="39" cm="1">
        <f t="array" aca="1" ref="M12" ca="1">IF(L12&gt;B_N,0,_xll.VoseSimulate(B_Exposure))</f>
        <v>99.807431764159602</v>
      </c>
      <c r="N12" s="46" cm="1">
        <f t="array" aca="1" ref="N12" ca="1">IF(L12&gt;B_N,0,_xll.VoseSimulate(B_Fraction))</f>
        <v>0.18428142772975487</v>
      </c>
      <c r="O12" s="44">
        <f t="shared" ca="1" si="2"/>
        <v>18.392656023539416</v>
      </c>
      <c r="P12" s="28"/>
      <c r="Q12" s="26">
        <v>154</v>
      </c>
      <c r="R12" s="39" cm="1">
        <f t="array" aca="1" ref="R12" ca="1">IF(Q12&gt;B_N,0,_xll.VoseSimulate(B_Exposure))</f>
        <v>0</v>
      </c>
      <c r="S12" s="46" cm="1">
        <f t="array" aca="1" ref="S12" ca="1">IF(Q12&gt;B_N,0,_xll.VoseSimulate(B_Fraction))</f>
        <v>0</v>
      </c>
      <c r="T12" s="44">
        <f t="shared" ca="1" si="3"/>
        <v>0</v>
      </c>
      <c r="U12" s="28"/>
    </row>
    <row r="13" spans="1:21" x14ac:dyDescent="0.45">
      <c r="B13" s="26">
        <v>5</v>
      </c>
      <c r="C13" s="39" cm="1">
        <f t="array" aca="1" ref="C13" ca="1">IF(B13&gt;B_N,0,_xll.VoseSimulate(B_Exposure))</f>
        <v>96.102534177111963</v>
      </c>
      <c r="D13" s="46" cm="1">
        <f t="array" aca="1" ref="D13" ca="1">IF(B13&gt;B_N,0,_xll.VoseSimulate(B_Fraction))</f>
        <v>0.31641691823106544</v>
      </c>
      <c r="E13" s="44">
        <f t="shared" ca="1" si="0"/>
        <v>30.408467698517406</v>
      </c>
      <c r="F13" s="28"/>
      <c r="G13" s="26">
        <v>55</v>
      </c>
      <c r="H13" s="39" cm="1">
        <f t="array" aca="1" ref="H13" ca="1">IF(G13&gt;B_N,0,_xll.VoseSimulate(B_Exposure))</f>
        <v>98.828943461808649</v>
      </c>
      <c r="I13" s="46" cm="1">
        <f t="array" aca="1" ref="I13" ca="1">IF(G13&gt;B_N,0,_xll.VoseSimulate(B_Fraction))</f>
        <v>0.25760248042638612</v>
      </c>
      <c r="J13" s="44">
        <f t="shared" ca="1" si="1"/>
        <v>25.458580973680984</v>
      </c>
      <c r="K13" s="28"/>
      <c r="L13" s="26">
        <v>105</v>
      </c>
      <c r="M13" s="39" cm="1">
        <f t="array" aca="1" ref="M13" ca="1">IF(L13&gt;B_N,0,_xll.VoseSimulate(B_Exposure))</f>
        <v>91.226970793337486</v>
      </c>
      <c r="N13" s="46" cm="1">
        <f t="array" aca="1" ref="N13" ca="1">IF(L13&gt;B_N,0,_xll.VoseSimulate(B_Fraction))</f>
        <v>0.21468118388125496</v>
      </c>
      <c r="O13" s="44">
        <f t="shared" ca="1" si="2"/>
        <v>19.584714091814359</v>
      </c>
      <c r="P13" s="28"/>
      <c r="Q13" s="26">
        <v>155</v>
      </c>
      <c r="R13" s="39" cm="1">
        <f t="array" aca="1" ref="R13" ca="1">IF(Q13&gt;B_N,0,_xll.VoseSimulate(B_Exposure))</f>
        <v>0</v>
      </c>
      <c r="S13" s="46" cm="1">
        <f t="array" aca="1" ref="S13" ca="1">IF(Q13&gt;B_N,0,_xll.VoseSimulate(B_Fraction))</f>
        <v>0</v>
      </c>
      <c r="T13" s="44">
        <f t="shared" ca="1" si="3"/>
        <v>0</v>
      </c>
      <c r="U13" s="28"/>
    </row>
    <row r="14" spans="1:21" x14ac:dyDescent="0.45">
      <c r="B14" s="26">
        <v>6</v>
      </c>
      <c r="C14" s="39" cm="1">
        <f t="array" aca="1" ref="C14" ca="1">IF(B14&gt;B_N,0,_xll.VoseSimulate(B_Exposure))</f>
        <v>119.13371756309022</v>
      </c>
      <c r="D14" s="46" cm="1">
        <f t="array" aca="1" ref="D14" ca="1">IF(B14&gt;B_N,0,_xll.VoseSimulate(B_Fraction))</f>
        <v>0.17576653461171371</v>
      </c>
      <c r="E14" s="44">
        <f t="shared" ca="1" si="0"/>
        <v>20.939720691475021</v>
      </c>
      <c r="F14" s="28"/>
      <c r="G14" s="26">
        <v>56</v>
      </c>
      <c r="H14" s="39" cm="1">
        <f t="array" aca="1" ref="H14" ca="1">IF(G14&gt;B_N,0,_xll.VoseSimulate(B_Exposure))</f>
        <v>101.81336547186481</v>
      </c>
      <c r="I14" s="46" cm="1">
        <f t="array" aca="1" ref="I14" ca="1">IF(G14&gt;B_N,0,_xll.VoseSimulate(B_Fraction))</f>
        <v>0.2130661132299638</v>
      </c>
      <c r="J14" s="44">
        <f t="shared" ca="1" si="1"/>
        <v>21.692978055952036</v>
      </c>
      <c r="K14" s="28"/>
      <c r="L14" s="26">
        <v>106</v>
      </c>
      <c r="M14" s="39" cm="1">
        <f t="array" aca="1" ref="M14" ca="1">IF(L14&gt;B_N,0,_xll.VoseSimulate(B_Exposure))</f>
        <v>83.65967969714653</v>
      </c>
      <c r="N14" s="46" cm="1">
        <f t="array" aca="1" ref="N14" ca="1">IF(L14&gt;B_N,0,_xll.VoseSimulate(B_Fraction))</f>
        <v>0.2437643695233046</v>
      </c>
      <c r="O14" s="44">
        <f t="shared" ca="1" si="2"/>
        <v>20.393249075896531</v>
      </c>
      <c r="P14" s="28"/>
      <c r="Q14" s="26">
        <v>156</v>
      </c>
      <c r="R14" s="39" cm="1">
        <f t="array" aca="1" ref="R14" ca="1">IF(Q14&gt;B_N,0,_xll.VoseSimulate(B_Exposure))</f>
        <v>0</v>
      </c>
      <c r="S14" s="46" cm="1">
        <f t="array" aca="1" ref="S14" ca="1">IF(Q14&gt;B_N,0,_xll.VoseSimulate(B_Fraction))</f>
        <v>0</v>
      </c>
      <c r="T14" s="44">
        <f t="shared" ca="1" si="3"/>
        <v>0</v>
      </c>
      <c r="U14" s="28"/>
    </row>
    <row r="15" spans="1:21" x14ac:dyDescent="0.45">
      <c r="B15" s="26">
        <v>7</v>
      </c>
      <c r="C15" s="39" cm="1">
        <f t="array" aca="1" ref="C15" ca="1">IF(B15&gt;B_N,0,_xll.VoseSimulate(B_Exposure))</f>
        <v>119.91813554086811</v>
      </c>
      <c r="D15" s="46" cm="1">
        <f t="array" aca="1" ref="D15" ca="1">IF(B15&gt;B_N,0,_xll.VoseSimulate(B_Fraction))</f>
        <v>0.14344893095166181</v>
      </c>
      <c r="E15" s="44">
        <f t="shared" ca="1" si="0"/>
        <v>17.20212834505401</v>
      </c>
      <c r="F15" s="28"/>
      <c r="G15" s="26">
        <v>57</v>
      </c>
      <c r="H15" s="39" cm="1">
        <f t="array" aca="1" ref="H15" ca="1">IF(G15&gt;B_N,0,_xll.VoseSimulate(B_Exposure))</f>
        <v>87.641969062197191</v>
      </c>
      <c r="I15" s="46" cm="1">
        <f t="array" aca="1" ref="I15" ca="1">IF(G15&gt;B_N,0,_xll.VoseSimulate(B_Fraction))</f>
        <v>0.14617254430835599</v>
      </c>
      <c r="J15" s="44">
        <f t="shared" ca="1" si="1"/>
        <v>12.810849606015584</v>
      </c>
      <c r="K15" s="28"/>
      <c r="L15" s="26">
        <v>107</v>
      </c>
      <c r="M15" s="39" cm="1">
        <f t="array" aca="1" ref="M15" ca="1">IF(L15&gt;B_N,0,_xll.VoseSimulate(B_Exposure))</f>
        <v>102.22423281445465</v>
      </c>
      <c r="N15" s="46" cm="1">
        <f t="array" aca="1" ref="N15" ca="1">IF(L15&gt;B_N,0,_xll.VoseSimulate(B_Fraction))</f>
        <v>0.24894506325805987</v>
      </c>
      <c r="O15" s="44">
        <f t="shared" ca="1" si="2"/>
        <v>25.448218104501052</v>
      </c>
      <c r="P15" s="28"/>
      <c r="Q15" s="26">
        <v>157</v>
      </c>
      <c r="R15" s="39" cm="1">
        <f t="array" aca="1" ref="R15" ca="1">IF(Q15&gt;B_N,0,_xll.VoseSimulate(B_Exposure))</f>
        <v>0</v>
      </c>
      <c r="S15" s="46" cm="1">
        <f t="array" aca="1" ref="S15" ca="1">IF(Q15&gt;B_N,0,_xll.VoseSimulate(B_Fraction))</f>
        <v>0</v>
      </c>
      <c r="T15" s="44">
        <f t="shared" ca="1" si="3"/>
        <v>0</v>
      </c>
      <c r="U15" s="28"/>
    </row>
    <row r="16" spans="1:21" x14ac:dyDescent="0.45">
      <c r="B16" s="26">
        <v>8</v>
      </c>
      <c r="C16" s="39" cm="1">
        <f t="array" aca="1" ref="C16" ca="1">IF(B16&gt;B_N,0,_xll.VoseSimulate(B_Exposure))</f>
        <v>93.151846438085528</v>
      </c>
      <c r="D16" s="46" cm="1">
        <f t="array" aca="1" ref="D16" ca="1">IF(B16&gt;B_N,0,_xll.VoseSimulate(B_Fraction))</f>
        <v>0.27101702244723136</v>
      </c>
      <c r="E16" s="44">
        <f t="shared" ca="1" si="0"/>
        <v>25.245736057111674</v>
      </c>
      <c r="F16" s="28"/>
      <c r="G16" s="26">
        <v>58</v>
      </c>
      <c r="H16" s="39" cm="1">
        <f t="array" aca="1" ref="H16" ca="1">IF(G16&gt;B_N,0,_xll.VoseSimulate(B_Exposure))</f>
        <v>93.501908527269322</v>
      </c>
      <c r="I16" s="46" cm="1">
        <f t="array" aca="1" ref="I16" ca="1">IF(G16&gt;B_N,0,_xll.VoseSimulate(B_Fraction))</f>
        <v>0.21581237930871763</v>
      </c>
      <c r="J16" s="44">
        <f t="shared" ca="1" si="1"/>
        <v>20.178869349176068</v>
      </c>
      <c r="K16" s="28"/>
      <c r="L16" s="26">
        <v>108</v>
      </c>
      <c r="M16" s="39" cm="1">
        <f t="array" aca="1" ref="M16" ca="1">IF(L16&gt;B_N,0,_xll.VoseSimulate(B_Exposure))</f>
        <v>112.68823135020726</v>
      </c>
      <c r="N16" s="46" cm="1">
        <f t="array" aca="1" ref="N16" ca="1">IF(L16&gt;B_N,0,_xll.VoseSimulate(B_Fraction))</f>
        <v>0.23280634238256237</v>
      </c>
      <c r="O16" s="44">
        <f t="shared" ca="1" si="2"/>
        <v>26.23453497020175</v>
      </c>
      <c r="P16" s="28"/>
      <c r="Q16" s="26">
        <v>158</v>
      </c>
      <c r="R16" s="39" cm="1">
        <f t="array" aca="1" ref="R16" ca="1">IF(Q16&gt;B_N,0,_xll.VoseSimulate(B_Exposure))</f>
        <v>0</v>
      </c>
      <c r="S16" s="46" cm="1">
        <f t="array" aca="1" ref="S16" ca="1">IF(Q16&gt;B_N,0,_xll.VoseSimulate(B_Fraction))</f>
        <v>0</v>
      </c>
      <c r="T16" s="44">
        <f t="shared" ca="1" si="3"/>
        <v>0</v>
      </c>
      <c r="U16" s="28"/>
    </row>
    <row r="17" spans="2:21" x14ac:dyDescent="0.45">
      <c r="B17" s="26">
        <v>9</v>
      </c>
      <c r="C17" s="39" cm="1">
        <f t="array" aca="1" ref="C17" ca="1">IF(B17&gt;B_N,0,_xll.VoseSimulate(B_Exposure))</f>
        <v>108.12907363244717</v>
      </c>
      <c r="D17" s="46" cm="1">
        <f t="array" aca="1" ref="D17" ca="1">IF(B17&gt;B_N,0,_xll.VoseSimulate(B_Fraction))</f>
        <v>0.24890799238306305</v>
      </c>
      <c r="E17" s="44">
        <f t="shared" ca="1" si="0"/>
        <v>26.914190636092826</v>
      </c>
      <c r="F17" s="28"/>
      <c r="G17" s="26">
        <v>59</v>
      </c>
      <c r="H17" s="39" cm="1">
        <f t="array" aca="1" ref="H17" ca="1">IF(G17&gt;B_N,0,_xll.VoseSimulate(B_Exposure))</f>
        <v>114.03867319604802</v>
      </c>
      <c r="I17" s="46" cm="1">
        <f t="array" aca="1" ref="I17" ca="1">IF(G17&gt;B_N,0,_xll.VoseSimulate(B_Fraction))</f>
        <v>0.24673267506863672</v>
      </c>
      <c r="J17" s="44">
        <f t="shared" ca="1" si="1"/>
        <v>28.137066898938969</v>
      </c>
      <c r="K17" s="28"/>
      <c r="L17" s="26">
        <v>109</v>
      </c>
      <c r="M17" s="39" cm="1">
        <f t="array" aca="1" ref="M17" ca="1">IF(L17&gt;B_N,0,_xll.VoseSimulate(B_Exposure))</f>
        <v>99.878750277202712</v>
      </c>
      <c r="N17" s="46" cm="1">
        <f t="array" aca="1" ref="N17" ca="1">IF(L17&gt;B_N,0,_xll.VoseSimulate(B_Fraction))</f>
        <v>0.20272650446421858</v>
      </c>
      <c r="O17" s="44">
        <f t="shared" ca="1" si="2"/>
        <v>20.248069913951909</v>
      </c>
      <c r="P17" s="28"/>
      <c r="Q17" s="26">
        <v>159</v>
      </c>
      <c r="R17" s="39" cm="1">
        <f t="array" aca="1" ref="R17" ca="1">IF(Q17&gt;B_N,0,_xll.VoseSimulate(B_Exposure))</f>
        <v>0</v>
      </c>
      <c r="S17" s="46" cm="1">
        <f t="array" aca="1" ref="S17" ca="1">IF(Q17&gt;B_N,0,_xll.VoseSimulate(B_Fraction))</f>
        <v>0</v>
      </c>
      <c r="T17" s="44">
        <f t="shared" ca="1" si="3"/>
        <v>0</v>
      </c>
      <c r="U17" s="28"/>
    </row>
    <row r="18" spans="2:21" x14ac:dyDescent="0.45">
      <c r="B18" s="26">
        <v>10</v>
      </c>
      <c r="C18" s="39" cm="1">
        <f t="array" aca="1" ref="C18" ca="1">IF(B18&gt;B_N,0,_xll.VoseSimulate(B_Exposure))</f>
        <v>92.917852789770393</v>
      </c>
      <c r="D18" s="46" cm="1">
        <f t="array" aca="1" ref="D18" ca="1">IF(B18&gt;B_N,0,_xll.VoseSimulate(B_Fraction))</f>
        <v>0.24446344050773317</v>
      </c>
      <c r="E18" s="44">
        <f t="shared" ca="1" si="0"/>
        <v>22.715017977578341</v>
      </c>
      <c r="F18" s="28"/>
      <c r="G18" s="26">
        <v>60</v>
      </c>
      <c r="H18" s="39" cm="1">
        <f t="array" aca="1" ref="H18" ca="1">IF(G18&gt;B_N,0,_xll.VoseSimulate(B_Exposure))</f>
        <v>90.601414282379324</v>
      </c>
      <c r="I18" s="46" cm="1">
        <f t="array" aca="1" ref="I18" ca="1">IF(G18&gt;B_N,0,_xll.VoseSimulate(B_Fraction))</f>
        <v>0.14127872170617436</v>
      </c>
      <c r="J18" s="44">
        <f t="shared" ca="1" si="1"/>
        <v>12.800051994586079</v>
      </c>
      <c r="K18" s="28"/>
      <c r="L18" s="26">
        <v>110</v>
      </c>
      <c r="M18" s="39" cm="1">
        <f t="array" aca="1" ref="M18" ca="1">IF(L18&gt;B_N,0,_xll.VoseSimulate(B_Exposure))</f>
        <v>85.328430197591857</v>
      </c>
      <c r="N18" s="46" cm="1">
        <f t="array" aca="1" ref="N18" ca="1">IF(L18&gt;B_N,0,_xll.VoseSimulate(B_Fraction))</f>
        <v>0.23969570334991286</v>
      </c>
      <c r="O18" s="44">
        <f t="shared" ca="1" si="2"/>
        <v>20.452858091955726</v>
      </c>
      <c r="P18" s="28"/>
      <c r="Q18" s="26">
        <v>160</v>
      </c>
      <c r="R18" s="39" cm="1">
        <f t="array" aca="1" ref="R18" ca="1">IF(Q18&gt;B_N,0,_xll.VoseSimulate(B_Exposure))</f>
        <v>0</v>
      </c>
      <c r="S18" s="46" cm="1">
        <f t="array" aca="1" ref="S18" ca="1">IF(Q18&gt;B_N,0,_xll.VoseSimulate(B_Fraction))</f>
        <v>0</v>
      </c>
      <c r="T18" s="44">
        <f t="shared" ca="1" si="3"/>
        <v>0</v>
      </c>
      <c r="U18" s="28"/>
    </row>
    <row r="19" spans="2:21" x14ac:dyDescent="0.45">
      <c r="B19" s="26">
        <v>11</v>
      </c>
      <c r="C19" s="39" cm="1">
        <f t="array" aca="1" ref="C19" ca="1">IF(B19&gt;B_N,0,_xll.VoseSimulate(B_Exposure))</f>
        <v>89.803974369486781</v>
      </c>
      <c r="D19" s="46" cm="1">
        <f t="array" aca="1" ref="D19" ca="1">IF(B19&gt;B_N,0,_xll.VoseSimulate(B_Fraction))</f>
        <v>0.12034372394753158</v>
      </c>
      <c r="E19" s="44">
        <f t="shared" ca="1" si="0"/>
        <v>10.807344700912719</v>
      </c>
      <c r="F19" s="28"/>
      <c r="G19" s="26">
        <v>61</v>
      </c>
      <c r="H19" s="39" cm="1">
        <f t="array" aca="1" ref="H19" ca="1">IF(G19&gt;B_N,0,_xll.VoseSimulate(B_Exposure))</f>
        <v>102.50779591230105</v>
      </c>
      <c r="I19" s="46" cm="1">
        <f t="array" aca="1" ref="I19" ca="1">IF(G19&gt;B_N,0,_xll.VoseSimulate(B_Fraction))</f>
        <v>0.25441727948592285</v>
      </c>
      <c r="J19" s="44">
        <f t="shared" ca="1" si="1"/>
        <v>26.079754562105837</v>
      </c>
      <c r="K19" s="28"/>
      <c r="L19" s="26">
        <v>111</v>
      </c>
      <c r="M19" s="39" cm="1">
        <f t="array" aca="1" ref="M19" ca="1">IF(L19&gt;B_N,0,_xll.VoseSimulate(B_Exposure))</f>
        <v>79.796279870184989</v>
      </c>
      <c r="N19" s="46" cm="1">
        <f t="array" aca="1" ref="N19" ca="1">IF(L19&gt;B_N,0,_xll.VoseSimulate(B_Fraction))</f>
        <v>0.22616807077513318</v>
      </c>
      <c r="O19" s="44">
        <f t="shared" ca="1" si="2"/>
        <v>18.047370673272333</v>
      </c>
      <c r="P19" s="28"/>
      <c r="Q19" s="26">
        <v>161</v>
      </c>
      <c r="R19" s="39" cm="1">
        <f t="array" aca="1" ref="R19" ca="1">IF(Q19&gt;B_N,0,_xll.VoseSimulate(B_Exposure))</f>
        <v>0</v>
      </c>
      <c r="S19" s="46" cm="1">
        <f t="array" aca="1" ref="S19" ca="1">IF(Q19&gt;B_N,0,_xll.VoseSimulate(B_Fraction))</f>
        <v>0</v>
      </c>
      <c r="T19" s="44">
        <f t="shared" ca="1" si="3"/>
        <v>0</v>
      </c>
      <c r="U19" s="28"/>
    </row>
    <row r="20" spans="2:21" x14ac:dyDescent="0.45">
      <c r="B20" s="26">
        <v>12</v>
      </c>
      <c r="C20" s="39" cm="1">
        <f t="array" aca="1" ref="C20" ca="1">IF(B20&gt;B_N,0,_xll.VoseSimulate(B_Exposure))</f>
        <v>100.47419470961368</v>
      </c>
      <c r="D20" s="46" cm="1">
        <f t="array" aca="1" ref="D20" ca="1">IF(B20&gt;B_N,0,_xll.VoseSimulate(B_Fraction))</f>
        <v>0.22872878382613201</v>
      </c>
      <c r="E20" s="44">
        <f t="shared" ca="1" si="0"/>
        <v>22.981340361839926</v>
      </c>
      <c r="F20" s="28"/>
      <c r="G20" s="26">
        <v>62</v>
      </c>
      <c r="H20" s="39" cm="1">
        <f t="array" aca="1" ref="H20" ca="1">IF(G20&gt;B_N,0,_xll.VoseSimulate(B_Exposure))</f>
        <v>99.692862082523817</v>
      </c>
      <c r="I20" s="46" cm="1">
        <f t="array" aca="1" ref="I20" ca="1">IF(G20&gt;B_N,0,_xll.VoseSimulate(B_Fraction))</f>
        <v>0.18905190322628723</v>
      </c>
      <c r="J20" s="44">
        <f t="shared" ca="1" si="1"/>
        <v>18.847125314776893</v>
      </c>
      <c r="K20" s="28"/>
      <c r="L20" s="26">
        <v>112</v>
      </c>
      <c r="M20" s="39" cm="1">
        <f t="array" aca="1" ref="M20" ca="1">IF(L20&gt;B_N,0,_xll.VoseSimulate(B_Exposure))</f>
        <v>99.780267426184878</v>
      </c>
      <c r="N20" s="46" cm="1">
        <f t="array" aca="1" ref="N20" ca="1">IF(L20&gt;B_N,0,_xll.VoseSimulate(B_Fraction))</f>
        <v>0.24882906692582385</v>
      </c>
      <c r="O20" s="44">
        <f t="shared" ca="1" si="2"/>
        <v>24.828230841266759</v>
      </c>
      <c r="P20" s="28"/>
      <c r="Q20" s="26">
        <v>162</v>
      </c>
      <c r="R20" s="39" cm="1">
        <f t="array" aca="1" ref="R20" ca="1">IF(Q20&gt;B_N,0,_xll.VoseSimulate(B_Exposure))</f>
        <v>0</v>
      </c>
      <c r="S20" s="46" cm="1">
        <f t="array" aca="1" ref="S20" ca="1">IF(Q20&gt;B_N,0,_xll.VoseSimulate(B_Fraction))</f>
        <v>0</v>
      </c>
      <c r="T20" s="44">
        <f t="shared" ca="1" si="3"/>
        <v>0</v>
      </c>
      <c r="U20" s="28"/>
    </row>
    <row r="21" spans="2:21" x14ac:dyDescent="0.45">
      <c r="B21" s="26">
        <v>13</v>
      </c>
      <c r="C21" s="39" cm="1">
        <f t="array" aca="1" ref="C21" ca="1">IF(B21&gt;B_N,0,_xll.VoseSimulate(B_Exposure))</f>
        <v>82.282699969893343</v>
      </c>
      <c r="D21" s="46" cm="1">
        <f t="array" aca="1" ref="D21" ca="1">IF(B21&gt;B_N,0,_xll.VoseSimulate(B_Fraction))</f>
        <v>0.34684369943053306</v>
      </c>
      <c r="E21" s="44">
        <f t="shared" ca="1" si="0"/>
        <v>28.539236056690417</v>
      </c>
      <c r="F21" s="28"/>
      <c r="G21" s="26">
        <v>63</v>
      </c>
      <c r="H21" s="39" cm="1">
        <f t="array" aca="1" ref="H21" ca="1">IF(G21&gt;B_N,0,_xll.VoseSimulate(B_Exposure))</f>
        <v>132.51011937635738</v>
      </c>
      <c r="I21" s="46" cm="1">
        <f t="array" aca="1" ref="I21" ca="1">IF(G21&gt;B_N,0,_xll.VoseSimulate(B_Fraction))</f>
        <v>0.22336564855227947</v>
      </c>
      <c r="J21" s="44">
        <f t="shared" ca="1" si="1"/>
        <v>29.598208754240041</v>
      </c>
      <c r="K21" s="28"/>
      <c r="L21" s="26">
        <v>113</v>
      </c>
      <c r="M21" s="39" cm="1">
        <f t="array" aca="1" ref="M21" ca="1">IF(L21&gt;B_N,0,_xll.VoseSimulate(B_Exposure))</f>
        <v>90.286902570606216</v>
      </c>
      <c r="N21" s="46" cm="1">
        <f t="array" aca="1" ref="N21" ca="1">IF(L21&gt;B_N,0,_xll.VoseSimulate(B_Fraction))</f>
        <v>0.2894823248295888</v>
      </c>
      <c r="O21" s="44">
        <f t="shared" ca="1" si="2"/>
        <v>26.136462457801663</v>
      </c>
      <c r="P21" s="28"/>
      <c r="Q21" s="26">
        <v>163</v>
      </c>
      <c r="R21" s="39" cm="1">
        <f t="array" aca="1" ref="R21" ca="1">IF(Q21&gt;B_N,0,_xll.VoseSimulate(B_Exposure))</f>
        <v>0</v>
      </c>
      <c r="S21" s="46" cm="1">
        <f t="array" aca="1" ref="S21" ca="1">IF(Q21&gt;B_N,0,_xll.VoseSimulate(B_Fraction))</f>
        <v>0</v>
      </c>
      <c r="T21" s="44">
        <f t="shared" ca="1" si="3"/>
        <v>0</v>
      </c>
      <c r="U21" s="28"/>
    </row>
    <row r="22" spans="2:21" x14ac:dyDescent="0.45">
      <c r="B22" s="26">
        <v>14</v>
      </c>
      <c r="C22" s="39" cm="1">
        <f t="array" aca="1" ref="C22" ca="1">IF(B22&gt;B_N,0,_xll.VoseSimulate(B_Exposure))</f>
        <v>105.84554544235782</v>
      </c>
      <c r="D22" s="46" cm="1">
        <f t="array" aca="1" ref="D22" ca="1">IF(B22&gt;B_N,0,_xll.VoseSimulate(B_Fraction))</f>
        <v>0.19587838747861341</v>
      </c>
      <c r="E22" s="44">
        <f t="shared" ca="1" si="0"/>
        <v>20.732854763043349</v>
      </c>
      <c r="F22" s="28"/>
      <c r="G22" s="26">
        <v>64</v>
      </c>
      <c r="H22" s="39" cm="1">
        <f t="array" aca="1" ref="H22" ca="1">IF(G22&gt;B_N,0,_xll.VoseSimulate(B_Exposure))</f>
        <v>87.376247701939008</v>
      </c>
      <c r="I22" s="46" cm="1">
        <f t="array" aca="1" ref="I22" ca="1">IF(G22&gt;B_N,0,_xll.VoseSimulate(B_Fraction))</f>
        <v>0.28031768422506487</v>
      </c>
      <c r="J22" s="44">
        <f t="shared" ca="1" si="1"/>
        <v>24.493107412083187</v>
      </c>
      <c r="K22" s="28"/>
      <c r="L22" s="26">
        <v>114</v>
      </c>
      <c r="M22" s="39" cm="1">
        <f t="array" aca="1" ref="M22" ca="1">IF(L22&gt;B_N,0,_xll.VoseSimulate(B_Exposure))</f>
        <v>93.791228149335254</v>
      </c>
      <c r="N22" s="46" cm="1">
        <f t="array" aca="1" ref="N22" ca="1">IF(L22&gt;B_N,0,_xll.VoseSimulate(B_Fraction))</f>
        <v>0.20737638409966117</v>
      </c>
      <c r="O22" s="44">
        <f t="shared" ca="1" si="2"/>
        <v>19.450085753875499</v>
      </c>
      <c r="P22" s="28"/>
      <c r="Q22" s="26">
        <v>164</v>
      </c>
      <c r="R22" s="39" cm="1">
        <f t="array" aca="1" ref="R22" ca="1">IF(Q22&gt;B_N,0,_xll.VoseSimulate(B_Exposure))</f>
        <v>0</v>
      </c>
      <c r="S22" s="46" cm="1">
        <f t="array" aca="1" ref="S22" ca="1">IF(Q22&gt;B_N,0,_xll.VoseSimulate(B_Fraction))</f>
        <v>0</v>
      </c>
      <c r="T22" s="44">
        <f t="shared" ca="1" si="3"/>
        <v>0</v>
      </c>
      <c r="U22" s="28"/>
    </row>
    <row r="23" spans="2:21" x14ac:dyDescent="0.45">
      <c r="B23" s="26">
        <v>15</v>
      </c>
      <c r="C23" s="39" cm="1">
        <f t="array" aca="1" ref="C23" ca="1">IF(B23&gt;B_N,0,_xll.VoseSimulate(B_Exposure))</f>
        <v>88.750977920796373</v>
      </c>
      <c r="D23" s="46" cm="1">
        <f t="array" aca="1" ref="D23" ca="1">IF(B23&gt;B_N,0,_xll.VoseSimulate(B_Fraction))</f>
        <v>0.23678799404081485</v>
      </c>
      <c r="E23" s="44">
        <f t="shared" ca="1" si="0"/>
        <v>21.015166031026023</v>
      </c>
      <c r="F23" s="28"/>
      <c r="G23" s="26">
        <v>65</v>
      </c>
      <c r="H23" s="39" cm="1">
        <f t="array" aca="1" ref="H23" ca="1">IF(G23&gt;B_N,0,_xll.VoseSimulate(B_Exposure))</f>
        <v>99.038084073216012</v>
      </c>
      <c r="I23" s="46" cm="1">
        <f t="array" aca="1" ref="I23" ca="1">IF(G23&gt;B_N,0,_xll.VoseSimulate(B_Fraction))</f>
        <v>0.29658029596937519</v>
      </c>
      <c r="J23" s="44">
        <f t="shared" ca="1" si="1"/>
        <v>29.372744286674269</v>
      </c>
      <c r="K23" s="28"/>
      <c r="L23" s="26">
        <v>115</v>
      </c>
      <c r="M23" s="39" cm="1">
        <f t="array" aca="1" ref="M23" ca="1">IF(L23&gt;B_N,0,_xll.VoseSimulate(B_Exposure))</f>
        <v>91.855752902180214</v>
      </c>
      <c r="N23" s="46" cm="1">
        <f t="array" aca="1" ref="N23" ca="1">IF(L23&gt;B_N,0,_xll.VoseSimulate(B_Fraction))</f>
        <v>0.1622083167115396</v>
      </c>
      <c r="O23" s="44">
        <f t="shared" ca="1" si="2"/>
        <v>14.89976705853377</v>
      </c>
      <c r="P23" s="28"/>
      <c r="Q23" s="26">
        <v>165</v>
      </c>
      <c r="R23" s="39" cm="1">
        <f t="array" aca="1" ref="R23" ca="1">IF(Q23&gt;B_N,0,_xll.VoseSimulate(B_Exposure))</f>
        <v>0</v>
      </c>
      <c r="S23" s="46" cm="1">
        <f t="array" aca="1" ref="S23" ca="1">IF(Q23&gt;B_N,0,_xll.VoseSimulate(B_Fraction))</f>
        <v>0</v>
      </c>
      <c r="T23" s="44">
        <f t="shared" ca="1" si="3"/>
        <v>0</v>
      </c>
      <c r="U23" s="28"/>
    </row>
    <row r="24" spans="2:21" x14ac:dyDescent="0.45">
      <c r="B24" s="26">
        <v>16</v>
      </c>
      <c r="C24" s="39" cm="1">
        <f t="array" aca="1" ref="C24" ca="1">IF(B24&gt;B_N,0,_xll.VoseSimulate(B_Exposure))</f>
        <v>90.246059392709199</v>
      </c>
      <c r="D24" s="46" cm="1">
        <f t="array" aca="1" ref="D24" ca="1">IF(B24&gt;B_N,0,_xll.VoseSimulate(B_Fraction))</f>
        <v>0.19547851969745825</v>
      </c>
      <c r="E24" s="44">
        <f t="shared" ca="1" si="0"/>
        <v>17.641166098615692</v>
      </c>
      <c r="F24" s="28"/>
      <c r="G24" s="26">
        <v>66</v>
      </c>
      <c r="H24" s="39" cm="1">
        <f t="array" aca="1" ref="H24" ca="1">IF(G24&gt;B_N,0,_xll.VoseSimulate(B_Exposure))</f>
        <v>111.41924066652602</v>
      </c>
      <c r="I24" s="46" cm="1">
        <f t="array" aca="1" ref="I24" ca="1">IF(G24&gt;B_N,0,_xll.VoseSimulate(B_Fraction))</f>
        <v>0.30277111900490461</v>
      </c>
      <c r="J24" s="44">
        <f t="shared" ca="1" si="1"/>
        <v>33.734528175280857</v>
      </c>
      <c r="K24" s="28"/>
      <c r="L24" s="26">
        <v>116</v>
      </c>
      <c r="M24" s="39" cm="1">
        <f t="array" aca="1" ref="M24" ca="1">IF(L24&gt;B_N,0,_xll.VoseSimulate(B_Exposure))</f>
        <v>95.050639586684554</v>
      </c>
      <c r="N24" s="46" cm="1">
        <f t="array" aca="1" ref="N24" ca="1">IF(L24&gt;B_N,0,_xll.VoseSimulate(B_Fraction))</f>
        <v>0.18791696546973949</v>
      </c>
      <c r="O24" s="44">
        <f t="shared" ca="1" si="2"/>
        <v>17.861627757087653</v>
      </c>
      <c r="P24" s="28"/>
      <c r="Q24" s="26">
        <v>166</v>
      </c>
      <c r="R24" s="39" cm="1">
        <f t="array" aca="1" ref="R24" ca="1">IF(Q24&gt;B_N,0,_xll.VoseSimulate(B_Exposure))</f>
        <v>0</v>
      </c>
      <c r="S24" s="46" cm="1">
        <f t="array" aca="1" ref="S24" ca="1">IF(Q24&gt;B_N,0,_xll.VoseSimulate(B_Fraction))</f>
        <v>0</v>
      </c>
      <c r="T24" s="44">
        <f t="shared" ca="1" si="3"/>
        <v>0</v>
      </c>
      <c r="U24" s="28"/>
    </row>
    <row r="25" spans="2:21" x14ac:dyDescent="0.45">
      <c r="B25" s="26">
        <v>17</v>
      </c>
      <c r="C25" s="39" cm="1">
        <f t="array" aca="1" ref="C25" ca="1">IF(B25&gt;B_N,0,_xll.VoseSimulate(B_Exposure))</f>
        <v>99.433831127010521</v>
      </c>
      <c r="D25" s="46" cm="1">
        <f t="array" aca="1" ref="D25" ca="1">IF(B25&gt;B_N,0,_xll.VoseSimulate(B_Fraction))</f>
        <v>0.2701096346740276</v>
      </c>
      <c r="E25" s="44">
        <f t="shared" ca="1" si="0"/>
        <v>26.858035799955765</v>
      </c>
      <c r="F25" s="28"/>
      <c r="G25" s="26">
        <v>67</v>
      </c>
      <c r="H25" s="39" cm="1">
        <f t="array" aca="1" ref="H25" ca="1">IF(G25&gt;B_N,0,_xll.VoseSimulate(B_Exposure))</f>
        <v>111.42321686992521</v>
      </c>
      <c r="I25" s="46" cm="1">
        <f t="array" aca="1" ref="I25" ca="1">IF(G25&gt;B_N,0,_xll.VoseSimulate(B_Fraction))</f>
        <v>0.21503946115464298</v>
      </c>
      <c r="J25" s="44">
        <f t="shared" ca="1" si="1"/>
        <v>23.960388515825642</v>
      </c>
      <c r="K25" s="28"/>
      <c r="L25" s="26">
        <v>117</v>
      </c>
      <c r="M25" s="39" cm="1">
        <f t="array" aca="1" ref="M25" ca="1">IF(L25&gt;B_N,0,_xll.VoseSimulate(B_Exposure))</f>
        <v>90.881937293954195</v>
      </c>
      <c r="N25" s="46" cm="1">
        <f t="array" aca="1" ref="N25" ca="1">IF(L25&gt;B_N,0,_xll.VoseSimulate(B_Fraction))</f>
        <v>0.24187009164855855</v>
      </c>
      <c r="O25" s="44">
        <f t="shared" ca="1" si="2"/>
        <v>21.981622502487252</v>
      </c>
      <c r="P25" s="28"/>
      <c r="Q25" s="26">
        <v>167</v>
      </c>
      <c r="R25" s="39" cm="1">
        <f t="array" aca="1" ref="R25" ca="1">IF(Q25&gt;B_N,0,_xll.VoseSimulate(B_Exposure))</f>
        <v>0</v>
      </c>
      <c r="S25" s="46" cm="1">
        <f t="array" aca="1" ref="S25" ca="1">IF(Q25&gt;B_N,0,_xll.VoseSimulate(B_Fraction))</f>
        <v>0</v>
      </c>
      <c r="T25" s="44">
        <f t="shared" ca="1" si="3"/>
        <v>0</v>
      </c>
      <c r="U25" s="28"/>
    </row>
    <row r="26" spans="2:21" x14ac:dyDescent="0.45">
      <c r="B26" s="26">
        <v>18</v>
      </c>
      <c r="C26" s="39" cm="1">
        <f t="array" aca="1" ref="C26" ca="1">IF(B26&gt;B_N,0,_xll.VoseSimulate(B_Exposure))</f>
        <v>95.39249008088774</v>
      </c>
      <c r="D26" s="46" cm="1">
        <f t="array" aca="1" ref="D26" ca="1">IF(B26&gt;B_N,0,_xll.VoseSimulate(B_Fraction))</f>
        <v>0.25771035791828623</v>
      </c>
      <c r="E26" s="44">
        <f t="shared" ca="1" si="0"/>
        <v>24.583632761462148</v>
      </c>
      <c r="F26" s="28"/>
      <c r="G26" s="26">
        <v>68</v>
      </c>
      <c r="H26" s="39" cm="1">
        <f t="array" aca="1" ref="H26" ca="1">IF(G26&gt;B_N,0,_xll.VoseSimulate(B_Exposure))</f>
        <v>92.967313532036698</v>
      </c>
      <c r="I26" s="46" cm="1">
        <f t="array" aca="1" ref="I26" ca="1">IF(G26&gt;B_N,0,_xll.VoseSimulate(B_Fraction))</f>
        <v>0.1984319830520129</v>
      </c>
      <c r="J26" s="44">
        <f t="shared" ca="1" si="1"/>
        <v>18.447688383180274</v>
      </c>
      <c r="K26" s="28"/>
      <c r="L26" s="26">
        <v>118</v>
      </c>
      <c r="M26" s="39" cm="1">
        <f t="array" aca="1" ref="M26" ca="1">IF(L26&gt;B_N,0,_xll.VoseSimulate(B_Exposure))</f>
        <v>97.478574788551029</v>
      </c>
      <c r="N26" s="46" cm="1">
        <f t="array" aca="1" ref="N26" ca="1">IF(L26&gt;B_N,0,_xll.VoseSimulate(B_Fraction))</f>
        <v>0.20193145544548607</v>
      </c>
      <c r="O26" s="44">
        <f t="shared" ca="1" si="2"/>
        <v>19.683990481803775</v>
      </c>
      <c r="P26" s="28"/>
      <c r="Q26" s="26">
        <v>168</v>
      </c>
      <c r="R26" s="39" cm="1">
        <f t="array" aca="1" ref="R26" ca="1">IF(Q26&gt;B_N,0,_xll.VoseSimulate(B_Exposure))</f>
        <v>0</v>
      </c>
      <c r="S26" s="46" cm="1">
        <f t="array" aca="1" ref="S26" ca="1">IF(Q26&gt;B_N,0,_xll.VoseSimulate(B_Fraction))</f>
        <v>0</v>
      </c>
      <c r="T26" s="44">
        <f t="shared" ca="1" si="3"/>
        <v>0</v>
      </c>
      <c r="U26" s="28"/>
    </row>
    <row r="27" spans="2:21" x14ac:dyDescent="0.45">
      <c r="B27" s="26">
        <v>19</v>
      </c>
      <c r="C27" s="39" cm="1">
        <f t="array" aca="1" ref="C27" ca="1">IF(B27&gt;B_N,0,_xll.VoseSimulate(B_Exposure))</f>
        <v>103.04623775630421</v>
      </c>
      <c r="D27" s="46" cm="1">
        <f t="array" aca="1" ref="D27" ca="1">IF(B27&gt;B_N,0,_xll.VoseSimulate(B_Fraction))</f>
        <v>0.25283070685406162</v>
      </c>
      <c r="E27" s="44">
        <f t="shared" ca="1" si="0"/>
        <v>26.053253130578085</v>
      </c>
      <c r="F27" s="28"/>
      <c r="G27" s="26">
        <v>69</v>
      </c>
      <c r="H27" s="39" cm="1">
        <f t="array" aca="1" ref="H27" ca="1">IF(G27&gt;B_N,0,_xll.VoseSimulate(B_Exposure))</f>
        <v>98.33461110756059</v>
      </c>
      <c r="I27" s="46" cm="1">
        <f t="array" aca="1" ref="I27" ca="1">IF(G27&gt;B_N,0,_xll.VoseSimulate(B_Fraction))</f>
        <v>0.30546129842295988</v>
      </c>
      <c r="J27" s="44">
        <f t="shared" ca="1" si="1"/>
        <v>30.037417988832271</v>
      </c>
      <c r="K27" s="28"/>
      <c r="L27" s="26">
        <v>119</v>
      </c>
      <c r="M27" s="39" cm="1">
        <f t="array" aca="1" ref="M27" ca="1">IF(L27&gt;B_N,0,_xll.VoseSimulate(B_Exposure))</f>
        <v>84.77990952683497</v>
      </c>
      <c r="N27" s="46" cm="1">
        <f t="array" aca="1" ref="N27" ca="1">IF(L27&gt;B_N,0,_xll.VoseSimulate(B_Fraction))</f>
        <v>0.2690870480445503</v>
      </c>
      <c r="O27" s="44">
        <f t="shared" ca="1" si="2"/>
        <v>22.813175588060069</v>
      </c>
      <c r="P27" s="28"/>
      <c r="Q27" s="26">
        <v>169</v>
      </c>
      <c r="R27" s="39" cm="1">
        <f t="array" aca="1" ref="R27" ca="1">IF(Q27&gt;B_N,0,_xll.VoseSimulate(B_Exposure))</f>
        <v>0</v>
      </c>
      <c r="S27" s="46" cm="1">
        <f t="array" aca="1" ref="S27" ca="1">IF(Q27&gt;B_N,0,_xll.VoseSimulate(B_Fraction))</f>
        <v>0</v>
      </c>
      <c r="T27" s="44">
        <f t="shared" ca="1" si="3"/>
        <v>0</v>
      </c>
      <c r="U27" s="28"/>
    </row>
    <row r="28" spans="2:21" x14ac:dyDescent="0.45">
      <c r="B28" s="26">
        <v>20</v>
      </c>
      <c r="C28" s="39" cm="1">
        <f t="array" aca="1" ref="C28" ca="1">IF(B28&gt;B_N,0,_xll.VoseSimulate(B_Exposure))</f>
        <v>93.78177261267858</v>
      </c>
      <c r="D28" s="46" cm="1">
        <f t="array" aca="1" ref="D28" ca="1">IF(B28&gt;B_N,0,_xll.VoseSimulate(B_Fraction))</f>
        <v>0.29350631946500716</v>
      </c>
      <c r="E28" s="44">
        <f t="shared" ca="1" si="0"/>
        <v>27.525542912451499</v>
      </c>
      <c r="F28" s="28"/>
      <c r="G28" s="26">
        <v>70</v>
      </c>
      <c r="H28" s="39" cm="1">
        <f t="array" aca="1" ref="H28" ca="1">IF(G28&gt;B_N,0,_xll.VoseSimulate(B_Exposure))</f>
        <v>108.84446228500873</v>
      </c>
      <c r="I28" s="46" cm="1">
        <f t="array" aca="1" ref="I28" ca="1">IF(G28&gt;B_N,0,_xll.VoseSimulate(B_Fraction))</f>
        <v>0.14706536583654839</v>
      </c>
      <c r="J28" s="44">
        <f t="shared" ca="1" si="1"/>
        <v>16.007250665227204</v>
      </c>
      <c r="K28" s="28"/>
      <c r="L28" s="26">
        <v>120</v>
      </c>
      <c r="M28" s="39" cm="1">
        <f t="array" aca="1" ref="M28" ca="1">IF(L28&gt;B_N,0,_xll.VoseSimulate(B_Exposure))</f>
        <v>93.115632529885502</v>
      </c>
      <c r="N28" s="46" cm="1">
        <f t="array" aca="1" ref="N28" ca="1">IF(L28&gt;B_N,0,_xll.VoseSimulate(B_Fraction))</f>
        <v>0.11562980131415801</v>
      </c>
      <c r="O28" s="44">
        <f t="shared" ca="1" si="2"/>
        <v>10.76694208867281</v>
      </c>
      <c r="P28" s="28"/>
      <c r="Q28" s="26">
        <v>170</v>
      </c>
      <c r="R28" s="39" cm="1">
        <f t="array" aca="1" ref="R28" ca="1">IF(Q28&gt;B_N,0,_xll.VoseSimulate(B_Exposure))</f>
        <v>0</v>
      </c>
      <c r="S28" s="46" cm="1">
        <f t="array" aca="1" ref="S28" ca="1">IF(Q28&gt;B_N,0,_xll.VoseSimulate(B_Fraction))</f>
        <v>0</v>
      </c>
      <c r="T28" s="44">
        <f t="shared" ca="1" si="3"/>
        <v>0</v>
      </c>
      <c r="U28" s="28"/>
    </row>
    <row r="29" spans="2:21" x14ac:dyDescent="0.45">
      <c r="B29" s="26">
        <v>21</v>
      </c>
      <c r="C29" s="39" cm="1">
        <f t="array" aca="1" ref="C29" ca="1">IF(B29&gt;B_N,0,_xll.VoseSimulate(B_Exposure))</f>
        <v>97.369533262970251</v>
      </c>
      <c r="D29" s="46" cm="1">
        <f t="array" aca="1" ref="D29" ca="1">IF(B29&gt;B_N,0,_xll.VoseSimulate(B_Fraction))</f>
        <v>9.8449679629764281E-2</v>
      </c>
      <c r="E29" s="44">
        <f t="shared" ca="1" si="0"/>
        <v>9.5859993554390979</v>
      </c>
      <c r="F29" s="28"/>
      <c r="G29" s="26">
        <v>71</v>
      </c>
      <c r="H29" s="39" cm="1">
        <f t="array" aca="1" ref="H29" ca="1">IF(G29&gt;B_N,0,_xll.VoseSimulate(B_Exposure))</f>
        <v>132.59248041037057</v>
      </c>
      <c r="I29" s="46" cm="1">
        <f t="array" aca="1" ref="I29" ca="1">IF(G29&gt;B_N,0,_xll.VoseSimulate(B_Fraction))</f>
        <v>0.25150106301663333</v>
      </c>
      <c r="J29" s="44">
        <f t="shared" ca="1" si="1"/>
        <v>33.34714977122033</v>
      </c>
      <c r="K29" s="28"/>
      <c r="L29" s="26">
        <v>121</v>
      </c>
      <c r="M29" s="39" cm="1">
        <f t="array" aca="1" ref="M29" ca="1">IF(L29&gt;B_N,0,_xll.VoseSimulate(B_Exposure))</f>
        <v>93.6112411223327</v>
      </c>
      <c r="N29" s="46" cm="1">
        <f t="array" aca="1" ref="N29" ca="1">IF(L29&gt;B_N,0,_xll.VoseSimulate(B_Fraction))</f>
        <v>0.26311701310182656</v>
      </c>
      <c r="O29" s="44">
        <f t="shared" ca="1" si="2"/>
        <v>24.630710156863056</v>
      </c>
      <c r="P29" s="28"/>
      <c r="Q29" s="26">
        <v>171</v>
      </c>
      <c r="R29" s="39" cm="1">
        <f t="array" aca="1" ref="R29" ca="1">IF(Q29&gt;B_N,0,_xll.VoseSimulate(B_Exposure))</f>
        <v>0</v>
      </c>
      <c r="S29" s="46" cm="1">
        <f t="array" aca="1" ref="S29" ca="1">IF(Q29&gt;B_N,0,_xll.VoseSimulate(B_Fraction))</f>
        <v>0</v>
      </c>
      <c r="T29" s="44">
        <f t="shared" ca="1" si="3"/>
        <v>0</v>
      </c>
      <c r="U29" s="28"/>
    </row>
    <row r="30" spans="2:21" x14ac:dyDescent="0.45">
      <c r="B30" s="26">
        <v>22</v>
      </c>
      <c r="C30" s="39" cm="1">
        <f t="array" aca="1" ref="C30" ca="1">IF(B30&gt;B_N,0,_xll.VoseSimulate(B_Exposure))</f>
        <v>86.605714639038183</v>
      </c>
      <c r="D30" s="46" cm="1">
        <f t="array" aca="1" ref="D30" ca="1">IF(B30&gt;B_N,0,_xll.VoseSimulate(B_Fraction))</f>
        <v>0.29287078014557244</v>
      </c>
      <c r="E30" s="44">
        <f t="shared" ca="1" si="0"/>
        <v>25.364283211399936</v>
      </c>
      <c r="F30" s="28"/>
      <c r="G30" s="26">
        <v>72</v>
      </c>
      <c r="H30" s="39" cm="1">
        <f t="array" aca="1" ref="H30" ca="1">IF(G30&gt;B_N,0,_xll.VoseSimulate(B_Exposure))</f>
        <v>105.7699034210428</v>
      </c>
      <c r="I30" s="46" cm="1">
        <f t="array" aca="1" ref="I30" ca="1">IF(G30&gt;B_N,0,_xll.VoseSimulate(B_Fraction))</f>
        <v>0.26739314843575612</v>
      </c>
      <c r="J30" s="44">
        <f t="shared" ca="1" si="1"/>
        <v>28.282147485498488</v>
      </c>
      <c r="K30" s="28"/>
      <c r="L30" s="26">
        <v>122</v>
      </c>
      <c r="M30" s="39" cm="1">
        <f t="array" aca="1" ref="M30" ca="1">IF(L30&gt;B_N,0,_xll.VoseSimulate(B_Exposure))</f>
        <v>103.23323611823567</v>
      </c>
      <c r="N30" s="46" cm="1">
        <f t="array" aca="1" ref="N30" ca="1">IF(L30&gt;B_N,0,_xll.VoseSimulate(B_Fraction))</f>
        <v>0.15952073102189854</v>
      </c>
      <c r="O30" s="44">
        <f t="shared" ca="1" si="2"/>
        <v>16.467841291337212</v>
      </c>
      <c r="P30" s="28"/>
      <c r="Q30" s="26">
        <v>172</v>
      </c>
      <c r="R30" s="39" cm="1">
        <f t="array" aca="1" ref="R30" ca="1">IF(Q30&gt;B_N,0,_xll.VoseSimulate(B_Exposure))</f>
        <v>0</v>
      </c>
      <c r="S30" s="46" cm="1">
        <f t="array" aca="1" ref="S30" ca="1">IF(Q30&gt;B_N,0,_xll.VoseSimulate(B_Fraction))</f>
        <v>0</v>
      </c>
      <c r="T30" s="44">
        <f t="shared" ca="1" si="3"/>
        <v>0</v>
      </c>
      <c r="U30" s="28"/>
    </row>
    <row r="31" spans="2:21" x14ac:dyDescent="0.45">
      <c r="B31" s="26">
        <v>23</v>
      </c>
      <c r="C31" s="39" cm="1">
        <f t="array" aca="1" ref="C31" ca="1">IF(B31&gt;B_N,0,_xll.VoseSimulate(B_Exposure))</f>
        <v>111.56095598966451</v>
      </c>
      <c r="D31" s="46" cm="1">
        <f t="array" aca="1" ref="D31" ca="1">IF(B31&gt;B_N,0,_xll.VoseSimulate(B_Fraction))</f>
        <v>0.21029820908043423</v>
      </c>
      <c r="E31" s="44">
        <f t="shared" ca="1" si="0"/>
        <v>23.461069247927586</v>
      </c>
      <c r="F31" s="28"/>
      <c r="G31" s="26">
        <v>73</v>
      </c>
      <c r="H31" s="39" cm="1">
        <f t="array" aca="1" ref="H31" ca="1">IF(G31&gt;B_N,0,_xll.VoseSimulate(B_Exposure))</f>
        <v>98.812512456304788</v>
      </c>
      <c r="I31" s="46" cm="1">
        <f t="array" aca="1" ref="I31" ca="1">IF(G31&gt;B_N,0,_xll.VoseSimulate(B_Fraction))</f>
        <v>0.16991571764112304</v>
      </c>
      <c r="J31" s="44">
        <f t="shared" ca="1" si="1"/>
        <v>16.789798965935436</v>
      </c>
      <c r="K31" s="28"/>
      <c r="L31" s="26">
        <v>123</v>
      </c>
      <c r="M31" s="39" cm="1">
        <f t="array" aca="1" ref="M31" ca="1">IF(L31&gt;B_N,0,_xll.VoseSimulate(B_Exposure))</f>
        <v>91.201624691389711</v>
      </c>
      <c r="N31" s="46" cm="1">
        <f t="array" aca="1" ref="N31" ca="1">IF(L31&gt;B_N,0,_xll.VoseSimulate(B_Fraction))</f>
        <v>0.11731006166884944</v>
      </c>
      <c r="O31" s="44">
        <f t="shared" ca="1" si="2"/>
        <v>10.698868216846188</v>
      </c>
      <c r="P31" s="28"/>
      <c r="Q31" s="26">
        <v>173</v>
      </c>
      <c r="R31" s="39" cm="1">
        <f t="array" aca="1" ref="R31" ca="1">IF(Q31&gt;B_N,0,_xll.VoseSimulate(B_Exposure))</f>
        <v>0</v>
      </c>
      <c r="S31" s="46" cm="1">
        <f t="array" aca="1" ref="S31" ca="1">IF(Q31&gt;B_N,0,_xll.VoseSimulate(B_Fraction))</f>
        <v>0</v>
      </c>
      <c r="T31" s="44">
        <f t="shared" ca="1" si="3"/>
        <v>0</v>
      </c>
      <c r="U31" s="28"/>
    </row>
    <row r="32" spans="2:21" x14ac:dyDescent="0.45">
      <c r="B32" s="26">
        <v>24</v>
      </c>
      <c r="C32" s="39" cm="1">
        <f t="array" aca="1" ref="C32" ca="1">IF(B32&gt;B_N,0,_xll.VoseSimulate(B_Exposure))</f>
        <v>98.342893453598876</v>
      </c>
      <c r="D32" s="46" cm="1">
        <f t="array" aca="1" ref="D32" ca="1">IF(B32&gt;B_N,0,_xll.VoseSimulate(B_Fraction))</f>
        <v>0.21062199811612245</v>
      </c>
      <c r="E32" s="44">
        <f t="shared" ca="1" si="0"/>
        <v>20.713176719717932</v>
      </c>
      <c r="F32" s="28"/>
      <c r="G32" s="26">
        <v>74</v>
      </c>
      <c r="H32" s="39" cm="1">
        <f t="array" aca="1" ref="H32" ca="1">IF(G32&gt;B_N,0,_xll.VoseSimulate(B_Exposure))</f>
        <v>117.19831621454072</v>
      </c>
      <c r="I32" s="46" cm="1">
        <f t="array" aca="1" ref="I32" ca="1">IF(G32&gt;B_N,0,_xll.VoseSimulate(B_Fraction))</f>
        <v>0.16667345779937048</v>
      </c>
      <c r="J32" s="44">
        <f t="shared" ca="1" si="1"/>
        <v>19.533848611741529</v>
      </c>
      <c r="K32" s="28"/>
      <c r="L32" s="26">
        <v>124</v>
      </c>
      <c r="M32" s="39" cm="1">
        <f t="array" aca="1" ref="M32" ca="1">IF(L32&gt;B_N,0,_xll.VoseSimulate(B_Exposure))</f>
        <v>92.909369998898839</v>
      </c>
      <c r="N32" s="46" cm="1">
        <f t="array" aca="1" ref="N32" ca="1">IF(L32&gt;B_N,0,_xll.VoseSimulate(B_Fraction))</f>
        <v>0.1986648358167446</v>
      </c>
      <c r="O32" s="44">
        <f t="shared" ca="1" si="2"/>
        <v>18.457824736668414</v>
      </c>
      <c r="P32" s="28"/>
      <c r="Q32" s="26">
        <v>174</v>
      </c>
      <c r="R32" s="39" cm="1">
        <f t="array" aca="1" ref="R32" ca="1">IF(Q32&gt;B_N,0,_xll.VoseSimulate(B_Exposure))</f>
        <v>0</v>
      </c>
      <c r="S32" s="46" cm="1">
        <f t="array" aca="1" ref="S32" ca="1">IF(Q32&gt;B_N,0,_xll.VoseSimulate(B_Fraction))</f>
        <v>0</v>
      </c>
      <c r="T32" s="44">
        <f t="shared" ca="1" si="3"/>
        <v>0</v>
      </c>
      <c r="U32" s="28"/>
    </row>
    <row r="33" spans="2:21" x14ac:dyDescent="0.45">
      <c r="B33" s="26">
        <v>25</v>
      </c>
      <c r="C33" s="39" cm="1">
        <f t="array" aca="1" ref="C33" ca="1">IF(B33&gt;B_N,0,_xll.VoseSimulate(B_Exposure))</f>
        <v>97.442685207245844</v>
      </c>
      <c r="D33" s="46" cm="1">
        <f t="array" aca="1" ref="D33" ca="1">IF(B33&gt;B_N,0,_xll.VoseSimulate(B_Fraction))</f>
        <v>0.2321915621534828</v>
      </c>
      <c r="E33" s="44">
        <f t="shared" ca="1" si="0"/>
        <v>22.625369298700484</v>
      </c>
      <c r="F33" s="28"/>
      <c r="G33" s="26">
        <v>75</v>
      </c>
      <c r="H33" s="39" cm="1">
        <f t="array" aca="1" ref="H33" ca="1">IF(G33&gt;B_N,0,_xll.VoseSimulate(B_Exposure))</f>
        <v>95.142667350441485</v>
      </c>
      <c r="I33" s="46" cm="1">
        <f t="array" aca="1" ref="I33" ca="1">IF(G33&gt;B_N,0,_xll.VoseSimulate(B_Fraction))</f>
        <v>0.21468933970952955</v>
      </c>
      <c r="J33" s="44">
        <f t="shared" ca="1" si="1"/>
        <v>20.426116431669698</v>
      </c>
      <c r="K33" s="28"/>
      <c r="L33" s="26">
        <v>125</v>
      </c>
      <c r="M33" s="39" cm="1">
        <f t="array" aca="1" ref="M33" ca="1">IF(L33&gt;B_N,0,_xll.VoseSimulate(B_Exposure))</f>
        <v>0</v>
      </c>
      <c r="N33" s="46" cm="1">
        <f t="array" aca="1" ref="N33" ca="1">IF(L33&gt;B_N,0,_xll.VoseSimulate(B_Fraction))</f>
        <v>0</v>
      </c>
      <c r="O33" s="44">
        <f t="shared" ca="1" si="2"/>
        <v>0</v>
      </c>
      <c r="P33" s="28"/>
      <c r="Q33" s="26">
        <v>175</v>
      </c>
      <c r="R33" s="39" cm="1">
        <f t="array" aca="1" ref="R33" ca="1">IF(Q33&gt;B_N,0,_xll.VoseSimulate(B_Exposure))</f>
        <v>0</v>
      </c>
      <c r="S33" s="46" cm="1">
        <f t="array" aca="1" ref="S33" ca="1">IF(Q33&gt;B_N,0,_xll.VoseSimulate(B_Fraction))</f>
        <v>0</v>
      </c>
      <c r="T33" s="44">
        <f t="shared" ca="1" si="3"/>
        <v>0</v>
      </c>
      <c r="U33" s="28"/>
    </row>
    <row r="34" spans="2:21" x14ac:dyDescent="0.45">
      <c r="B34" s="26">
        <v>26</v>
      </c>
      <c r="C34" s="39" cm="1">
        <f t="array" aca="1" ref="C34" ca="1">IF(B34&gt;B_N,0,_xll.VoseSimulate(B_Exposure))</f>
        <v>84.613227025043656</v>
      </c>
      <c r="D34" s="46" cm="1">
        <f t="array" aca="1" ref="D34" ca="1">IF(B34&gt;B_N,0,_xll.VoseSimulate(B_Fraction))</f>
        <v>0.31642912114572308</v>
      </c>
      <c r="E34" s="44">
        <f t="shared" ca="1" si="0"/>
        <v>26.774089064838108</v>
      </c>
      <c r="F34" s="28"/>
      <c r="G34" s="26">
        <v>76</v>
      </c>
      <c r="H34" s="39" cm="1">
        <f t="array" aca="1" ref="H34" ca="1">IF(G34&gt;B_N,0,_xll.VoseSimulate(B_Exposure))</f>
        <v>89.746185561463733</v>
      </c>
      <c r="I34" s="46" cm="1">
        <f t="array" aca="1" ref="I34" ca="1">IF(G34&gt;B_N,0,_xll.VoseSimulate(B_Fraction))</f>
        <v>0.25826910484918286</v>
      </c>
      <c r="J34" s="44">
        <f t="shared" ca="1" si="1"/>
        <v>23.178667008587897</v>
      </c>
      <c r="K34" s="28"/>
      <c r="L34" s="26">
        <v>126</v>
      </c>
      <c r="M34" s="39" cm="1">
        <f t="array" aca="1" ref="M34" ca="1">IF(L34&gt;B_N,0,_xll.VoseSimulate(B_Exposure))</f>
        <v>0</v>
      </c>
      <c r="N34" s="46" cm="1">
        <f t="array" aca="1" ref="N34" ca="1">IF(L34&gt;B_N,0,_xll.VoseSimulate(B_Fraction))</f>
        <v>0</v>
      </c>
      <c r="O34" s="44">
        <f t="shared" ca="1" si="2"/>
        <v>0</v>
      </c>
      <c r="P34" s="28"/>
      <c r="Q34" s="26">
        <v>176</v>
      </c>
      <c r="R34" s="39" cm="1">
        <f t="array" aca="1" ref="R34" ca="1">IF(Q34&gt;B_N,0,_xll.VoseSimulate(B_Exposure))</f>
        <v>0</v>
      </c>
      <c r="S34" s="46" cm="1">
        <f t="array" aca="1" ref="S34" ca="1">IF(Q34&gt;B_N,0,_xll.VoseSimulate(B_Fraction))</f>
        <v>0</v>
      </c>
      <c r="T34" s="44">
        <f t="shared" ca="1" si="3"/>
        <v>0</v>
      </c>
      <c r="U34" s="28"/>
    </row>
    <row r="35" spans="2:21" x14ac:dyDescent="0.45">
      <c r="B35" s="26">
        <v>27</v>
      </c>
      <c r="C35" s="39" cm="1">
        <f t="array" aca="1" ref="C35" ca="1">IF(B35&gt;B_N,0,_xll.VoseSimulate(B_Exposure))</f>
        <v>118.76452840104579</v>
      </c>
      <c r="D35" s="46" cm="1">
        <f t="array" aca="1" ref="D35" ca="1">IF(B35&gt;B_N,0,_xll.VoseSimulate(B_Fraction))</f>
        <v>0.19509802172080362</v>
      </c>
      <c r="E35" s="44">
        <f t="shared" ca="1" si="0"/>
        <v>23.17072454164823</v>
      </c>
      <c r="F35" s="28"/>
      <c r="G35" s="26">
        <v>77</v>
      </c>
      <c r="H35" s="39" cm="1">
        <f t="array" aca="1" ref="H35" ca="1">IF(G35&gt;B_N,0,_xll.VoseSimulate(B_Exposure))</f>
        <v>102.80956746218824</v>
      </c>
      <c r="I35" s="46" cm="1">
        <f t="array" aca="1" ref="I35" ca="1">IF(G35&gt;B_N,0,_xll.VoseSimulate(B_Fraction))</f>
        <v>0.21533548031197358</v>
      </c>
      <c r="J35" s="44">
        <f t="shared" ca="1" si="1"/>
        <v>22.138547590136557</v>
      </c>
      <c r="K35" s="28"/>
      <c r="L35" s="26">
        <v>127</v>
      </c>
      <c r="M35" s="39" cm="1">
        <f t="array" aca="1" ref="M35" ca="1">IF(L35&gt;B_N,0,_xll.VoseSimulate(B_Exposure))</f>
        <v>0</v>
      </c>
      <c r="N35" s="46" cm="1">
        <f t="array" aca="1" ref="N35" ca="1">IF(L35&gt;B_N,0,_xll.VoseSimulate(B_Fraction))</f>
        <v>0</v>
      </c>
      <c r="O35" s="44">
        <f t="shared" ca="1" si="2"/>
        <v>0</v>
      </c>
      <c r="P35" s="28"/>
      <c r="Q35" s="26">
        <v>177</v>
      </c>
      <c r="R35" s="39" cm="1">
        <f t="array" aca="1" ref="R35" ca="1">IF(Q35&gt;B_N,0,_xll.VoseSimulate(B_Exposure))</f>
        <v>0</v>
      </c>
      <c r="S35" s="46" cm="1">
        <f t="array" aca="1" ref="S35" ca="1">IF(Q35&gt;B_N,0,_xll.VoseSimulate(B_Fraction))</f>
        <v>0</v>
      </c>
      <c r="T35" s="44">
        <f t="shared" ca="1" si="3"/>
        <v>0</v>
      </c>
      <c r="U35" s="28"/>
    </row>
    <row r="36" spans="2:21" x14ac:dyDescent="0.45">
      <c r="B36" s="26">
        <v>28</v>
      </c>
      <c r="C36" s="39" cm="1">
        <f t="array" aca="1" ref="C36" ca="1">IF(B36&gt;B_N,0,_xll.VoseSimulate(B_Exposure))</f>
        <v>104.49187179732213</v>
      </c>
      <c r="D36" s="46" cm="1">
        <f t="array" aca="1" ref="D36" ca="1">IF(B36&gt;B_N,0,_xll.VoseSimulate(B_Fraction))</f>
        <v>0.22272126091577835</v>
      </c>
      <c r="E36" s="44">
        <f t="shared" ca="1" si="0"/>
        <v>23.272561442149442</v>
      </c>
      <c r="F36" s="28"/>
      <c r="G36" s="26">
        <v>78</v>
      </c>
      <c r="H36" s="39" cm="1">
        <f t="array" aca="1" ref="H36" ca="1">IF(G36&gt;B_N,0,_xll.VoseSimulate(B_Exposure))</f>
        <v>106.23659255376113</v>
      </c>
      <c r="I36" s="46" cm="1">
        <f t="array" aca="1" ref="I36" ca="1">IF(G36&gt;B_N,0,_xll.VoseSimulate(B_Fraction))</f>
        <v>0.28778838095524129</v>
      </c>
      <c r="J36" s="44">
        <f t="shared" ca="1" si="1"/>
        <v>30.573656969248557</v>
      </c>
      <c r="K36" s="28"/>
      <c r="L36" s="26">
        <v>128</v>
      </c>
      <c r="M36" s="39" cm="1">
        <f t="array" aca="1" ref="M36" ca="1">IF(L36&gt;B_N,0,_xll.VoseSimulate(B_Exposure))</f>
        <v>0</v>
      </c>
      <c r="N36" s="46" cm="1">
        <f t="array" aca="1" ref="N36" ca="1">IF(L36&gt;B_N,0,_xll.VoseSimulate(B_Fraction))</f>
        <v>0</v>
      </c>
      <c r="O36" s="44">
        <f t="shared" ca="1" si="2"/>
        <v>0</v>
      </c>
      <c r="P36" s="28"/>
      <c r="Q36" s="26">
        <v>178</v>
      </c>
      <c r="R36" s="39" cm="1">
        <f t="array" aca="1" ref="R36" ca="1">IF(Q36&gt;B_N,0,_xll.VoseSimulate(B_Exposure))</f>
        <v>0</v>
      </c>
      <c r="S36" s="46" cm="1">
        <f t="array" aca="1" ref="S36" ca="1">IF(Q36&gt;B_N,0,_xll.VoseSimulate(B_Fraction))</f>
        <v>0</v>
      </c>
      <c r="T36" s="44">
        <f t="shared" ca="1" si="3"/>
        <v>0</v>
      </c>
      <c r="U36" s="28"/>
    </row>
    <row r="37" spans="2:21" x14ac:dyDescent="0.45">
      <c r="B37" s="26">
        <v>29</v>
      </c>
      <c r="C37" s="39" cm="1">
        <f t="array" aca="1" ref="C37" ca="1">IF(B37&gt;B_N,0,_xll.VoseSimulate(B_Exposure))</f>
        <v>103.72663546911028</v>
      </c>
      <c r="D37" s="46" cm="1">
        <f t="array" aca="1" ref="D37" ca="1">IF(B37&gt;B_N,0,_xll.VoseSimulate(B_Fraction))</f>
        <v>0.22953877590647764</v>
      </c>
      <c r="E37" s="44">
        <f t="shared" ca="1" si="0"/>
        <v>23.809284934476999</v>
      </c>
      <c r="F37" s="28"/>
      <c r="G37" s="26">
        <v>79</v>
      </c>
      <c r="H37" s="39" cm="1">
        <f t="array" aca="1" ref="H37" ca="1">IF(G37&gt;B_N,0,_xll.VoseSimulate(B_Exposure))</f>
        <v>91.765996950274328</v>
      </c>
      <c r="I37" s="46" cm="1">
        <f t="array" aca="1" ref="I37" ca="1">IF(G37&gt;B_N,0,_xll.VoseSimulate(B_Fraction))</f>
        <v>0.2668945930845199</v>
      </c>
      <c r="J37" s="44">
        <f t="shared" ca="1" si="1"/>
        <v>24.49184841503876</v>
      </c>
      <c r="K37" s="28"/>
      <c r="L37" s="26">
        <v>129</v>
      </c>
      <c r="M37" s="39" cm="1">
        <f t="array" aca="1" ref="M37" ca="1">IF(L37&gt;B_N,0,_xll.VoseSimulate(B_Exposure))</f>
        <v>0</v>
      </c>
      <c r="N37" s="46" cm="1">
        <f t="array" aca="1" ref="N37" ca="1">IF(L37&gt;B_N,0,_xll.VoseSimulate(B_Fraction))</f>
        <v>0</v>
      </c>
      <c r="O37" s="44">
        <f t="shared" ca="1" si="2"/>
        <v>0</v>
      </c>
      <c r="P37" s="28"/>
      <c r="Q37" s="26">
        <v>179</v>
      </c>
      <c r="R37" s="39" cm="1">
        <f t="array" aca="1" ref="R37" ca="1">IF(Q37&gt;B_N,0,_xll.VoseSimulate(B_Exposure))</f>
        <v>0</v>
      </c>
      <c r="S37" s="46" cm="1">
        <f t="array" aca="1" ref="S37" ca="1">IF(Q37&gt;B_N,0,_xll.VoseSimulate(B_Fraction))</f>
        <v>0</v>
      </c>
      <c r="T37" s="44">
        <f t="shared" ca="1" si="3"/>
        <v>0</v>
      </c>
      <c r="U37" s="28"/>
    </row>
    <row r="38" spans="2:21" x14ac:dyDescent="0.45">
      <c r="B38" s="26">
        <v>30</v>
      </c>
      <c r="C38" s="39" cm="1">
        <f t="array" aca="1" ref="C38" ca="1">IF(B38&gt;B_N,0,_xll.VoseSimulate(B_Exposure))</f>
        <v>115.3079466929392</v>
      </c>
      <c r="D38" s="46" cm="1">
        <f t="array" aca="1" ref="D38" ca="1">IF(B38&gt;B_N,0,_xll.VoseSimulate(B_Fraction))</f>
        <v>0.30086311886490447</v>
      </c>
      <c r="E38" s="44">
        <f t="shared" ca="1" si="0"/>
        <v>34.691908471945837</v>
      </c>
      <c r="F38" s="28"/>
      <c r="G38" s="26">
        <v>80</v>
      </c>
      <c r="H38" s="39" cm="1">
        <f t="array" aca="1" ref="H38" ca="1">IF(G38&gt;B_N,0,_xll.VoseSimulate(B_Exposure))</f>
        <v>97.67891019156788</v>
      </c>
      <c r="I38" s="46" cm="1">
        <f t="array" aca="1" ref="I38" ca="1">IF(G38&gt;B_N,0,_xll.VoseSimulate(B_Fraction))</f>
        <v>0.21924055241353679</v>
      </c>
      <c r="J38" s="44">
        <f t="shared" ca="1" si="1"/>
        <v>21.415178229551589</v>
      </c>
      <c r="K38" s="28"/>
      <c r="L38" s="26">
        <v>130</v>
      </c>
      <c r="M38" s="39" cm="1">
        <f t="array" aca="1" ref="M38" ca="1">IF(L38&gt;B_N,0,_xll.VoseSimulate(B_Exposure))</f>
        <v>0</v>
      </c>
      <c r="N38" s="46" cm="1">
        <f t="array" aca="1" ref="N38" ca="1">IF(L38&gt;B_N,0,_xll.VoseSimulate(B_Fraction))</f>
        <v>0</v>
      </c>
      <c r="O38" s="44">
        <f t="shared" ca="1" si="2"/>
        <v>0</v>
      </c>
      <c r="P38" s="28"/>
      <c r="Q38" s="26">
        <v>180</v>
      </c>
      <c r="R38" s="39" cm="1">
        <f t="array" aca="1" ref="R38" ca="1">IF(Q38&gt;B_N,0,_xll.VoseSimulate(B_Exposure))</f>
        <v>0</v>
      </c>
      <c r="S38" s="46" cm="1">
        <f t="array" aca="1" ref="S38" ca="1">IF(Q38&gt;B_N,0,_xll.VoseSimulate(B_Fraction))</f>
        <v>0</v>
      </c>
      <c r="T38" s="44">
        <f t="shared" ca="1" si="3"/>
        <v>0</v>
      </c>
      <c r="U38" s="28"/>
    </row>
    <row r="39" spans="2:21" x14ac:dyDescent="0.45">
      <c r="B39" s="26">
        <v>31</v>
      </c>
      <c r="C39" s="39" cm="1">
        <f t="array" aca="1" ref="C39" ca="1">IF(B39&gt;B_N,0,_xll.VoseSimulate(B_Exposure))</f>
        <v>104.28424344916233</v>
      </c>
      <c r="D39" s="46" cm="1">
        <f t="array" aca="1" ref="D39" ca="1">IF(B39&gt;B_N,0,_xll.VoseSimulate(B_Fraction))</f>
        <v>0.28670331727876885</v>
      </c>
      <c r="E39" s="44">
        <f t="shared" ca="1" si="0"/>
        <v>29.898638536781561</v>
      </c>
      <c r="F39" s="28"/>
      <c r="G39" s="26">
        <v>81</v>
      </c>
      <c r="H39" s="39" cm="1">
        <f t="array" aca="1" ref="H39" ca="1">IF(G39&gt;B_N,0,_xll.VoseSimulate(B_Exposure))</f>
        <v>96.807918227560236</v>
      </c>
      <c r="I39" s="46" cm="1">
        <f t="array" aca="1" ref="I39" ca="1">IF(G39&gt;B_N,0,_xll.VoseSimulate(B_Fraction))</f>
        <v>0.23298009158610578</v>
      </c>
      <c r="J39" s="44">
        <f t="shared" ca="1" si="1"/>
        <v>22.554317654917224</v>
      </c>
      <c r="K39" s="28"/>
      <c r="L39" s="26">
        <v>131</v>
      </c>
      <c r="M39" s="39" cm="1">
        <f t="array" aca="1" ref="M39" ca="1">IF(L39&gt;B_N,0,_xll.VoseSimulate(B_Exposure))</f>
        <v>0</v>
      </c>
      <c r="N39" s="46" cm="1">
        <f t="array" aca="1" ref="N39" ca="1">IF(L39&gt;B_N,0,_xll.VoseSimulate(B_Fraction))</f>
        <v>0</v>
      </c>
      <c r="O39" s="44">
        <f t="shared" ca="1" si="2"/>
        <v>0</v>
      </c>
      <c r="P39" s="28"/>
      <c r="Q39" s="26">
        <v>181</v>
      </c>
      <c r="R39" s="39" cm="1">
        <f t="array" aca="1" ref="R39" ca="1">IF(Q39&gt;B_N,0,_xll.VoseSimulate(B_Exposure))</f>
        <v>0</v>
      </c>
      <c r="S39" s="46" cm="1">
        <f t="array" aca="1" ref="S39" ca="1">IF(Q39&gt;B_N,0,_xll.VoseSimulate(B_Fraction))</f>
        <v>0</v>
      </c>
      <c r="T39" s="44">
        <f t="shared" ca="1" si="3"/>
        <v>0</v>
      </c>
      <c r="U39" s="28"/>
    </row>
    <row r="40" spans="2:21" x14ac:dyDescent="0.45">
      <c r="B40" s="26">
        <v>32</v>
      </c>
      <c r="C40" s="39" cm="1">
        <f t="array" aca="1" ref="C40" ca="1">IF(B40&gt;B_N,0,_xll.VoseSimulate(B_Exposure))</f>
        <v>92.577304964568114</v>
      </c>
      <c r="D40" s="46" cm="1">
        <f t="array" aca="1" ref="D40" ca="1">IF(B40&gt;B_N,0,_xll.VoseSimulate(B_Fraction))</f>
        <v>0.26285897332685504</v>
      </c>
      <c r="E40" s="44">
        <f t="shared" ca="1" si="0"/>
        <v>24.334775336353534</v>
      </c>
      <c r="F40" s="28"/>
      <c r="G40" s="26">
        <v>82</v>
      </c>
      <c r="H40" s="39" cm="1">
        <f t="array" aca="1" ref="H40" ca="1">IF(G40&gt;B_N,0,_xll.VoseSimulate(B_Exposure))</f>
        <v>95.687713017224567</v>
      </c>
      <c r="I40" s="46" cm="1">
        <f t="array" aca="1" ref="I40" ca="1">IF(G40&gt;B_N,0,_xll.VoseSimulate(B_Fraction))</f>
        <v>0.28825686029303799</v>
      </c>
      <c r="J40" s="44">
        <f t="shared" ca="1" si="1"/>
        <v>27.582639722966416</v>
      </c>
      <c r="K40" s="28"/>
      <c r="L40" s="26">
        <v>132</v>
      </c>
      <c r="M40" s="39" cm="1">
        <f t="array" aca="1" ref="M40" ca="1">IF(L40&gt;B_N,0,_xll.VoseSimulate(B_Exposure))</f>
        <v>0</v>
      </c>
      <c r="N40" s="46" cm="1">
        <f t="array" aca="1" ref="N40" ca="1">IF(L40&gt;B_N,0,_xll.VoseSimulate(B_Fraction))</f>
        <v>0</v>
      </c>
      <c r="O40" s="44">
        <f t="shared" ca="1" si="2"/>
        <v>0</v>
      </c>
      <c r="P40" s="28"/>
      <c r="Q40" s="26">
        <v>182</v>
      </c>
      <c r="R40" s="39" cm="1">
        <f t="array" aca="1" ref="R40" ca="1">IF(Q40&gt;B_N,0,_xll.VoseSimulate(B_Exposure))</f>
        <v>0</v>
      </c>
      <c r="S40" s="46" cm="1">
        <f t="array" aca="1" ref="S40" ca="1">IF(Q40&gt;B_N,0,_xll.VoseSimulate(B_Fraction))</f>
        <v>0</v>
      </c>
      <c r="T40" s="44">
        <f t="shared" ca="1" si="3"/>
        <v>0</v>
      </c>
      <c r="U40" s="28"/>
    </row>
    <row r="41" spans="2:21" x14ac:dyDescent="0.45">
      <c r="B41" s="26">
        <v>33</v>
      </c>
      <c r="C41" s="39" cm="1">
        <f t="array" aca="1" ref="C41" ca="1">IF(B41&gt;B_N,0,_xll.VoseSimulate(B_Exposure))</f>
        <v>105.35992489918668</v>
      </c>
      <c r="D41" s="46" cm="1">
        <f t="array" aca="1" ref="D41" ca="1">IF(B41&gt;B_N,0,_xll.VoseSimulate(B_Fraction))</f>
        <v>0.20453492791523428</v>
      </c>
      <c r="E41" s="44">
        <f t="shared" ref="E41:E72" ca="1" si="4">C41*D41</f>
        <v>21.549784644409645</v>
      </c>
      <c r="F41" s="28"/>
      <c r="G41" s="26">
        <v>83</v>
      </c>
      <c r="H41" s="39" cm="1">
        <f t="array" aca="1" ref="H41" ca="1">IF(G41&gt;B_N,0,_xll.VoseSimulate(B_Exposure))</f>
        <v>107.2869130066377</v>
      </c>
      <c r="I41" s="46" cm="1">
        <f t="array" aca="1" ref="I41" ca="1">IF(G41&gt;B_N,0,_xll.VoseSimulate(B_Fraction))</f>
        <v>0.2817774084205158</v>
      </c>
      <c r="J41" s="44">
        <f t="shared" ref="J41:J72" ca="1" si="5">H41*I41</f>
        <v>30.231028304447701</v>
      </c>
      <c r="K41" s="28"/>
      <c r="L41" s="26">
        <v>133</v>
      </c>
      <c r="M41" s="39" cm="1">
        <f t="array" aca="1" ref="M41" ca="1">IF(L41&gt;B_N,0,_xll.VoseSimulate(B_Exposure))</f>
        <v>0</v>
      </c>
      <c r="N41" s="46" cm="1">
        <f t="array" aca="1" ref="N41" ca="1">IF(L41&gt;B_N,0,_xll.VoseSimulate(B_Fraction))</f>
        <v>0</v>
      </c>
      <c r="O41" s="44">
        <f t="shared" ref="O41:O72" ca="1" si="6">M41*N41</f>
        <v>0</v>
      </c>
      <c r="P41" s="28"/>
      <c r="Q41" s="26">
        <v>183</v>
      </c>
      <c r="R41" s="39" cm="1">
        <f t="array" aca="1" ref="R41" ca="1">IF(Q41&gt;B_N,0,_xll.VoseSimulate(B_Exposure))</f>
        <v>0</v>
      </c>
      <c r="S41" s="46" cm="1">
        <f t="array" aca="1" ref="S41" ca="1">IF(Q41&gt;B_N,0,_xll.VoseSimulate(B_Fraction))</f>
        <v>0</v>
      </c>
      <c r="T41" s="44">
        <f t="shared" ref="T41:T72" ca="1" si="7">R41*S41</f>
        <v>0</v>
      </c>
      <c r="U41" s="28"/>
    </row>
    <row r="42" spans="2:21" x14ac:dyDescent="0.45">
      <c r="B42" s="26">
        <v>34</v>
      </c>
      <c r="C42" s="39" cm="1">
        <f t="array" aca="1" ref="C42" ca="1">IF(B42&gt;B_N,0,_xll.VoseSimulate(B_Exposure))</f>
        <v>79.707174231750415</v>
      </c>
      <c r="D42" s="46" cm="1">
        <f t="array" aca="1" ref="D42" ca="1">IF(B42&gt;B_N,0,_xll.VoseSimulate(B_Fraction))</f>
        <v>0.22027396389901138</v>
      </c>
      <c r="E42" s="44">
        <f t="shared" ca="1" si="4"/>
        <v>17.5574152192168</v>
      </c>
      <c r="F42" s="28"/>
      <c r="G42" s="26">
        <v>84</v>
      </c>
      <c r="H42" s="39" cm="1">
        <f t="array" aca="1" ref="H42" ca="1">IF(G42&gt;B_N,0,_xll.VoseSimulate(B_Exposure))</f>
        <v>98.259087851447973</v>
      </c>
      <c r="I42" s="46" cm="1">
        <f t="array" aca="1" ref="I42" ca="1">IF(G42&gt;B_N,0,_xll.VoseSimulate(B_Fraction))</f>
        <v>0.13456743407175256</v>
      </c>
      <c r="J42" s="44">
        <f t="shared" ca="1" si="5"/>
        <v>13.222473326400268</v>
      </c>
      <c r="K42" s="28"/>
      <c r="L42" s="26">
        <v>134</v>
      </c>
      <c r="M42" s="39" cm="1">
        <f t="array" aca="1" ref="M42" ca="1">IF(L42&gt;B_N,0,_xll.VoseSimulate(B_Exposure))</f>
        <v>0</v>
      </c>
      <c r="N42" s="46" cm="1">
        <f t="array" aca="1" ref="N42" ca="1">IF(L42&gt;B_N,0,_xll.VoseSimulate(B_Fraction))</f>
        <v>0</v>
      </c>
      <c r="O42" s="44">
        <f t="shared" ca="1" si="6"/>
        <v>0</v>
      </c>
      <c r="P42" s="28"/>
      <c r="Q42" s="26">
        <v>184</v>
      </c>
      <c r="R42" s="39" cm="1">
        <f t="array" aca="1" ref="R42" ca="1">IF(Q42&gt;B_N,0,_xll.VoseSimulate(B_Exposure))</f>
        <v>0</v>
      </c>
      <c r="S42" s="46" cm="1">
        <f t="array" aca="1" ref="S42" ca="1">IF(Q42&gt;B_N,0,_xll.VoseSimulate(B_Fraction))</f>
        <v>0</v>
      </c>
      <c r="T42" s="44">
        <f t="shared" ca="1" si="7"/>
        <v>0</v>
      </c>
      <c r="U42" s="28"/>
    </row>
    <row r="43" spans="2:21" x14ac:dyDescent="0.45">
      <c r="B43" s="26">
        <v>35</v>
      </c>
      <c r="C43" s="39" cm="1">
        <f t="array" aca="1" ref="C43" ca="1">IF(B43&gt;B_N,0,_xll.VoseSimulate(B_Exposure))</f>
        <v>95.569284940653134</v>
      </c>
      <c r="D43" s="46" cm="1">
        <f t="array" aca="1" ref="D43" ca="1">IF(B43&gt;B_N,0,_xll.VoseSimulate(B_Fraction))</f>
        <v>0.15664592654861947</v>
      </c>
      <c r="E43" s="44">
        <f t="shared" ca="1" si="4"/>
        <v>14.970539189117636</v>
      </c>
      <c r="F43" s="28"/>
      <c r="G43" s="26">
        <v>85</v>
      </c>
      <c r="H43" s="39" cm="1">
        <f t="array" aca="1" ref="H43" ca="1">IF(G43&gt;B_N,0,_xll.VoseSimulate(B_Exposure))</f>
        <v>94.081267385139824</v>
      </c>
      <c r="I43" s="46" cm="1">
        <f t="array" aca="1" ref="I43" ca="1">IF(G43&gt;B_N,0,_xll.VoseSimulate(B_Fraction))</f>
        <v>0.17753964304265629</v>
      </c>
      <c r="J43" s="44">
        <f t="shared" ca="1" si="5"/>
        <v>16.703154628558426</v>
      </c>
      <c r="K43" s="28"/>
      <c r="L43" s="26">
        <v>135</v>
      </c>
      <c r="M43" s="39" cm="1">
        <f t="array" aca="1" ref="M43" ca="1">IF(L43&gt;B_N,0,_xll.VoseSimulate(B_Exposure))</f>
        <v>0</v>
      </c>
      <c r="N43" s="46" cm="1">
        <f t="array" aca="1" ref="N43" ca="1">IF(L43&gt;B_N,0,_xll.VoseSimulate(B_Fraction))</f>
        <v>0</v>
      </c>
      <c r="O43" s="44">
        <f t="shared" ca="1" si="6"/>
        <v>0</v>
      </c>
      <c r="P43" s="28"/>
      <c r="Q43" s="26">
        <v>185</v>
      </c>
      <c r="R43" s="39" cm="1">
        <f t="array" aca="1" ref="R43" ca="1">IF(Q43&gt;B_N,0,_xll.VoseSimulate(B_Exposure))</f>
        <v>0</v>
      </c>
      <c r="S43" s="46" cm="1">
        <f t="array" aca="1" ref="S43" ca="1">IF(Q43&gt;B_N,0,_xll.VoseSimulate(B_Fraction))</f>
        <v>0</v>
      </c>
      <c r="T43" s="44">
        <f t="shared" ca="1" si="7"/>
        <v>0</v>
      </c>
      <c r="U43" s="28"/>
    </row>
    <row r="44" spans="2:21" x14ac:dyDescent="0.45">
      <c r="B44" s="26">
        <v>36</v>
      </c>
      <c r="C44" s="39" cm="1">
        <f t="array" aca="1" ref="C44" ca="1">IF(B44&gt;B_N,0,_xll.VoseSimulate(B_Exposure))</f>
        <v>105.10792597048209</v>
      </c>
      <c r="D44" s="46" cm="1">
        <f t="array" aca="1" ref="D44" ca="1">IF(B44&gt;B_N,0,_xll.VoseSimulate(B_Fraction))</f>
        <v>0.1329301043685327</v>
      </c>
      <c r="E44" s="44">
        <f t="shared" ca="1" si="4"/>
        <v>13.972007569216192</v>
      </c>
      <c r="F44" s="28"/>
      <c r="G44" s="26">
        <v>86</v>
      </c>
      <c r="H44" s="39" cm="1">
        <f t="array" aca="1" ref="H44" ca="1">IF(G44&gt;B_N,0,_xll.VoseSimulate(B_Exposure))</f>
        <v>95.256268057953449</v>
      </c>
      <c r="I44" s="46" cm="1">
        <f t="array" aca="1" ref="I44" ca="1">IF(G44&gt;B_N,0,_xll.VoseSimulate(B_Fraction))</f>
        <v>0.22027766045822209</v>
      </c>
      <c r="J44" s="44">
        <f t="shared" ca="1" si="5"/>
        <v>20.982827871787254</v>
      </c>
      <c r="K44" s="28"/>
      <c r="L44" s="26">
        <v>136</v>
      </c>
      <c r="M44" s="39" cm="1">
        <f t="array" aca="1" ref="M44" ca="1">IF(L44&gt;B_N,0,_xll.VoseSimulate(B_Exposure))</f>
        <v>0</v>
      </c>
      <c r="N44" s="46" cm="1">
        <f t="array" aca="1" ref="N44" ca="1">IF(L44&gt;B_N,0,_xll.VoseSimulate(B_Fraction))</f>
        <v>0</v>
      </c>
      <c r="O44" s="44">
        <f t="shared" ca="1" si="6"/>
        <v>0</v>
      </c>
      <c r="P44" s="28"/>
      <c r="Q44" s="26">
        <v>186</v>
      </c>
      <c r="R44" s="39" cm="1">
        <f t="array" aca="1" ref="R44" ca="1">IF(Q44&gt;B_N,0,_xll.VoseSimulate(B_Exposure))</f>
        <v>0</v>
      </c>
      <c r="S44" s="46" cm="1">
        <f t="array" aca="1" ref="S44" ca="1">IF(Q44&gt;B_N,0,_xll.VoseSimulate(B_Fraction))</f>
        <v>0</v>
      </c>
      <c r="T44" s="44">
        <f t="shared" ca="1" si="7"/>
        <v>0</v>
      </c>
      <c r="U44" s="28"/>
    </row>
    <row r="45" spans="2:21" x14ac:dyDescent="0.45">
      <c r="B45" s="26">
        <v>37</v>
      </c>
      <c r="C45" s="39" cm="1">
        <f t="array" aca="1" ref="C45" ca="1">IF(B45&gt;B_N,0,_xll.VoseSimulate(B_Exposure))</f>
        <v>95.708225638283281</v>
      </c>
      <c r="D45" s="46" cm="1">
        <f t="array" aca="1" ref="D45" ca="1">IF(B45&gt;B_N,0,_xll.VoseSimulate(B_Fraction))</f>
        <v>0.13001649485772035</v>
      </c>
      <c r="E45" s="44">
        <f t="shared" ca="1" si="4"/>
        <v>12.443648026541396</v>
      </c>
      <c r="F45" s="28"/>
      <c r="G45" s="26">
        <v>87</v>
      </c>
      <c r="H45" s="39" cm="1">
        <f t="array" aca="1" ref="H45" ca="1">IF(G45&gt;B_N,0,_xll.VoseSimulate(B_Exposure))</f>
        <v>111.34154492253984</v>
      </c>
      <c r="I45" s="46" cm="1">
        <f t="array" aca="1" ref="I45" ca="1">IF(G45&gt;B_N,0,_xll.VoseSimulate(B_Fraction))</f>
        <v>0.28988298708496496</v>
      </c>
      <c r="J45" s="44">
        <f t="shared" ca="1" si="5"/>
        <v>32.276019628800661</v>
      </c>
      <c r="K45" s="28"/>
      <c r="L45" s="26">
        <v>137</v>
      </c>
      <c r="M45" s="39" cm="1">
        <f t="array" aca="1" ref="M45" ca="1">IF(L45&gt;B_N,0,_xll.VoseSimulate(B_Exposure))</f>
        <v>0</v>
      </c>
      <c r="N45" s="46" cm="1">
        <f t="array" aca="1" ref="N45" ca="1">IF(L45&gt;B_N,0,_xll.VoseSimulate(B_Fraction))</f>
        <v>0</v>
      </c>
      <c r="O45" s="44">
        <f t="shared" ca="1" si="6"/>
        <v>0</v>
      </c>
      <c r="P45" s="28"/>
      <c r="Q45" s="26">
        <v>187</v>
      </c>
      <c r="R45" s="39" cm="1">
        <f t="array" aca="1" ref="R45" ca="1">IF(Q45&gt;B_N,0,_xll.VoseSimulate(B_Exposure))</f>
        <v>0</v>
      </c>
      <c r="S45" s="46" cm="1">
        <f t="array" aca="1" ref="S45" ca="1">IF(Q45&gt;B_N,0,_xll.VoseSimulate(B_Fraction))</f>
        <v>0</v>
      </c>
      <c r="T45" s="44">
        <f t="shared" ca="1" si="7"/>
        <v>0</v>
      </c>
      <c r="U45" s="28"/>
    </row>
    <row r="46" spans="2:21" x14ac:dyDescent="0.45">
      <c r="B46" s="26">
        <v>38</v>
      </c>
      <c r="C46" s="39" cm="1">
        <f t="array" aca="1" ref="C46" ca="1">IF(B46&gt;B_N,0,_xll.VoseSimulate(B_Exposure))</f>
        <v>89.673326340036382</v>
      </c>
      <c r="D46" s="46" cm="1">
        <f t="array" aca="1" ref="D46" ca="1">IF(B46&gt;B_N,0,_xll.VoseSimulate(B_Fraction))</f>
        <v>0.19746695292976074</v>
      </c>
      <c r="E46" s="44">
        <f t="shared" ca="1" si="4"/>
        <v>17.707518511443038</v>
      </c>
      <c r="F46" s="28"/>
      <c r="G46" s="26">
        <v>88</v>
      </c>
      <c r="H46" s="39" cm="1">
        <f t="array" aca="1" ref="H46" ca="1">IF(G46&gt;B_N,0,_xll.VoseSimulate(B_Exposure))</f>
        <v>120.50676563239092</v>
      </c>
      <c r="I46" s="46" cm="1">
        <f t="array" aca="1" ref="I46" ca="1">IF(G46&gt;B_N,0,_xll.VoseSimulate(B_Fraction))</f>
        <v>0.16473886737459031</v>
      </c>
      <c r="J46" s="44">
        <f t="shared" ca="1" si="5"/>
        <v>19.852148081255287</v>
      </c>
      <c r="K46" s="28"/>
      <c r="L46" s="26">
        <v>138</v>
      </c>
      <c r="M46" s="39" cm="1">
        <f t="array" aca="1" ref="M46" ca="1">IF(L46&gt;B_N,0,_xll.VoseSimulate(B_Exposure))</f>
        <v>0</v>
      </c>
      <c r="N46" s="46" cm="1">
        <f t="array" aca="1" ref="N46" ca="1">IF(L46&gt;B_N,0,_xll.VoseSimulate(B_Fraction))</f>
        <v>0</v>
      </c>
      <c r="O46" s="44">
        <f t="shared" ca="1" si="6"/>
        <v>0</v>
      </c>
      <c r="P46" s="28"/>
      <c r="Q46" s="26">
        <v>188</v>
      </c>
      <c r="R46" s="39" cm="1">
        <f t="array" aca="1" ref="R46" ca="1">IF(Q46&gt;B_N,0,_xll.VoseSimulate(B_Exposure))</f>
        <v>0</v>
      </c>
      <c r="S46" s="46" cm="1">
        <f t="array" aca="1" ref="S46" ca="1">IF(Q46&gt;B_N,0,_xll.VoseSimulate(B_Fraction))</f>
        <v>0</v>
      </c>
      <c r="T46" s="44">
        <f t="shared" ca="1" si="7"/>
        <v>0</v>
      </c>
      <c r="U46" s="28"/>
    </row>
    <row r="47" spans="2:21" x14ac:dyDescent="0.45">
      <c r="B47" s="26">
        <v>39</v>
      </c>
      <c r="C47" s="39" cm="1">
        <f t="array" aca="1" ref="C47" ca="1">IF(B47&gt;B_N,0,_xll.VoseSimulate(B_Exposure))</f>
        <v>96.816928971076038</v>
      </c>
      <c r="D47" s="46" cm="1">
        <f t="array" aca="1" ref="D47" ca="1">IF(B47&gt;B_N,0,_xll.VoseSimulate(B_Fraction))</f>
        <v>0.15764940302679897</v>
      </c>
      <c r="E47" s="44">
        <f t="shared" ca="1" si="4"/>
        <v>15.263131055178135</v>
      </c>
      <c r="F47" s="28"/>
      <c r="G47" s="26">
        <v>89</v>
      </c>
      <c r="H47" s="39" cm="1">
        <f t="array" aca="1" ref="H47" ca="1">IF(G47&gt;B_N,0,_xll.VoseSimulate(B_Exposure))</f>
        <v>84.612644348163101</v>
      </c>
      <c r="I47" s="46" cm="1">
        <f t="array" aca="1" ref="I47" ca="1">IF(G47&gt;B_N,0,_xll.VoseSimulate(B_Fraction))</f>
        <v>0.14334362655093708</v>
      </c>
      <c r="J47" s="44">
        <f t="shared" ca="1" si="5"/>
        <v>12.128683292930349</v>
      </c>
      <c r="K47" s="28"/>
      <c r="L47" s="26">
        <v>139</v>
      </c>
      <c r="M47" s="39" cm="1">
        <f t="array" aca="1" ref="M47" ca="1">IF(L47&gt;B_N,0,_xll.VoseSimulate(B_Exposure))</f>
        <v>0</v>
      </c>
      <c r="N47" s="46" cm="1">
        <f t="array" aca="1" ref="N47" ca="1">IF(L47&gt;B_N,0,_xll.VoseSimulate(B_Fraction))</f>
        <v>0</v>
      </c>
      <c r="O47" s="44">
        <f t="shared" ca="1" si="6"/>
        <v>0</v>
      </c>
      <c r="P47" s="28"/>
      <c r="Q47" s="26">
        <v>189</v>
      </c>
      <c r="R47" s="39" cm="1">
        <f t="array" aca="1" ref="R47" ca="1">IF(Q47&gt;B_N,0,_xll.VoseSimulate(B_Exposure))</f>
        <v>0</v>
      </c>
      <c r="S47" s="46" cm="1">
        <f t="array" aca="1" ref="S47" ca="1">IF(Q47&gt;B_N,0,_xll.VoseSimulate(B_Fraction))</f>
        <v>0</v>
      </c>
      <c r="T47" s="44">
        <f t="shared" ca="1" si="7"/>
        <v>0</v>
      </c>
      <c r="U47" s="28"/>
    </row>
    <row r="48" spans="2:21" x14ac:dyDescent="0.45">
      <c r="B48" s="26">
        <v>40</v>
      </c>
      <c r="C48" s="39" cm="1">
        <f t="array" aca="1" ref="C48" ca="1">IF(B48&gt;B_N,0,_xll.VoseSimulate(B_Exposure))</f>
        <v>105.40291296754899</v>
      </c>
      <c r="D48" s="46" cm="1">
        <f t="array" aca="1" ref="D48" ca="1">IF(B48&gt;B_N,0,_xll.VoseSimulate(B_Fraction))</f>
        <v>0.26013140255580425</v>
      </c>
      <c r="E48" s="44">
        <f t="shared" ca="1" si="4"/>
        <v>27.418607583715886</v>
      </c>
      <c r="F48" s="28"/>
      <c r="G48" s="26">
        <v>90</v>
      </c>
      <c r="H48" s="39" cm="1">
        <f t="array" aca="1" ref="H48" ca="1">IF(G48&gt;B_N,0,_xll.VoseSimulate(B_Exposure))</f>
        <v>97.686867309438668</v>
      </c>
      <c r="I48" s="46" cm="1">
        <f t="array" aca="1" ref="I48" ca="1">IF(G48&gt;B_N,0,_xll.VoseSimulate(B_Fraction))</f>
        <v>0.14430260592210928</v>
      </c>
      <c r="J48" s="44">
        <f t="shared" ca="1" si="5"/>
        <v>14.096469517119308</v>
      </c>
      <c r="K48" s="28"/>
      <c r="L48" s="26">
        <v>140</v>
      </c>
      <c r="M48" s="39" cm="1">
        <f t="array" aca="1" ref="M48" ca="1">IF(L48&gt;B_N,0,_xll.VoseSimulate(B_Exposure))</f>
        <v>0</v>
      </c>
      <c r="N48" s="46" cm="1">
        <f t="array" aca="1" ref="N48" ca="1">IF(L48&gt;B_N,0,_xll.VoseSimulate(B_Fraction))</f>
        <v>0</v>
      </c>
      <c r="O48" s="44">
        <f t="shared" ca="1" si="6"/>
        <v>0</v>
      </c>
      <c r="P48" s="28"/>
      <c r="Q48" s="26">
        <v>190</v>
      </c>
      <c r="R48" s="39" cm="1">
        <f t="array" aca="1" ref="R48" ca="1">IF(Q48&gt;B_N,0,_xll.VoseSimulate(B_Exposure))</f>
        <v>0</v>
      </c>
      <c r="S48" s="46" cm="1">
        <f t="array" aca="1" ref="S48" ca="1">IF(Q48&gt;B_N,0,_xll.VoseSimulate(B_Fraction))</f>
        <v>0</v>
      </c>
      <c r="T48" s="44">
        <f t="shared" ca="1" si="7"/>
        <v>0</v>
      </c>
      <c r="U48" s="28"/>
    </row>
    <row r="49" spans="2:21" x14ac:dyDescent="0.45">
      <c r="B49" s="26">
        <v>41</v>
      </c>
      <c r="C49" s="39" cm="1">
        <f t="array" aca="1" ref="C49" ca="1">IF(B49&gt;B_N,0,_xll.VoseSimulate(B_Exposure))</f>
        <v>112.1337813496943</v>
      </c>
      <c r="D49" s="46" cm="1">
        <f t="array" aca="1" ref="D49" ca="1">IF(B49&gt;B_N,0,_xll.VoseSimulate(B_Fraction))</f>
        <v>0.23226785956053775</v>
      </c>
      <c r="E49" s="44">
        <f t="shared" ca="1" si="4"/>
        <v>26.045073378522844</v>
      </c>
      <c r="F49" s="28"/>
      <c r="G49" s="26">
        <v>91</v>
      </c>
      <c r="H49" s="39" cm="1">
        <f t="array" aca="1" ref="H49" ca="1">IF(G49&gt;B_N,0,_xll.VoseSimulate(B_Exposure))</f>
        <v>100.68055399575316</v>
      </c>
      <c r="I49" s="46" cm="1">
        <f t="array" aca="1" ref="I49" ca="1">IF(G49&gt;B_N,0,_xll.VoseSimulate(B_Fraction))</f>
        <v>0.20153261017704244</v>
      </c>
      <c r="J49" s="44">
        <f t="shared" ca="1" si="5"/>
        <v>20.290414840834792</v>
      </c>
      <c r="K49" s="28"/>
      <c r="L49" s="26">
        <v>141</v>
      </c>
      <c r="M49" s="39" cm="1">
        <f t="array" aca="1" ref="M49" ca="1">IF(L49&gt;B_N,0,_xll.VoseSimulate(B_Exposure))</f>
        <v>0</v>
      </c>
      <c r="N49" s="46" cm="1">
        <f t="array" aca="1" ref="N49" ca="1">IF(L49&gt;B_N,0,_xll.VoseSimulate(B_Fraction))</f>
        <v>0</v>
      </c>
      <c r="O49" s="44">
        <f t="shared" ca="1" si="6"/>
        <v>0</v>
      </c>
      <c r="P49" s="28"/>
      <c r="Q49" s="26">
        <v>191</v>
      </c>
      <c r="R49" s="39" cm="1">
        <f t="array" aca="1" ref="R49" ca="1">IF(Q49&gt;B_N,0,_xll.VoseSimulate(B_Exposure))</f>
        <v>0</v>
      </c>
      <c r="S49" s="46" cm="1">
        <f t="array" aca="1" ref="S49" ca="1">IF(Q49&gt;B_N,0,_xll.VoseSimulate(B_Fraction))</f>
        <v>0</v>
      </c>
      <c r="T49" s="44">
        <f t="shared" ca="1" si="7"/>
        <v>0</v>
      </c>
      <c r="U49" s="28"/>
    </row>
    <row r="50" spans="2:21" x14ac:dyDescent="0.45">
      <c r="B50" s="26">
        <v>42</v>
      </c>
      <c r="C50" s="39" cm="1">
        <f t="array" aca="1" ref="C50" ca="1">IF(B50&gt;B_N,0,_xll.VoseSimulate(B_Exposure))</f>
        <v>96.783976643776967</v>
      </c>
      <c r="D50" s="46" cm="1">
        <f t="array" aca="1" ref="D50" ca="1">IF(B50&gt;B_N,0,_xll.VoseSimulate(B_Fraction))</f>
        <v>0.26759479038552203</v>
      </c>
      <c r="E50" s="44">
        <f t="shared" ca="1" si="4"/>
        <v>25.898887942668757</v>
      </c>
      <c r="F50" s="28"/>
      <c r="G50" s="26">
        <v>92</v>
      </c>
      <c r="H50" s="39" cm="1">
        <f t="array" aca="1" ref="H50" ca="1">IF(G50&gt;B_N,0,_xll.VoseSimulate(B_Exposure))</f>
        <v>102.34945668462989</v>
      </c>
      <c r="I50" s="46" cm="1">
        <f t="array" aca="1" ref="I50" ca="1">IF(G50&gt;B_N,0,_xll.VoseSimulate(B_Fraction))</f>
        <v>0.32008957312530217</v>
      </c>
      <c r="J50" s="44">
        <f t="shared" ca="1" si="5"/>
        <v>32.760993899789788</v>
      </c>
      <c r="K50" s="28"/>
      <c r="L50" s="26">
        <v>142</v>
      </c>
      <c r="M50" s="39" cm="1">
        <f t="array" aca="1" ref="M50" ca="1">IF(L50&gt;B_N,0,_xll.VoseSimulate(B_Exposure))</f>
        <v>0</v>
      </c>
      <c r="N50" s="46" cm="1">
        <f t="array" aca="1" ref="N50" ca="1">IF(L50&gt;B_N,0,_xll.VoseSimulate(B_Fraction))</f>
        <v>0</v>
      </c>
      <c r="O50" s="44">
        <f t="shared" ca="1" si="6"/>
        <v>0</v>
      </c>
      <c r="P50" s="28"/>
      <c r="Q50" s="26">
        <v>192</v>
      </c>
      <c r="R50" s="39" cm="1">
        <f t="array" aca="1" ref="R50" ca="1">IF(Q50&gt;B_N,0,_xll.VoseSimulate(B_Exposure))</f>
        <v>0</v>
      </c>
      <c r="S50" s="46" cm="1">
        <f t="array" aca="1" ref="S50" ca="1">IF(Q50&gt;B_N,0,_xll.VoseSimulate(B_Fraction))</f>
        <v>0</v>
      </c>
      <c r="T50" s="44">
        <f t="shared" ca="1" si="7"/>
        <v>0</v>
      </c>
      <c r="U50" s="28"/>
    </row>
    <row r="51" spans="2:21" x14ac:dyDescent="0.45">
      <c r="B51" s="26">
        <v>43</v>
      </c>
      <c r="C51" s="39" cm="1">
        <f t="array" aca="1" ref="C51" ca="1">IF(B51&gt;B_N,0,_xll.VoseSimulate(B_Exposure))</f>
        <v>98.343178831000856</v>
      </c>
      <c r="D51" s="46" cm="1">
        <f t="array" aca="1" ref="D51" ca="1">IF(B51&gt;B_N,0,_xll.VoseSimulate(B_Fraction))</f>
        <v>0.14928325807697398</v>
      </c>
      <c r="E51" s="44">
        <f t="shared" ca="1" si="4"/>
        <v>14.680990145538306</v>
      </c>
      <c r="F51" s="28"/>
      <c r="G51" s="26">
        <v>93</v>
      </c>
      <c r="H51" s="39" cm="1">
        <f t="array" aca="1" ref="H51" ca="1">IF(G51&gt;B_N,0,_xll.VoseSimulate(B_Exposure))</f>
        <v>103.1149367634342</v>
      </c>
      <c r="I51" s="46" cm="1">
        <f t="array" aca="1" ref="I51" ca="1">IF(G51&gt;B_N,0,_xll.VoseSimulate(B_Fraction))</f>
        <v>0.2578152644639653</v>
      </c>
      <c r="J51" s="44">
        <f t="shared" ca="1" si="5"/>
        <v>26.584604691849847</v>
      </c>
      <c r="K51" s="28"/>
      <c r="L51" s="26">
        <v>143</v>
      </c>
      <c r="M51" s="39" cm="1">
        <f t="array" aca="1" ref="M51" ca="1">IF(L51&gt;B_N,0,_xll.VoseSimulate(B_Exposure))</f>
        <v>0</v>
      </c>
      <c r="N51" s="46" cm="1">
        <f t="array" aca="1" ref="N51" ca="1">IF(L51&gt;B_N,0,_xll.VoseSimulate(B_Fraction))</f>
        <v>0</v>
      </c>
      <c r="O51" s="44">
        <f t="shared" ca="1" si="6"/>
        <v>0</v>
      </c>
      <c r="P51" s="28"/>
      <c r="Q51" s="26">
        <v>193</v>
      </c>
      <c r="R51" s="39" cm="1">
        <f t="array" aca="1" ref="R51" ca="1">IF(Q51&gt;B_N,0,_xll.VoseSimulate(B_Exposure))</f>
        <v>0</v>
      </c>
      <c r="S51" s="46" cm="1">
        <f t="array" aca="1" ref="S51" ca="1">IF(Q51&gt;B_N,0,_xll.VoseSimulate(B_Fraction))</f>
        <v>0</v>
      </c>
      <c r="T51" s="44">
        <f t="shared" ca="1" si="7"/>
        <v>0</v>
      </c>
      <c r="U51" s="28"/>
    </row>
    <row r="52" spans="2:21" x14ac:dyDescent="0.45">
      <c r="B52" s="26">
        <v>44</v>
      </c>
      <c r="C52" s="39" cm="1">
        <f t="array" aca="1" ref="C52" ca="1">IF(B52&gt;B_N,0,_xll.VoseSimulate(B_Exposure))</f>
        <v>81.801562550822283</v>
      </c>
      <c r="D52" s="46" cm="1">
        <f t="array" aca="1" ref="D52" ca="1">IF(B52&gt;B_N,0,_xll.VoseSimulate(B_Fraction))</f>
        <v>0.20248556876802354</v>
      </c>
      <c r="E52" s="44">
        <f t="shared" ca="1" si="4"/>
        <v>16.563635919216303</v>
      </c>
      <c r="F52" s="28"/>
      <c r="G52" s="26">
        <v>94</v>
      </c>
      <c r="H52" s="39" cm="1">
        <f t="array" aca="1" ref="H52" ca="1">IF(G52&gt;B_N,0,_xll.VoseSimulate(B_Exposure))</f>
        <v>95.788825128512485</v>
      </c>
      <c r="I52" s="46" cm="1">
        <f t="array" aca="1" ref="I52" ca="1">IF(G52&gt;B_N,0,_xll.VoseSimulate(B_Fraction))</f>
        <v>0.17870937626586231</v>
      </c>
      <c r="J52" s="44">
        <f t="shared" ca="1" si="5"/>
        <v>17.118361191956225</v>
      </c>
      <c r="K52" s="28"/>
      <c r="L52" s="26">
        <v>144</v>
      </c>
      <c r="M52" s="39" cm="1">
        <f t="array" aca="1" ref="M52" ca="1">IF(L52&gt;B_N,0,_xll.VoseSimulate(B_Exposure))</f>
        <v>0</v>
      </c>
      <c r="N52" s="46" cm="1">
        <f t="array" aca="1" ref="N52" ca="1">IF(L52&gt;B_N,0,_xll.VoseSimulate(B_Fraction))</f>
        <v>0</v>
      </c>
      <c r="O52" s="44">
        <f t="shared" ca="1" si="6"/>
        <v>0</v>
      </c>
      <c r="P52" s="28"/>
      <c r="Q52" s="26">
        <v>194</v>
      </c>
      <c r="R52" s="39" cm="1">
        <f t="array" aca="1" ref="R52" ca="1">IF(Q52&gt;B_N,0,_xll.VoseSimulate(B_Exposure))</f>
        <v>0</v>
      </c>
      <c r="S52" s="46" cm="1">
        <f t="array" aca="1" ref="S52" ca="1">IF(Q52&gt;B_N,0,_xll.VoseSimulate(B_Fraction))</f>
        <v>0</v>
      </c>
      <c r="T52" s="44">
        <f t="shared" ca="1" si="7"/>
        <v>0</v>
      </c>
      <c r="U52" s="28"/>
    </row>
    <row r="53" spans="2:21" x14ac:dyDescent="0.45">
      <c r="B53" s="26">
        <v>45</v>
      </c>
      <c r="C53" s="39" cm="1">
        <f t="array" aca="1" ref="C53" ca="1">IF(B53&gt;B_N,0,_xll.VoseSimulate(B_Exposure))</f>
        <v>96.429853804147569</v>
      </c>
      <c r="D53" s="46" cm="1">
        <f t="array" aca="1" ref="D53" ca="1">IF(B53&gt;B_N,0,_xll.VoseSimulate(B_Fraction))</f>
        <v>0.19985367242477045</v>
      </c>
      <c r="E53" s="44">
        <f t="shared" ca="1" si="4"/>
        <v>19.271860414142612</v>
      </c>
      <c r="F53" s="28"/>
      <c r="G53" s="26">
        <v>95</v>
      </c>
      <c r="H53" s="39" cm="1">
        <f t="array" aca="1" ref="H53" ca="1">IF(G53&gt;B_N,0,_xll.VoseSimulate(B_Exposure))</f>
        <v>97.845693189412131</v>
      </c>
      <c r="I53" s="46" cm="1">
        <f t="array" aca="1" ref="I53" ca="1">IF(G53&gt;B_N,0,_xll.VoseSimulate(B_Fraction))</f>
        <v>0.17497496634788418</v>
      </c>
      <c r="J53" s="44">
        <f t="shared" ca="1" si="5"/>
        <v>17.120546873102789</v>
      </c>
      <c r="K53" s="28"/>
      <c r="L53" s="26">
        <v>145</v>
      </c>
      <c r="M53" s="39" cm="1">
        <f t="array" aca="1" ref="M53" ca="1">IF(L53&gt;B_N,0,_xll.VoseSimulate(B_Exposure))</f>
        <v>0</v>
      </c>
      <c r="N53" s="46" cm="1">
        <f t="array" aca="1" ref="N53" ca="1">IF(L53&gt;B_N,0,_xll.VoseSimulate(B_Fraction))</f>
        <v>0</v>
      </c>
      <c r="O53" s="44">
        <f t="shared" ca="1" si="6"/>
        <v>0</v>
      </c>
      <c r="P53" s="28"/>
      <c r="Q53" s="26">
        <v>195</v>
      </c>
      <c r="R53" s="39" cm="1">
        <f t="array" aca="1" ref="R53" ca="1">IF(Q53&gt;B_N,0,_xll.VoseSimulate(B_Exposure))</f>
        <v>0</v>
      </c>
      <c r="S53" s="46" cm="1">
        <f t="array" aca="1" ref="S53" ca="1">IF(Q53&gt;B_N,0,_xll.VoseSimulate(B_Fraction))</f>
        <v>0</v>
      </c>
      <c r="T53" s="44">
        <f t="shared" ca="1" si="7"/>
        <v>0</v>
      </c>
      <c r="U53" s="28"/>
    </row>
    <row r="54" spans="2:21" x14ac:dyDescent="0.45">
      <c r="B54" s="26">
        <v>46</v>
      </c>
      <c r="C54" s="39" cm="1">
        <f t="array" aca="1" ref="C54" ca="1">IF(B54&gt;B_N,0,_xll.VoseSimulate(B_Exposure))</f>
        <v>85.88305366303878</v>
      </c>
      <c r="D54" s="46" cm="1">
        <f t="array" aca="1" ref="D54" ca="1">IF(B54&gt;B_N,0,_xll.VoseSimulate(B_Fraction))</f>
        <v>0.10975316630980342</v>
      </c>
      <c r="E54" s="44">
        <f t="shared" ca="1" si="4"/>
        <v>9.4259370718732676</v>
      </c>
      <c r="F54" s="28"/>
      <c r="G54" s="26">
        <v>96</v>
      </c>
      <c r="H54" s="39" cm="1">
        <f t="array" aca="1" ref="H54" ca="1">IF(G54&gt;B_N,0,_xll.VoseSimulate(B_Exposure))</f>
        <v>94.033031449272983</v>
      </c>
      <c r="I54" s="46" cm="1">
        <f t="array" aca="1" ref="I54" ca="1">IF(G54&gt;B_N,0,_xll.VoseSimulate(B_Fraction))</f>
        <v>0.22746948992729762</v>
      </c>
      <c r="J54" s="44">
        <f t="shared" ca="1" si="5"/>
        <v>21.389645700083662</v>
      </c>
      <c r="K54" s="28"/>
      <c r="L54" s="26">
        <v>146</v>
      </c>
      <c r="M54" s="39" cm="1">
        <f t="array" aca="1" ref="M54" ca="1">IF(L54&gt;B_N,0,_xll.VoseSimulate(B_Exposure))</f>
        <v>0</v>
      </c>
      <c r="N54" s="46" cm="1">
        <f t="array" aca="1" ref="N54" ca="1">IF(L54&gt;B_N,0,_xll.VoseSimulate(B_Fraction))</f>
        <v>0</v>
      </c>
      <c r="O54" s="44">
        <f t="shared" ca="1" si="6"/>
        <v>0</v>
      </c>
      <c r="P54" s="28"/>
      <c r="Q54" s="26">
        <v>196</v>
      </c>
      <c r="R54" s="39" cm="1">
        <f t="array" aca="1" ref="R54" ca="1">IF(Q54&gt;B_N,0,_xll.VoseSimulate(B_Exposure))</f>
        <v>0</v>
      </c>
      <c r="S54" s="46" cm="1">
        <f t="array" aca="1" ref="S54" ca="1">IF(Q54&gt;B_N,0,_xll.VoseSimulate(B_Fraction))</f>
        <v>0</v>
      </c>
      <c r="T54" s="44">
        <f t="shared" ca="1" si="7"/>
        <v>0</v>
      </c>
      <c r="U54" s="28"/>
    </row>
    <row r="55" spans="2:21" x14ac:dyDescent="0.45">
      <c r="B55" s="26">
        <v>47</v>
      </c>
      <c r="C55" s="39" cm="1">
        <f t="array" aca="1" ref="C55" ca="1">IF(B55&gt;B_N,0,_xll.VoseSimulate(B_Exposure))</f>
        <v>95.725044556699316</v>
      </c>
      <c r="D55" s="46" cm="1">
        <f t="array" aca="1" ref="D55" ca="1">IF(B55&gt;B_N,0,_xll.VoseSimulate(B_Fraction))</f>
        <v>0.23722685577981439</v>
      </c>
      <c r="E55" s="44">
        <f t="shared" ca="1" si="4"/>
        <v>22.708551339568416</v>
      </c>
      <c r="F55" s="28"/>
      <c r="G55" s="26">
        <v>97</v>
      </c>
      <c r="H55" s="39" cm="1">
        <f t="array" aca="1" ref="H55" ca="1">IF(G55&gt;B_N,0,_xll.VoseSimulate(B_Exposure))</f>
        <v>92.140829217989207</v>
      </c>
      <c r="I55" s="46" cm="1">
        <f t="array" aca="1" ref="I55" ca="1">IF(G55&gt;B_N,0,_xll.VoseSimulate(B_Fraction))</f>
        <v>0.23554659316056403</v>
      </c>
      <c r="J55" s="44">
        <f t="shared" ca="1" si="5"/>
        <v>21.703458413286715</v>
      </c>
      <c r="K55" s="28"/>
      <c r="L55" s="26">
        <v>147</v>
      </c>
      <c r="M55" s="39" cm="1">
        <f t="array" aca="1" ref="M55" ca="1">IF(L55&gt;B_N,0,_xll.VoseSimulate(B_Exposure))</f>
        <v>0</v>
      </c>
      <c r="N55" s="46" cm="1">
        <f t="array" aca="1" ref="N55" ca="1">IF(L55&gt;B_N,0,_xll.VoseSimulate(B_Fraction))</f>
        <v>0</v>
      </c>
      <c r="O55" s="44">
        <f t="shared" ca="1" si="6"/>
        <v>0</v>
      </c>
      <c r="P55" s="28"/>
      <c r="Q55" s="26">
        <v>197</v>
      </c>
      <c r="R55" s="39" cm="1">
        <f t="array" aca="1" ref="R55" ca="1">IF(Q55&gt;B_N,0,_xll.VoseSimulate(B_Exposure))</f>
        <v>0</v>
      </c>
      <c r="S55" s="46" cm="1">
        <f t="array" aca="1" ref="S55" ca="1">IF(Q55&gt;B_N,0,_xll.VoseSimulate(B_Fraction))</f>
        <v>0</v>
      </c>
      <c r="T55" s="44">
        <f t="shared" ca="1" si="7"/>
        <v>0</v>
      </c>
      <c r="U55" s="28"/>
    </row>
    <row r="56" spans="2:21" x14ac:dyDescent="0.45">
      <c r="B56" s="26">
        <v>48</v>
      </c>
      <c r="C56" s="39" cm="1">
        <f t="array" aca="1" ref="C56" ca="1">IF(B56&gt;B_N,0,_xll.VoseSimulate(B_Exposure))</f>
        <v>101.79110058980167</v>
      </c>
      <c r="D56" s="46" cm="1">
        <f t="array" aca="1" ref="D56" ca="1">IF(B56&gt;B_N,0,_xll.VoseSimulate(B_Fraction))</f>
        <v>0.20143385454017132</v>
      </c>
      <c r="E56" s="44">
        <f t="shared" ca="1" si="4"/>
        <v>20.504173749690057</v>
      </c>
      <c r="F56" s="28"/>
      <c r="G56" s="26">
        <v>98</v>
      </c>
      <c r="H56" s="39" cm="1">
        <f t="array" aca="1" ref="H56" ca="1">IF(G56&gt;B_N,0,_xll.VoseSimulate(B_Exposure))</f>
        <v>84.4404997610023</v>
      </c>
      <c r="I56" s="46" cm="1">
        <f t="array" aca="1" ref="I56" ca="1">IF(G56&gt;B_N,0,_xll.VoseSimulate(B_Fraction))</f>
        <v>0.1939118949909763</v>
      </c>
      <c r="J56" s="44">
        <f t="shared" ca="1" si="5"/>
        <v>16.374017322641038</v>
      </c>
      <c r="K56" s="28"/>
      <c r="L56" s="26">
        <v>148</v>
      </c>
      <c r="M56" s="39" cm="1">
        <f t="array" aca="1" ref="M56" ca="1">IF(L56&gt;B_N,0,_xll.VoseSimulate(B_Exposure))</f>
        <v>0</v>
      </c>
      <c r="N56" s="46" cm="1">
        <f t="array" aca="1" ref="N56" ca="1">IF(L56&gt;B_N,0,_xll.VoseSimulate(B_Fraction))</f>
        <v>0</v>
      </c>
      <c r="O56" s="44">
        <f t="shared" ca="1" si="6"/>
        <v>0</v>
      </c>
      <c r="P56" s="28"/>
      <c r="Q56" s="26">
        <v>198</v>
      </c>
      <c r="R56" s="39" cm="1">
        <f t="array" aca="1" ref="R56" ca="1">IF(Q56&gt;B_N,0,_xll.VoseSimulate(B_Exposure))</f>
        <v>0</v>
      </c>
      <c r="S56" s="46" cm="1">
        <f t="array" aca="1" ref="S56" ca="1">IF(Q56&gt;B_N,0,_xll.VoseSimulate(B_Fraction))</f>
        <v>0</v>
      </c>
      <c r="T56" s="44">
        <f t="shared" ca="1" si="7"/>
        <v>0</v>
      </c>
      <c r="U56" s="28"/>
    </row>
    <row r="57" spans="2:21" x14ac:dyDescent="0.45">
      <c r="B57" s="26">
        <v>49</v>
      </c>
      <c r="C57" s="39" cm="1">
        <f t="array" aca="1" ref="C57" ca="1">IF(B57&gt;B_N,0,_xll.VoseSimulate(B_Exposure))</f>
        <v>106.22496602779485</v>
      </c>
      <c r="D57" s="46" cm="1">
        <f t="array" aca="1" ref="D57" ca="1">IF(B57&gt;B_N,0,_xll.VoseSimulate(B_Fraction))</f>
        <v>0.24186872619018662</v>
      </c>
      <c r="E57" s="44">
        <f t="shared" ca="1" si="4"/>
        <v>25.692497222738588</v>
      </c>
      <c r="F57" s="28"/>
      <c r="G57" s="26">
        <v>99</v>
      </c>
      <c r="H57" s="39" cm="1">
        <f t="array" aca="1" ref="H57" ca="1">IF(G57&gt;B_N,0,_xll.VoseSimulate(B_Exposure))</f>
        <v>117.73434953158048</v>
      </c>
      <c r="I57" s="46" cm="1">
        <f t="array" aca="1" ref="I57" ca="1">IF(G57&gt;B_N,0,_xll.VoseSimulate(B_Fraction))</f>
        <v>0.27937759124911377</v>
      </c>
      <c r="J57" s="44">
        <f t="shared" ca="1" si="5"/>
        <v>32.892338979414177</v>
      </c>
      <c r="K57" s="28"/>
      <c r="L57" s="26">
        <v>149</v>
      </c>
      <c r="M57" s="39" cm="1">
        <f t="array" aca="1" ref="M57" ca="1">IF(L57&gt;B_N,0,_xll.VoseSimulate(B_Exposure))</f>
        <v>0</v>
      </c>
      <c r="N57" s="46" cm="1">
        <f t="array" aca="1" ref="N57" ca="1">IF(L57&gt;B_N,0,_xll.VoseSimulate(B_Fraction))</f>
        <v>0</v>
      </c>
      <c r="O57" s="44">
        <f t="shared" ca="1" si="6"/>
        <v>0</v>
      </c>
      <c r="P57" s="28"/>
      <c r="Q57" s="26">
        <v>199</v>
      </c>
      <c r="R57" s="39" cm="1">
        <f t="array" aca="1" ref="R57" ca="1">IF(Q57&gt;B_N,0,_xll.VoseSimulate(B_Exposure))</f>
        <v>0</v>
      </c>
      <c r="S57" s="46" cm="1">
        <f t="array" aca="1" ref="S57" ca="1">IF(Q57&gt;B_N,0,_xll.VoseSimulate(B_Fraction))</f>
        <v>0</v>
      </c>
      <c r="T57" s="44">
        <f t="shared" ca="1" si="7"/>
        <v>0</v>
      </c>
      <c r="U57" s="28"/>
    </row>
    <row r="58" spans="2:21" x14ac:dyDescent="0.45">
      <c r="B58" s="26">
        <v>50</v>
      </c>
      <c r="C58" s="39" cm="1">
        <f t="array" aca="1" ref="C58" ca="1">IF(B58&gt;B_N,0,_xll.VoseSimulate(B_Exposure))</f>
        <v>91.637987338330788</v>
      </c>
      <c r="D58" s="46" cm="1">
        <f t="array" aca="1" ref="D58" ca="1">IF(B58&gt;B_N,0,_xll.VoseSimulate(B_Fraction))</f>
        <v>0.241201764593166</v>
      </c>
      <c r="E58" s="44">
        <f t="shared" ca="1" si="4"/>
        <v>22.103244249771588</v>
      </c>
      <c r="F58" s="28"/>
      <c r="G58" s="26">
        <v>100</v>
      </c>
      <c r="H58" s="39" cm="1">
        <f t="array" aca="1" ref="H58" ca="1">IF(G58&gt;B_N,0,_xll.VoseSimulate(B_Exposure))</f>
        <v>118.69323075092167</v>
      </c>
      <c r="I58" s="46" cm="1">
        <f t="array" aca="1" ref="I58" ca="1">IF(G58&gt;B_N,0,_xll.VoseSimulate(B_Fraction))</f>
        <v>0.24853631854571401</v>
      </c>
      <c r="J58" s="44">
        <f t="shared" ca="1" si="5"/>
        <v>29.499578607131006</v>
      </c>
      <c r="K58" s="28"/>
      <c r="L58" s="26">
        <v>150</v>
      </c>
      <c r="M58" s="39" cm="1">
        <f t="array" aca="1" ref="M58" ca="1">IF(L58&gt;B_N,0,_xll.VoseSimulate(B_Exposure))</f>
        <v>0</v>
      </c>
      <c r="N58" s="46" cm="1">
        <f t="array" aca="1" ref="N58" ca="1">IF(L58&gt;B_N,0,_xll.VoseSimulate(B_Fraction))</f>
        <v>0</v>
      </c>
      <c r="O58" s="44">
        <f t="shared" ca="1" si="6"/>
        <v>0</v>
      </c>
      <c r="P58" s="28"/>
      <c r="Q58" s="26">
        <v>200</v>
      </c>
      <c r="R58" s="39" cm="1">
        <f t="array" aca="1" ref="R58" ca="1">IF(Q58&gt;B_N,0,_xll.VoseSimulate(B_Exposure))</f>
        <v>0</v>
      </c>
      <c r="S58" s="46" cm="1">
        <f t="array" aca="1" ref="S58" ca="1">IF(Q58&gt;B_N,0,_xll.VoseSimulate(B_Fraction))</f>
        <v>0</v>
      </c>
      <c r="T58" s="44">
        <f t="shared" ca="1" si="7"/>
        <v>0</v>
      </c>
      <c r="U58" s="28"/>
    </row>
    <row r="59" spans="2:21" x14ac:dyDescent="0.45">
      <c r="B59" s="47" t="s">
        <v>183</v>
      </c>
      <c r="C59" s="48"/>
      <c r="D59" s="48"/>
      <c r="E59" s="48"/>
      <c r="F59" s="48"/>
      <c r="G59" s="48"/>
      <c r="H59" s="48"/>
      <c r="I59" s="48"/>
      <c r="J59" s="48"/>
      <c r="K59" s="48"/>
      <c r="L59" s="48"/>
      <c r="M59" s="48"/>
      <c r="N59" s="48"/>
      <c r="O59" s="48"/>
      <c r="P59" s="48"/>
      <c r="Q59" s="48"/>
      <c r="R59" s="48"/>
      <c r="S59" s="48"/>
      <c r="T59" s="49">
        <f ca="1">SUM(E9:E58)+SUM(J9:J58)+SUM(O9:O58)+SUM(T9:T58)</f>
        <v>2753.5237845640604</v>
      </c>
      <c r="U59" s="48"/>
    </row>
    <row r="60" spans="2:21" x14ac:dyDescent="0.45">
      <c r="B60" s="34" t="s">
        <v>184</v>
      </c>
    </row>
    <row r="61" spans="2:21" ht="8" customHeight="1" x14ac:dyDescent="0.45"/>
    <row r="62" spans="2:21" ht="22.05" customHeight="1" x14ac:dyDescent="0.5">
      <c r="B62" s="7" t="s">
        <v>185</v>
      </c>
      <c r="C62" s="8"/>
      <c r="D62" s="8"/>
      <c r="E62" s="8"/>
      <c r="F62" s="8"/>
      <c r="G62" s="8"/>
      <c r="H62" s="8"/>
      <c r="I62" s="8"/>
      <c r="J62" s="8"/>
      <c r="K62" s="8"/>
      <c r="L62" s="8"/>
      <c r="M62" s="8"/>
      <c r="N62" s="8"/>
      <c r="O62" s="8"/>
      <c r="P62" s="8"/>
      <c r="Q62" s="8"/>
      <c r="R62" s="8"/>
      <c r="S62" s="8"/>
      <c r="T62" s="8"/>
      <c r="U62" s="8"/>
    </row>
    <row r="63" spans="2:21" ht="18" customHeight="1" x14ac:dyDescent="0.45">
      <c r="B63" s="13" t="s">
        <v>186</v>
      </c>
    </row>
    <row r="64" spans="2:21" x14ac:dyDescent="0.45">
      <c r="B64" s="25" t="s">
        <v>187</v>
      </c>
      <c r="C64" s="28"/>
      <c r="D64" s="28"/>
      <c r="E64" s="28"/>
      <c r="F64" s="28"/>
      <c r="G64" s="28"/>
      <c r="H64" s="28"/>
      <c r="I64" s="28"/>
      <c r="J64" s="28"/>
      <c r="K64" s="28"/>
      <c r="L64" s="50" t="str">
        <f>IF(_xlfn.BINOM.INV(B_Obligors,B_PD,0.999999)&lt;=200,"OK","CHECK")</f>
        <v>OK</v>
      </c>
      <c r="M64" s="28"/>
      <c r="N64" s="28"/>
      <c r="O64" s="28"/>
      <c r="P64" s="28"/>
      <c r="Q64" s="28"/>
      <c r="R64" s="28"/>
      <c r="S64" s="28"/>
      <c r="T64" s="28"/>
      <c r="U64" s="28"/>
    </row>
    <row r="65" spans="2:21" x14ac:dyDescent="0.45">
      <c r="B65" s="25" t="s">
        <v>188</v>
      </c>
      <c r="C65" s="28"/>
      <c r="D65" s="28"/>
      <c r="E65" s="28"/>
      <c r="F65" s="28"/>
      <c r="G65" s="28"/>
      <c r="H65" s="28"/>
      <c r="I65" s="28"/>
      <c r="J65" s="28"/>
      <c r="K65" s="28"/>
      <c r="L65" s="50" t="str">
        <f>IF(A_VaR&gt;A_Mean,"OK","CHECK")</f>
        <v>OK</v>
      </c>
      <c r="M65" s="28"/>
      <c r="N65" s="28"/>
      <c r="O65" s="28"/>
      <c r="P65" s="28"/>
      <c r="Q65" s="28"/>
      <c r="R65" s="28"/>
      <c r="S65" s="28"/>
      <c r="T65" s="28"/>
      <c r="U65" s="28"/>
    </row>
    <row r="66" spans="2:21" x14ac:dyDescent="0.45">
      <c r="B66" s="25" t="s">
        <v>189</v>
      </c>
      <c r="C66" s="28"/>
      <c r="D66" s="28"/>
      <c r="E66" s="28"/>
      <c r="F66" s="28"/>
      <c r="G66" s="28"/>
      <c r="H66" s="28"/>
      <c r="I66" s="28"/>
      <c r="J66" s="28"/>
      <c r="K66" s="28"/>
      <c r="L66" s="50" t="str">
        <f>IF(AND(A_PD&gt;0,A_PD&lt;1,B_PD&gt;0,B_PD&lt;1),"OK","CHECK")</f>
        <v>OK</v>
      </c>
      <c r="M66" s="28"/>
      <c r="N66" s="28"/>
      <c r="O66" s="28"/>
      <c r="P66" s="28"/>
      <c r="Q66" s="28"/>
      <c r="R66" s="28"/>
      <c r="S66" s="28"/>
      <c r="T66" s="28"/>
      <c r="U66" s="28"/>
    </row>
    <row r="67" spans="2:21" ht="14" customHeight="1" x14ac:dyDescent="0.45"/>
  </sheetData>
  <conditionalFormatting sqref="L64:L66">
    <cfRule type="expression" dxfId="3" priority="1">
      <formula>L64="CHECK"</formula>
    </cfRule>
  </conditionalFormatting>
  <hyperlinks>
    <hyperlink ref="B4" location="'Portfolio B'!A1" display="◂  Portfolio B" xr:uid="{00000000-0004-0000-0400-000000000000}"/>
    <hyperlink ref="U4" location="'Results'!A1" display="Next:  Results  ▸" xr:uid="{00000000-0004-0000-0400-000001000000}"/>
  </hyperlinks>
  <printOptions horizontalCentered="1"/>
  <pageMargins left="0.4" right="0.4" top="0.5" bottom="0.6" header="0.25" footer="0.25"/>
  <pageSetup paperSize="9" scale="92" fitToHeight="0" orientation="landscape" r:id="rId1"/>
  <headerFooter>
    <oddFooter>&amp;L&amp;K3F5876&amp;8&amp;F · &amp;A&amp;R&amp;K3F5876&amp;8Page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5803D"/>
    <outlinePr summaryBelow="0"/>
    <pageSetUpPr fitToPage="1"/>
  </sheetPr>
  <dimension ref="A1:R100"/>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190</v>
      </c>
      <c r="C3" s="1"/>
      <c r="D3" s="1"/>
      <c r="E3" s="1"/>
      <c r="F3" s="1"/>
      <c r="G3" s="1"/>
      <c r="H3" s="1"/>
      <c r="I3" s="1"/>
      <c r="J3" s="1"/>
      <c r="K3" s="1"/>
      <c r="L3" s="1"/>
      <c r="M3" s="1"/>
      <c r="N3" s="1"/>
      <c r="O3" s="1"/>
      <c r="P3" s="1"/>
      <c r="Q3" s="1"/>
      <c r="R3" s="1"/>
    </row>
    <row r="4" spans="1:18" ht="20" customHeight="1" x14ac:dyDescent="0.45">
      <c r="A4" s="5"/>
      <c r="B4" s="22" t="s">
        <v>191</v>
      </c>
      <c r="C4" s="5"/>
      <c r="D4" s="5"/>
      <c r="E4" s="5"/>
      <c r="F4" s="5"/>
      <c r="G4" s="5"/>
      <c r="H4" s="5"/>
      <c r="I4" s="5"/>
      <c r="J4" s="5"/>
      <c r="K4" s="5"/>
      <c r="L4" s="5"/>
      <c r="M4" s="5"/>
      <c r="N4" s="5"/>
      <c r="O4" s="5"/>
      <c r="P4" s="5"/>
      <c r="Q4" s="5"/>
      <c r="R4" s="5"/>
    </row>
    <row r="5" spans="1:18" ht="8" customHeight="1" x14ac:dyDescent="0.45"/>
    <row r="6" spans="1:18" ht="26" customHeight="1" x14ac:dyDescent="0.45">
      <c r="B6" s="51" t="str" cm="1">
        <f t="array" aca="1" ref="B6" ca="1">IF(ISNUMBER(_xll.VoseSimMean(A_MC)),"✔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2"/>
      <c r="D6" s="52"/>
      <c r="E6" s="52"/>
      <c r="F6" s="52"/>
      <c r="G6" s="52"/>
    </row>
    <row r="7" spans="1:18" x14ac:dyDescent="0.45">
      <c r="B7" s="34"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192</v>
      </c>
      <c r="C9" s="8"/>
      <c r="D9" s="8"/>
      <c r="E9" s="8"/>
      <c r="F9" s="8"/>
      <c r="G9" s="8"/>
      <c r="I9" s="53" t="s">
        <v>193</v>
      </c>
      <c r="J9" s="8"/>
      <c r="K9" s="8"/>
      <c r="L9" s="8"/>
      <c r="M9" s="8"/>
      <c r="N9" s="8"/>
      <c r="O9" s="8"/>
      <c r="P9" s="8"/>
      <c r="Q9" s="8"/>
      <c r="R9" s="8"/>
    </row>
    <row r="10" spans="1:18" ht="18" customHeight="1" x14ac:dyDescent="0.45">
      <c r="B10" s="13" t="s">
        <v>194</v>
      </c>
    </row>
    <row r="11" spans="1:18" ht="30" customHeight="1" x14ac:dyDescent="0.45">
      <c r="B11" s="23" t="s">
        <v>195</v>
      </c>
      <c r="C11" s="5"/>
      <c r="D11" s="24" t="s">
        <v>196</v>
      </c>
      <c r="E11" s="24" t="s">
        <v>197</v>
      </c>
      <c r="F11" s="24" t="s">
        <v>198</v>
      </c>
      <c r="G11" s="5"/>
    </row>
    <row r="12" spans="1:18" x14ac:dyDescent="0.45">
      <c r="B12" s="25" t="s">
        <v>199</v>
      </c>
      <c r="C12" s="28"/>
      <c r="D12" s="54" cm="1">
        <f t="array" aca="1" ref="D12" ca="1">_xll.VoseSimMean(A_MC)</f>
        <v>9756.9822558037413</v>
      </c>
      <c r="E12" s="54" cm="1">
        <f t="array" aca="1" ref="E12" ca="1">_xll.VoseSimMean(A_FFTs)</f>
        <v>9738.3616808448696</v>
      </c>
      <c r="F12" s="37">
        <f>A_Mean</f>
        <v>9746.2750000000015</v>
      </c>
      <c r="G12" s="28"/>
    </row>
    <row r="13" spans="1:18" x14ac:dyDescent="0.45">
      <c r="B13" s="25" t="s">
        <v>200</v>
      </c>
      <c r="C13" s="28"/>
      <c r="D13" s="54" cm="1">
        <f t="array" aca="1" ref="D13" ca="1">_xll.VoseSimStdev(A_MC)</f>
        <v>723.428390095895</v>
      </c>
      <c r="E13" s="54" cm="1">
        <f t="array" aca="1" ref="E13" ca="1">_xll.VoseSimStdev(A_FFTs)</f>
        <v>726.82405717260008</v>
      </c>
      <c r="F13" s="37">
        <f>A_SD</f>
        <v>719.07642126897758</v>
      </c>
      <c r="G13" s="28"/>
    </row>
    <row r="14" spans="1:18" x14ac:dyDescent="0.45">
      <c r="B14" s="25" t="s">
        <v>201</v>
      </c>
      <c r="C14" s="28"/>
      <c r="D14" s="54" cm="1">
        <f t="array" aca="1" ref="D14" ca="1">_xll.VoseSimPercentile(A_MC,Conf)</f>
        <v>10951.309005411082</v>
      </c>
      <c r="E14" s="54" cm="1">
        <f t="array" aca="1" ref="E14" ca="1">_xll.VoseSimPercentile(A_FFTs,Conf)</f>
        <v>10948.453738780769</v>
      </c>
      <c r="F14" s="37">
        <f>A_VaR</f>
        <v>10943.548434988104</v>
      </c>
      <c r="G14" s="28"/>
    </row>
    <row r="15" spans="1:18" x14ac:dyDescent="0.45">
      <c r="B15" s="25" t="s">
        <v>202</v>
      </c>
      <c r="C15" s="28"/>
      <c r="D15" s="54" cm="1">
        <f t="array" aca="1" ref="D15" ca="1">_xll.VoseSimCVARp(A_MC,1-Conf)</f>
        <v>11267.979538100359</v>
      </c>
      <c r="E15" s="54" cm="1">
        <f t="array" aca="1" ref="E15" ca="1">_xll.VoseSimCVARp(A_FFTs,1-Conf)</f>
        <v>11281.781291240875</v>
      </c>
      <c r="F15" s="37">
        <f ca="1">A_ES</f>
        <v>11258.19267126902</v>
      </c>
      <c r="G15" s="28"/>
    </row>
    <row r="16" spans="1:18" ht="8" customHeight="1" x14ac:dyDescent="0.45"/>
    <row r="17" spans="2:18" ht="22.05" customHeight="1" x14ac:dyDescent="0.5">
      <c r="B17" s="7" t="s">
        <v>203</v>
      </c>
      <c r="C17" s="8"/>
      <c r="D17" s="8"/>
      <c r="E17" s="8"/>
      <c r="F17" s="8"/>
      <c r="G17" s="8"/>
    </row>
    <row r="18" spans="2:18" ht="18" customHeight="1" x14ac:dyDescent="0.45">
      <c r="B18" s="13" t="s">
        <v>204</v>
      </c>
    </row>
    <row r="19" spans="2:18" ht="30" customHeight="1" x14ac:dyDescent="0.45">
      <c r="B19" s="23" t="s">
        <v>195</v>
      </c>
      <c r="C19" s="5"/>
      <c r="D19" s="24" t="s">
        <v>205</v>
      </c>
      <c r="E19" s="24" t="s">
        <v>45</v>
      </c>
      <c r="F19" s="24" t="s">
        <v>198</v>
      </c>
      <c r="G19" s="5"/>
    </row>
    <row r="20" spans="2:18" x14ac:dyDescent="0.45">
      <c r="B20" s="25" t="s">
        <v>199</v>
      </c>
      <c r="C20" s="28"/>
      <c r="D20" s="54" cm="1">
        <f t="array" aca="1" ref="D20" ca="1">_xll.VoseSimMean(B_SP)</f>
        <v>2876.1072377518935</v>
      </c>
      <c r="E20" s="54" cm="1">
        <f t="array" aca="1" ref="E20" ca="1">_xll.VoseSimMean(B_Rows)</f>
        <v>2876.6800126995922</v>
      </c>
      <c r="F20" s="37">
        <f>B_Mean</f>
        <v>2874.6714285714284</v>
      </c>
      <c r="G20" s="28"/>
    </row>
    <row r="21" spans="2:18" x14ac:dyDescent="0.45">
      <c r="B21" s="25" t="s">
        <v>200</v>
      </c>
      <c r="C21" s="28"/>
      <c r="D21" s="54" cm="1">
        <f t="array" aca="1" ref="D21" ca="1">_xll.VoseSimStdev(B_SP)</f>
        <v>266.04671988333934</v>
      </c>
      <c r="E21" s="54" cm="1">
        <f t="array" aca="1" ref="E21" ca="1">_xll.VoseSimStdev(B_Rows)</f>
        <v>265.20872446255743</v>
      </c>
      <c r="F21" s="37">
        <f>B_SD</f>
        <v>264.1536586008603</v>
      </c>
      <c r="G21" s="28"/>
    </row>
    <row r="22" spans="2:18" x14ac:dyDescent="0.45">
      <c r="B22" s="25" t="s">
        <v>201</v>
      </c>
      <c r="C22" s="28"/>
      <c r="D22" s="54" cm="1">
        <f t="array" aca="1" ref="D22" ca="1">_xll.VoseSimPercentile(B_SP,Conf)</f>
        <v>3325.30011129378</v>
      </c>
      <c r="E22" s="54" cm="1">
        <f t="array" aca="1" ref="E22" ca="1">_xll.VoseSimPercentile(B_Rows,Conf)</f>
        <v>3325.8704498467641</v>
      </c>
      <c r="F22" s="28"/>
      <c r="G22" s="28"/>
    </row>
    <row r="23" spans="2:18" x14ac:dyDescent="0.45">
      <c r="B23" s="25" t="s">
        <v>202</v>
      </c>
      <c r="C23" s="28"/>
      <c r="D23" s="54" cm="1">
        <f t="array" aca="1" ref="D23" ca="1">_xll.VoseSimCVARp(B_SP,1-Conf)</f>
        <v>3447.5024399832664</v>
      </c>
      <c r="E23" s="54" cm="1">
        <f t="array" aca="1" ref="E23" ca="1">_xll.VoseSimCVARp(B_Rows,1-Conf)</f>
        <v>3442.3524854616639</v>
      </c>
      <c r="F23" s="28"/>
      <c r="G23" s="28"/>
    </row>
    <row r="24" spans="2:18" ht="8" customHeight="1" x14ac:dyDescent="0.45"/>
    <row r="25" spans="2:18" ht="22.05" customHeight="1" x14ac:dyDescent="0.5">
      <c r="B25" s="7" t="s">
        <v>206</v>
      </c>
      <c r="C25" s="8"/>
      <c r="D25" s="8"/>
      <c r="E25" s="8"/>
      <c r="F25" s="8"/>
      <c r="G25" s="8"/>
      <c r="I25" s="53" t="s">
        <v>207</v>
      </c>
      <c r="J25" s="8"/>
      <c r="K25" s="8"/>
      <c r="L25" s="8"/>
      <c r="M25" s="8"/>
      <c r="N25" s="8"/>
      <c r="O25" s="8"/>
      <c r="P25" s="8"/>
      <c r="Q25" s="8"/>
      <c r="R25" s="8"/>
    </row>
    <row r="26" spans="2:18" ht="18" customHeight="1" x14ac:dyDescent="0.45">
      <c r="B26" s="13" t="s">
        <v>208</v>
      </c>
    </row>
    <row r="27" spans="2:18" ht="18" customHeight="1" x14ac:dyDescent="0.45">
      <c r="B27" s="23" t="s">
        <v>209</v>
      </c>
      <c r="C27" s="5"/>
      <c r="D27" s="24" t="s">
        <v>210</v>
      </c>
      <c r="E27" s="5"/>
      <c r="F27" s="5"/>
      <c r="G27" s="5"/>
    </row>
    <row r="28" spans="2:18" x14ac:dyDescent="0.45">
      <c r="B28" s="25" t="s">
        <v>211</v>
      </c>
      <c r="C28" s="28"/>
      <c r="D28" s="36">
        <f>A_VarShare</f>
        <v>0.95064986248789796</v>
      </c>
      <c r="E28" s="28"/>
      <c r="F28" s="28"/>
      <c r="G28" s="28"/>
    </row>
    <row r="29" spans="2:18" x14ac:dyDescent="0.45">
      <c r="B29" s="25" t="s">
        <v>212</v>
      </c>
      <c r="C29" s="28"/>
      <c r="D29" s="36">
        <f>B_VarShare</f>
        <v>0.9343828125302498</v>
      </c>
      <c r="E29" s="28"/>
      <c r="F29" s="28"/>
      <c r="G29" s="28"/>
    </row>
    <row r="30" spans="2:18" ht="8" customHeight="1" x14ac:dyDescent="0.45"/>
    <row r="41" spans="2:7" ht="22.05" customHeight="1" x14ac:dyDescent="0.5">
      <c r="B41" s="7" t="s">
        <v>213</v>
      </c>
      <c r="C41" s="8"/>
      <c r="D41" s="8"/>
      <c r="E41" s="8"/>
      <c r="F41" s="8"/>
      <c r="G41" s="8"/>
    </row>
    <row r="42" spans="2:7" ht="32" customHeight="1" x14ac:dyDescent="0.45">
      <c r="B42" s="57" t="s">
        <v>214</v>
      </c>
      <c r="C42" s="58"/>
      <c r="D42" s="58"/>
      <c r="E42" s="58"/>
      <c r="F42" s="58"/>
      <c r="G42" s="58"/>
    </row>
    <row r="43" spans="2:7" ht="32" customHeight="1" x14ac:dyDescent="0.45">
      <c r="B43" s="57" t="s">
        <v>215</v>
      </c>
      <c r="C43" s="58"/>
      <c r="D43" s="58"/>
      <c r="E43" s="58"/>
      <c r="F43" s="58"/>
      <c r="G43" s="58"/>
    </row>
    <row r="44" spans="2:7" ht="32" customHeight="1" x14ac:dyDescent="0.45">
      <c r="B44" s="57" t="s">
        <v>216</v>
      </c>
      <c r="C44" s="58"/>
      <c r="D44" s="58"/>
      <c r="E44" s="58"/>
      <c r="F44" s="58"/>
      <c r="G44" s="58"/>
    </row>
    <row r="45" spans="2:7" ht="32" customHeight="1" x14ac:dyDescent="0.45">
      <c r="B45" s="57" t="s">
        <v>217</v>
      </c>
      <c r="C45" s="58"/>
      <c r="D45" s="58"/>
      <c r="E45" s="58"/>
      <c r="F45" s="58"/>
      <c r="G45" s="58"/>
    </row>
    <row r="46" spans="2:7" ht="14" customHeight="1" x14ac:dyDescent="0.45"/>
    <row r="47" spans="2:7" ht="14" customHeight="1" x14ac:dyDescent="0.45"/>
    <row r="48" spans="2:7" ht="22.05" customHeight="1" x14ac:dyDescent="0.5">
      <c r="B48" s="7" t="s">
        <v>218</v>
      </c>
      <c r="C48" s="8"/>
      <c r="D48" s="8"/>
      <c r="E48" s="8"/>
      <c r="F48" s="8"/>
      <c r="G48" s="8"/>
    </row>
    <row r="49" spans="2:8" ht="18" customHeight="1" x14ac:dyDescent="0.45">
      <c r="B49" s="13" t="s">
        <v>219</v>
      </c>
    </row>
    <row r="50" spans="2:8" ht="28.05" hidden="1" customHeight="1" outlineLevel="1" x14ac:dyDescent="0.45">
      <c r="B50" s="24" t="s">
        <v>220</v>
      </c>
      <c r="C50" s="24" t="s">
        <v>221</v>
      </c>
      <c r="D50" s="24" t="s">
        <v>222</v>
      </c>
      <c r="E50" s="24" t="s">
        <v>223</v>
      </c>
      <c r="F50" s="24" t="s">
        <v>224</v>
      </c>
      <c r="G50" s="24" t="s">
        <v>225</v>
      </c>
      <c r="H50" s="24" t="s">
        <v>226</v>
      </c>
    </row>
    <row r="51" spans="2:8" hidden="1" outlineLevel="1" x14ac:dyDescent="0.45">
      <c r="B51" s="55">
        <v>0.01</v>
      </c>
      <c r="C51" s="55">
        <f t="shared" ref="C51:C82" si="0">1-B51</f>
        <v>0.99</v>
      </c>
      <c r="D51" s="56" cm="1">
        <f t="array" aca="1" ref="D51" ca="1">IF(ISNUMBER(_xll.VoseSimPercentile(A_MC,$B51)),_xll.VoseSimPercentile(A_MC,$B51),NA())</f>
        <v>8107.8160847281979</v>
      </c>
      <c r="E51" s="56" cm="1">
        <f t="array" aca="1" ref="E51" ca="1">IF(ISNUMBER(_xll.VoseSimPercentile(A_FFTs,$B51)),_xll.VoseSimPercentile(A_FFTs,$B51),NA())</f>
        <v>8090.8607188194192</v>
      </c>
      <c r="F51" s="56">
        <f t="shared" ref="F51:F82" si="1">A_VaR</f>
        <v>10943.548434988104</v>
      </c>
      <c r="G51" s="56" cm="1">
        <f t="array" aca="1" ref="G51" ca="1">IF(ISNUMBER(_xll.VoseSimPercentile(B_SP,$B51)),_xll.VoseSimPercentile(B_SP,$B51),NA())</f>
        <v>2267.1673140787752</v>
      </c>
      <c r="H51" s="56" cm="1">
        <f t="array" aca="1" ref="H51" ca="1">IF(ISNUMBER(_xll.VoseSimPercentile(B_Rows,$B51)),_xll.VoseSimPercentile(B_Rows,$B51),NA())</f>
        <v>2264.7570709104707</v>
      </c>
    </row>
    <row r="52" spans="2:8" hidden="1" outlineLevel="1" x14ac:dyDescent="0.45">
      <c r="B52" s="55">
        <v>0.03</v>
      </c>
      <c r="C52" s="55">
        <f t="shared" si="0"/>
        <v>0.97</v>
      </c>
      <c r="D52" s="56" cm="1">
        <f t="array" aca="1" ref="D52" ca="1">IF(ISNUMBER(_xll.VoseSimPercentile(A_MC,$B52)),_xll.VoseSimPercentile(A_MC,$B52),NA())</f>
        <v>8418.5213259784541</v>
      </c>
      <c r="E52" s="56" cm="1">
        <f t="array" aca="1" ref="E52" ca="1">IF(ISNUMBER(_xll.VoseSimPercentile(A_FFTs,$B52)),_xll.VoseSimPercentile(A_FFTs,$B52),NA())</f>
        <v>8378.9004299787448</v>
      </c>
      <c r="F52" s="56">
        <f t="shared" si="1"/>
        <v>10943.548434988104</v>
      </c>
      <c r="G52" s="56" cm="1">
        <f t="array" aca="1" ref="G52" ca="1">IF(ISNUMBER(_xll.VoseSimPercentile(B_SP,$B52)),_xll.VoseSimPercentile(B_SP,$B52),NA())</f>
        <v>2388.8244861981798</v>
      </c>
      <c r="H52" s="56" cm="1">
        <f t="array" aca="1" ref="H52" ca="1">IF(ISNUMBER(_xll.VoseSimPercentile(B_Rows,$B52)),_xll.VoseSimPercentile(B_Rows,$B52),NA())</f>
        <v>2390.8145832902205</v>
      </c>
    </row>
    <row r="53" spans="2:8" hidden="1" outlineLevel="1" x14ac:dyDescent="0.45">
      <c r="B53" s="55">
        <v>0.05</v>
      </c>
      <c r="C53" s="55">
        <f t="shared" si="0"/>
        <v>0.95</v>
      </c>
      <c r="D53" s="56" cm="1">
        <f t="array" aca="1" ref="D53" ca="1">IF(ISNUMBER(_xll.VoseSimPercentile(A_MC,$B53)),_xll.VoseSimPercentile(A_MC,$B53),NA())</f>
        <v>8590.5714919808706</v>
      </c>
      <c r="E53" s="56" cm="1">
        <f t="array" aca="1" ref="E53" ca="1">IF(ISNUMBER(_xll.VoseSimPercentile(A_FFTs,$B53)),_xll.VoseSimPercentile(A_FFTs,$B53),NA())</f>
        <v>8547.0201051129498</v>
      </c>
      <c r="F53" s="56">
        <f t="shared" si="1"/>
        <v>10943.548434988104</v>
      </c>
      <c r="G53" s="56" cm="1">
        <f t="array" aca="1" ref="G53" ca="1">IF(ISNUMBER(_xll.VoseSimPercentile(B_SP,$B53)),_xll.VoseSimPercentile(B_SP,$B53),NA())</f>
        <v>2453.7159753215169</v>
      </c>
      <c r="H53" s="56" cm="1">
        <f t="array" aca="1" ref="H53" ca="1">IF(ISNUMBER(_xll.VoseSimPercentile(B_Rows,$B53)),_xll.VoseSimPercentile(B_Rows,$B53),NA())</f>
        <v>2454.3028819549786</v>
      </c>
    </row>
    <row r="54" spans="2:8" hidden="1" outlineLevel="1" x14ac:dyDescent="0.45">
      <c r="B54" s="55">
        <v>7.0000000000000007E-2</v>
      </c>
      <c r="C54" s="55">
        <f t="shared" si="0"/>
        <v>0.92999999999999994</v>
      </c>
      <c r="D54" s="56" cm="1">
        <f t="array" aca="1" ref="D54" ca="1">IF(ISNUMBER(_xll.VoseSimPercentile(A_MC,$B54)),_xll.VoseSimPercentile(A_MC,$B54),NA())</f>
        <v>8703.7689365151346</v>
      </c>
      <c r="E54" s="56" cm="1">
        <f t="array" aca="1" ref="E54" ca="1">IF(ISNUMBER(_xll.VoseSimPercentile(A_FFTs,$B54)),_xll.VoseSimPercentile(A_FFTs,$B54),NA())</f>
        <v>8673.0854469901878</v>
      </c>
      <c r="F54" s="56">
        <f t="shared" si="1"/>
        <v>10943.548434988104</v>
      </c>
      <c r="G54" s="56" cm="1">
        <f t="array" aca="1" ref="G54" ca="1">IF(ISNUMBER(_xll.VoseSimPercentile(B_SP,$B54)),_xll.VoseSimPercentile(B_SP,$B54),NA())</f>
        <v>2494.4880546279037</v>
      </c>
      <c r="H54" s="56" cm="1">
        <f t="array" aca="1" ref="H54" ca="1">IF(ISNUMBER(_xll.VoseSimPercentile(B_Rows,$B54)),_xll.VoseSimPercentile(B_Rows,$B54),NA())</f>
        <v>2495.4570113352693</v>
      </c>
    </row>
    <row r="55" spans="2:8" hidden="1" outlineLevel="1" x14ac:dyDescent="0.45">
      <c r="B55" s="55">
        <v>0.09</v>
      </c>
      <c r="C55" s="55">
        <f t="shared" si="0"/>
        <v>0.91</v>
      </c>
      <c r="D55" s="56" cm="1">
        <f t="array" aca="1" ref="D55" ca="1">IF(ISNUMBER(_xll.VoseSimPercentile(A_MC,$B55)),_xll.VoseSimPercentile(A_MC,$B55),NA())</f>
        <v>8796.3908312554959</v>
      </c>
      <c r="E55" s="56" cm="1">
        <f t="array" aca="1" ref="E55" ca="1">IF(ISNUMBER(_xll.VoseSimPercentile(A_FFTs,$B55)),_xll.VoseSimPercentile(A_FFTs,$B55),NA())</f>
        <v>8759.0867897394837</v>
      </c>
      <c r="F55" s="56">
        <f t="shared" si="1"/>
        <v>10943.548434988104</v>
      </c>
      <c r="G55" s="56" cm="1">
        <f t="array" aca="1" ref="G55" ca="1">IF(ISNUMBER(_xll.VoseSimPercentile(B_SP,$B55)),_xll.VoseSimPercentile(B_SP,$B55),NA())</f>
        <v>2527.2024154149426</v>
      </c>
      <c r="H55" s="56" cm="1">
        <f t="array" aca="1" ref="H55" ca="1">IF(ISNUMBER(_xll.VoseSimPercentile(B_Rows,$B55)),_xll.VoseSimPercentile(B_Rows,$B55),NA())</f>
        <v>2525.9929545398054</v>
      </c>
    </row>
    <row r="56" spans="2:8" hidden="1" outlineLevel="1" x14ac:dyDescent="0.45">
      <c r="B56" s="55">
        <v>0.11</v>
      </c>
      <c r="C56" s="55">
        <f t="shared" si="0"/>
        <v>0.89</v>
      </c>
      <c r="D56" s="56" cm="1">
        <f t="array" aca="1" ref="D56" ca="1">IF(ISNUMBER(_xll.VoseSimPercentile(A_MC,$B56)),_xll.VoseSimPercentile(A_MC,$B56),NA())</f>
        <v>8869.5017213768842</v>
      </c>
      <c r="E56" s="56" cm="1">
        <f t="array" aca="1" ref="E56" ca="1">IF(ISNUMBER(_xll.VoseSimPercentile(A_FFTs,$B56)),_xll.VoseSimPercentile(A_FFTs,$B56),NA())</f>
        <v>8849.2874635028329</v>
      </c>
      <c r="F56" s="56">
        <f t="shared" si="1"/>
        <v>10943.548434988104</v>
      </c>
      <c r="G56" s="56" cm="1">
        <f t="array" aca="1" ref="G56" ca="1">IF(ISNUMBER(_xll.VoseSimPercentile(B_SP,$B56)),_xll.VoseSimPercentile(B_SP,$B56),NA())</f>
        <v>2552.971165607928</v>
      </c>
      <c r="H56" s="56" cm="1">
        <f t="array" aca="1" ref="H56" ca="1">IF(ISNUMBER(_xll.VoseSimPercentile(B_Rows,$B56)),_xll.VoseSimPercentile(B_Rows,$B56),NA())</f>
        <v>2551.8175033479069</v>
      </c>
    </row>
    <row r="57" spans="2:8" hidden="1" outlineLevel="1" x14ac:dyDescent="0.45">
      <c r="B57" s="55">
        <v>0.13</v>
      </c>
      <c r="C57" s="55">
        <f t="shared" si="0"/>
        <v>0.87</v>
      </c>
      <c r="D57" s="56" cm="1">
        <f t="array" aca="1" ref="D57" ca="1">IF(ISNUMBER(_xll.VoseSimPercentile(A_MC,$B57)),_xll.VoseSimPercentile(A_MC,$B57),NA())</f>
        <v>8943.8812002855848</v>
      </c>
      <c r="E57" s="56" cm="1">
        <f t="array" aca="1" ref="E57" ca="1">IF(ISNUMBER(_xll.VoseSimPercentile(A_FFTs,$B57)),_xll.VoseSimPercentile(A_FFTs,$B57),NA())</f>
        <v>8921.5201756725346</v>
      </c>
      <c r="F57" s="56">
        <f t="shared" si="1"/>
        <v>10943.548434988104</v>
      </c>
      <c r="G57" s="56" cm="1">
        <f t="array" aca="1" ref="G57" ca="1">IF(ISNUMBER(_xll.VoseSimPercentile(B_SP,$B57)),_xll.VoseSimPercentile(B_SP,$B57),NA())</f>
        <v>2578.0418908317447</v>
      </c>
      <c r="H57" s="56" cm="1">
        <f t="array" aca="1" ref="H57" ca="1">IF(ISNUMBER(_xll.VoseSimPercentile(B_Rows,$B57)),_xll.VoseSimPercentile(B_Rows,$B57),NA())</f>
        <v>2580.3026640231901</v>
      </c>
    </row>
    <row r="58" spans="2:8" hidden="1" outlineLevel="1" x14ac:dyDescent="0.45">
      <c r="B58" s="55">
        <v>0.15</v>
      </c>
      <c r="C58" s="55">
        <f t="shared" si="0"/>
        <v>0.85</v>
      </c>
      <c r="D58" s="56" cm="1">
        <f t="array" aca="1" ref="D58" ca="1">IF(ISNUMBER(_xll.VoseSimPercentile(A_MC,$B58)),_xll.VoseSimPercentile(A_MC,$B58),NA())</f>
        <v>9006.286669764766</v>
      </c>
      <c r="E58" s="56" cm="1">
        <f t="array" aca="1" ref="E58" ca="1">IF(ISNUMBER(_xll.VoseSimPercentile(A_FFTs,$B58)),_xll.VoseSimPercentile(A_FFTs,$B58),NA())</f>
        <v>8987.7691188704703</v>
      </c>
      <c r="F58" s="56">
        <f t="shared" si="1"/>
        <v>10943.548434988104</v>
      </c>
      <c r="G58" s="56" cm="1">
        <f t="array" aca="1" ref="G58" ca="1">IF(ISNUMBER(_xll.VoseSimPercentile(B_SP,$B58)),_xll.VoseSimPercentile(B_SP,$B58),NA())</f>
        <v>2603.1098686631053</v>
      </c>
      <c r="H58" s="56" cm="1">
        <f t="array" aca="1" ref="H58" ca="1">IF(ISNUMBER(_xll.VoseSimPercentile(B_Rows,$B58)),_xll.VoseSimPercentile(B_Rows,$B58),NA())</f>
        <v>2605.4815932698561</v>
      </c>
    </row>
    <row r="59" spans="2:8" hidden="1" outlineLevel="1" x14ac:dyDescent="0.45">
      <c r="B59" s="55">
        <v>0.17</v>
      </c>
      <c r="C59" s="55">
        <f t="shared" si="0"/>
        <v>0.83</v>
      </c>
      <c r="D59" s="56" cm="1">
        <f t="array" aca="1" ref="D59" ca="1">IF(ISNUMBER(_xll.VoseSimPercentile(A_MC,$B59)),_xll.VoseSimPercentile(A_MC,$B59),NA())</f>
        <v>9065.1223030700912</v>
      </c>
      <c r="E59" s="56" cm="1">
        <f t="array" aca="1" ref="E59" ca="1">IF(ISNUMBER(_xll.VoseSimPercentile(A_FFTs,$B59)),_xll.VoseSimPercentile(A_FFTs,$B59),NA())</f>
        <v>9050.5019087913952</v>
      </c>
      <c r="F59" s="56">
        <f t="shared" si="1"/>
        <v>10943.548434988104</v>
      </c>
      <c r="G59" s="56" cm="1">
        <f t="array" aca="1" ref="G59" ca="1">IF(ISNUMBER(_xll.VoseSimPercentile(B_SP,$B59)),_xll.VoseSimPercentile(B_SP,$B59),NA())</f>
        <v>2621.226734259842</v>
      </c>
      <c r="H59" s="56" cm="1">
        <f t="array" aca="1" ref="H59" ca="1">IF(ISNUMBER(_xll.VoseSimPercentile(B_Rows,$B59)),_xll.VoseSimPercentile(B_Rows,$B59),NA())</f>
        <v>2625.5565551806517</v>
      </c>
    </row>
    <row r="60" spans="2:8" hidden="1" outlineLevel="1" x14ac:dyDescent="0.45">
      <c r="B60" s="55">
        <v>0.19</v>
      </c>
      <c r="C60" s="55">
        <f t="shared" si="0"/>
        <v>0.81</v>
      </c>
      <c r="D60" s="56" cm="1">
        <f t="array" aca="1" ref="D60" ca="1">IF(ISNUMBER(_xll.VoseSimPercentile(A_MC,$B60)),_xll.VoseSimPercentile(A_MC,$B60),NA())</f>
        <v>9120.820786551636</v>
      </c>
      <c r="E60" s="56" cm="1">
        <f t="array" aca="1" ref="E60" ca="1">IF(ISNUMBER(_xll.VoseSimPercentile(A_FFTs,$B60)),_xll.VoseSimPercentile(A_FFTs,$B60),NA())</f>
        <v>9106.764506034644</v>
      </c>
      <c r="F60" s="56">
        <f t="shared" si="1"/>
        <v>10943.548434988104</v>
      </c>
      <c r="G60" s="56" cm="1">
        <f t="array" aca="1" ref="G60" ca="1">IF(ISNUMBER(_xll.VoseSimPercentile(B_SP,$B60)),_xll.VoseSimPercentile(B_SP,$B60),NA())</f>
        <v>2640.229403001621</v>
      </c>
      <c r="H60" s="56" cm="1">
        <f t="array" aca="1" ref="H60" ca="1">IF(ISNUMBER(_xll.VoseSimPercentile(B_Rows,$B60)),_xll.VoseSimPercentile(B_Rows,$B60),NA())</f>
        <v>2644.8025745960135</v>
      </c>
    </row>
    <row r="61" spans="2:8" hidden="1" outlineLevel="1" x14ac:dyDescent="0.45">
      <c r="B61" s="55">
        <v>0.21</v>
      </c>
      <c r="C61" s="55">
        <f t="shared" si="0"/>
        <v>0.79</v>
      </c>
      <c r="D61" s="56" cm="1">
        <f t="array" aca="1" ref="D61" ca="1">IF(ISNUMBER(_xll.VoseSimPercentile(A_MC,$B61)),_xll.VoseSimPercentile(A_MC,$B61),NA())</f>
        <v>9172.9898344836838</v>
      </c>
      <c r="E61" s="56" cm="1">
        <f t="array" aca="1" ref="E61" ca="1">IF(ISNUMBER(_xll.VoseSimPercentile(A_FFTs,$B61)),_xll.VoseSimPercentile(A_FFTs,$B61),NA())</f>
        <v>9160.4087531671048</v>
      </c>
      <c r="F61" s="56">
        <f t="shared" si="1"/>
        <v>10943.548434988104</v>
      </c>
      <c r="G61" s="56" cm="1">
        <f t="array" aca="1" ref="G61" ca="1">IF(ISNUMBER(_xll.VoseSimPercentile(B_SP,$B61)),_xll.VoseSimPercentile(B_SP,$B61),NA())</f>
        <v>2658.4813570840911</v>
      </c>
      <c r="H61" s="56" cm="1">
        <f t="array" aca="1" ref="H61" ca="1">IF(ISNUMBER(_xll.VoseSimPercentile(B_Rows,$B61)),_xll.VoseSimPercentile(B_Rows,$B61),NA())</f>
        <v>2660.5163691541661</v>
      </c>
    </row>
    <row r="62" spans="2:8" hidden="1" outlineLevel="1" x14ac:dyDescent="0.45">
      <c r="B62" s="55">
        <v>0.23</v>
      </c>
      <c r="C62" s="55">
        <f t="shared" si="0"/>
        <v>0.77</v>
      </c>
      <c r="D62" s="56" cm="1">
        <f t="array" aca="1" ref="D62" ca="1">IF(ISNUMBER(_xll.VoseSimPercentile(A_MC,$B62)),_xll.VoseSimPercentile(A_MC,$B62),NA())</f>
        <v>9217.9658613707506</v>
      </c>
      <c r="E62" s="56" cm="1">
        <f t="array" aca="1" ref="E62" ca="1">IF(ISNUMBER(_xll.VoseSimPercentile(A_FFTs,$B62)),_xll.VoseSimPercentile(A_FFTs,$B62),NA())</f>
        <v>9212.6574432688558</v>
      </c>
      <c r="F62" s="56">
        <f t="shared" si="1"/>
        <v>10943.548434988104</v>
      </c>
      <c r="G62" s="56" cm="1">
        <f t="array" aca="1" ref="G62" ca="1">IF(ISNUMBER(_xll.VoseSimPercentile(B_SP,$B62)),_xll.VoseSimPercentile(B_SP,$B62),NA())</f>
        <v>2677.3073676616236</v>
      </c>
      <c r="H62" s="56" cm="1">
        <f t="array" aca="1" ref="H62" ca="1">IF(ISNUMBER(_xll.VoseSimPercentile(B_Rows,$B62)),_xll.VoseSimPercentile(B_Rows,$B62),NA())</f>
        <v>2679.8457799580424</v>
      </c>
    </row>
    <row r="63" spans="2:8" hidden="1" outlineLevel="1" x14ac:dyDescent="0.45">
      <c r="B63" s="55">
        <v>0.25</v>
      </c>
      <c r="C63" s="55">
        <f t="shared" si="0"/>
        <v>0.75</v>
      </c>
      <c r="D63" s="56" cm="1">
        <f t="array" aca="1" ref="D63" ca="1">IF(ISNUMBER(_xll.VoseSimPercentile(A_MC,$B63)),_xll.VoseSimPercentile(A_MC,$B63),NA())</f>
        <v>9264.2977052098813</v>
      </c>
      <c r="E63" s="56" cm="1">
        <f t="array" aca="1" ref="E63" ca="1">IF(ISNUMBER(_xll.VoseSimPercentile(A_FFTs,$B63)),_xll.VoseSimPercentile(A_FFTs,$B63),NA())</f>
        <v>9258.9192146373807</v>
      </c>
      <c r="F63" s="56">
        <f t="shared" si="1"/>
        <v>10943.548434988104</v>
      </c>
      <c r="G63" s="56" cm="1">
        <f t="array" aca="1" ref="G63" ca="1">IF(ISNUMBER(_xll.VoseSimPercentile(B_SP,$B63)),_xll.VoseSimPercentile(B_SP,$B63),NA())</f>
        <v>2694.8726991509557</v>
      </c>
      <c r="H63" s="56" cm="1">
        <f t="array" aca="1" ref="H63" ca="1">IF(ISNUMBER(_xll.VoseSimPercentile(B_Rows,$B63)),_xll.VoseSimPercentile(B_Rows,$B63),NA())</f>
        <v>2694.7495431277794</v>
      </c>
    </row>
    <row r="64" spans="2:8" hidden="1" outlineLevel="1" x14ac:dyDescent="0.45">
      <c r="B64" s="55">
        <v>0.27</v>
      </c>
      <c r="C64" s="55">
        <f t="shared" si="0"/>
        <v>0.73</v>
      </c>
      <c r="D64" s="56" cm="1">
        <f t="array" aca="1" ref="D64" ca="1">IF(ISNUMBER(_xll.VoseSimPercentile(A_MC,$B64)),_xll.VoseSimPercentile(A_MC,$B64),NA())</f>
        <v>9301.8975535615446</v>
      </c>
      <c r="E64" s="56" cm="1">
        <f t="array" aca="1" ref="E64" ca="1">IF(ISNUMBER(_xll.VoseSimPercentile(A_FFTs,$B64)),_xll.VoseSimPercentile(A_FFTs,$B64),NA())</f>
        <v>9299.3664525159129</v>
      </c>
      <c r="F64" s="56">
        <f t="shared" si="1"/>
        <v>10943.548434988104</v>
      </c>
      <c r="G64" s="56" cm="1">
        <f t="array" aca="1" ref="G64" ca="1">IF(ISNUMBER(_xll.VoseSimPercentile(B_SP,$B64)),_xll.VoseSimPercentile(B_SP,$B64),NA())</f>
        <v>2712.5886839069112</v>
      </c>
      <c r="H64" s="56" cm="1">
        <f t="array" aca="1" ref="H64" ca="1">IF(ISNUMBER(_xll.VoseSimPercentile(B_Rows,$B64)),_xll.VoseSimPercentile(B_Rows,$B64),NA())</f>
        <v>2709.1897969326533</v>
      </c>
    </row>
    <row r="65" spans="2:8" hidden="1" outlineLevel="1" x14ac:dyDescent="0.45">
      <c r="B65" s="55">
        <v>0.28999999999999998</v>
      </c>
      <c r="C65" s="55">
        <f t="shared" si="0"/>
        <v>0.71</v>
      </c>
      <c r="D65" s="56" cm="1">
        <f t="array" aca="1" ref="D65" ca="1">IF(ISNUMBER(_xll.VoseSimPercentile(A_MC,$B65)),_xll.VoseSimPercentile(A_MC,$B65),NA())</f>
        <v>9345.6161786286593</v>
      </c>
      <c r="E65" s="56" cm="1">
        <f t="array" aca="1" ref="E65" ca="1">IF(ISNUMBER(_xll.VoseSimPercentile(A_FFTs,$B65)),_xll.VoseSimPercentile(A_FFTs,$B65),NA())</f>
        <v>9337.7267287369341</v>
      </c>
      <c r="F65" s="56">
        <f t="shared" si="1"/>
        <v>10943.548434988104</v>
      </c>
      <c r="G65" s="56" cm="1">
        <f t="array" aca="1" ref="G65" ca="1">IF(ISNUMBER(_xll.VoseSimPercentile(B_SP,$B65)),_xll.VoseSimPercentile(B_SP,$B65),NA())</f>
        <v>2727.8256597512382</v>
      </c>
      <c r="H65" s="56" cm="1">
        <f t="array" aca="1" ref="H65" ca="1">IF(ISNUMBER(_xll.VoseSimPercentile(B_Rows,$B65)),_xll.VoseSimPercentile(B_Rows,$B65),NA())</f>
        <v>2723.5581457183498</v>
      </c>
    </row>
    <row r="66" spans="2:8" hidden="1" outlineLevel="1" x14ac:dyDescent="0.45">
      <c r="B66" s="55">
        <v>0.31</v>
      </c>
      <c r="C66" s="55">
        <f t="shared" si="0"/>
        <v>0.69</v>
      </c>
      <c r="D66" s="56" cm="1">
        <f t="array" aca="1" ref="D66" ca="1">IF(ISNUMBER(_xll.VoseSimPercentile(A_MC,$B66)),_xll.VoseSimPercentile(A_MC,$B66),NA())</f>
        <v>9386.5743226783197</v>
      </c>
      <c r="E66" s="56" cm="1">
        <f t="array" aca="1" ref="E66" ca="1">IF(ISNUMBER(_xll.VoseSimPercentile(A_FFTs,$B66)),_xll.VoseSimPercentile(A_FFTs,$B66),NA())</f>
        <v>9379.3001625451816</v>
      </c>
      <c r="F66" s="56">
        <f t="shared" si="1"/>
        <v>10943.548434988104</v>
      </c>
      <c r="G66" s="56" cm="1">
        <f t="array" aca="1" ref="G66" ca="1">IF(ISNUMBER(_xll.VoseSimPercentile(B_SP,$B66)),_xll.VoseSimPercentile(B_SP,$B66),NA())</f>
        <v>2743.1925642851411</v>
      </c>
      <c r="H66" s="56" cm="1">
        <f t="array" aca="1" ref="H66" ca="1">IF(ISNUMBER(_xll.VoseSimPercentile(B_Rows,$B66)),_xll.VoseSimPercentile(B_Rows,$B66),NA())</f>
        <v>2740.4740742726294</v>
      </c>
    </row>
    <row r="67" spans="2:8" hidden="1" outlineLevel="1" x14ac:dyDescent="0.45">
      <c r="B67" s="55">
        <v>0.33</v>
      </c>
      <c r="C67" s="55">
        <f t="shared" si="0"/>
        <v>0.66999999999999993</v>
      </c>
      <c r="D67" s="56" cm="1">
        <f t="array" aca="1" ref="D67" ca="1">IF(ISNUMBER(_xll.VoseSimPercentile(A_MC,$B67)),_xll.VoseSimPercentile(A_MC,$B67),NA())</f>
        <v>9427.2274435938489</v>
      </c>
      <c r="E67" s="56" cm="1">
        <f t="array" aca="1" ref="E67" ca="1">IF(ISNUMBER(_xll.VoseSimPercentile(A_FFTs,$B67)),_xll.VoseSimPercentile(A_FFTs,$B67),NA())</f>
        <v>9415.2993188323453</v>
      </c>
      <c r="F67" s="56">
        <f t="shared" si="1"/>
        <v>10943.548434988104</v>
      </c>
      <c r="G67" s="56" cm="1">
        <f t="array" aca="1" ref="G67" ca="1">IF(ISNUMBER(_xll.VoseSimPercentile(B_SP,$B67)),_xll.VoseSimPercentile(B_SP,$B67),NA())</f>
        <v>2756.7492622745663</v>
      </c>
      <c r="H67" s="56" cm="1">
        <f t="array" aca="1" ref="H67" ca="1">IF(ISNUMBER(_xll.VoseSimPercentile(B_Rows,$B67)),_xll.VoseSimPercentile(B_Rows,$B67),NA())</f>
        <v>2755.7769230501408</v>
      </c>
    </row>
    <row r="68" spans="2:8" hidden="1" outlineLevel="1" x14ac:dyDescent="0.45">
      <c r="B68" s="55">
        <v>0.35</v>
      </c>
      <c r="C68" s="55">
        <f t="shared" si="0"/>
        <v>0.65</v>
      </c>
      <c r="D68" s="56" cm="1">
        <f t="array" aca="1" ref="D68" ca="1">IF(ISNUMBER(_xll.VoseSimPercentile(A_MC,$B68)),_xll.VoseSimPercentile(A_MC,$B68),NA())</f>
        <v>9466.7282005923571</v>
      </c>
      <c r="E68" s="56" cm="1">
        <f t="array" aca="1" ref="E68" ca="1">IF(ISNUMBER(_xll.VoseSimPercentile(A_FFTs,$B68)),_xll.VoseSimPercentile(A_FFTs,$B68),NA())</f>
        <v>9454.9157546864062</v>
      </c>
      <c r="F68" s="56">
        <f t="shared" si="1"/>
        <v>10943.548434988104</v>
      </c>
      <c r="G68" s="56" cm="1">
        <f t="array" aca="1" ref="G68" ca="1">IF(ISNUMBER(_xll.VoseSimPercentile(B_SP,$B68)),_xll.VoseSimPercentile(B_SP,$B68),NA())</f>
        <v>2771.6171262593248</v>
      </c>
      <c r="H68" s="56" cm="1">
        <f t="array" aca="1" ref="H68" ca="1">IF(ISNUMBER(_xll.VoseSimPercentile(B_Rows,$B68)),_xll.VoseSimPercentile(B_Rows,$B68),NA())</f>
        <v>2770.1085242413669</v>
      </c>
    </row>
    <row r="69" spans="2:8" hidden="1" outlineLevel="1" x14ac:dyDescent="0.45">
      <c r="B69" s="55">
        <v>0.37</v>
      </c>
      <c r="C69" s="55">
        <f t="shared" si="0"/>
        <v>0.63</v>
      </c>
      <c r="D69" s="56" cm="1">
        <f t="array" aca="1" ref="D69" ca="1">IF(ISNUMBER(_xll.VoseSimPercentile(A_MC,$B69)),_xll.VoseSimPercentile(A_MC,$B69),NA())</f>
        <v>9500.7438921123485</v>
      </c>
      <c r="E69" s="56" cm="1">
        <f t="array" aca="1" ref="E69" ca="1">IF(ISNUMBER(_xll.VoseSimPercentile(A_FFTs,$B69)),_xll.VoseSimPercentile(A_FFTs,$B69),NA())</f>
        <v>9487.8309852909006</v>
      </c>
      <c r="F69" s="56">
        <f t="shared" si="1"/>
        <v>10943.548434988104</v>
      </c>
      <c r="G69" s="56" cm="1">
        <f t="array" aca="1" ref="G69" ca="1">IF(ISNUMBER(_xll.VoseSimPercentile(B_SP,$B69)),_xll.VoseSimPercentile(B_SP,$B69),NA())</f>
        <v>2783.868592285819</v>
      </c>
      <c r="H69" s="56" cm="1">
        <f t="array" aca="1" ref="H69" ca="1">IF(ISNUMBER(_xll.VoseSimPercentile(B_Rows,$B69)),_xll.VoseSimPercentile(B_Rows,$B69),NA())</f>
        <v>2784.7020091238851</v>
      </c>
    </row>
    <row r="70" spans="2:8" hidden="1" outlineLevel="1" x14ac:dyDescent="0.45">
      <c r="B70" s="55">
        <v>0.39</v>
      </c>
      <c r="C70" s="55">
        <f t="shared" si="0"/>
        <v>0.61</v>
      </c>
      <c r="D70" s="56" cm="1">
        <f t="array" aca="1" ref="D70" ca="1">IF(ISNUMBER(_xll.VoseSimPercentile(A_MC,$B70)),_xll.VoseSimPercentile(A_MC,$B70),NA())</f>
        <v>9537.7379419209901</v>
      </c>
      <c r="E70" s="56" cm="1">
        <f t="array" aca="1" ref="E70" ca="1">IF(ISNUMBER(_xll.VoseSimPercentile(A_FFTs,$B70)),_xll.VoseSimPercentile(A_FFTs,$B70),NA())</f>
        <v>9523.1077939562365</v>
      </c>
      <c r="F70" s="56">
        <f t="shared" si="1"/>
        <v>10943.548434988104</v>
      </c>
      <c r="G70" s="56" cm="1">
        <f t="array" aca="1" ref="G70" ca="1">IF(ISNUMBER(_xll.VoseSimPercentile(B_SP,$B70)),_xll.VoseSimPercentile(B_SP,$B70),NA())</f>
        <v>2798.8927292740541</v>
      </c>
      <c r="H70" s="56" cm="1">
        <f t="array" aca="1" ref="H70" ca="1">IF(ISNUMBER(_xll.VoseSimPercentile(B_Rows,$B70)),_xll.VoseSimPercentile(B_Rows,$B70),NA())</f>
        <v>2799.3659318127457</v>
      </c>
    </row>
    <row r="71" spans="2:8" hidden="1" outlineLevel="1" x14ac:dyDescent="0.45">
      <c r="B71" s="55">
        <v>0.41</v>
      </c>
      <c r="C71" s="55">
        <f t="shared" si="0"/>
        <v>0.59000000000000008</v>
      </c>
      <c r="D71" s="56" cm="1">
        <f t="array" aca="1" ref="D71" ca="1">IF(ISNUMBER(_xll.VoseSimPercentile(A_MC,$B71)),_xll.VoseSimPercentile(A_MC,$B71),NA())</f>
        <v>9578.5711786803877</v>
      </c>
      <c r="E71" s="56" cm="1">
        <f t="array" aca="1" ref="E71" ca="1">IF(ISNUMBER(_xll.VoseSimPercentile(A_FFTs,$B71)),_xll.VoseSimPercentile(A_FFTs,$B71),NA())</f>
        <v>9561.1699406123244</v>
      </c>
      <c r="F71" s="56">
        <f t="shared" si="1"/>
        <v>10943.548434988104</v>
      </c>
      <c r="G71" s="56" cm="1">
        <f t="array" aca="1" ref="G71" ca="1">IF(ISNUMBER(_xll.VoseSimPercentile(B_SP,$B71)),_xll.VoseSimPercentile(B_SP,$B71),NA())</f>
        <v>2811.8692044921677</v>
      </c>
      <c r="H71" s="56" cm="1">
        <f t="array" aca="1" ref="H71" ca="1">IF(ISNUMBER(_xll.VoseSimPercentile(B_Rows,$B71)),_xll.VoseSimPercentile(B_Rows,$B71),NA())</f>
        <v>2814.2729786632212</v>
      </c>
    </row>
    <row r="72" spans="2:8" hidden="1" outlineLevel="1" x14ac:dyDescent="0.45">
      <c r="B72" s="55">
        <v>0.43</v>
      </c>
      <c r="C72" s="55">
        <f t="shared" si="0"/>
        <v>0.57000000000000006</v>
      </c>
      <c r="D72" s="56" cm="1">
        <f t="array" aca="1" ref="D72" ca="1">IF(ISNUMBER(_xll.VoseSimPercentile(A_MC,$B72)),_xll.VoseSimPercentile(A_MC,$B72),NA())</f>
        <v>9617.4226536940223</v>
      </c>
      <c r="E72" s="56" cm="1">
        <f t="array" aca="1" ref="E72" ca="1">IF(ISNUMBER(_xll.VoseSimPercentile(A_FFTs,$B72)),_xll.VoseSimPercentile(A_FFTs,$B72),NA())</f>
        <v>9600.0636263282377</v>
      </c>
      <c r="F72" s="56">
        <f t="shared" si="1"/>
        <v>10943.548434988104</v>
      </c>
      <c r="G72" s="56" cm="1">
        <f t="array" aca="1" ref="G72" ca="1">IF(ISNUMBER(_xll.VoseSimPercentile(B_SP,$B72)),_xll.VoseSimPercentile(B_SP,$B72),NA())</f>
        <v>2825.616162786831</v>
      </c>
      <c r="H72" s="56" cm="1">
        <f t="array" aca="1" ref="H72" ca="1">IF(ISNUMBER(_xll.VoseSimPercentile(B_Rows,$B72)),_xll.VoseSimPercentile(B_Rows,$B72),NA())</f>
        <v>2827.8993532989325</v>
      </c>
    </row>
    <row r="73" spans="2:8" hidden="1" outlineLevel="1" x14ac:dyDescent="0.45">
      <c r="B73" s="55">
        <v>0.45</v>
      </c>
      <c r="C73" s="55">
        <f t="shared" si="0"/>
        <v>0.55000000000000004</v>
      </c>
      <c r="D73" s="56" cm="1">
        <f t="array" aca="1" ref="D73" ca="1">IF(ISNUMBER(_xll.VoseSimPercentile(A_MC,$B73)),_xll.VoseSimPercentile(A_MC,$B73),NA())</f>
        <v>9652.9017130381562</v>
      </c>
      <c r="E73" s="56" cm="1">
        <f t="array" aca="1" ref="E73" ca="1">IF(ISNUMBER(_xll.VoseSimPercentile(A_FFTs,$B73)),_xll.VoseSimPercentile(A_FFTs,$B73),NA())</f>
        <v>9635.9447939917918</v>
      </c>
      <c r="F73" s="56">
        <f t="shared" si="1"/>
        <v>10943.548434988104</v>
      </c>
      <c r="G73" s="56" cm="1">
        <f t="array" aca="1" ref="G73" ca="1">IF(ISNUMBER(_xll.VoseSimPercentile(B_SP,$B73)),_xll.VoseSimPercentile(B_SP,$B73),NA())</f>
        <v>2839.8763964957443</v>
      </c>
      <c r="H73" s="56" cm="1">
        <f t="array" aca="1" ref="H73" ca="1">IF(ISNUMBER(_xll.VoseSimPercentile(B_Rows,$B73)),_xll.VoseSimPercentile(B_Rows,$B73),NA())</f>
        <v>2840.0518422106124</v>
      </c>
    </row>
    <row r="74" spans="2:8" hidden="1" outlineLevel="1" x14ac:dyDescent="0.45">
      <c r="B74" s="55">
        <v>0.47</v>
      </c>
      <c r="C74" s="55">
        <f t="shared" si="0"/>
        <v>0.53</v>
      </c>
      <c r="D74" s="56" cm="1">
        <f t="array" aca="1" ref="D74" ca="1">IF(ISNUMBER(_xll.VoseSimPercentile(A_MC,$B74)),_xll.VoseSimPercentile(A_MC,$B74),NA())</f>
        <v>9688.6645915052231</v>
      </c>
      <c r="E74" s="56" cm="1">
        <f t="array" aca="1" ref="E74" ca="1">IF(ISNUMBER(_xll.VoseSimPercentile(A_FFTs,$B74)),_xll.VoseSimPercentile(A_FFTs,$B74),NA())</f>
        <v>9673.2744552256499</v>
      </c>
      <c r="F74" s="56">
        <f t="shared" si="1"/>
        <v>10943.548434988104</v>
      </c>
      <c r="G74" s="56" cm="1">
        <f t="array" aca="1" ref="G74" ca="1">IF(ISNUMBER(_xll.VoseSimPercentile(B_SP,$B74)),_xll.VoseSimPercentile(B_SP,$B74),NA())</f>
        <v>2851.8887564154343</v>
      </c>
      <c r="H74" s="56" cm="1">
        <f t="array" aca="1" ref="H74" ca="1">IF(ISNUMBER(_xll.VoseSimPercentile(B_Rows,$B74)),_xll.VoseSimPercentile(B_Rows,$B74),NA())</f>
        <v>2853.4604085035521</v>
      </c>
    </row>
    <row r="75" spans="2:8" hidden="1" outlineLevel="1" x14ac:dyDescent="0.45">
      <c r="B75" s="55">
        <v>0.49</v>
      </c>
      <c r="C75" s="55">
        <f t="shared" si="0"/>
        <v>0.51</v>
      </c>
      <c r="D75" s="56" cm="1">
        <f t="array" aca="1" ref="D75" ca="1">IF(ISNUMBER(_xll.VoseSimPercentile(A_MC,$B75)),_xll.VoseSimPercentile(A_MC,$B75),NA())</f>
        <v>9725.9808670115181</v>
      </c>
      <c r="E75" s="56" cm="1">
        <f t="array" aca="1" ref="E75" ca="1">IF(ISNUMBER(_xll.VoseSimPercentile(A_FFTs,$B75)),_xll.VoseSimPercentile(A_FFTs,$B75),NA())</f>
        <v>9708.671162300423</v>
      </c>
      <c r="F75" s="56">
        <f t="shared" si="1"/>
        <v>10943.548434988104</v>
      </c>
      <c r="G75" s="56" cm="1">
        <f t="array" aca="1" ref="G75" ca="1">IF(ISNUMBER(_xll.VoseSimPercentile(B_SP,$B75)),_xll.VoseSimPercentile(B_SP,$B75),NA())</f>
        <v>2864.7311161614284</v>
      </c>
      <c r="H75" s="56" cm="1">
        <f t="array" aca="1" ref="H75" ca="1">IF(ISNUMBER(_xll.VoseSimPercentile(B_Rows,$B75)),_xll.VoseSimPercentile(B_Rows,$B75),NA())</f>
        <v>2866.8460159296837</v>
      </c>
    </row>
    <row r="76" spans="2:8" hidden="1" outlineLevel="1" x14ac:dyDescent="0.45">
      <c r="B76" s="55">
        <v>0.51</v>
      </c>
      <c r="C76" s="55">
        <f t="shared" si="0"/>
        <v>0.49</v>
      </c>
      <c r="D76" s="56" cm="1">
        <f t="array" aca="1" ref="D76" ca="1">IF(ISNUMBER(_xll.VoseSimPercentile(A_MC,$B76)),_xll.VoseSimPercentile(A_MC,$B76),NA())</f>
        <v>9763.8590544155395</v>
      </c>
      <c r="E76" s="56" cm="1">
        <f t="array" aca="1" ref="E76" ca="1">IF(ISNUMBER(_xll.VoseSimPercentile(A_FFTs,$B76)),_xll.VoseSimPercentile(A_FFTs,$B76),NA())</f>
        <v>9745.1959135642537</v>
      </c>
      <c r="F76" s="56">
        <f t="shared" si="1"/>
        <v>10943.548434988104</v>
      </c>
      <c r="G76" s="56" cm="1">
        <f t="array" aca="1" ref="G76" ca="1">IF(ISNUMBER(_xll.VoseSimPercentile(B_SP,$B76)),_xll.VoseSimPercentile(B_SP,$B76),NA())</f>
        <v>2877.2351666331133</v>
      </c>
      <c r="H76" s="56" cm="1">
        <f t="array" aca="1" ref="H76" ca="1">IF(ISNUMBER(_xll.VoseSimPercentile(B_Rows,$B76)),_xll.VoseSimPercentile(B_Rows,$B76),NA())</f>
        <v>2881.6137189055517</v>
      </c>
    </row>
    <row r="77" spans="2:8" hidden="1" outlineLevel="1" x14ac:dyDescent="0.45">
      <c r="B77" s="55">
        <v>0.53</v>
      </c>
      <c r="C77" s="55">
        <f t="shared" si="0"/>
        <v>0.47</v>
      </c>
      <c r="D77" s="56" cm="1">
        <f t="array" aca="1" ref="D77" ca="1">IF(ISNUMBER(_xll.VoseSimPercentile(A_MC,$B77)),_xll.VoseSimPercentile(A_MC,$B77),NA())</f>
        <v>9796.2981670943718</v>
      </c>
      <c r="E77" s="56" cm="1">
        <f t="array" aca="1" ref="E77" ca="1">IF(ISNUMBER(_xll.VoseSimPercentile(A_FFTs,$B77)),_xll.VoseSimPercentile(A_FFTs,$B77),NA())</f>
        <v>9782.4556345171313</v>
      </c>
      <c r="F77" s="56">
        <f t="shared" si="1"/>
        <v>10943.548434988104</v>
      </c>
      <c r="G77" s="56" cm="1">
        <f t="array" aca="1" ref="G77" ca="1">IF(ISNUMBER(_xll.VoseSimPercentile(B_SP,$B77)),_xll.VoseSimPercentile(B_SP,$B77),NA())</f>
        <v>2889.7425912149529</v>
      </c>
      <c r="H77" s="56" cm="1">
        <f t="array" aca="1" ref="H77" ca="1">IF(ISNUMBER(_xll.VoseSimPercentile(B_Rows,$B77)),_xll.VoseSimPercentile(B_Rows,$B77),NA())</f>
        <v>2894.2824627581131</v>
      </c>
    </row>
    <row r="78" spans="2:8" hidden="1" outlineLevel="1" x14ac:dyDescent="0.45">
      <c r="B78" s="55">
        <v>0.55000000000000004</v>
      </c>
      <c r="C78" s="55">
        <f t="shared" si="0"/>
        <v>0.44999999999999996</v>
      </c>
      <c r="D78" s="56" cm="1">
        <f t="array" aca="1" ref="D78" ca="1">IF(ISNUMBER(_xll.VoseSimPercentile(A_MC,$B78)),_xll.VoseSimPercentile(A_MC,$B78),NA())</f>
        <v>9837.861184880403</v>
      </c>
      <c r="E78" s="56" cm="1">
        <f t="array" aca="1" ref="E78" ca="1">IF(ISNUMBER(_xll.VoseSimPercentile(A_FFTs,$B78)),_xll.VoseSimPercentile(A_FFTs,$B78),NA())</f>
        <v>9817.5347673834913</v>
      </c>
      <c r="F78" s="56">
        <f t="shared" si="1"/>
        <v>10943.548434988104</v>
      </c>
      <c r="G78" s="56" cm="1">
        <f t="array" aca="1" ref="G78" ca="1">IF(ISNUMBER(_xll.VoseSimPercentile(B_SP,$B78)),_xll.VoseSimPercentile(B_SP,$B78),NA())</f>
        <v>2903.5104115361164</v>
      </c>
      <c r="H78" s="56" cm="1">
        <f t="array" aca="1" ref="H78" ca="1">IF(ISNUMBER(_xll.VoseSimPercentile(B_Rows,$B78)),_xll.VoseSimPercentile(B_Rows,$B78),NA())</f>
        <v>2906.929065980109</v>
      </c>
    </row>
    <row r="79" spans="2:8" hidden="1" outlineLevel="1" x14ac:dyDescent="0.45">
      <c r="B79" s="55">
        <v>0.56999999999999995</v>
      </c>
      <c r="C79" s="55">
        <f t="shared" si="0"/>
        <v>0.43000000000000005</v>
      </c>
      <c r="D79" s="56" cm="1">
        <f t="array" aca="1" ref="D79" ca="1">IF(ISNUMBER(_xll.VoseSimPercentile(A_MC,$B79)),_xll.VoseSimPercentile(A_MC,$B79),NA())</f>
        <v>9876.6964881206768</v>
      </c>
      <c r="E79" s="56" cm="1">
        <f t="array" aca="1" ref="E79" ca="1">IF(ISNUMBER(_xll.VoseSimPercentile(A_FFTs,$B79)),_xll.VoseSimPercentile(A_FFTs,$B79),NA())</f>
        <v>9854.3551883053606</v>
      </c>
      <c r="F79" s="56">
        <f t="shared" si="1"/>
        <v>10943.548434988104</v>
      </c>
      <c r="G79" s="56" cm="1">
        <f t="array" aca="1" ref="G79" ca="1">IF(ISNUMBER(_xll.VoseSimPercentile(B_SP,$B79)),_xll.VoseSimPercentile(B_SP,$B79),NA())</f>
        <v>2918.3583491633221</v>
      </c>
      <c r="H79" s="56" cm="1">
        <f t="array" aca="1" ref="H79" ca="1">IF(ISNUMBER(_xll.VoseSimPercentile(B_Rows,$B79)),_xll.VoseSimPercentile(B_Rows,$B79),NA())</f>
        <v>2920.3343988027918</v>
      </c>
    </row>
    <row r="80" spans="2:8" hidden="1" outlineLevel="1" x14ac:dyDescent="0.45">
      <c r="B80" s="55">
        <v>0.59</v>
      </c>
      <c r="C80" s="55">
        <f t="shared" si="0"/>
        <v>0.41000000000000003</v>
      </c>
      <c r="D80" s="56" cm="1">
        <f t="array" aca="1" ref="D80" ca="1">IF(ISNUMBER(_xll.VoseSimPercentile(A_MC,$B80)),_xll.VoseSimPercentile(A_MC,$B80),NA())</f>
        <v>9919.7442143204007</v>
      </c>
      <c r="E80" s="56" cm="1">
        <f t="array" aca="1" ref="E80" ca="1">IF(ISNUMBER(_xll.VoseSimPercentile(A_FFTs,$B80)),_xll.VoseSimPercentile(A_FFTs,$B80),NA())</f>
        <v>9890.6064865543867</v>
      </c>
      <c r="F80" s="56">
        <f t="shared" si="1"/>
        <v>10943.548434988104</v>
      </c>
      <c r="G80" s="56" cm="1">
        <f t="array" aca="1" ref="G80" ca="1">IF(ISNUMBER(_xll.VoseSimPercentile(B_SP,$B80)),_xll.VoseSimPercentile(B_SP,$B80),NA())</f>
        <v>2932.8669405465021</v>
      </c>
      <c r="H80" s="56" cm="1">
        <f t="array" aca="1" ref="H80" ca="1">IF(ISNUMBER(_xll.VoseSimPercentile(B_Rows,$B80)),_xll.VoseSimPercentile(B_Rows,$B80),NA())</f>
        <v>2932.6063382752545</v>
      </c>
    </row>
    <row r="81" spans="2:8" hidden="1" outlineLevel="1" x14ac:dyDescent="0.45">
      <c r="B81" s="55">
        <v>0.61</v>
      </c>
      <c r="C81" s="55">
        <f t="shared" si="0"/>
        <v>0.39</v>
      </c>
      <c r="D81" s="56" cm="1">
        <f t="array" aca="1" ref="D81" ca="1">IF(ISNUMBER(_xll.VoseSimPercentile(A_MC,$B81)),_xll.VoseSimPercentile(A_MC,$B81),NA())</f>
        <v>9959.6808160704277</v>
      </c>
      <c r="E81" s="56" cm="1">
        <f t="array" aca="1" ref="E81" ca="1">IF(ISNUMBER(_xll.VoseSimPercentile(A_FFTs,$B81)),_xll.VoseSimPercentile(A_FFTs,$B81),NA())</f>
        <v>9929.1342452910103</v>
      </c>
      <c r="F81" s="56">
        <f t="shared" si="1"/>
        <v>10943.548434988104</v>
      </c>
      <c r="G81" s="56" cm="1">
        <f t="array" aca="1" ref="G81" ca="1">IF(ISNUMBER(_xll.VoseSimPercentile(B_SP,$B81)),_xll.VoseSimPercentile(B_SP,$B81),NA())</f>
        <v>2946.3807924137741</v>
      </c>
      <c r="H81" s="56" cm="1">
        <f t="array" aca="1" ref="H81" ca="1">IF(ISNUMBER(_xll.VoseSimPercentile(B_Rows,$B81)),_xll.VoseSimPercentile(B_Rows,$B81),NA())</f>
        <v>2947.0313977553142</v>
      </c>
    </row>
    <row r="82" spans="2:8" hidden="1" outlineLevel="1" x14ac:dyDescent="0.45">
      <c r="B82" s="55">
        <v>0.63</v>
      </c>
      <c r="C82" s="55">
        <f t="shared" si="0"/>
        <v>0.37</v>
      </c>
      <c r="D82" s="56" cm="1">
        <f t="array" aca="1" ref="D82" ca="1">IF(ISNUMBER(_xll.VoseSimPercentile(A_MC,$B82)),_xll.VoseSimPercentile(A_MC,$B82),NA())</f>
        <v>9996.8181055065979</v>
      </c>
      <c r="E82" s="56" cm="1">
        <f t="array" aca="1" ref="E82" ca="1">IF(ISNUMBER(_xll.VoseSimPercentile(A_FFTs,$B82)),_xll.VoseSimPercentile(A_FFTs,$B82),NA())</f>
        <v>9970.2790417613705</v>
      </c>
      <c r="F82" s="56">
        <f t="shared" si="1"/>
        <v>10943.548434988104</v>
      </c>
      <c r="G82" s="56" cm="1">
        <f t="array" aca="1" ref="G82" ca="1">IF(ISNUMBER(_xll.VoseSimPercentile(B_SP,$B82)),_xll.VoseSimPercentile(B_SP,$B82),NA())</f>
        <v>2960.1477143497482</v>
      </c>
      <c r="H82" s="56" cm="1">
        <f t="array" aca="1" ref="H82" ca="1">IF(ISNUMBER(_xll.VoseSimPercentile(B_Rows,$B82)),_xll.VoseSimPercentile(B_Rows,$B82),NA())</f>
        <v>2959.0559345635183</v>
      </c>
    </row>
    <row r="83" spans="2:8" hidden="1" outlineLevel="1" x14ac:dyDescent="0.45">
      <c r="B83" s="55">
        <v>0.65</v>
      </c>
      <c r="C83" s="55">
        <f t="shared" ref="C83:C114" si="2">1-B83</f>
        <v>0.35</v>
      </c>
      <c r="D83" s="56" cm="1">
        <f t="array" aca="1" ref="D83" ca="1">IF(ISNUMBER(_xll.VoseSimPercentile(A_MC,$B83)),_xll.VoseSimPercentile(A_MC,$B83),NA())</f>
        <v>10035.924964125274</v>
      </c>
      <c r="E83" s="56" cm="1">
        <f t="array" aca="1" ref="E83" ca="1">IF(ISNUMBER(_xll.VoseSimPercentile(A_FFTs,$B83)),_xll.VoseSimPercentile(A_FFTs,$B83),NA())</f>
        <v>10006.527950666663</v>
      </c>
      <c r="F83" s="56">
        <f t="shared" ref="F83:F100" si="3">A_VaR</f>
        <v>10943.548434988104</v>
      </c>
      <c r="G83" s="56" cm="1">
        <f t="array" aca="1" ref="G83" ca="1">IF(ISNUMBER(_xll.VoseSimPercentile(B_SP,$B83)),_xll.VoseSimPercentile(B_SP,$B83),NA())</f>
        <v>2973.3986803063899</v>
      </c>
      <c r="H83" s="56" cm="1">
        <f t="array" aca="1" ref="H83" ca="1">IF(ISNUMBER(_xll.VoseSimPercentile(B_Rows,$B83)),_xll.VoseSimPercentile(B_Rows,$B83),NA())</f>
        <v>2974.2814372024063</v>
      </c>
    </row>
    <row r="84" spans="2:8" hidden="1" outlineLevel="1" x14ac:dyDescent="0.45">
      <c r="B84" s="55">
        <v>0.67</v>
      </c>
      <c r="C84" s="55">
        <f t="shared" si="2"/>
        <v>0.32999999999999996</v>
      </c>
      <c r="D84" s="56" cm="1">
        <f t="array" aca="1" ref="D84" ca="1">IF(ISNUMBER(_xll.VoseSimPercentile(A_MC,$B84)),_xll.VoseSimPercentile(A_MC,$B84),NA())</f>
        <v>10076.41097139345</v>
      </c>
      <c r="E84" s="56" cm="1">
        <f t="array" aca="1" ref="E84" ca="1">IF(ISNUMBER(_xll.VoseSimPercentile(A_FFTs,$B84)),_xll.VoseSimPercentile(A_FFTs,$B84),NA())</f>
        <v>10042.610083040072</v>
      </c>
      <c r="F84" s="56">
        <f t="shared" si="3"/>
        <v>10943.548434988104</v>
      </c>
      <c r="G84" s="56" cm="1">
        <f t="array" aca="1" ref="G84" ca="1">IF(ISNUMBER(_xll.VoseSimPercentile(B_SP,$B84)),_xll.VoseSimPercentile(B_SP,$B84),NA())</f>
        <v>2987.6243944648991</v>
      </c>
      <c r="H84" s="56" cm="1">
        <f t="array" aca="1" ref="H84" ca="1">IF(ISNUMBER(_xll.VoseSimPercentile(B_Rows,$B84)),_xll.VoseSimPercentile(B_Rows,$B84),NA())</f>
        <v>2987.3055045360966</v>
      </c>
    </row>
    <row r="85" spans="2:8" hidden="1" outlineLevel="1" x14ac:dyDescent="0.45">
      <c r="B85" s="55">
        <v>0.69</v>
      </c>
      <c r="C85" s="55">
        <f t="shared" si="2"/>
        <v>0.31000000000000005</v>
      </c>
      <c r="D85" s="56" cm="1">
        <f t="array" aca="1" ref="D85" ca="1">IF(ISNUMBER(_xll.VoseSimPercentile(A_MC,$B85)),_xll.VoseSimPercentile(A_MC,$B85),NA())</f>
        <v>10119.053233037805</v>
      </c>
      <c r="E85" s="56" cm="1">
        <f t="array" aca="1" ref="E85" ca="1">IF(ISNUMBER(_xll.VoseSimPercentile(A_FFTs,$B85)),_xll.VoseSimPercentile(A_FFTs,$B85),NA())</f>
        <v>10084.794678215078</v>
      </c>
      <c r="F85" s="56">
        <f t="shared" si="3"/>
        <v>10943.548434988104</v>
      </c>
      <c r="G85" s="56" cm="1">
        <f t="array" aca="1" ref="G85" ca="1">IF(ISNUMBER(_xll.VoseSimPercentile(B_SP,$B85)),_xll.VoseSimPercentile(B_SP,$B85),NA())</f>
        <v>3002.6478672478574</v>
      </c>
      <c r="H85" s="56" cm="1">
        <f t="array" aca="1" ref="H85" ca="1">IF(ISNUMBER(_xll.VoseSimPercentile(B_Rows,$B85)),_xll.VoseSimPercentile(B_Rows,$B85),NA())</f>
        <v>3001.9836137463117</v>
      </c>
    </row>
    <row r="86" spans="2:8" hidden="1" outlineLevel="1" x14ac:dyDescent="0.45">
      <c r="B86" s="55">
        <v>0.71</v>
      </c>
      <c r="C86" s="55">
        <f t="shared" si="2"/>
        <v>0.29000000000000004</v>
      </c>
      <c r="D86" s="56" cm="1">
        <f t="array" aca="1" ref="D86" ca="1">IF(ISNUMBER(_xll.VoseSimPercentile(A_MC,$B86)),_xll.VoseSimPercentile(A_MC,$B86),NA())</f>
        <v>10161.173763735613</v>
      </c>
      <c r="E86" s="56" cm="1">
        <f t="array" aca="1" ref="E86" ca="1">IF(ISNUMBER(_xll.VoseSimPercentile(A_FFTs,$B86)),_xll.VoseSimPercentile(A_FFTs,$B86),NA())</f>
        <v>10124.07421500133</v>
      </c>
      <c r="F86" s="56">
        <f t="shared" si="3"/>
        <v>10943.548434988104</v>
      </c>
      <c r="G86" s="56" cm="1">
        <f t="array" aca="1" ref="G86" ca="1">IF(ISNUMBER(_xll.VoseSimPercentile(B_SP,$B86)),_xll.VoseSimPercentile(B_SP,$B86),NA())</f>
        <v>3017.6652796038898</v>
      </c>
      <c r="H86" s="56" cm="1">
        <f t="array" aca="1" ref="H86" ca="1">IF(ISNUMBER(_xll.VoseSimPercentile(B_Rows,$B86)),_xll.VoseSimPercentile(B_Rows,$B86),NA())</f>
        <v>3017.7149135173668</v>
      </c>
    </row>
    <row r="87" spans="2:8" hidden="1" outlineLevel="1" x14ac:dyDescent="0.45">
      <c r="B87" s="55">
        <v>0.73</v>
      </c>
      <c r="C87" s="55">
        <f t="shared" si="2"/>
        <v>0.27</v>
      </c>
      <c r="D87" s="56" cm="1">
        <f t="array" aca="1" ref="D87" ca="1">IF(ISNUMBER(_xll.VoseSimPercentile(A_MC,$B87)),_xll.VoseSimPercentile(A_MC,$B87),NA())</f>
        <v>10205.962272483708</v>
      </c>
      <c r="E87" s="56" cm="1">
        <f t="array" aca="1" ref="E87" ca="1">IF(ISNUMBER(_xll.VoseSimPercentile(A_FFTs,$B87)),_xll.VoseSimPercentile(A_FFTs,$B87),NA())</f>
        <v>10167.954344810625</v>
      </c>
      <c r="F87" s="56">
        <f t="shared" si="3"/>
        <v>10943.548434988104</v>
      </c>
      <c r="G87" s="56" cm="1">
        <f t="array" aca="1" ref="G87" ca="1">IF(ISNUMBER(_xll.VoseSimPercentile(B_SP,$B87)),_xll.VoseSimPercentile(B_SP,$B87),NA())</f>
        <v>3030.3869311390231</v>
      </c>
      <c r="H87" s="56" cm="1">
        <f t="array" aca="1" ref="H87" ca="1">IF(ISNUMBER(_xll.VoseSimPercentile(B_Rows,$B87)),_xll.VoseSimPercentile(B_Rows,$B87),NA())</f>
        <v>3034.4118191195944</v>
      </c>
    </row>
    <row r="88" spans="2:8" hidden="1" outlineLevel="1" x14ac:dyDescent="0.45">
      <c r="B88" s="55">
        <v>0.75</v>
      </c>
      <c r="C88" s="55">
        <f t="shared" si="2"/>
        <v>0.25</v>
      </c>
      <c r="D88" s="56" cm="1">
        <f t="array" aca="1" ref="D88" ca="1">IF(ISNUMBER(_xll.VoseSimPercentile(A_MC,$B88)),_xll.VoseSimPercentile(A_MC,$B88),NA())</f>
        <v>10248.429214905196</v>
      </c>
      <c r="E88" s="56" cm="1">
        <f t="array" aca="1" ref="E88" ca="1">IF(ISNUMBER(_xll.VoseSimPercentile(A_FFTs,$B88)),_xll.VoseSimPercentile(A_FFTs,$B88),NA())</f>
        <v>10220.145914383007</v>
      </c>
      <c r="F88" s="56">
        <f t="shared" si="3"/>
        <v>10943.548434988104</v>
      </c>
      <c r="G88" s="56" cm="1">
        <f t="array" aca="1" ref="G88" ca="1">IF(ISNUMBER(_xll.VoseSimPercentile(B_SP,$B88)),_xll.VoseSimPercentile(B_SP,$B88),NA())</f>
        <v>3048.2915746545305</v>
      </c>
      <c r="H88" s="56" cm="1">
        <f t="array" aca="1" ref="H88" ca="1">IF(ISNUMBER(_xll.VoseSimPercentile(B_Rows,$B88)),_xll.VoseSimPercentile(B_Rows,$B88),NA())</f>
        <v>3050.4783474474116</v>
      </c>
    </row>
    <row r="89" spans="2:8" hidden="1" outlineLevel="1" x14ac:dyDescent="0.45">
      <c r="B89" s="55">
        <v>0.77</v>
      </c>
      <c r="C89" s="55">
        <f t="shared" si="2"/>
        <v>0.22999999999999998</v>
      </c>
      <c r="D89" s="56" cm="1">
        <f t="array" aca="1" ref="D89" ca="1">IF(ISNUMBER(_xll.VoseSimPercentile(A_MC,$B89)),_xll.VoseSimPercentile(A_MC,$B89),NA())</f>
        <v>10294.412344142744</v>
      </c>
      <c r="E89" s="56" cm="1">
        <f t="array" aca="1" ref="E89" ca="1">IF(ISNUMBER(_xll.VoseSimPercentile(A_FFTs,$B89)),_xll.VoseSimPercentile(A_FFTs,$B89),NA())</f>
        <v>10270.687450365473</v>
      </c>
      <c r="F89" s="56">
        <f t="shared" si="3"/>
        <v>10943.548434988104</v>
      </c>
      <c r="G89" s="56" cm="1">
        <f t="array" aca="1" ref="G89" ca="1">IF(ISNUMBER(_xll.VoseSimPercentile(B_SP,$B89)),_xll.VoseSimPercentile(B_SP,$B89),NA())</f>
        <v>3065.6776040213958</v>
      </c>
      <c r="H89" s="56" cm="1">
        <f t="array" aca="1" ref="H89" ca="1">IF(ISNUMBER(_xll.VoseSimPercentile(B_Rows,$B89)),_xll.VoseSimPercentile(B_Rows,$B89),NA())</f>
        <v>3068.4432841934076</v>
      </c>
    </row>
    <row r="90" spans="2:8" hidden="1" outlineLevel="1" x14ac:dyDescent="0.45">
      <c r="B90" s="55">
        <v>0.79</v>
      </c>
      <c r="C90" s="55">
        <f t="shared" si="2"/>
        <v>0.20999999999999996</v>
      </c>
      <c r="D90" s="56" cm="1">
        <f t="array" aca="1" ref="D90" ca="1">IF(ISNUMBER(_xll.VoseSimPercentile(A_MC,$B90)),_xll.VoseSimPercentile(A_MC,$B90),NA())</f>
        <v>10343.17938099656</v>
      </c>
      <c r="E90" s="56" cm="1">
        <f t="array" aca="1" ref="E90" ca="1">IF(ISNUMBER(_xll.VoseSimPercentile(A_FFTs,$B90)),_xll.VoseSimPercentile(A_FFTs,$B90),NA())</f>
        <v>10321.265241352885</v>
      </c>
      <c r="F90" s="56">
        <f t="shared" si="3"/>
        <v>10943.548434988104</v>
      </c>
      <c r="G90" s="56" cm="1">
        <f t="array" aca="1" ref="G90" ca="1">IF(ISNUMBER(_xll.VoseSimPercentile(B_SP,$B90)),_xll.VoseSimPercentile(B_SP,$B90),NA())</f>
        <v>3083.4554790664552</v>
      </c>
      <c r="H90" s="56" cm="1">
        <f t="array" aca="1" ref="H90" ca="1">IF(ISNUMBER(_xll.VoseSimPercentile(B_Rows,$B90)),_xll.VoseSimPercentile(B_Rows,$B90),NA())</f>
        <v>3088.1845580081681</v>
      </c>
    </row>
    <row r="91" spans="2:8" hidden="1" outlineLevel="1" x14ac:dyDescent="0.45">
      <c r="B91" s="55">
        <v>0.81</v>
      </c>
      <c r="C91" s="55">
        <f t="shared" si="2"/>
        <v>0.18999999999999995</v>
      </c>
      <c r="D91" s="56" cm="1">
        <f t="array" aca="1" ref="D91" ca="1">IF(ISNUMBER(_xll.VoseSimPercentile(A_MC,$B91)),_xll.VoseSimPercentile(A_MC,$B91),NA())</f>
        <v>10388.175093265914</v>
      </c>
      <c r="E91" s="56" cm="1">
        <f t="array" aca="1" ref="E91" ca="1">IF(ISNUMBER(_xll.VoseSimPercentile(A_FFTs,$B91)),_xll.VoseSimPercentile(A_FFTs,$B91),NA())</f>
        <v>10374.250237909549</v>
      </c>
      <c r="F91" s="56">
        <f t="shared" si="3"/>
        <v>10943.548434988104</v>
      </c>
      <c r="G91" s="56" cm="1">
        <f t="array" aca="1" ref="G91" ca="1">IF(ISNUMBER(_xll.VoseSimPercentile(B_SP,$B91)),_xll.VoseSimPercentile(B_SP,$B91),NA())</f>
        <v>3104.5390776604272</v>
      </c>
      <c r="H91" s="56" cm="1">
        <f t="array" aca="1" ref="H91" ca="1">IF(ISNUMBER(_xll.VoseSimPercentile(B_Rows,$B91)),_xll.VoseSimPercentile(B_Rows,$B91),NA())</f>
        <v>3109.2273368384422</v>
      </c>
    </row>
    <row r="92" spans="2:8" hidden="1" outlineLevel="1" x14ac:dyDescent="0.45">
      <c r="B92" s="55">
        <v>0.83</v>
      </c>
      <c r="C92" s="55">
        <f t="shared" si="2"/>
        <v>0.17000000000000004</v>
      </c>
      <c r="D92" s="56" cm="1">
        <f t="array" aca="1" ref="D92" ca="1">IF(ISNUMBER(_xll.VoseSimPercentile(A_MC,$B92)),_xll.VoseSimPercentile(A_MC,$B92),NA())</f>
        <v>10445.637536656273</v>
      </c>
      <c r="E92" s="56" cm="1">
        <f t="array" aca="1" ref="E92" ca="1">IF(ISNUMBER(_xll.VoseSimPercentile(A_FFTs,$B92)),_xll.VoseSimPercentile(A_FFTs,$B92),NA())</f>
        <v>10430.160323945802</v>
      </c>
      <c r="F92" s="56">
        <f t="shared" si="3"/>
        <v>10943.548434988104</v>
      </c>
      <c r="G92" s="56" cm="1">
        <f t="array" aca="1" ref="G92" ca="1">IF(ISNUMBER(_xll.VoseSimPercentile(B_SP,$B92)),_xll.VoseSimPercentile(B_SP,$B92),NA())</f>
        <v>3124.9848837894078</v>
      </c>
      <c r="H92" s="56" cm="1">
        <f t="array" aca="1" ref="H92" ca="1">IF(ISNUMBER(_xll.VoseSimPercentile(B_Rows,$B92)),_xll.VoseSimPercentile(B_Rows,$B92),NA())</f>
        <v>3128.1744214025007</v>
      </c>
    </row>
    <row r="93" spans="2:8" hidden="1" outlineLevel="1" x14ac:dyDescent="0.45">
      <c r="B93" s="55">
        <v>0.85</v>
      </c>
      <c r="C93" s="55">
        <f t="shared" si="2"/>
        <v>0.15000000000000002</v>
      </c>
      <c r="D93" s="56" cm="1">
        <f t="array" aca="1" ref="D93" ca="1">IF(ISNUMBER(_xll.VoseSimPercentile(A_MC,$B93)),_xll.VoseSimPercentile(A_MC,$B93),NA())</f>
        <v>10510.767061208608</v>
      </c>
      <c r="E93" s="56" cm="1">
        <f t="array" aca="1" ref="E93" ca="1">IF(ISNUMBER(_xll.VoseSimPercentile(A_FFTs,$B93)),_xll.VoseSimPercentile(A_FFTs,$B93),NA())</f>
        <v>10493.523535968043</v>
      </c>
      <c r="F93" s="56">
        <f t="shared" si="3"/>
        <v>10943.548434988104</v>
      </c>
      <c r="G93" s="56" cm="1">
        <f t="array" aca="1" ref="G93" ca="1">IF(ISNUMBER(_xll.VoseSimPercentile(B_SP,$B93)),_xll.VoseSimPercentile(B_SP,$B93),NA())</f>
        <v>3149.3789039045423</v>
      </c>
      <c r="H93" s="56" cm="1">
        <f t="array" aca="1" ref="H93" ca="1">IF(ISNUMBER(_xll.VoseSimPercentile(B_Rows,$B93)),_xll.VoseSimPercentile(B_Rows,$B93),NA())</f>
        <v>3150.4055186839605</v>
      </c>
    </row>
    <row r="94" spans="2:8" hidden="1" outlineLevel="1" x14ac:dyDescent="0.45">
      <c r="B94" s="55">
        <v>0.87</v>
      </c>
      <c r="C94" s="55">
        <f t="shared" si="2"/>
        <v>0.13</v>
      </c>
      <c r="D94" s="56" cm="1">
        <f t="array" aca="1" ref="D94" ca="1">IF(ISNUMBER(_xll.VoseSimPercentile(A_MC,$B94)),_xll.VoseSimPercentile(A_MC,$B94),NA())</f>
        <v>10575.816367107192</v>
      </c>
      <c r="E94" s="56" cm="1">
        <f t="array" aca="1" ref="E94" ca="1">IF(ISNUMBER(_xll.VoseSimPercentile(A_FFTs,$B94)),_xll.VoseSimPercentile(A_FFTs,$B94),NA())</f>
        <v>10558.696937640512</v>
      </c>
      <c r="F94" s="56">
        <f t="shared" si="3"/>
        <v>10943.548434988104</v>
      </c>
      <c r="G94" s="56" cm="1">
        <f t="array" aca="1" ref="G94" ca="1">IF(ISNUMBER(_xll.VoseSimPercentile(B_SP,$B94)),_xll.VoseSimPercentile(B_SP,$B94),NA())</f>
        <v>3177.4166224848459</v>
      </c>
      <c r="H94" s="56" cm="1">
        <f t="array" aca="1" ref="H94" ca="1">IF(ISNUMBER(_xll.VoseSimPercentile(B_Rows,$B94)),_xll.VoseSimPercentile(B_Rows,$B94),NA())</f>
        <v>3172.0661921959636</v>
      </c>
    </row>
    <row r="95" spans="2:8" hidden="1" outlineLevel="1" x14ac:dyDescent="0.45">
      <c r="B95" s="55">
        <v>0.89</v>
      </c>
      <c r="C95" s="55">
        <f t="shared" si="2"/>
        <v>0.10999999999999999</v>
      </c>
      <c r="D95" s="56" cm="1">
        <f t="array" aca="1" ref="D95" ca="1">IF(ISNUMBER(_xll.VoseSimPercentile(A_MC,$B95)),_xll.VoseSimPercentile(A_MC,$B95),NA())</f>
        <v>10650.049630864365</v>
      </c>
      <c r="E95" s="56" cm="1">
        <f t="array" aca="1" ref="E95" ca="1">IF(ISNUMBER(_xll.VoseSimPercentile(A_FFTs,$B95)),_xll.VoseSimPercentile(A_FFTs,$B95),NA())</f>
        <v>10633.754878983826</v>
      </c>
      <c r="F95" s="56">
        <f t="shared" si="3"/>
        <v>10943.548434988104</v>
      </c>
      <c r="G95" s="56" cm="1">
        <f t="array" aca="1" ref="G95" ca="1">IF(ISNUMBER(_xll.VoseSimPercentile(B_SP,$B95)),_xll.VoseSimPercentile(B_SP,$B95),NA())</f>
        <v>3204.0467532787306</v>
      </c>
      <c r="H95" s="56" cm="1">
        <f t="array" aca="1" ref="H95" ca="1">IF(ISNUMBER(_xll.VoseSimPercentile(B_Rows,$B95)),_xll.VoseSimPercentile(B_Rows,$B95),NA())</f>
        <v>3198.7428272043835</v>
      </c>
    </row>
    <row r="96" spans="2:8" hidden="1" outlineLevel="1" x14ac:dyDescent="0.45">
      <c r="B96" s="55">
        <v>0.91</v>
      </c>
      <c r="C96" s="55">
        <f t="shared" si="2"/>
        <v>8.9999999999999969E-2</v>
      </c>
      <c r="D96" s="56" cm="1">
        <f t="array" aca="1" ref="D96" ca="1">IF(ISNUMBER(_xll.VoseSimPercentile(A_MC,$B96)),_xll.VoseSimPercentile(A_MC,$B96),NA())</f>
        <v>10739.473671922535</v>
      </c>
      <c r="E96" s="56" cm="1">
        <f t="array" aca="1" ref="E96" ca="1">IF(ISNUMBER(_xll.VoseSimPercentile(A_FFTs,$B96)),_xll.VoseSimPercentile(A_FFTs,$B96),NA())</f>
        <v>10706.379334815132</v>
      </c>
      <c r="F96" s="56">
        <f t="shared" si="3"/>
        <v>10943.548434988104</v>
      </c>
      <c r="G96" s="56" cm="1">
        <f t="array" aca="1" ref="G96" ca="1">IF(ISNUMBER(_xll.VoseSimPercentile(B_SP,$B96)),_xll.VoseSimPercentile(B_SP,$B96),NA())</f>
        <v>3235.3972804290429</v>
      </c>
      <c r="H96" s="56" cm="1">
        <f t="array" aca="1" ref="H96" ca="1">IF(ISNUMBER(_xll.VoseSimPercentile(B_Rows,$B96)),_xll.VoseSimPercentile(B_Rows,$B96),NA())</f>
        <v>3234.1697996709108</v>
      </c>
    </row>
    <row r="97" spans="2:8" hidden="1" outlineLevel="1" x14ac:dyDescent="0.45">
      <c r="B97" s="55">
        <v>0.93</v>
      </c>
      <c r="C97" s="55">
        <f t="shared" si="2"/>
        <v>6.9999999999999951E-2</v>
      </c>
      <c r="D97" s="56" cm="1">
        <f t="array" aca="1" ref="D97" ca="1">IF(ISNUMBER(_xll.VoseSimPercentile(A_MC,$B97)),_xll.VoseSimPercentile(A_MC,$B97),NA())</f>
        <v>10835.952272631155</v>
      </c>
      <c r="E97" s="56" cm="1">
        <f t="array" aca="1" ref="E97" ca="1">IF(ISNUMBER(_xll.VoseSimPercentile(A_FFTs,$B97)),_xll.VoseSimPercentile(A_FFTs,$B97),NA())</f>
        <v>10821.402435002828</v>
      </c>
      <c r="F97" s="56">
        <f t="shared" si="3"/>
        <v>10943.548434988104</v>
      </c>
      <c r="G97" s="56" cm="1">
        <f t="array" aca="1" ref="G97" ca="1">IF(ISNUMBER(_xll.VoseSimPercentile(B_SP,$B97)),_xll.VoseSimPercentile(B_SP,$B97),NA())</f>
        <v>3271.9272738834043</v>
      </c>
      <c r="H97" s="56" cm="1">
        <f t="array" aca="1" ref="H97" ca="1">IF(ISNUMBER(_xll.VoseSimPercentile(B_Rows,$B97)),_xll.VoseSimPercentile(B_Rows,$B97),NA())</f>
        <v>3275.0802695470247</v>
      </c>
    </row>
    <row r="98" spans="2:8" hidden="1" outlineLevel="1" x14ac:dyDescent="0.45">
      <c r="B98" s="55">
        <v>0.95</v>
      </c>
      <c r="C98" s="55">
        <f t="shared" si="2"/>
        <v>5.0000000000000044E-2</v>
      </c>
      <c r="D98" s="56" cm="1">
        <f t="array" aca="1" ref="D98" ca="1">IF(ISNUMBER(_xll.VoseSimPercentile(A_MC,$B98)),_xll.VoseSimPercentile(A_MC,$B98),NA())</f>
        <v>10951.309005411082</v>
      </c>
      <c r="E98" s="56" cm="1">
        <f t="array" aca="1" ref="E98" ca="1">IF(ISNUMBER(_xll.VoseSimPercentile(A_FFTs,$B98)),_xll.VoseSimPercentile(A_FFTs,$B98),NA())</f>
        <v>10948.453738780769</v>
      </c>
      <c r="F98" s="56">
        <f t="shared" si="3"/>
        <v>10943.548434988104</v>
      </c>
      <c r="G98" s="56" cm="1">
        <f t="array" aca="1" ref="G98" ca="1">IF(ISNUMBER(_xll.VoseSimPercentile(B_SP,$B98)),_xll.VoseSimPercentile(B_SP,$B98),NA())</f>
        <v>3325.30011129378</v>
      </c>
      <c r="H98" s="56" cm="1">
        <f t="array" aca="1" ref="H98" ca="1">IF(ISNUMBER(_xll.VoseSimPercentile(B_Rows,$B98)),_xll.VoseSimPercentile(B_Rows,$B98),NA())</f>
        <v>3325.8704498467641</v>
      </c>
    </row>
    <row r="99" spans="2:8" hidden="1" outlineLevel="1" x14ac:dyDescent="0.45">
      <c r="B99" s="55">
        <v>0.97</v>
      </c>
      <c r="C99" s="55">
        <f t="shared" si="2"/>
        <v>3.0000000000000027E-2</v>
      </c>
      <c r="D99" s="56" cm="1">
        <f t="array" aca="1" ref="D99" ca="1">IF(ISNUMBER(_xll.VoseSimPercentile(A_MC,$B99)),_xll.VoseSimPercentile(A_MC,$B99),NA())</f>
        <v>11126.196311340627</v>
      </c>
      <c r="E99" s="56" cm="1">
        <f t="array" aca="1" ref="E99" ca="1">IF(ISNUMBER(_xll.VoseSimPercentile(A_FFTs,$B99)),_xll.VoseSimPercentile(A_FFTs,$B99),NA())</f>
        <v>11146.974432956275</v>
      </c>
      <c r="F99" s="56">
        <f t="shared" si="3"/>
        <v>10943.548434988104</v>
      </c>
      <c r="G99" s="56" cm="1">
        <f t="array" aca="1" ref="G99" ca="1">IF(ISNUMBER(_xll.VoseSimPercentile(B_SP,$B99)),_xll.VoseSimPercentile(B_SP,$B99),NA())</f>
        <v>3394.6959676341176</v>
      </c>
      <c r="H99" s="56" cm="1">
        <f t="array" aca="1" ref="H99" ca="1">IF(ISNUMBER(_xll.VoseSimPercentile(B_Rows,$B99)),_xll.VoseSimPercentile(B_Rows,$B99),NA())</f>
        <v>3391.4786578176227</v>
      </c>
    </row>
    <row r="100" spans="2:8" hidden="1" outlineLevel="1" x14ac:dyDescent="0.45">
      <c r="B100" s="55">
        <v>0.99</v>
      </c>
      <c r="C100" s="55">
        <f t="shared" si="2"/>
        <v>1.0000000000000009E-2</v>
      </c>
      <c r="D100" s="56" cm="1">
        <f t="array" aca="1" ref="D100" ca="1">IF(ISNUMBER(_xll.VoseSimPercentile(A_MC,$B100)),_xll.VoseSimPercentile(A_MC,$B100),NA())</f>
        <v>11457.461908622172</v>
      </c>
      <c r="E100" s="56" cm="1">
        <f t="array" aca="1" ref="E100" ca="1">IF(ISNUMBER(_xll.VoseSimPercentile(A_FFTs,$B100)),_xll.VoseSimPercentile(A_FFTs,$B100),NA())</f>
        <v>11480.065248954568</v>
      </c>
      <c r="F100" s="56">
        <f t="shared" si="3"/>
        <v>10943.548434988104</v>
      </c>
      <c r="G100" s="56" cm="1">
        <f t="array" aca="1" ref="G100" ca="1">IF(ISNUMBER(_xll.VoseSimPercentile(B_SP,$B100)),_xll.VoseSimPercentile(B_SP,$B100),NA())</f>
        <v>3524.1378008276056</v>
      </c>
      <c r="H100" s="56" cm="1">
        <f t="array" aca="1" ref="H100" ca="1">IF(ISNUMBER(_xll.VoseSimPercentile(B_Rows,$B100)),_xll.VoseSimPercentile(B_Rows,$B100),NA())</f>
        <v>3516.5765887673701</v>
      </c>
    </row>
  </sheetData>
  <mergeCells count="4">
    <mergeCell ref="B44:G44"/>
    <mergeCell ref="B43:G43"/>
    <mergeCell ref="B42:G42"/>
    <mergeCell ref="B45:G45"/>
  </mergeCells>
  <conditionalFormatting sqref="B7">
    <cfRule type="expression" dxfId="2" priority="2">
      <formula>LEFT($B$7,1)="✗"</formula>
    </cfRule>
  </conditionalFormatting>
  <conditionalFormatting sqref="B6:G6">
    <cfRule type="expression" dxfId="1" priority="1">
      <formula>LEFT($B$6,1)&lt;&gt;"✔"</formula>
    </cfRule>
  </conditionalFormatting>
  <conditionalFormatting sqref="D51:H100">
    <cfRule type="expression" dxfId="0" priority="3">
      <formula>ISNA(D51)</formula>
    </cfRule>
  </conditionalFormatting>
  <hyperlinks>
    <hyperlink ref="B4" location="'Row by row'!A1" display="◂  Row by row" xr:uid="{00000000-0004-0000-05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BC88F-3AA7-4B1F-919E-29357E28F6C6}">
  <dimension ref="A1:B1"/>
  <sheetViews>
    <sheetView workbookViewId="0"/>
  </sheetViews>
  <sheetFormatPr defaultRowHeight="14.25" x14ac:dyDescent="0.45"/>
  <sheetData>
    <row r="1" spans="1:2" x14ac:dyDescent="0.45">
      <c r="A1" s="61" t="s">
        <v>227</v>
      </c>
      <c r="B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0550E-082A-4C83-93B6-6E782A3EACC9}">
  <dimension ref="A1"/>
  <sheetViews>
    <sheetView workbookViewId="0"/>
  </sheetViews>
  <sheetFormatPr defaultRowHeight="14.25" x14ac:dyDescent="0.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DD02F-F221-4626-9654-30E968F88FE0}">
  <dimension ref="B3:B42"/>
  <sheetViews>
    <sheetView workbookViewId="0"/>
  </sheetViews>
  <sheetFormatPr defaultRowHeight="14.25" x14ac:dyDescent="0.45"/>
  <sheetData>
    <row r="3" spans="2:2" x14ac:dyDescent="0.45">
      <c r="B3">
        <v>14</v>
      </c>
    </row>
    <row r="4" spans="2:2" x14ac:dyDescent="0.45">
      <c r="B4">
        <v>72</v>
      </c>
    </row>
    <row r="5" spans="2:2" x14ac:dyDescent="0.45">
      <c r="B5">
        <v>268</v>
      </c>
    </row>
    <row r="6" spans="2:2" x14ac:dyDescent="0.45">
      <c r="B6">
        <v>489</v>
      </c>
    </row>
    <row r="7" spans="2:2" x14ac:dyDescent="0.45">
      <c r="B7">
        <v>556</v>
      </c>
    </row>
    <row r="8" spans="2:2" x14ac:dyDescent="0.45">
      <c r="B8">
        <v>387</v>
      </c>
    </row>
    <row r="9" spans="2:2" x14ac:dyDescent="0.45">
      <c r="B9">
        <v>159</v>
      </c>
    </row>
    <row r="10" spans="2:2" x14ac:dyDescent="0.45">
      <c r="B10">
        <v>41</v>
      </c>
    </row>
    <row r="11" spans="2:2" x14ac:dyDescent="0.45">
      <c r="B11">
        <v>13</v>
      </c>
    </row>
    <row r="12" spans="2:2" x14ac:dyDescent="0.45">
      <c r="B12">
        <v>1</v>
      </c>
    </row>
    <row r="13" spans="2:2" x14ac:dyDescent="0.45">
      <c r="B13">
        <v>8</v>
      </c>
    </row>
    <row r="14" spans="2:2" x14ac:dyDescent="0.45">
      <c r="B14">
        <v>61</v>
      </c>
    </row>
    <row r="15" spans="2:2" x14ac:dyDescent="0.45">
      <c r="B15">
        <v>169</v>
      </c>
    </row>
    <row r="16" spans="2:2" x14ac:dyDescent="0.45">
      <c r="B16">
        <v>365</v>
      </c>
    </row>
    <row r="17" spans="2:2" x14ac:dyDescent="0.45">
      <c r="B17">
        <v>503</v>
      </c>
    </row>
    <row r="18" spans="2:2" x14ac:dyDescent="0.45">
      <c r="B18">
        <v>449</v>
      </c>
    </row>
    <row r="19" spans="2:2" x14ac:dyDescent="0.45">
      <c r="B19">
        <v>273</v>
      </c>
    </row>
    <row r="20" spans="2:2" x14ac:dyDescent="0.45">
      <c r="B20">
        <v>128</v>
      </c>
    </row>
    <row r="21" spans="2:2" x14ac:dyDescent="0.45">
      <c r="B21">
        <v>37</v>
      </c>
    </row>
    <row r="22" spans="2:2" x14ac:dyDescent="0.45">
      <c r="B22">
        <v>7</v>
      </c>
    </row>
    <row r="23" spans="2:2" x14ac:dyDescent="0.45">
      <c r="B23">
        <v>1</v>
      </c>
    </row>
    <row r="24" spans="2:2" x14ac:dyDescent="0.45">
      <c r="B24">
        <v>10</v>
      </c>
    </row>
    <row r="25" spans="2:2" x14ac:dyDescent="0.45">
      <c r="B25">
        <v>78</v>
      </c>
    </row>
    <row r="26" spans="2:2" x14ac:dyDescent="0.45">
      <c r="B26">
        <v>260</v>
      </c>
    </row>
    <row r="27" spans="2:2" x14ac:dyDescent="0.45">
      <c r="B27">
        <v>539</v>
      </c>
    </row>
    <row r="28" spans="2:2" x14ac:dyDescent="0.45">
      <c r="B28">
        <v>598</v>
      </c>
    </row>
    <row r="29" spans="2:2" x14ac:dyDescent="0.45">
      <c r="B29">
        <v>332</v>
      </c>
    </row>
    <row r="30" spans="2:2" x14ac:dyDescent="0.45">
      <c r="B30">
        <v>137</v>
      </c>
    </row>
    <row r="31" spans="2:2" x14ac:dyDescent="0.45">
      <c r="B31">
        <v>38</v>
      </c>
    </row>
    <row r="32" spans="2:2" x14ac:dyDescent="0.45">
      <c r="B32">
        <v>7</v>
      </c>
    </row>
    <row r="33" spans="2:2" x14ac:dyDescent="0.45">
      <c r="B33">
        <v>1</v>
      </c>
    </row>
    <row r="34" spans="2:2" x14ac:dyDescent="0.45">
      <c r="B34">
        <v>4</v>
      </c>
    </row>
    <row r="35" spans="2:2" x14ac:dyDescent="0.45">
      <c r="B35">
        <v>47</v>
      </c>
    </row>
    <row r="36" spans="2:2" x14ac:dyDescent="0.45">
      <c r="B36">
        <v>158</v>
      </c>
    </row>
    <row r="37" spans="2:2" x14ac:dyDescent="0.45">
      <c r="B37">
        <v>395</v>
      </c>
    </row>
    <row r="38" spans="2:2" x14ac:dyDescent="0.45">
      <c r="B38">
        <v>526</v>
      </c>
    </row>
    <row r="39" spans="2:2" x14ac:dyDescent="0.45">
      <c r="B39">
        <v>483</v>
      </c>
    </row>
    <row r="40" spans="2:2" x14ac:dyDescent="0.45">
      <c r="B40">
        <v>248</v>
      </c>
    </row>
    <row r="41" spans="2:2" x14ac:dyDescent="0.45">
      <c r="B41">
        <v>106</v>
      </c>
    </row>
    <row r="42" spans="2:2" x14ac:dyDescent="0.45">
      <c r="B42">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AA4263F7-4488-48B8-8F86-A59E4DFB1138}">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40</vt:i4>
      </vt:variant>
    </vt:vector>
  </HeadingPairs>
  <TitlesOfParts>
    <vt:vector size="49" baseType="lpstr">
      <vt:lpstr>About</vt:lpstr>
      <vt:lpstr>Inputs</vt:lpstr>
      <vt:lpstr>Portfolio A</vt:lpstr>
      <vt:lpstr>Portfolio B</vt:lpstr>
      <vt:lpstr>Row by row</vt:lpstr>
      <vt:lpstr>Results</vt:lpstr>
      <vt:lpstr>ModelRiskDSN</vt:lpstr>
      <vt:lpstr>ModelRiskSYS1</vt:lpstr>
      <vt:lpstr>ModelRiskCharts</vt:lpstr>
      <vt:lpstr>A_Defaults</vt:lpstr>
      <vt:lpstr>A_ES</vt:lpstr>
      <vt:lpstr>A_FFT</vt:lpstr>
      <vt:lpstr>A_FFTs</vt:lpstr>
      <vt:lpstr>A_Loss</vt:lpstr>
      <vt:lpstr>A_LossMean</vt:lpstr>
      <vt:lpstr>A_LossSD</vt:lpstr>
      <vt:lpstr>A_MC</vt:lpstr>
      <vt:lpstr>A_Mean</vt:lpstr>
      <vt:lpstr>A_Obligors</vt:lpstr>
      <vt:lpstr>A_PD</vt:lpstr>
      <vt:lpstr>A_SD</vt:lpstr>
      <vt:lpstr>A_Upper</vt:lpstr>
      <vt:lpstr>A_VaR</vt:lpstr>
      <vt:lpstr>A_VarShare</vt:lpstr>
      <vt:lpstr>B_ExpMean</vt:lpstr>
      <vt:lpstr>B_Exposure</vt:lpstr>
      <vt:lpstr>B_ExpSD</vt:lpstr>
      <vt:lpstr>B_FracA</vt:lpstr>
      <vt:lpstr>B_FracB</vt:lpstr>
      <vt:lpstr>B_Fraction</vt:lpstr>
      <vt:lpstr>B_LossMean</vt:lpstr>
      <vt:lpstr>B_LossVar</vt:lpstr>
      <vt:lpstr>B_Mean</vt:lpstr>
      <vt:lpstr>B_N</vt:lpstr>
      <vt:lpstr>B_Obligors</vt:lpstr>
      <vt:lpstr>B_PD</vt:lpstr>
      <vt:lpstr>B_Rows</vt:lpstr>
      <vt:lpstr>B_RowTotal</vt:lpstr>
      <vt:lpstr>B_SD</vt:lpstr>
      <vt:lpstr>B_SP</vt:lpstr>
      <vt:lpstr>B_VarShare</vt:lpstr>
      <vt:lpstr>Checks</vt:lpstr>
      <vt:lpstr>Conf</vt:lpstr>
      <vt:lpstr>'Portfolio A'!Print_Area</vt:lpstr>
      <vt:lpstr>'Portfolio B'!Print_Area</vt:lpstr>
      <vt:lpstr>Results!Print_Area</vt:lpstr>
      <vt:lpstr>'Row by row'!Print_Area</vt:lpstr>
      <vt:lpstr>Inputs!Print_Titles</vt:lpstr>
      <vt:lpstr>Results!Print_Titles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GU-23 Credit Portfolio Losses Two Ways</dc:title>
  <dc:subject>ModelRisk industry example library — General use</dc:subject>
  <dc:creator>Vose Software</dc:creator>
  <cp:keywords>ModelRisk; Monte Carlo; General use</cp:keywords>
  <dc:description>Credit losses two ways: Monte Carlo against FFT for whole losses, VoseSumProduct against a row-by-row sum for fractional ones.</dc:description>
  <cp:lastModifiedBy>Timour Koupeev</cp:lastModifiedBy>
  <cp:lastPrinted>2026-10-07T16:36:12Z</cp:lastPrinted>
  <dcterms:created xsi:type="dcterms:W3CDTF">2026-10-07T16:32:31Z</dcterms:created>
  <dcterms:modified xsi:type="dcterms:W3CDTF">2026-10-07T16:36:13Z</dcterms:modified>
</cp:coreProperties>
</file>