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imourKoupeev\source\repos\ModelRisk-Examples\models\General use\"/>
    </mc:Choice>
  </mc:AlternateContent>
  <xr:revisionPtr revIDLastSave="0" documentId="8_{C0CA7AE0-9754-4862-9A9B-5FF626BA45F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About" sheetId="1" r:id="rId1"/>
    <sheet name="Inputs" sheetId="2" r:id="rId2"/>
    <sheet name="Moments" sheetId="3" r:id="rId3"/>
    <sheet name="Results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AggKurt">Moments!$F$17</definedName>
    <definedName name="AggMean">Moments!$F$14</definedName>
    <definedName name="AggSkew">Moments!$F$16</definedName>
    <definedName name="AggVar">Moments!$F$15</definedName>
    <definedName name="Checks">Moments!$E$48:$E$50</definedName>
    <definedName name="Form_AggKurt">Moments!$E$17</definedName>
    <definedName name="Form_AggMean">Moments!$E$14</definedName>
    <definedName name="Form_AggSkew">Moments!$E$16</definedName>
    <definedName name="Form_AggVar">Moments!$E$15</definedName>
    <definedName name="Freq">Moments!$C$8</definedName>
    <definedName name="Gam_AggKurt">Moments!$C$31</definedName>
    <definedName name="Gam_AggMean">Moments!$C$28</definedName>
    <definedName name="Gam_AggSkew">Moments!$C$30</definedName>
    <definedName name="Gam_AggVar">Moments!$C$29</definedName>
    <definedName name="GamA">Moments!$C$21</definedName>
    <definedName name="GamB">Moments!$C$22</definedName>
    <definedName name="GammaObj">Moments!$C$24</definedName>
    <definedName name="GamT">Moments!$C$23</definedName>
    <definedName name="Lambda">Inputs!$D$11</definedName>
    <definedName name="LargeYear">Inputs!$D$22</definedName>
    <definedName name="Norm_AggKurt">Moments!$D$31</definedName>
    <definedName name="Norm_AggMean">Moments!$D$28</definedName>
    <definedName name="Norm_AggSkew">Moments!$D$30</definedName>
    <definedName name="Norm_AggVar">Moments!$D$29</definedName>
    <definedName name="NormObj">Moments!$C$25</definedName>
    <definedName name="_xlnm.Print_Area" localSheetId="2">Moments!$A$1:$H$52</definedName>
    <definedName name="_xlnm.Print_Area" localSheetId="3">Results!$A$1:$R$52</definedName>
    <definedName name="_xlnm.Print_Titles" localSheetId="1">Inputs!$1:$4</definedName>
    <definedName name="_xlnm.Print_Titles" localSheetId="3">Results!$1:$4</definedName>
    <definedName name="Sev">Moments!$C$9</definedName>
    <definedName name="SevMean">Inputs!$D$16</definedName>
    <definedName name="SevSD">Inputs!$D$17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SmallYear">Inputs!$D$23</definedName>
    <definedName name="Tot_Gamma">Moments!$D$43</definedName>
    <definedName name="Tot_Normal">Moments!$D$44</definedName>
    <definedName name="Tot_Sim">Moments!$D$42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3" l="1" a="1"/>
  <c r="C9" i="3" s="1"/>
  <c r="C8" i="3" a="1"/>
  <c r="C8" i="3" s="1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E50" i="3"/>
  <c r="C35" i="3" a="1"/>
  <c r="C37" i="3" a="1"/>
  <c r="C15" i="3" a="1"/>
  <c r="F14" i="3" a="1"/>
  <c r="D17" i="3" a="1"/>
  <c r="C17" i="3" a="1"/>
  <c r="D16" i="3" a="1"/>
  <c r="C36" i="3" a="1"/>
  <c r="D14" i="3" a="1"/>
  <c r="D15" i="3" a="1"/>
  <c r="C16" i="3" a="1"/>
  <c r="C14" i="3" a="1"/>
  <c r="C14" i="3" l="1"/>
  <c r="C16" i="3"/>
  <c r="D15" i="3"/>
  <c r="D14" i="3"/>
  <c r="C36" i="3"/>
  <c r="D43" i="3" s="1" a="1"/>
  <c r="D43" i="3" s="1"/>
  <c r="D16" i="3"/>
  <c r="C17" i="3"/>
  <c r="D17" i="3"/>
  <c r="F15" i="3"/>
  <c r="C13" i="4" s="1"/>
  <c r="F17" i="3"/>
  <c r="F14" i="3"/>
  <c r="C12" i="4" s="1"/>
  <c r="F16" i="3"/>
  <c r="C14" i="4" s="1"/>
  <c r="C15" i="3"/>
  <c r="C37" i="3"/>
  <c r="D44" i="3" s="1" a="1"/>
  <c r="D44" i="3" s="1"/>
  <c r="C35" i="3"/>
  <c r="D42" i="3" s="1" a="1"/>
  <c r="D42" i="3" s="1"/>
  <c r="E70" i="4" a="1"/>
  <c r="E79" i="4" a="1"/>
  <c r="E96" i="4" a="1"/>
  <c r="E71" i="4" a="1"/>
  <c r="E92" i="4" a="1"/>
  <c r="E103" i="4" a="1"/>
  <c r="E97" i="4" a="1"/>
  <c r="E75" i="4" a="1"/>
  <c r="E100" i="4" a="1"/>
  <c r="E86" i="4" a="1"/>
  <c r="E61" i="4" a="1"/>
  <c r="E105" i="4" a="1"/>
  <c r="E74" i="4" a="1"/>
  <c r="E67" i="4" a="1"/>
  <c r="E102" i="4" a="1"/>
  <c r="E65" i="4" a="1"/>
  <c r="E78" i="4" a="1"/>
  <c r="E84" i="4" a="1"/>
  <c r="E90" i="4" a="1"/>
  <c r="E59" i="4" a="1"/>
  <c r="E91" i="4" a="1"/>
  <c r="E80" i="4" a="1"/>
  <c r="E66" i="4" a="1"/>
  <c r="E85" i="4" a="1"/>
  <c r="E81" i="4" a="1"/>
  <c r="E82" i="4" a="1"/>
  <c r="E95" i="4" a="1"/>
  <c r="E88" i="4" a="1"/>
  <c r="E77" i="4" a="1"/>
  <c r="E64" i="4" a="1"/>
  <c r="E101" i="4" a="1"/>
  <c r="E106" i="4" a="1"/>
  <c r="E99" i="4" a="1"/>
  <c r="E63" i="4" a="1"/>
  <c r="E87" i="4" a="1"/>
  <c r="E62" i="4" a="1"/>
  <c r="E76" i="4" a="1"/>
  <c r="E60" i="4" a="1"/>
  <c r="E93" i="4" a="1"/>
  <c r="E69" i="4" a="1"/>
  <c r="E72" i="4" a="1"/>
  <c r="E107" i="4" a="1"/>
  <c r="E98" i="4" a="1"/>
  <c r="E73" i="4" a="1"/>
  <c r="E89" i="4" a="1"/>
  <c r="E94" i="4" a="1"/>
  <c r="E68" i="4" a="1"/>
  <c r="E58" i="4" a="1"/>
  <c r="E83" i="4" a="1"/>
  <c r="E104" i="4" a="1"/>
  <c r="F71" i="4" a="1"/>
  <c r="F79" i="4" a="1"/>
  <c r="F61" i="4" a="1"/>
  <c r="F77" i="4" a="1"/>
  <c r="F100" i="4" a="1"/>
  <c r="F89" i="4" a="1"/>
  <c r="F106" i="4" a="1"/>
  <c r="F107" i="4" a="1"/>
  <c r="F75" i="4" a="1"/>
  <c r="F84" i="4" a="1"/>
  <c r="F69" i="4" a="1"/>
  <c r="F97" i="4" a="1"/>
  <c r="F73" i="4" a="1"/>
  <c r="F102" i="4" a="1"/>
  <c r="F103" i="4" a="1"/>
  <c r="F67" i="4" a="1"/>
  <c r="F81" i="4" a="1"/>
  <c r="F60" i="4" a="1"/>
  <c r="F76" i="4" a="1"/>
  <c r="F59" i="4" a="1"/>
  <c r="F98" i="4" a="1"/>
  <c r="F99" i="4" a="1"/>
  <c r="F88" i="4" a="1"/>
  <c r="F72" i="4" a="1"/>
  <c r="F58" i="4" a="1"/>
  <c r="F66" i="4" a="1"/>
  <c r="F94" i="4" a="1"/>
  <c r="F95" i="4" a="1"/>
  <c r="F85" i="4" a="1"/>
  <c r="F65" i="4" a="1"/>
  <c r="F62" i="4" a="1"/>
  <c r="F96" i="4" a="1"/>
  <c r="F90" i="4" a="1"/>
  <c r="F91" i="4" a="1"/>
  <c r="F78" i="4" a="1"/>
  <c r="F80" i="4" a="1"/>
  <c r="F104" i="4" a="1"/>
  <c r="F93" i="4" a="1"/>
  <c r="F86" i="4" a="1"/>
  <c r="F87" i="4" a="1"/>
  <c r="F70" i="4" a="1"/>
  <c r="F64" i="4" a="1"/>
  <c r="F101" i="4" a="1"/>
  <c r="F68" i="4" a="1"/>
  <c r="F82" i="4" a="1"/>
  <c r="F83" i="4" a="1"/>
  <c r="F63" i="4" a="1"/>
  <c r="F105" i="4" a="1"/>
  <c r="F74" i="4" a="1"/>
  <c r="F92" i="4" a="1"/>
  <c r="C206" i="4" a="1"/>
  <c r="C202" i="4" a="1"/>
  <c r="C174" i="4" a="1"/>
  <c r="C187" i="4" a="1"/>
  <c r="C183" i="4" a="1"/>
  <c r="C155" i="4" a="1"/>
  <c r="C151" i="4" a="1"/>
  <c r="C195" i="4" a="1"/>
  <c r="C163" i="4" a="1"/>
  <c r="D80" i="4" a="1"/>
  <c r="C182" i="4" a="1"/>
  <c r="C150" i="4" a="1"/>
  <c r="C118" i="4" a="1"/>
  <c r="C205" i="4" a="1"/>
  <c r="C173" i="4" a="1"/>
  <c r="C141" i="4" a="1"/>
  <c r="D105" i="4" a="1"/>
  <c r="D73" i="4" a="1"/>
  <c r="D76" i="4" a="1"/>
  <c r="D78" i="4" a="1"/>
  <c r="C180" i="4" a="1"/>
  <c r="B6" i="4" a="1"/>
  <c r="D20" i="4" a="1"/>
  <c r="C132" i="4" a="1"/>
  <c r="D87" i="4" a="1"/>
  <c r="C172" i="4" a="1"/>
  <c r="D14" i="4" a="1"/>
  <c r="D64" i="4" a="1"/>
  <c r="C191" i="4" a="1"/>
  <c r="C159" i="4" a="1"/>
  <c r="C210" i="4" a="1"/>
  <c r="C178" i="4" a="1"/>
  <c r="C146" i="4" a="1"/>
  <c r="C114" i="4" a="1"/>
  <c r="C201" i="4" a="1"/>
  <c r="C169" i="4" a="1"/>
  <c r="C137" i="4" a="1"/>
  <c r="D101" i="4" a="1"/>
  <c r="C200" i="4" a="1"/>
  <c r="D23" i="4" a="1"/>
  <c r="D70" i="4" a="1"/>
  <c r="C164" i="4" a="1"/>
  <c r="C135" i="4" a="1"/>
  <c r="D67" i="4" a="1"/>
  <c r="C123" i="4" a="1"/>
  <c r="D74" i="4" a="1"/>
  <c r="C156" i="4" a="1"/>
  <c r="D13" i="4" a="1"/>
  <c r="C142" i="4" a="1"/>
  <c r="C110" i="4" a="1"/>
  <c r="C197" i="4" a="1"/>
  <c r="C165" i="4" a="1"/>
  <c r="C133" i="4" a="1"/>
  <c r="D97" i="4" a="1"/>
  <c r="C184" i="4" a="1"/>
  <c r="D21" i="4" a="1"/>
  <c r="D68" i="4" a="1"/>
  <c r="C148" i="4" a="1"/>
  <c r="C112" i="4" a="1"/>
  <c r="D24" i="4" a="1"/>
  <c r="D94" i="4" a="1"/>
  <c r="D69" i="4" a="1"/>
  <c r="C140" i="4" a="1"/>
  <c r="C128" i="4" a="1"/>
  <c r="C170" i="4" a="1"/>
  <c r="C138" i="4" a="1"/>
  <c r="D104" i="4" a="1"/>
  <c r="C193" i="4" a="1"/>
  <c r="C161" i="4" a="1"/>
  <c r="C129" i="4" a="1"/>
  <c r="D93" i="4" a="1"/>
  <c r="C168" i="4" a="1"/>
  <c r="D12" i="4" a="1"/>
  <c r="D31" i="4" a="1"/>
  <c r="C124" i="4" a="1"/>
  <c r="D98" i="4" a="1"/>
  <c r="C208" i="4" a="1"/>
  <c r="D91" i="4" a="1"/>
  <c r="D58" i="4" a="1"/>
  <c r="C131" i="4" a="1"/>
  <c r="C119" i="4" a="1"/>
  <c r="C179" i="4" a="1"/>
  <c r="C147" i="4" a="1"/>
  <c r="C198" i="4" a="1"/>
  <c r="C166" i="4" a="1"/>
  <c r="C134" i="4" a="1"/>
  <c r="D100" i="4" a="1"/>
  <c r="C189" i="4" a="1"/>
  <c r="C157" i="4" a="1"/>
  <c r="C125" i="4" a="1"/>
  <c r="D89" i="4" a="1"/>
  <c r="C152" i="4" a="1"/>
  <c r="C136" i="4" a="1"/>
  <c r="D25" i="4" a="1"/>
  <c r="C115" i="4" a="1"/>
  <c r="D95" i="4" a="1"/>
  <c r="C192" i="4" a="1"/>
  <c r="D72" i="4" a="1"/>
  <c r="D30" i="4" a="1"/>
  <c r="D86" i="4" a="1"/>
  <c r="D82" i="4" a="1"/>
  <c r="C207" i="4" a="1"/>
  <c r="C175" i="4" a="1"/>
  <c r="C143" i="4" a="1"/>
  <c r="C194" i="4" a="1"/>
  <c r="C162" i="4" a="1"/>
  <c r="C130" i="4" a="1"/>
  <c r="D92" i="4" a="1"/>
  <c r="C185" i="4" a="1"/>
  <c r="C153" i="4" a="1"/>
  <c r="C121" i="4" a="1"/>
  <c r="D85" i="4" a="1"/>
  <c r="C139" i="4" a="1"/>
  <c r="C127" i="4" a="1"/>
  <c r="D61" i="4" a="1"/>
  <c r="D102" i="4" a="1"/>
  <c r="D75" i="4" a="1"/>
  <c r="C176" i="4" a="1"/>
  <c r="C120" i="4" a="1"/>
  <c r="D15" i="4" a="1"/>
  <c r="D83" i="4" a="1"/>
  <c r="D79" i="4" a="1"/>
  <c r="C203" i="4" a="1"/>
  <c r="C171" i="4" a="1"/>
  <c r="D96" i="4" a="1"/>
  <c r="C190" i="4" a="1"/>
  <c r="C158" i="4" a="1"/>
  <c r="C126" i="4" a="1"/>
  <c r="D88" i="4" a="1"/>
  <c r="C181" i="4" a="1"/>
  <c r="C149" i="4" a="1"/>
  <c r="C117" i="4" a="1"/>
  <c r="D81" i="4" a="1"/>
  <c r="C116" i="4" a="1"/>
  <c r="D106" i="4" a="1"/>
  <c r="D22" i="4" a="1"/>
  <c r="D99" i="4" a="1"/>
  <c r="D65" i="4" a="1"/>
  <c r="C160" i="4" a="1"/>
  <c r="C111" i="4" a="1"/>
  <c r="C204" i="4" a="1"/>
  <c r="D62" i="4" a="1"/>
  <c r="D71" i="4" a="1"/>
  <c r="C199" i="4" a="1"/>
  <c r="C167" i="4" a="1"/>
  <c r="D84" i="4" a="1"/>
  <c r="C186" i="4" a="1"/>
  <c r="C154" i="4" a="1"/>
  <c r="C122" i="4" a="1"/>
  <c r="C209" i="4" a="1"/>
  <c r="C177" i="4" a="1"/>
  <c r="C145" i="4" a="1"/>
  <c r="C113" i="4" a="1"/>
  <c r="D77" i="4" a="1"/>
  <c r="D107" i="4" a="1"/>
  <c r="D103" i="4" a="1"/>
  <c r="C196" i="4" a="1"/>
  <c r="D59" i="4" a="1"/>
  <c r="D63" i="4" a="1"/>
  <c r="C144" i="4" a="1"/>
  <c r="D90" i="4" a="1"/>
  <c r="C188" i="4" a="1"/>
  <c r="D60" i="4" a="1"/>
  <c r="D66" i="4" a="1"/>
  <c r="F31" i="3" l="1"/>
  <c r="C15" i="4"/>
  <c r="D66" i="4"/>
  <c r="D60" i="4"/>
  <c r="C188" i="4"/>
  <c r="D90" i="4"/>
  <c r="C144" i="4"/>
  <c r="D63" i="4"/>
  <c r="D59" i="4"/>
  <c r="C196" i="4"/>
  <c r="D103" i="4"/>
  <c r="D107" i="4"/>
  <c r="D77" i="4"/>
  <c r="C113" i="4"/>
  <c r="C145" i="4"/>
  <c r="C177" i="4"/>
  <c r="C209" i="4"/>
  <c r="C122" i="4"/>
  <c r="C154" i="4"/>
  <c r="C186" i="4"/>
  <c r="D84" i="4"/>
  <c r="C167" i="4"/>
  <c r="C199" i="4"/>
  <c r="D71" i="4"/>
  <c r="D62" i="4"/>
  <c r="C204" i="4"/>
  <c r="C111" i="4"/>
  <c r="C160" i="4"/>
  <c r="D65" i="4"/>
  <c r="D99" i="4"/>
  <c r="D22" i="4"/>
  <c r="D106" i="4"/>
  <c r="C116" i="4"/>
  <c r="D81" i="4"/>
  <c r="C117" i="4"/>
  <c r="C149" i="4"/>
  <c r="C181" i="4"/>
  <c r="D88" i="4"/>
  <c r="C126" i="4"/>
  <c r="C158" i="4"/>
  <c r="C190" i="4"/>
  <c r="D96" i="4"/>
  <c r="C171" i="4"/>
  <c r="C203" i="4"/>
  <c r="D79" i="4"/>
  <c r="D83" i="4"/>
  <c r="D15" i="4"/>
  <c r="C120" i="4"/>
  <c r="C176" i="4"/>
  <c r="D75" i="4"/>
  <c r="D102" i="4"/>
  <c r="D61" i="4"/>
  <c r="C127" i="4"/>
  <c r="C139" i="4"/>
  <c r="D85" i="4"/>
  <c r="C121" i="4"/>
  <c r="C153" i="4"/>
  <c r="C185" i="4"/>
  <c r="D92" i="4"/>
  <c r="C130" i="4"/>
  <c r="C162" i="4"/>
  <c r="C194" i="4"/>
  <c r="C143" i="4"/>
  <c r="C175" i="4"/>
  <c r="C207" i="4"/>
  <c r="D82" i="4"/>
  <c r="D86" i="4"/>
  <c r="D30" i="4"/>
  <c r="D72" i="4"/>
  <c r="C192" i="4"/>
  <c r="D95" i="4"/>
  <c r="C115" i="4"/>
  <c r="D25" i="4"/>
  <c r="C136" i="4"/>
  <c r="C152" i="4"/>
  <c r="D89" i="4"/>
  <c r="C125" i="4"/>
  <c r="C157" i="4"/>
  <c r="C189" i="4"/>
  <c r="D100" i="4"/>
  <c r="C134" i="4"/>
  <c r="C166" i="4"/>
  <c r="C198" i="4"/>
  <c r="C147" i="4"/>
  <c r="C179" i="4"/>
  <c r="C119" i="4"/>
  <c r="C131" i="4"/>
  <c r="D58" i="4"/>
  <c r="D91" i="4"/>
  <c r="C208" i="4"/>
  <c r="D98" i="4"/>
  <c r="C124" i="4"/>
  <c r="D31" i="4"/>
  <c r="D12" i="4"/>
  <c r="C168" i="4"/>
  <c r="D93" i="4"/>
  <c r="C129" i="4"/>
  <c r="C161" i="4"/>
  <c r="C193" i="4"/>
  <c r="D104" i="4"/>
  <c r="C138" i="4"/>
  <c r="C170" i="4"/>
  <c r="C128" i="4"/>
  <c r="C140" i="4"/>
  <c r="D69" i="4"/>
  <c r="D94" i="4"/>
  <c r="D24" i="4"/>
  <c r="C112" i="4"/>
  <c r="C148" i="4"/>
  <c r="D68" i="4"/>
  <c r="D21" i="4"/>
  <c r="C184" i="4"/>
  <c r="D97" i="4"/>
  <c r="C133" i="4"/>
  <c r="C165" i="4"/>
  <c r="C197" i="4"/>
  <c r="C110" i="4"/>
  <c r="C142" i="4"/>
  <c r="D13" i="4"/>
  <c r="C156" i="4"/>
  <c r="D74" i="4"/>
  <c r="C123" i="4"/>
  <c r="D67" i="4"/>
  <c r="C135" i="4"/>
  <c r="C164" i="4"/>
  <c r="D70" i="4"/>
  <c r="D23" i="4"/>
  <c r="C200" i="4"/>
  <c r="D101" i="4"/>
  <c r="C137" i="4"/>
  <c r="C169" i="4"/>
  <c r="C201" i="4"/>
  <c r="C114" i="4"/>
  <c r="C146" i="4"/>
  <c r="C178" i="4"/>
  <c r="C210" i="4"/>
  <c r="C159" i="4"/>
  <c r="C191" i="4"/>
  <c r="D64" i="4"/>
  <c r="D14" i="4"/>
  <c r="C172" i="4"/>
  <c r="D87" i="4"/>
  <c r="C132" i="4"/>
  <c r="D20" i="4"/>
  <c r="B6" i="4"/>
  <c r="C180" i="4"/>
  <c r="D78" i="4"/>
  <c r="D76" i="4"/>
  <c r="D73" i="4"/>
  <c r="D105" i="4"/>
  <c r="C141" i="4"/>
  <c r="C173" i="4"/>
  <c r="C205" i="4"/>
  <c r="C118" i="4"/>
  <c r="C150" i="4"/>
  <c r="C182" i="4"/>
  <c r="D80" i="4"/>
  <c r="C163" i="4"/>
  <c r="C195" i="4"/>
  <c r="C151" i="4"/>
  <c r="C155" i="4"/>
  <c r="C183" i="4"/>
  <c r="C187" i="4"/>
  <c r="C174" i="4"/>
  <c r="C202" i="4"/>
  <c r="C206" i="4"/>
  <c r="F92" i="4"/>
  <c r="F74" i="4"/>
  <c r="F105" i="4"/>
  <c r="F63" i="4"/>
  <c r="F83" i="4"/>
  <c r="F82" i="4"/>
  <c r="F68" i="4"/>
  <c r="F101" i="4"/>
  <c r="F64" i="4"/>
  <c r="F70" i="4"/>
  <c r="F87" i="4"/>
  <c r="F86" i="4"/>
  <c r="F93" i="4"/>
  <c r="F104" i="4"/>
  <c r="F80" i="4"/>
  <c r="F78" i="4"/>
  <c r="F91" i="4"/>
  <c r="F90" i="4"/>
  <c r="F96" i="4"/>
  <c r="F62" i="4"/>
  <c r="F65" i="4"/>
  <c r="F85" i="4"/>
  <c r="F95" i="4"/>
  <c r="F94" i="4"/>
  <c r="F66" i="4"/>
  <c r="F58" i="4"/>
  <c r="F72" i="4"/>
  <c r="F88" i="4"/>
  <c r="F99" i="4"/>
  <c r="F98" i="4"/>
  <c r="F59" i="4"/>
  <c r="F76" i="4"/>
  <c r="F60" i="4"/>
  <c r="F81" i="4"/>
  <c r="F67" i="4"/>
  <c r="F103" i="4"/>
  <c r="F102" i="4"/>
  <c r="F73" i="4"/>
  <c r="F97" i="4"/>
  <c r="F69" i="4"/>
  <c r="F84" i="4"/>
  <c r="F75" i="4"/>
  <c r="F107" i="4"/>
  <c r="F106" i="4"/>
  <c r="F89" i="4"/>
  <c r="F100" i="4"/>
  <c r="F77" i="4"/>
  <c r="F61" i="4"/>
  <c r="F79" i="4"/>
  <c r="F71" i="4"/>
  <c r="E104" i="4"/>
  <c r="E83" i="4"/>
  <c r="E58" i="4"/>
  <c r="E68" i="4"/>
  <c r="E94" i="4"/>
  <c r="E89" i="4"/>
  <c r="E73" i="4"/>
  <c r="E98" i="4"/>
  <c r="E107" i="4"/>
  <c r="E72" i="4"/>
  <c r="E69" i="4"/>
  <c r="E93" i="4"/>
  <c r="E60" i="4"/>
  <c r="E76" i="4"/>
  <c r="E62" i="4"/>
  <c r="E87" i="4"/>
  <c r="E63" i="4"/>
  <c r="E99" i="4"/>
  <c r="E106" i="4"/>
  <c r="E101" i="4"/>
  <c r="E64" i="4"/>
  <c r="E77" i="4"/>
  <c r="E88" i="4"/>
  <c r="E95" i="4"/>
  <c r="E82" i="4"/>
  <c r="E81" i="4"/>
  <c r="E85" i="4"/>
  <c r="E66" i="4"/>
  <c r="E80" i="4"/>
  <c r="E91" i="4"/>
  <c r="E59" i="4"/>
  <c r="E90" i="4"/>
  <c r="E84" i="4"/>
  <c r="E78" i="4"/>
  <c r="E65" i="4"/>
  <c r="E102" i="4"/>
  <c r="E67" i="4"/>
  <c r="E74" i="4"/>
  <c r="E105" i="4"/>
  <c r="E61" i="4"/>
  <c r="E86" i="4"/>
  <c r="E100" i="4"/>
  <c r="E75" i="4"/>
  <c r="E97" i="4"/>
  <c r="E103" i="4"/>
  <c r="E92" i="4"/>
  <c r="E71" i="4"/>
  <c r="E96" i="4"/>
  <c r="E79" i="4"/>
  <c r="E70" i="4"/>
  <c r="F30" i="3"/>
  <c r="E49" i="3"/>
  <c r="C21" i="3"/>
  <c r="F28" i="3"/>
  <c r="C25" i="3" a="1"/>
  <c r="C25" i="3" s="1"/>
  <c r="F29" i="3"/>
  <c r="C22" i="3"/>
  <c r="C23" i="3" s="1"/>
  <c r="E15" i="3"/>
  <c r="E17" i="3" s="1"/>
  <c r="E14" i="3"/>
  <c r="F23" i="4" a="1"/>
  <c r="F25" i="4" a="1"/>
  <c r="F20" i="4" a="1"/>
  <c r="F24" i="4" a="1"/>
  <c r="F22" i="4" a="1"/>
  <c r="F30" i="4" a="1"/>
  <c r="F31" i="4" a="1"/>
  <c r="F21" i="4" a="1"/>
  <c r="D30" i="3" a="1"/>
  <c r="D29" i="3" a="1"/>
  <c r="D28" i="3" a="1"/>
  <c r="D31" i="3" a="1"/>
  <c r="C24" i="3" a="1"/>
  <c r="F21" i="4" l="1"/>
  <c r="F31" i="4"/>
  <c r="F30" i="4"/>
  <c r="F22" i="4"/>
  <c r="F24" i="4"/>
  <c r="F20" i="4"/>
  <c r="F25" i="4"/>
  <c r="F23" i="4"/>
  <c r="E16" i="3"/>
  <c r="C230" i="4"/>
  <c r="C235" i="4"/>
  <c r="C233" i="4"/>
  <c r="C213" i="4"/>
  <c r="C237" i="4"/>
  <c r="D237" i="4" s="1"/>
  <c r="G237" i="4" s="1" a="1"/>
  <c r="G237" i="4" s="1"/>
  <c r="C222" i="4"/>
  <c r="C224" i="4"/>
  <c r="C223" i="4"/>
  <c r="C216" i="4"/>
  <c r="C231" i="4"/>
  <c r="C220" i="4"/>
  <c r="C225" i="4"/>
  <c r="C215" i="4"/>
  <c r="C228" i="4"/>
  <c r="C218" i="4"/>
  <c r="C229" i="4"/>
  <c r="C234" i="4"/>
  <c r="C217" i="4"/>
  <c r="C219" i="4"/>
  <c r="C221" i="4"/>
  <c r="C226" i="4"/>
  <c r="C214" i="4"/>
  <c r="C227" i="4"/>
  <c r="C236" i="4"/>
  <c r="C232" i="4"/>
  <c r="C24" i="3"/>
  <c r="D31" i="3"/>
  <c r="F15" i="4" s="1"/>
  <c r="D28" i="3"/>
  <c r="F12" i="4" s="1"/>
  <c r="D29" i="3"/>
  <c r="F13" i="4" s="1"/>
  <c r="D30" i="3"/>
  <c r="F14" i="4" s="1"/>
  <c r="E48" i="3"/>
  <c r="B7" i="4" s="1"/>
  <c r="E21" i="4" a="1"/>
  <c r="E23" i="4" a="1"/>
  <c r="E25" i="4" a="1"/>
  <c r="E31" i="4" a="1"/>
  <c r="E30" i="4" a="1"/>
  <c r="E22" i="4" a="1"/>
  <c r="E24" i="4" a="1"/>
  <c r="E20" i="4" a="1"/>
  <c r="C29" i="3" a="1"/>
  <c r="C30" i="3" a="1"/>
  <c r="C31" i="3" a="1"/>
  <c r="C28" i="3" a="1"/>
  <c r="E20" i="4" l="1"/>
  <c r="E24" i="4"/>
  <c r="E22" i="4"/>
  <c r="E30" i="4"/>
  <c r="E31" i="4"/>
  <c r="E25" i="4"/>
  <c r="E23" i="4"/>
  <c r="E21" i="4"/>
  <c r="D222" i="4"/>
  <c r="G222" i="4" s="1" a="1"/>
  <c r="G222" i="4" s="1"/>
  <c r="E222" i="4"/>
  <c r="D223" i="4"/>
  <c r="G223" i="4" s="1" a="1"/>
  <c r="G223" i="4" s="1"/>
  <c r="E223" i="4"/>
  <c r="D215" i="4"/>
  <c r="G215" i="4" s="1" a="1"/>
  <c r="G215" i="4" s="1"/>
  <c r="E215" i="4"/>
  <c r="E214" i="4"/>
  <c r="D214" i="4"/>
  <c r="G214" i="4" s="1" a="1"/>
  <c r="G214" i="4" s="1"/>
  <c r="E236" i="4"/>
  <c r="D236" i="4"/>
  <c r="G236" i="4" s="1" a="1"/>
  <c r="G236" i="4" s="1"/>
  <c r="F236" i="4" s="1"/>
  <c r="E227" i="4"/>
  <c r="D227" i="4"/>
  <c r="G227" i="4" s="1" a="1"/>
  <c r="G227" i="4" s="1"/>
  <c r="D224" i="4"/>
  <c r="G224" i="4" s="1" a="1"/>
  <c r="G224" i="4" s="1"/>
  <c r="E224" i="4"/>
  <c r="E226" i="4"/>
  <c r="D226" i="4"/>
  <c r="G226" i="4" s="1" a="1"/>
  <c r="G226" i="4" s="1"/>
  <c r="E219" i="4"/>
  <c r="D219" i="4"/>
  <c r="G219" i="4" s="1" a="1"/>
  <c r="G219" i="4" s="1"/>
  <c r="D229" i="4"/>
  <c r="G229" i="4" s="1" a="1"/>
  <c r="G229" i="4" s="1"/>
  <c r="E229" i="4"/>
  <c r="D218" i="4"/>
  <c r="G218" i="4" s="1" a="1"/>
  <c r="G218" i="4" s="1"/>
  <c r="E218" i="4"/>
  <c r="E228" i="4"/>
  <c r="D228" i="4"/>
  <c r="G228" i="4" s="1" a="1"/>
  <c r="G228" i="4" s="1"/>
  <c r="E235" i="4"/>
  <c r="D235" i="4"/>
  <c r="G235" i="4" s="1" a="1"/>
  <c r="G235" i="4" s="1"/>
  <c r="D221" i="4"/>
  <c r="G221" i="4" s="1" a="1"/>
  <c r="G221" i="4" s="1"/>
  <c r="E221" i="4"/>
  <c r="D225" i="4"/>
  <c r="G225" i="4" s="1" a="1"/>
  <c r="G225" i="4" s="1"/>
  <c r="E225" i="4"/>
  <c r="E213" i="4"/>
  <c r="D213" i="4"/>
  <c r="G213" i="4" s="1" a="1"/>
  <c r="G213" i="4" s="1"/>
  <c r="D220" i="4"/>
  <c r="G220" i="4" s="1" a="1"/>
  <c r="G220" i="4" s="1"/>
  <c r="E220" i="4"/>
  <c r="E233" i="4"/>
  <c r="D233" i="4"/>
  <c r="G233" i="4" s="1" a="1"/>
  <c r="G233" i="4" s="1"/>
  <c r="E217" i="4"/>
  <c r="D217" i="4"/>
  <c r="G217" i="4" s="1" a="1"/>
  <c r="G217" i="4" s="1"/>
  <c r="E231" i="4"/>
  <c r="D231" i="4"/>
  <c r="G231" i="4" s="1" a="1"/>
  <c r="G231" i="4" s="1"/>
  <c r="E232" i="4"/>
  <c r="D232" i="4"/>
  <c r="G232" i="4" s="1" a="1"/>
  <c r="G232" i="4" s="1"/>
  <c r="D234" i="4"/>
  <c r="G234" i="4" s="1" a="1"/>
  <c r="G234" i="4" s="1"/>
  <c r="E234" i="4"/>
  <c r="E216" i="4"/>
  <c r="D216" i="4"/>
  <c r="G216" i="4" s="1" a="1"/>
  <c r="G216" i="4" s="1"/>
  <c r="E230" i="4"/>
  <c r="D230" i="4"/>
  <c r="G230" i="4" s="1" a="1"/>
  <c r="G230" i="4" s="1"/>
  <c r="C28" i="3"/>
  <c r="E12" i="4" s="1"/>
  <c r="C31" i="3"/>
  <c r="E15" i="4" s="1"/>
  <c r="C30" i="3"/>
  <c r="E14" i="4" s="1"/>
  <c r="C29" i="3"/>
  <c r="E13" i="4" s="1"/>
  <c r="F219" i="4" l="1"/>
  <c r="F213" i="4"/>
  <c r="F227" i="4"/>
  <c r="F225" i="4"/>
  <c r="F215" i="4"/>
  <c r="F233" i="4"/>
  <c r="F220" i="4"/>
  <c r="F231" i="4"/>
  <c r="F222" i="4"/>
  <c r="F217" i="4"/>
  <c r="F232" i="4"/>
  <c r="F235" i="4"/>
  <c r="F216" i="4"/>
  <c r="F224" i="4"/>
  <c r="F223" i="4"/>
  <c r="F214" i="4"/>
  <c r="F226" i="4"/>
  <c r="F228" i="4"/>
  <c r="F234" i="4"/>
  <c r="F218" i="4"/>
  <c r="F229" i="4"/>
  <c r="F230" i="4"/>
  <c r="F221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<sst xmlns="http://schemas.openxmlformats.org/spreadsheetml/2006/main" count="258" uniqueCount="205">
  <si>
    <t>Moments of an Aggregate Distribution</t>
  </si>
  <si>
    <t>ModelRisk example  ·  General use  ·  GU-21</t>
  </si>
  <si>
    <t>The mean, spread, skewness and kurtosis of a year's total claims, without simulating, and what they are good for.</t>
  </si>
  <si>
    <t>Next:  Inputs  ▸</t>
  </si>
  <si>
    <t>Model card</t>
  </si>
  <si>
    <t>Industry</t>
  </si>
  <si>
    <t>General use</t>
  </si>
  <si>
    <t>Difficulty</t>
  </si>
  <si>
    <t>★★★☆☆   Exact moments of a random sum, and distributions matched to them, checked against simulation.</t>
  </si>
  <si>
    <t>Business question</t>
  </si>
  <si>
    <t>A portfolio has about 25 claims a year, each of uncertain size. What are the moments of the year's total, and how well does a distribution matched to those moments describe it?</t>
  </si>
  <si>
    <t>Who it is for</t>
  </si>
  <si>
    <t>Actuaries, risk analysts and anyone working with totals of a random number of random amounts: claims, operational losses, repair costs, demand made of many orders.</t>
  </si>
  <si>
    <t>Main outputs</t>
  </si>
  <si>
    <t>The mean, variance, skewness and kurtosis of the frequency, the severity and the total, by formula and with VoseAggregateMoments · a shifted Gamma and a Normal matched to the total's moments · their percentiles and tail probabilities against the simulated total.</t>
  </si>
  <si>
    <t>ModelRisk techniques</t>
  </si>
  <si>
    <t>Distribution objects (VosePoissonObject, VoseLognormalObject) · VoseMean, VoseVariance, VoseSkewness, VoseKurtosis · VoseAggregateMoments · the method of moments with a shifted Gamma (VoseShift) · VoseAggregateMC · VosePercentile and VoseProb on objects.</t>
  </si>
  <si>
    <t>File</t>
  </si>
  <si>
    <t>GU-21 Moments of an aggregate distribution  ·  Version 1.0  ·  October 2026  ·  re-issues the example Aggregate Moments  ·  built with ModelRisk 10</t>
  </si>
  <si>
    <t>The business question</t>
  </si>
  <si>
    <t>An insurer expects about 25 claims next year (a Poisson number) and each claim's size is a Lognormal with a mean of 5 and a standard deviation of 7 ($ thousand). The total is a random sum: its moments follow exactly from those of the frequency and the severity, by formula or with VoseAggregateMoments, without any simulation. A distribution matched to them gives a quick approximation of the total. The model matches a shifted Gamma (three moments) and a Normal (two), and compares both with the simulated total: in the upper tail, where the money is, the Gamma is close and the Normal is not.</t>
  </si>
  <si>
    <t>How the model works</t>
  </si>
  <si>
    <t>Three sheets after this one, read from left to right. Each one feeds the next.</t>
  </si>
  <si>
    <t>1  Inputs</t>
  </si>
  <si>
    <t>The expected number of claims (Poisson), the claim size's mean and standard deviation (Lognormal), and what counts as a large and a small year.</t>
  </si>
  <si>
    <t>2  Moments</t>
  </si>
  <si>
    <t>The first four moments of the frequency and the severity (VoseMean, VoseVariance, VoseSkewness, VoseKurtosis). The total's moments by the formulas for a random sum, and with VoseAggregateMoments. A shifted Gamma matched to the total's mean, variance and skewness, and a Normal matched to its mean and variance. One sample of each per simulation, with the total simulated by VoseAggregateMC.</t>
  </si>
  <si>
    <t>3  Results</t>
  </si>
  <si>
    <t>The moments of the three, their percentiles, and the chance of a large or a small year.</t>
  </si>
  <si>
    <t>How to use it</t>
  </si>
  <si>
    <t>Step 1</t>
  </si>
  <si>
    <t>Set the claim frequency and size on the Inputs sheet.</t>
  </si>
  <si>
    <t>Step 2</t>
  </si>
  <si>
    <t>Read the moments at once on the Moments sheet; run a simulation (10,000 samples with a fixed seed are set) to compare the approximations with the simulated total.</t>
  </si>
  <si>
    <t>Step 3</t>
  </si>
  <si>
    <t>Use the matched Gamma for a quick upper-tail estimate; simulate when the lower tail matters.</t>
  </si>
  <si>
    <t>Workbook map</t>
  </si>
  <si>
    <t>Inputs</t>
  </si>
  <si>
    <t>Frequency, severity, thresholds.</t>
  </si>
  <si>
    <t>Moments</t>
  </si>
  <si>
    <t>Moments by formula and by VoseAggregateMoments; the matched distributions; samples; checks.</t>
  </si>
  <si>
    <t>Results</t>
  </si>
  <si>
    <t>Moments, percentiles, large and small years.</t>
  </si>
  <si>
    <t>Colour key</t>
  </si>
  <si>
    <t>Input</t>
  </si>
  <si>
    <t>An assumption you may change. Only these cells are inputs.</t>
  </si>
  <si>
    <t>Uncertain variable</t>
  </si>
  <si>
    <t>A ModelRisk distribution: a new random value is drawn at every recalculation (F9) and every simulation sample.</t>
  </si>
  <si>
    <t>Calculation</t>
  </si>
  <si>
    <t>A formula. Do not overwrite.</t>
  </si>
  <si>
    <t>Key output</t>
  </si>
  <si>
    <t>Marked with VoseOutput; its full distribution is recorded when you simulate.</t>
  </si>
  <si>
    <t>Simulation result</t>
  </si>
  <si>
    <t>A VoseSim… function: a statistic of the last simulation, filled in automatically.</t>
  </si>
  <si>
    <t>Units and conventions</t>
  </si>
  <si>
    <t>Kurtosis</t>
  </si>
  <si>
    <t>Not the excess: a Normal has 3.</t>
  </si>
  <si>
    <t>$ thousand</t>
  </si>
  <si>
    <t>All amounts.</t>
  </si>
  <si>
    <t>Key assumptions and limitations</t>
  </si>
  <si>
    <t>Independence</t>
  </si>
  <si>
    <t>Claim sizes are independent of each other and of the number of claims.</t>
  </si>
  <si>
    <t>Matching</t>
  </si>
  <si>
    <t>The shifted Gamma matches three moments: mean, variance and skewness; its kurtosis is whatever follows. The Normal matches two.</t>
  </si>
  <si>
    <t>Data</t>
  </si>
  <si>
    <t>The frequency and severity are those of ModelRisk's earlier Aggregate Moments example. Its formula table typed C10 for C19 in the skewness formula; the model uses the cell's formula, which is right.</t>
  </si>
  <si>
    <t>ModelRisk functions used</t>
  </si>
  <si>
    <t>VosePoissonObject, VoseLognormalObject, VoseGammaObject, VoseNormalObject</t>
  </si>
  <si>
    <t>Distributions as objects.</t>
  </si>
  <si>
    <t>VoseMean, VoseVariance, VoseSkewness, VoseKurtosis</t>
  </si>
  <si>
    <t>An object's moments, exactly.</t>
  </si>
  <si>
    <t>VoseAggregateMoments</t>
  </si>
  <si>
    <t>The first four moments of a random sum, from its frequency and severity.</t>
  </si>
  <si>
    <t>VoseShift</t>
  </si>
  <si>
    <t>Shifts a distribution by a constant (here the Gamma's start).</t>
  </si>
  <si>
    <t>VoseAggregateMC</t>
  </si>
  <si>
    <t>One simulated total: a number of claims, then a size for each, added up.</t>
  </si>
  <si>
    <t>VosePercentile, VoseProb</t>
  </si>
  <si>
    <t>A distribution object's percentile and cumulative probability.</t>
  </si>
  <si>
    <t>VoseSimMean, VoseSimStdev, VoseSimSkewness, VoseSimKurtosis, VoseSimPercentile, VoseSimProbability</t>
  </si>
  <si>
    <t>Statistics of the simulation.</t>
  </si>
  <si>
    <t>Further reading</t>
  </si>
  <si>
    <t>Aggregate moments</t>
  </si>
  <si>
    <t>Vose, D. (2008). Risk Analysis: A Quantitative Guide, 3rd edition. Wiley: aggregate distributions and the method of moments.</t>
  </si>
  <si>
    <t>© 2026 Vose Software   ·   www.vosesoftware.com   ·   An illustrative example: the figures are invented for teaching and do not describe a real company, project or asset.</t>
  </si>
  <si>
    <t>INPUTS   ·   The claim frequency and size. Change only the yellow cells.</t>
  </si>
  <si>
    <t>◂  About</t>
  </si>
  <si>
    <t>Next:  Moments  ▸</t>
  </si>
  <si>
    <t>How to read this sheet:  yellow cells are inputs.</t>
  </si>
  <si>
    <t>1   Claims in a year</t>
  </si>
  <si>
    <t>A Poisson number of claims.</t>
  </si>
  <si>
    <t>Assumption</t>
  </si>
  <si>
    <t>Unit</t>
  </si>
  <si>
    <t>Value in model</t>
  </si>
  <si>
    <t>Uncertainty</t>
  </si>
  <si>
    <t>Basis / source (illustrative)</t>
  </si>
  <si>
    <t>Expected number of claims</t>
  </si>
  <si>
    <t>claims a year</t>
  </si>
  <si>
    <t>Fixed</t>
  </si>
  <si>
    <t>Poisson: variance = mean</t>
  </si>
  <si>
    <t>2   Claim size</t>
  </si>
  <si>
    <t>A Lognormal size for each claim.</t>
  </si>
  <si>
    <t>Mean claim size</t>
  </si>
  <si>
    <t>Standard deviation of the claim size</t>
  </si>
  <si>
    <t>Larger than the mean: a long right tail</t>
  </si>
  <si>
    <t>3   Large and small years</t>
  </si>
  <si>
    <t>Thresholds for the chance of an extreme year.</t>
  </si>
  <si>
    <t>A large year: total above</t>
  </si>
  <si>
    <t>Twice the expected total</t>
  </si>
  <si>
    <t>A small year: total below</t>
  </si>
  <si>
    <t>MOMENTS   ·   The total's moments without simulating, and distributions matched to them.</t>
  </si>
  <si>
    <t>◂  Inputs</t>
  </si>
  <si>
    <t>Next:  Results  ▸</t>
  </si>
  <si>
    <t>1   Frequency and severity</t>
  </si>
  <si>
    <t>As distribution objects: their moments follow without sampling.</t>
  </si>
  <si>
    <t>Number of claims: Poisson</t>
  </si>
  <si>
    <t>VosePoissonObject(expected number)</t>
  </si>
  <si>
    <t>Size of a claim: Lognormal</t>
  </si>
  <si>
    <t>VoseLognormalObject(mean, standard deviation)</t>
  </si>
  <si>
    <t>2   Moments of the total</t>
  </si>
  <si>
    <t>The total's moments by the formulas for a random sum, and from VoseAggregateMoments.</t>
  </si>
  <si>
    <t>Moment</t>
  </si>
  <si>
    <t>Number of claims</t>
  </si>
  <si>
    <t>Claim size</t>
  </si>
  <si>
    <t>Total: by formula</t>
  </si>
  <si>
    <t>Total: ModelRisk</t>
  </si>
  <si>
    <t>Mean</t>
  </si>
  <si>
    <t>Mean of the total = mean number × mean size. Last column: VoseAggregateMoments(frequency, severity)</t>
  </si>
  <si>
    <t>Variance</t>
  </si>
  <si>
    <t>Variance = mean number × size variance + number variance × mean size²</t>
  </si>
  <si>
    <t>Skewness</t>
  </si>
  <si>
    <t>Third cumulant of a random sum, ÷ variance^1.5 (the original example's formula)</t>
  </si>
  <si>
    <t>Fourth cumulant of a random sum, ÷ variance², plus 3 (not in the original example)</t>
  </si>
  <si>
    <t>3   Distributions matched to the moments</t>
  </si>
  <si>
    <t>A shifted Gamma matched to three moments, a Normal to two.</t>
  </si>
  <si>
    <t>Gamma shape  a = (2 ÷ skewness)²</t>
  </si>
  <si>
    <t>A Gamma's skewness is 2 ÷ √a</t>
  </si>
  <si>
    <t>Gamma scale  b = √(variance ÷ a)</t>
  </si>
  <si>
    <t>Its variance is a × b²</t>
  </si>
  <si>
    <t>Shift  = mean − a × b</t>
  </si>
  <si>
    <t>Moves the Gamma so its mean is the total's: it starts here</t>
  </si>
  <si>
    <t>Shifted Gamma</t>
  </si>
  <si>
    <t>VoseGammaObject(a, b, VoseShift(shift))</t>
  </si>
  <si>
    <t>Normal</t>
  </si>
  <si>
    <t>Same mean and standard deviation as the total</t>
  </si>
  <si>
    <t>Total (exact)</t>
  </si>
  <si>
    <t>Kurtosis is not matched: the Gamma's is 3 + 6 ÷ a, the Normal's 3</t>
  </si>
  <si>
    <t>4   Samples</t>
  </si>
  <si>
    <t>One value per simulation of each.</t>
  </si>
  <si>
    <t>Total claims, simulated: VoseAggregateMC</t>
  </si>
  <si>
    <t>A Poisson number of claims, a Lognormal size for each, added up</t>
  </si>
  <si>
    <t>5   Value in this iteration</t>
  </si>
  <si>
    <t>Key outputs, recorded by ModelRisk at every sample (VoseOutput). Their statistics appear on the Results sheet.</t>
  </si>
  <si>
    <t>Output</t>
  </si>
  <si>
    <t>Value</t>
  </si>
  <si>
    <t>Meaning</t>
  </si>
  <si>
    <t>Total claims, simulated</t>
  </si>
  <si>
    <t>6   Model checks</t>
  </si>
  <si>
    <t>Should all read OK. A CHECK means an input has been set outside the range the model is built for.</t>
  </si>
  <si>
    <t>The formulas agree with VoseAggregateMoments</t>
  </si>
  <si>
    <t>The total is skewed to the right (the Gamma needs it)</t>
  </si>
  <si>
    <t>The thresholds are in order</t>
  </si>
  <si>
    <t>RESULTS   ·   Filled in automatically from the last simulation. Run a simulation after changing any input.</t>
  </si>
  <si>
    <t>◂  Moments</t>
  </si>
  <si>
    <t>1   Moments of the total</t>
  </si>
  <si>
    <t>The total and its two approximations</t>
  </si>
  <si>
    <t>Exact (VoseAggregateMoments), simulated, and those of the two matched distributions.</t>
  </si>
  <si>
    <t>Exact</t>
  </si>
  <si>
    <t>Simulated</t>
  </si>
  <si>
    <t>Standard deviation</t>
  </si>
  <si>
    <t>2   Percentiles</t>
  </si>
  <si>
    <t>The simulated total against the two matched distributions (exact percentiles).</t>
  </si>
  <si>
    <t>Percentile</t>
  </si>
  <si>
    <t>Simulated total</t>
  </si>
  <si>
    <t>5th</t>
  </si>
  <si>
    <t>50th (median)</t>
  </si>
  <si>
    <t>90th</t>
  </si>
  <si>
    <t>95th</t>
  </si>
  <si>
    <t>99th</t>
  </si>
  <si>
    <t>99.5th</t>
  </si>
  <si>
    <t>The chance of a year beyond the thresholds on the Inputs sheet.</t>
  </si>
  <si>
    <t>Year</t>
  </si>
  <si>
    <t>Total above the large-year threshold</t>
  </si>
  <si>
    <t>Total below the small-year threshold</t>
  </si>
  <si>
    <t>The simulated total</t>
  </si>
  <si>
    <t>4   How to read these results</t>
  </si>
  <si>
    <t>•  The moments need no simulation: VoseAggregateMoments gives a mean of 125, a variance of 1,850 (standard deviation 43), a skewness of 1.02 and a kurtosis of 6.07, exactly what the formulas for a random sum give. The simulated moments agree within sampling error; kurtosis, driven by rare large claims, is the noisiest.</t>
  </si>
  <si>
    <t>•  A shifted Gamma matched to the first three moments describes the upper tail well: its 99th percentile, 255.5, is within a few units of the simulated total's. A Normal matched to two moments puts it at 225 and gives a large year (above 250) a 0.2% chance instead of about 1%.</t>
  </si>
  <si>
    <t>•  The Gamma's weakness is the lower tail: it cannot go below its shift (40.5), so it gives a small year (below 50) about 0.1% against about 1%. Its kurtosis, 4.56 against 6.07, shows the fourth moment is not matched.</t>
  </si>
  <si>
    <t>•  Use the moments to check a simulation, and a matched shifted Gamma for a quick estimate of the upper tail; simulate when the lower tail or extreme percentiles matter.</t>
  </si>
  <si>
    <t>Chart data</t>
  </si>
  <si>
    <t>Statistics of the last simulation behind the charts and the ranking above. Grouped: click + in the left margin to show them.</t>
  </si>
  <si>
    <t>Cumulative probability</t>
  </si>
  <si>
    <t>Exceedance</t>
  </si>
  <si>
    <t>Tot_Sim</t>
  </si>
  <si>
    <t>Tot_Gamma</t>
  </si>
  <si>
    <t>Tot_Normal</t>
  </si>
  <si>
    <t>Percentiles: Tot_Sim</t>
  </si>
  <si>
    <t>Histogram: Tot_Sim</t>
  </si>
  <si>
    <t>Edge</t>
  </si>
  <si>
    <t>Index</t>
  </si>
  <si>
    <t>Mid-point</t>
  </si>
  <si>
    <t>Probability</t>
  </si>
  <si>
    <t>Below edge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</si>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</sst>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_);\(#,##0\);&quot;–&quot;_)"/>
    <numFmt numFmtId="165" formatCode="#,##0.0_);\(#,##0.0\);&quot;–&quot;_)"/>
    <numFmt numFmtId="166" formatCode="#,##0.00_);\(#,##0.00\);&quot;–&quot;_)"/>
    <numFmt numFmtId="167" formatCode="0.0000"/>
    <numFmt numFmtId="168" formatCode="#,##0.0_);\(#,##0.0\);&quot;–&quot;_);&quot;–&quot;"/>
    <numFmt numFmtId="169" formatCode="#,##0.00_);\(#,##0.00\);&quot;–&quot;_);&quot;–&quot;"/>
    <numFmt numFmtId="170" formatCode="0.00%;\-0.00%;0.00%;&quot;–&quot;"/>
    <numFmt numFmtId="171" formatCode="0.0%"/>
  </numFmts>
  <fonts count="22" x14ac:knownFonts="1">
    <font>
      <sz val="11"/>
      <color theme="1"/>
      <name val="Calibri"/>
      <family val="2"/>
      <scheme val="minor"/>
    </font>
    <font>
      <sz val="10"/>
      <color rgb="FF0E4F92"/>
      <name val="Calibri"/>
    </font>
    <font>
      <sz val="10"/>
      <color rgb="FF9A3412"/>
      <name val="Calibri"/>
    </font>
    <font>
      <sz val="10"/>
      <color rgb="FF0F2A47"/>
      <name val="Calibri"/>
    </font>
    <font>
      <b/>
      <sz val="10"/>
      <color rgb="FF14532D"/>
      <name val="Calibri"/>
    </font>
    <font>
      <b/>
      <sz val="16"/>
      <color rgb="FFFFFFFF"/>
      <name val="Calibri"/>
    </font>
    <font>
      <sz val="10"/>
      <color rgb="FFD6E2F0"/>
      <name val="Calibri"/>
    </font>
    <font>
      <sz val="9"/>
      <color rgb="FFD6E2F0"/>
      <name val="Calibri"/>
    </font>
    <font>
      <u/>
      <sz val="9"/>
      <color rgb="FF0E4F92"/>
      <name val="Calibri"/>
    </font>
    <font>
      <b/>
      <sz val="20"/>
      <color rgb="FFFFFFFF"/>
      <name val="Calibri"/>
    </font>
    <font>
      <b/>
      <sz val="12"/>
      <color rgb="FF0E4F92"/>
      <name val="Calibri"/>
    </font>
    <font>
      <b/>
      <sz val="10"/>
      <color rgb="FF3F5876"/>
      <name val="Calibri"/>
    </font>
    <font>
      <b/>
      <sz val="10"/>
      <color rgb="FF0F2A47"/>
      <name val="Calibri"/>
    </font>
    <font>
      <i/>
      <sz val="9"/>
      <color rgb="FF3F5876"/>
      <name val="Calibri"/>
    </font>
    <font>
      <u/>
      <sz val="10"/>
      <color rgb="FF0E4F92"/>
      <name val="Calibri"/>
    </font>
    <font>
      <b/>
      <sz val="10"/>
      <color rgb="FF0E4F92"/>
      <name val="Calibri"/>
    </font>
    <font>
      <i/>
      <sz val="9"/>
      <color rgb="FF8AA0BA"/>
      <name val="Calibri"/>
    </font>
    <font>
      <b/>
      <sz val="9"/>
      <color rgb="FF3F5876"/>
      <name val="Calibri"/>
    </font>
    <font>
      <sz val="9"/>
      <color rgb="FF3F5876"/>
      <name val="Calibri"/>
    </font>
    <font>
      <b/>
      <sz val="10"/>
      <color rgb="FF15803D"/>
      <name val="Calibri"/>
    </font>
    <font>
      <sz val="9"/>
      <color rgb="FF8AA0BA"/>
      <name val="Calibri"/>
    </font>
    <font>
      <b/>
      <sz val="11"/>
      <color rgb="FF0E4F92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8EEF7"/>
        <bgColor rgb="FFE8EEF7"/>
      </patternFill>
    </fill>
    <fill>
      <patternFill patternType="solid">
        <fgColor rgb="FF0E4F92"/>
        <bgColor rgb="FF0E4F92"/>
      </patternFill>
    </fill>
    <fill>
      <patternFill patternType="solid">
        <fgColor rgb="FFEEF1F5"/>
        <bgColor rgb="FFEEF1F5"/>
      </patternFill>
    </fill>
  </fills>
  <borders count="11">
    <border>
      <left/>
      <right/>
      <top/>
      <bottom/>
      <diagonal/>
    </border>
    <border>
      <left style="thin">
        <color rgb="FFC6D1DF"/>
      </left>
      <right style="thin">
        <color rgb="FFC6D1DF"/>
      </right>
      <top style="thin">
        <color rgb="FFC6D1DF"/>
      </top>
      <bottom style="thin">
        <color rgb="FFC6D1DF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C6D1DF"/>
      </bottom>
      <diagonal/>
    </border>
    <border>
      <left/>
      <right/>
      <top/>
      <bottom style="medium">
        <color rgb="FF0E4F92"/>
      </bottom>
      <diagonal/>
    </border>
    <border>
      <left/>
      <right/>
      <top/>
      <bottom style="thin">
        <color rgb="FFE4E9F0"/>
      </bottom>
      <diagonal/>
    </border>
    <border>
      <left style="thin">
        <color rgb="FFC6D1DF"/>
      </left>
      <right style="thin">
        <color rgb="FFC6D1DF"/>
      </right>
      <top style="thin">
        <color rgb="FFC6D1DF"/>
      </top>
      <bottom style="thin">
        <color rgb="FFE4E9F0"/>
      </bottom>
      <diagonal/>
    </border>
    <border>
      <left/>
      <right/>
      <top/>
      <bottom style="thin">
        <color rgb="FFE4E9F0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4E9F0"/>
      </bottom>
      <diagonal/>
    </border>
    <border>
      <left/>
      <right/>
      <top style="thin">
        <color rgb="FFC6D1DF"/>
      </top>
      <bottom style="thin">
        <color rgb="FFC6D1DF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60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165" fontId="1" fillId="2" borderId="7" xfId="1" applyNumberFormat="1" applyBorder="1">
      <alignment horizontal="right" vertical="center"/>
    </xf>
    <xf numFmtId="0" fontId="3" fillId="0" borderId="8" xfId="3" applyBorder="1" applyAlignment="1">
      <alignment horizontal="left" vertical="center" indent="1"/>
    </xf>
    <xf numFmtId="0" fontId="18" fillId="0" borderId="0" xfId="0" applyFont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166" fontId="3" fillId="0" borderId="8" xfId="3" applyNumberFormat="1" applyBorder="1">
      <alignment horizontal="right" vertical="center"/>
    </xf>
    <xf numFmtId="167" fontId="3" fillId="0" borderId="8" xfId="3" applyNumberFormat="1" applyBorder="1">
      <alignment horizontal="right" vertical="center"/>
    </xf>
    <xf numFmtId="165" fontId="2" fillId="3" borderId="7" xfId="2" applyNumberFormat="1" applyBorder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165" fontId="4" fillId="4" borderId="9" xfId="4" applyNumberFormat="1" applyBorder="1">
      <alignment horizontal="right" vertical="center"/>
    </xf>
    <xf numFmtId="0" fontId="19" fillId="0" borderId="6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left" vertical="center" indent="1"/>
    </xf>
    <xf numFmtId="0" fontId="0" fillId="5" borderId="10" xfId="0" applyFill="1" applyBorder="1"/>
    <xf numFmtId="0" fontId="21" fillId="0" borderId="5" xfId="0" applyFont="1" applyBorder="1"/>
    <xf numFmtId="165" fontId="3" fillId="0" borderId="8" xfId="3" applyNumberFormat="1" applyBorder="1">
      <alignment horizontal="right" vertical="center"/>
    </xf>
    <xf numFmtId="168" fontId="1" fillId="5" borderId="7" xfId="5" applyNumberFormat="1" applyBorder="1">
      <alignment horizontal="right" vertical="center"/>
    </xf>
    <xf numFmtId="2" fontId="3" fillId="0" borderId="8" xfId="3" applyNumberFormat="1" applyBorder="1">
      <alignment horizontal="right" vertical="center"/>
    </xf>
    <xf numFmtId="169" fontId="1" fillId="5" borderId="7" xfId="5" applyNumberFormat="1" applyBorder="1">
      <alignment horizontal="right" vertical="center"/>
    </xf>
    <xf numFmtId="170" fontId="1" fillId="5" borderId="7" xfId="5" applyNumberFormat="1" applyBorder="1">
      <alignment horizontal="right" vertical="center"/>
    </xf>
    <xf numFmtId="10" fontId="3" fillId="0" borderId="8" xfId="3" applyNumberFormat="1" applyBorder="1">
      <alignment horizontal="right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171" fontId="3" fillId="0" borderId="2" xfId="3" applyNumberFormat="1">
      <alignment horizontal="right" vertical="center"/>
    </xf>
    <xf numFmtId="0" fontId="20" fillId="0" borderId="0" xfId="0" applyFont="1"/>
    <xf numFmtId="1" fontId="3" fillId="0" borderId="2" xfId="3" applyNumberFormat="1">
      <alignment horizontal="right" vertical="center"/>
    </xf>
    <xf numFmtId="0" fontId="16" fillId="0" borderId="0" xfId="0" applyFont="1"/>
    <xf numFmtId="0" fontId="0" fillId="0" borderId="0" xfId="0"/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Vose Calculation" xfId="3" xr:uid="{00000000-0005-0000-0000-000003000000}"/>
    <cellStyle name="Vose Input" xfId="1" xr:uid="{00000000-0005-0000-0000-000001000000}"/>
    <cellStyle name="Vose Output" xfId="4" xr:uid="{00000000-0005-0000-0000-000004000000}"/>
    <cellStyle name="Vose Sim Result" xfId="5" xr:uid="{00000000-0005-0000-0000-000005000000}"/>
    <cellStyle name="Vose Uncertain" xfId="2" xr:uid="{00000000-0005-0000-0000-000002000000}"/>
  </cellStyles>
  <dxfs count="5">
    <dxf>
      <font>
        <color rgb="FF8AA0BA"/>
      </font>
    </dxf>
    <dxf>
      <font>
        <color rgb="FF8AA0BA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Simulated total</c:v>
          </c:tx>
          <c:spPr>
            <a:ln w="25400">
              <a:solidFill>
                <a:srgbClr val="0E4F92"/>
              </a:solidFill>
              <a:prstDash val="solid"/>
            </a:ln>
          </c:spPr>
          <c:marker>
            <c:symbol val="none"/>
          </c:marker>
          <c:xVal>
            <c:numRef>
              <c:f>Results!$D$58:$D$107</c:f>
              <c:numCache>
                <c:formatCode>#,##0.00</c:formatCode>
                <c:ptCount val="50"/>
                <c:pt idx="0">
                  <c:v>49.236679293438442</c:v>
                </c:pt>
                <c:pt idx="1">
                  <c:v>59.576763893462235</c:v>
                </c:pt>
                <c:pt idx="2">
                  <c:v>65.645370346425779</c:v>
                </c:pt>
                <c:pt idx="3">
                  <c:v>70.634082037111682</c:v>
                </c:pt>
                <c:pt idx="4">
                  <c:v>74.17523070043579</c:v>
                </c:pt>
                <c:pt idx="5">
                  <c:v>77.379060958540677</c:v>
                </c:pt>
                <c:pt idx="6">
                  <c:v>80.032749847436563</c:v>
                </c:pt>
                <c:pt idx="7">
                  <c:v>82.805186645451656</c:v>
                </c:pt>
                <c:pt idx="8">
                  <c:v>85.242502801148632</c:v>
                </c:pt>
                <c:pt idx="9">
                  <c:v>87.969372278487654</c:v>
                </c:pt>
                <c:pt idx="10">
                  <c:v>90.175970113873177</c:v>
                </c:pt>
                <c:pt idx="11">
                  <c:v>92.496170797262465</c:v>
                </c:pt>
                <c:pt idx="12">
                  <c:v>94.807249045804582</c:v>
                </c:pt>
                <c:pt idx="13">
                  <c:v>96.815080855474804</c:v>
                </c:pt>
                <c:pt idx="14">
                  <c:v>98.816649562808635</c:v>
                </c:pt>
                <c:pt idx="15">
                  <c:v>100.81146062372416</c:v>
                </c:pt>
                <c:pt idx="16">
                  <c:v>102.65330247807344</c:v>
                </c:pt>
                <c:pt idx="17">
                  <c:v>104.66802880072176</c:v>
                </c:pt>
                <c:pt idx="18">
                  <c:v>106.95441418294739</c:v>
                </c:pt>
                <c:pt idx="19">
                  <c:v>108.97789959789706</c:v>
                </c:pt>
                <c:pt idx="20">
                  <c:v>110.86071833267005</c:v>
                </c:pt>
                <c:pt idx="21">
                  <c:v>112.91971783049634</c:v>
                </c:pt>
                <c:pt idx="22">
                  <c:v>114.80102857121545</c:v>
                </c:pt>
                <c:pt idx="23">
                  <c:v>116.63783400149811</c:v>
                </c:pt>
                <c:pt idx="24">
                  <c:v>118.58862611646722</c:v>
                </c:pt>
                <c:pt idx="25">
                  <c:v>120.48506280740679</c:v>
                </c:pt>
                <c:pt idx="26">
                  <c:v>122.46825210486159</c:v>
                </c:pt>
                <c:pt idx="27">
                  <c:v>124.99263556214794</c:v>
                </c:pt>
                <c:pt idx="28">
                  <c:v>127.20749590221222</c:v>
                </c:pt>
                <c:pt idx="29">
                  <c:v>129.4857489710727</c:v>
                </c:pt>
                <c:pt idx="30">
                  <c:v>131.34683872869519</c:v>
                </c:pt>
                <c:pt idx="31">
                  <c:v>133.54965176064542</c:v>
                </c:pt>
                <c:pt idx="32">
                  <c:v>136.13842314865053</c:v>
                </c:pt>
                <c:pt idx="33">
                  <c:v>138.59014887191989</c:v>
                </c:pt>
                <c:pt idx="34">
                  <c:v>140.78401949052306</c:v>
                </c:pt>
                <c:pt idx="35">
                  <c:v>143.34791565100676</c:v>
                </c:pt>
                <c:pt idx="36">
                  <c:v>146.09661276914161</c:v>
                </c:pt>
                <c:pt idx="37">
                  <c:v>149.24520494857833</c:v>
                </c:pt>
                <c:pt idx="38">
                  <c:v>152.22237828476099</c:v>
                </c:pt>
                <c:pt idx="39">
                  <c:v>155.48609117905937</c:v>
                </c:pt>
                <c:pt idx="40">
                  <c:v>159.33978662955707</c:v>
                </c:pt>
                <c:pt idx="41">
                  <c:v>162.91242425395575</c:v>
                </c:pt>
                <c:pt idx="42">
                  <c:v>167.25762567889186</c:v>
                </c:pt>
                <c:pt idx="43">
                  <c:v>171.78646284641459</c:v>
                </c:pt>
                <c:pt idx="44">
                  <c:v>177.05600261572641</c:v>
                </c:pt>
                <c:pt idx="45">
                  <c:v>183.74266531969096</c:v>
                </c:pt>
                <c:pt idx="46">
                  <c:v>191.09747658276646</c:v>
                </c:pt>
                <c:pt idx="47">
                  <c:v>203.03608100691184</c:v>
                </c:pt>
                <c:pt idx="48">
                  <c:v>218.22141076327009</c:v>
                </c:pt>
                <c:pt idx="49">
                  <c:v>254.33290644805447</c:v>
                </c:pt>
              </c:numCache>
            </c:numRef>
          </c:xVal>
          <c:yVal>
            <c:numRef>
              <c:f>Results!$B$58:$B$107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D5A-42EE-A7B2-B7CFA59A5BA3}"/>
            </c:ext>
          </c:extLst>
        </c:ser>
        <c:ser>
          <c:idx val="1"/>
          <c:order val="1"/>
          <c:tx>
            <c:v>Shifted Gamma</c:v>
          </c:tx>
          <c:spPr>
            <a:ln w="25400">
              <a:solidFill>
                <a:srgbClr val="B45309"/>
              </a:solidFill>
              <a:prstDash val="dash"/>
            </a:ln>
          </c:spPr>
          <c:marker>
            <c:symbol val="none"/>
          </c:marker>
          <c:xVal>
            <c:numRef>
              <c:f>Results!$E$58:$E$107</c:f>
              <c:numCache>
                <c:formatCode>#,##0.00</c:formatCode>
                <c:ptCount val="50"/>
                <c:pt idx="0">
                  <c:v>56.840087230704398</c:v>
                </c:pt>
                <c:pt idx="1">
                  <c:v>64.014989594820506</c:v>
                </c:pt>
                <c:pt idx="2">
                  <c:v>68.39755951931879</c:v>
                </c:pt>
                <c:pt idx="3">
                  <c:v>72.326171688332522</c:v>
                </c:pt>
                <c:pt idx="4">
                  <c:v>75.206466762430722</c:v>
                </c:pt>
                <c:pt idx="5">
                  <c:v>78.03702111865158</c:v>
                </c:pt>
                <c:pt idx="6">
                  <c:v>80.685328063654197</c:v>
                </c:pt>
                <c:pt idx="7">
                  <c:v>82.95207985646843</c:v>
                </c:pt>
                <c:pt idx="8">
                  <c:v>85.279475636623644</c:v>
                </c:pt>
                <c:pt idx="9">
                  <c:v>87.428444584621417</c:v>
                </c:pt>
                <c:pt idx="10">
                  <c:v>89.57435009059148</c:v>
                </c:pt>
                <c:pt idx="11">
                  <c:v>91.692876714223814</c:v>
                </c:pt>
                <c:pt idx="12">
                  <c:v>93.837812728040632</c:v>
                </c:pt>
                <c:pt idx="13">
                  <c:v>95.658309716121124</c:v>
                </c:pt>
                <c:pt idx="14">
                  <c:v>97.872298601996434</c:v>
                </c:pt>
                <c:pt idx="15">
                  <c:v>99.945408658173932</c:v>
                </c:pt>
                <c:pt idx="16">
                  <c:v>101.78833625203285</c:v>
                </c:pt>
                <c:pt idx="17">
                  <c:v>103.5633298253224</c:v>
                </c:pt>
                <c:pt idx="18">
                  <c:v>105.12674281278446</c:v>
                </c:pt>
                <c:pt idx="19">
                  <c:v>107.17113829614905</c:v>
                </c:pt>
                <c:pt idx="20">
                  <c:v>109.22429628876741</c:v>
                </c:pt>
                <c:pt idx="21">
                  <c:v>111.26857831981232</c:v>
                </c:pt>
                <c:pt idx="22">
                  <c:v>113.19259470389503</c:v>
                </c:pt>
                <c:pt idx="23">
                  <c:v>115.22480149124543</c:v>
                </c:pt>
                <c:pt idx="24">
                  <c:v>117.0201050599549</c:v>
                </c:pt>
                <c:pt idx="25">
                  <c:v>118.9474933776083</c:v>
                </c:pt>
                <c:pt idx="26">
                  <c:v>121.29669540253312</c:v>
                </c:pt>
                <c:pt idx="27">
                  <c:v>123.47657602033389</c:v>
                </c:pt>
                <c:pt idx="28">
                  <c:v>125.86709954333956</c:v>
                </c:pt>
                <c:pt idx="29">
                  <c:v>128.03188465857946</c:v>
                </c:pt>
                <c:pt idx="30">
                  <c:v>130.4651682332231</c:v>
                </c:pt>
                <c:pt idx="31">
                  <c:v>132.80675604249075</c:v>
                </c:pt>
                <c:pt idx="32">
                  <c:v>135.42180513088755</c:v>
                </c:pt>
                <c:pt idx="33">
                  <c:v>138.19601351389423</c:v>
                </c:pt>
                <c:pt idx="34">
                  <c:v>140.79867643813861</c:v>
                </c:pt>
                <c:pt idx="35">
                  <c:v>143.7430497147889</c:v>
                </c:pt>
                <c:pt idx="36">
                  <c:v>146.84310864105845</c:v>
                </c:pt>
                <c:pt idx="37">
                  <c:v>150.14635232986677</c:v>
                </c:pt>
                <c:pt idx="38">
                  <c:v>153.47211459784998</c:v>
                </c:pt>
                <c:pt idx="39">
                  <c:v>156.82000945801013</c:v>
                </c:pt>
                <c:pt idx="40">
                  <c:v>160.62108420013089</c:v>
                </c:pt>
                <c:pt idx="41">
                  <c:v>165.13493608965592</c:v>
                </c:pt>
                <c:pt idx="42">
                  <c:v>169.76201758339869</c:v>
                </c:pt>
                <c:pt idx="43">
                  <c:v>174.56965334063528</c:v>
                </c:pt>
                <c:pt idx="44">
                  <c:v>180.08783462215013</c:v>
                </c:pt>
                <c:pt idx="45">
                  <c:v>187.02747523760632</c:v>
                </c:pt>
                <c:pt idx="46">
                  <c:v>194.44054374395563</c:v>
                </c:pt>
                <c:pt idx="47">
                  <c:v>207.15119876683247</c:v>
                </c:pt>
                <c:pt idx="48">
                  <c:v>224.24985332031673</c:v>
                </c:pt>
                <c:pt idx="49">
                  <c:v>255.89724702814686</c:v>
                </c:pt>
              </c:numCache>
            </c:numRef>
          </c:xVal>
          <c:yVal>
            <c:numRef>
              <c:f>Results!$B$58:$B$107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D5A-42EE-A7B2-B7CFA59A5BA3}"/>
            </c:ext>
          </c:extLst>
        </c:ser>
        <c:ser>
          <c:idx val="2"/>
          <c:order val="2"/>
          <c:tx>
            <c:v>Normal</c:v>
          </c:tx>
          <c:spPr>
            <a:ln w="25400">
              <a:solidFill>
                <a:srgbClr val="15803D"/>
              </a:solidFill>
              <a:prstDash val="solid"/>
            </a:ln>
          </c:spPr>
          <c:marker>
            <c:symbol val="none"/>
          </c:marker>
          <c:xVal>
            <c:numRef>
              <c:f>Results!$F$58:$F$107</c:f>
              <c:numCache>
                <c:formatCode>#,##0.00</c:formatCode>
                <c:ptCount val="50"/>
                <c:pt idx="0">
                  <c:v>21.123831735669</c:v>
                </c:pt>
                <c:pt idx="1">
                  <c:v>44.433682658121043</c:v>
                </c:pt>
                <c:pt idx="2">
                  <c:v>54.970816462448241</c:v>
                </c:pt>
                <c:pt idx="3">
                  <c:v>62.718618340971929</c:v>
                </c:pt>
                <c:pt idx="4">
                  <c:v>68.540564886986374</c:v>
                </c:pt>
                <c:pt idx="5">
                  <c:v>73.270303157184927</c:v>
                </c:pt>
                <c:pt idx="6">
                  <c:v>77.441172501649362</c:v>
                </c:pt>
                <c:pt idx="7">
                  <c:v>81.194909082436595</c:v>
                </c:pt>
                <c:pt idx="8">
                  <c:v>84.551562962532628</c:v>
                </c:pt>
                <c:pt idx="9">
                  <c:v>87.329837351537435</c:v>
                </c:pt>
                <c:pt idx="10">
                  <c:v>90.098508953211493</c:v>
                </c:pt>
                <c:pt idx="11">
                  <c:v>93.06957087670267</c:v>
                </c:pt>
                <c:pt idx="12">
                  <c:v>95.920693421493255</c:v>
                </c:pt>
                <c:pt idx="13">
                  <c:v>98.650513150875014</c:v>
                </c:pt>
                <c:pt idx="14">
                  <c:v>101.21438827703655</c:v>
                </c:pt>
                <c:pt idx="15">
                  <c:v>103.6906713301416</c:v>
                </c:pt>
                <c:pt idx="16">
                  <c:v>106.01277980658784</c:v>
                </c:pt>
                <c:pt idx="17">
                  <c:v>108.32713401652052</c:v>
                </c:pt>
                <c:pt idx="18">
                  <c:v>110.38080827735904</c:v>
                </c:pt>
                <c:pt idx="19">
                  <c:v>112.57813796148147</c:v>
                </c:pt>
                <c:pt idx="20">
                  <c:v>114.93826070467017</c:v>
                </c:pt>
                <c:pt idx="21">
                  <c:v>117.00136125208108</c:v>
                </c:pt>
                <c:pt idx="22">
                  <c:v>118.91369521199603</c:v>
                </c:pt>
                <c:pt idx="23">
                  <c:v>120.87445234566066</c:v>
                </c:pt>
                <c:pt idx="24">
                  <c:v>123.51582150979952</c:v>
                </c:pt>
                <c:pt idx="25">
                  <c:v>125.62151632794142</c:v>
                </c:pt>
                <c:pt idx="26">
                  <c:v>127.60326270391654</c:v>
                </c:pt>
                <c:pt idx="27">
                  <c:v>129.9163193366004</c:v>
                </c:pt>
                <c:pt idx="28">
                  <c:v>132.05195597614625</c:v>
                </c:pt>
                <c:pt idx="29">
                  <c:v>134.27092482809937</c:v>
                </c:pt>
                <c:pt idx="30">
                  <c:v>136.70370682018537</c:v>
                </c:pt>
                <c:pt idx="31">
                  <c:v>138.92638995740981</c:v>
                </c:pt>
                <c:pt idx="32">
                  <c:v>141.24518210319943</c:v>
                </c:pt>
                <c:pt idx="33">
                  <c:v>143.68953343656895</c:v>
                </c:pt>
                <c:pt idx="34">
                  <c:v>145.99520580396435</c:v>
                </c:pt>
                <c:pt idx="35">
                  <c:v>148.58008522352003</c:v>
                </c:pt>
                <c:pt idx="36">
                  <c:v>151.33644651406985</c:v>
                </c:pt>
                <c:pt idx="37">
                  <c:v>153.91520485191006</c:v>
                </c:pt>
                <c:pt idx="38">
                  <c:v>156.50901059300173</c:v>
                </c:pt>
                <c:pt idx="39">
                  <c:v>159.49488503137235</c:v>
                </c:pt>
                <c:pt idx="40">
                  <c:v>162.86563193490448</c:v>
                </c:pt>
                <c:pt idx="41">
                  <c:v>166.1245475988263</c:v>
                </c:pt>
                <c:pt idx="42">
                  <c:v>170.2045999653339</c:v>
                </c:pt>
                <c:pt idx="43">
                  <c:v>174.08938459042545</c:v>
                </c:pt>
                <c:pt idx="44">
                  <c:v>178.77526752446715</c:v>
                </c:pt>
                <c:pt idx="45">
                  <c:v>183.74666408680133</c:v>
                </c:pt>
                <c:pt idx="46">
                  <c:v>189.22053647181525</c:v>
                </c:pt>
                <c:pt idx="47">
                  <c:v>197.0883799125063</c:v>
                </c:pt>
                <c:pt idx="48">
                  <c:v>205.39408394319759</c:v>
                </c:pt>
                <c:pt idx="49">
                  <c:v>222.80058562781568</c:v>
                </c:pt>
              </c:numCache>
            </c:numRef>
          </c:xVal>
          <c:yVal>
            <c:numRef>
              <c:f>Results!$B$58:$B$107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9D5A-42EE-A7B2-B7CFA59A5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Total claims ($ thousand)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4E9F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Cumulative probability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Simulated total</c:v>
          </c:tx>
          <c:spPr>
            <a:solidFill>
              <a:srgbClr val="0E4F92"/>
            </a:solidFill>
            <a:ln>
              <a:noFill/>
              <a:prstDash val="solid"/>
            </a:ln>
          </c:spPr>
          <c:invertIfNegative val="1"/>
          <c:cat>
            <c:numRef>
              <c:f>Results!$E$213:$E$236</c:f>
              <c:numCache>
                <c:formatCode>#,##0.00</c:formatCode>
                <c:ptCount val="24"/>
                <c:pt idx="0">
                  <c:v>48.291050968320889</c:v>
                </c:pt>
                <c:pt idx="1">
                  <c:v>57.715522042617891</c:v>
                </c:pt>
                <c:pt idx="2">
                  <c:v>67.139993116914894</c:v>
                </c:pt>
                <c:pt idx="3">
                  <c:v>76.564464191211897</c:v>
                </c:pt>
                <c:pt idx="4">
                  <c:v>85.9889352655089</c:v>
                </c:pt>
                <c:pt idx="5">
                  <c:v>95.413406339805903</c:v>
                </c:pt>
                <c:pt idx="6">
                  <c:v>104.83787741410291</c:v>
                </c:pt>
                <c:pt idx="7">
                  <c:v>114.26234848839992</c:v>
                </c:pt>
                <c:pt idx="8">
                  <c:v>123.68681956269694</c:v>
                </c:pt>
                <c:pt idx="9">
                  <c:v>133.11129063699394</c:v>
                </c:pt>
                <c:pt idx="10">
                  <c:v>142.53576171129095</c:v>
                </c:pt>
                <c:pt idx="11">
                  <c:v>151.96023278558795</c:v>
                </c:pt>
                <c:pt idx="12">
                  <c:v>161.38470385988495</c:v>
                </c:pt>
                <c:pt idx="13">
                  <c:v>170.80917493418195</c:v>
                </c:pt>
                <c:pt idx="14">
                  <c:v>180.23364600847896</c:v>
                </c:pt>
                <c:pt idx="15">
                  <c:v>189.65811708277596</c:v>
                </c:pt>
                <c:pt idx="16">
                  <c:v>199.08258815707296</c:v>
                </c:pt>
                <c:pt idx="17">
                  <c:v>208.50705923136996</c:v>
                </c:pt>
                <c:pt idx="18">
                  <c:v>217.93153030566697</c:v>
                </c:pt>
                <c:pt idx="19">
                  <c:v>227.35600137996397</c:v>
                </c:pt>
                <c:pt idx="20">
                  <c:v>236.78047245426097</c:v>
                </c:pt>
                <c:pt idx="21">
                  <c:v>246.20494352855798</c:v>
                </c:pt>
                <c:pt idx="22">
                  <c:v>255.62941460285498</c:v>
                </c:pt>
                <c:pt idx="23">
                  <c:v>265.05388567715198</c:v>
                </c:pt>
              </c:numCache>
            </c:numRef>
          </c:cat>
          <c:val>
            <c:numRef>
              <c:f>Results!$F$213:$F$236</c:f>
              <c:numCache>
                <c:formatCode>0.0%</c:formatCode>
                <c:ptCount val="24"/>
                <c:pt idx="0">
                  <c:v>1.0845952923912158E-2</c:v>
                </c:pt>
                <c:pt idx="1">
                  <c:v>2.2266854300341997E-2</c:v>
                </c:pt>
                <c:pt idx="2">
                  <c:v>3.8079520227309205E-2</c:v>
                </c:pt>
                <c:pt idx="3">
                  <c:v>6.4052402584719517E-2</c:v>
                </c:pt>
                <c:pt idx="4">
                  <c:v>7.3802000059805278E-2</c:v>
                </c:pt>
                <c:pt idx="5">
                  <c:v>8.9657459708941012E-2</c:v>
                </c:pt>
                <c:pt idx="6">
                  <c:v>9.169862422324343E-2</c:v>
                </c:pt>
                <c:pt idx="7">
                  <c:v>9.8508273502822263E-2</c:v>
                </c:pt>
                <c:pt idx="8">
                  <c:v>8.7437451060423277E-2</c:v>
                </c:pt>
                <c:pt idx="9">
                  <c:v>8.2607831905863294E-2</c:v>
                </c:pt>
                <c:pt idx="10">
                  <c:v>7.414195527831402E-2</c:v>
                </c:pt>
                <c:pt idx="11">
                  <c:v>5.8487012552216888E-2</c:v>
                </c:pt>
                <c:pt idx="12">
                  <c:v>4.7814743913920821E-2</c:v>
                </c:pt>
                <c:pt idx="13">
                  <c:v>3.9993045152692974E-2</c:v>
                </c:pt>
                <c:pt idx="14">
                  <c:v>2.9113939248956111E-2</c:v>
                </c:pt>
                <c:pt idx="15">
                  <c:v>2.175299060790914E-2</c:v>
                </c:pt>
                <c:pt idx="16">
                  <c:v>1.5955952867347634E-2</c:v>
                </c:pt>
                <c:pt idx="17">
                  <c:v>1.3192360364202793E-2</c:v>
                </c:pt>
                <c:pt idx="18">
                  <c:v>9.6286928958168039E-3</c:v>
                </c:pt>
                <c:pt idx="19">
                  <c:v>7.1126871839625183E-3</c:v>
                </c:pt>
                <c:pt idx="20">
                  <c:v>3.7462455800671979E-3</c:v>
                </c:pt>
                <c:pt idx="21">
                  <c:v>3.7462455800671979E-3</c:v>
                </c:pt>
                <c:pt idx="22">
                  <c:v>3.3044504546844156E-3</c:v>
                </c:pt>
                <c:pt idx="23">
                  <c:v>3.0533078224600496E-3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B6D-48A7-9A34-6653DFD2C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Total claims ($ thousand)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4E9F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Probability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between"/>
      </c:valAx>
    </c:plotArea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33</xdr:row>
      <xdr:rowOff>0</xdr:rowOff>
    </xdr:from>
    <xdr:ext cx="6263999" cy="2376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E4F92"/>
    <pageSetUpPr fitToPage="1"/>
  </sheetPr>
  <dimension ref="A1:D70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26.25" x14ac:dyDescent="0.45">
      <c r="B9" s="9" t="s">
        <v>9</v>
      </c>
      <c r="C9" s="11" t="s">
        <v>10</v>
      </c>
    </row>
    <row r="10" spans="1:4" ht="26.25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26.2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57" customHeight="1" x14ac:dyDescent="0.45">
      <c r="B16" s="57" t="s">
        <v>20</v>
      </c>
      <c r="C16" s="56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ht="26.25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ht="12" customHeight="1" x14ac:dyDescent="0.45"/>
    <row r="37" spans="2:3" ht="22.05" customHeight="1" x14ac:dyDescent="0.5">
      <c r="B37" s="7" t="s">
        <v>36</v>
      </c>
      <c r="C37" s="8"/>
    </row>
    <row r="38" spans="2:3" x14ac:dyDescent="0.45">
      <c r="B38" s="14" t="s">
        <v>37</v>
      </c>
      <c r="C38" s="10" t="s">
        <v>38</v>
      </c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ht="12" customHeight="1" x14ac:dyDescent="0.45"/>
    <row r="42" spans="2:3" ht="22.05" customHeight="1" x14ac:dyDescent="0.5">
      <c r="B42" s="7" t="s">
        <v>43</v>
      </c>
      <c r="C42" s="8"/>
    </row>
    <row r="43" spans="2:3" x14ac:dyDescent="0.45">
      <c r="B43" s="15" t="s">
        <v>44</v>
      </c>
      <c r="C43" s="12" t="s">
        <v>45</v>
      </c>
    </row>
    <row r="44" spans="2:3" x14ac:dyDescent="0.45">
      <c r="B44" s="16" t="s">
        <v>46</v>
      </c>
      <c r="C44" s="12" t="s">
        <v>47</v>
      </c>
    </row>
    <row r="45" spans="2:3" x14ac:dyDescent="0.45">
      <c r="B45" s="17" t="s">
        <v>48</v>
      </c>
      <c r="C45" s="12" t="s">
        <v>49</v>
      </c>
    </row>
    <row r="46" spans="2:3" x14ac:dyDescent="0.45">
      <c r="B46" s="18" t="s">
        <v>50</v>
      </c>
      <c r="C46" s="12" t="s">
        <v>51</v>
      </c>
    </row>
    <row r="47" spans="2:3" x14ac:dyDescent="0.45">
      <c r="B47" s="19" t="s">
        <v>52</v>
      </c>
      <c r="C47" s="12" t="s">
        <v>53</v>
      </c>
    </row>
    <row r="48" spans="2:3" ht="12" customHeight="1" x14ac:dyDescent="0.45"/>
    <row r="49" spans="2:3" ht="22.05" customHeight="1" x14ac:dyDescent="0.5">
      <c r="B49" s="7" t="s">
        <v>54</v>
      </c>
      <c r="C49" s="8"/>
    </row>
    <row r="50" spans="2:3" x14ac:dyDescent="0.45">
      <c r="B50" s="9" t="s">
        <v>55</v>
      </c>
      <c r="C50" s="10" t="s">
        <v>56</v>
      </c>
    </row>
    <row r="51" spans="2:3" x14ac:dyDescent="0.45">
      <c r="B51" s="9" t="s">
        <v>57</v>
      </c>
      <c r="C51" s="10" t="s">
        <v>58</v>
      </c>
    </row>
    <row r="52" spans="2:3" ht="12" customHeight="1" x14ac:dyDescent="0.45"/>
    <row r="53" spans="2:3" ht="22.05" customHeight="1" x14ac:dyDescent="0.5">
      <c r="B53" s="7" t="s">
        <v>59</v>
      </c>
      <c r="C53" s="8"/>
    </row>
    <row r="54" spans="2:3" x14ac:dyDescent="0.45">
      <c r="B54" s="9" t="s">
        <v>60</v>
      </c>
      <c r="C54" s="10" t="s">
        <v>61</v>
      </c>
    </row>
    <row r="55" spans="2:3" x14ac:dyDescent="0.45">
      <c r="B55" s="9" t="s">
        <v>62</v>
      </c>
      <c r="C55" s="10" t="s">
        <v>63</v>
      </c>
    </row>
    <row r="56" spans="2:3" ht="26.25" x14ac:dyDescent="0.45">
      <c r="B56" s="9" t="s">
        <v>64</v>
      </c>
      <c r="C56" s="10" t="s">
        <v>65</v>
      </c>
    </row>
    <row r="57" spans="2:3" ht="12" customHeight="1" x14ac:dyDescent="0.45"/>
    <row r="58" spans="2:3" ht="22.05" customHeight="1" x14ac:dyDescent="0.5">
      <c r="B58" s="7" t="s">
        <v>66</v>
      </c>
      <c r="C58" s="8"/>
    </row>
    <row r="59" spans="2:3" ht="52.5" x14ac:dyDescent="0.45">
      <c r="B59" s="20" t="s">
        <v>67</v>
      </c>
      <c r="C59" s="10" t="s">
        <v>68</v>
      </c>
    </row>
    <row r="60" spans="2:3" ht="26.25" x14ac:dyDescent="0.45">
      <c r="B60" s="20" t="s">
        <v>69</v>
      </c>
      <c r="C60" s="10" t="s">
        <v>70</v>
      </c>
    </row>
    <row r="61" spans="2:3" x14ac:dyDescent="0.45">
      <c r="B61" s="20" t="s">
        <v>71</v>
      </c>
      <c r="C61" s="10" t="s">
        <v>72</v>
      </c>
    </row>
    <row r="62" spans="2:3" x14ac:dyDescent="0.45">
      <c r="B62" s="20" t="s">
        <v>73</v>
      </c>
      <c r="C62" s="10" t="s">
        <v>74</v>
      </c>
    </row>
    <row r="63" spans="2:3" x14ac:dyDescent="0.45">
      <c r="B63" s="20" t="s">
        <v>75</v>
      </c>
      <c r="C63" s="10" t="s">
        <v>76</v>
      </c>
    </row>
    <row r="64" spans="2:3" x14ac:dyDescent="0.45">
      <c r="B64" s="20" t="s">
        <v>77</v>
      </c>
      <c r="C64" s="10" t="s">
        <v>78</v>
      </c>
    </row>
    <row r="65" spans="2:3" ht="65.650000000000006" x14ac:dyDescent="0.45">
      <c r="B65" s="20" t="s">
        <v>79</v>
      </c>
      <c r="C65" s="10" t="s">
        <v>80</v>
      </c>
    </row>
    <row r="66" spans="2:3" ht="12" customHeight="1" x14ac:dyDescent="0.45"/>
    <row r="67" spans="2:3" ht="22.05" customHeight="1" x14ac:dyDescent="0.5">
      <c r="B67" s="7" t="s">
        <v>81</v>
      </c>
      <c r="C67" s="8"/>
    </row>
    <row r="68" spans="2:3" x14ac:dyDescent="0.45">
      <c r="B68" s="9" t="s">
        <v>82</v>
      </c>
      <c r="C68" s="10" t="s">
        <v>83</v>
      </c>
    </row>
    <row r="69" spans="2:3" ht="16.05" customHeight="1" x14ac:dyDescent="0.45"/>
    <row r="70" spans="2:3" x14ac:dyDescent="0.45">
      <c r="B70" s="55" t="s">
        <v>84</v>
      </c>
      <c r="C70" s="56"/>
    </row>
  </sheetData>
  <mergeCells count="2">
    <mergeCell ref="B70:C70"/>
    <mergeCell ref="B16:C16"/>
  </mergeCells>
  <hyperlinks>
    <hyperlink ref="D4" location="'Inputs'!A1" display="Next:  Inputs  ▸" xr:uid="{00000000-0004-0000-0000-000000000000}"/>
    <hyperlink ref="B38" location="'Inputs'!A1" display="Inputs" xr:uid="{00000000-0004-0000-0000-000001000000}"/>
    <hyperlink ref="B39" location="'Moments'!A1" display="Moments" xr:uid="{00000000-0004-0000-0000-000002000000}"/>
    <hyperlink ref="B40" location="'Results'!A1" display="Results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24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85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86</v>
      </c>
      <c r="C4" s="5"/>
      <c r="D4" s="5"/>
      <c r="E4" s="5"/>
      <c r="F4" s="5"/>
      <c r="G4" s="5"/>
      <c r="H4" s="5"/>
      <c r="I4" s="5"/>
      <c r="J4" s="6" t="s">
        <v>87</v>
      </c>
    </row>
    <row r="5" spans="1:10" ht="8" customHeight="1" x14ac:dyDescent="0.45"/>
    <row r="6" spans="1:10" ht="20" customHeight="1" x14ac:dyDescent="0.45">
      <c r="B6" s="58" t="s">
        <v>88</v>
      </c>
      <c r="C6" s="56"/>
      <c r="D6" s="56"/>
      <c r="E6" s="56"/>
      <c r="F6" s="56"/>
      <c r="G6" s="56"/>
      <c r="H6" s="56"/>
      <c r="I6" s="56"/>
      <c r="J6" s="56"/>
    </row>
    <row r="7" spans="1:10" ht="6" customHeight="1" x14ac:dyDescent="0.45"/>
    <row r="8" spans="1:10" ht="22.05" customHeight="1" x14ac:dyDescent="0.5">
      <c r="B8" s="7" t="s">
        <v>89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90</v>
      </c>
    </row>
    <row r="10" spans="1:10" ht="18" customHeight="1" x14ac:dyDescent="0.45">
      <c r="B10" s="23" t="s">
        <v>91</v>
      </c>
      <c r="C10" s="23" t="s">
        <v>92</v>
      </c>
      <c r="D10" s="24" t="s">
        <v>93</v>
      </c>
      <c r="E10" s="23" t="s">
        <v>94</v>
      </c>
      <c r="F10" s="5"/>
      <c r="G10" s="5"/>
      <c r="H10" s="5"/>
      <c r="I10" s="5"/>
      <c r="J10" s="23" t="s">
        <v>95</v>
      </c>
    </row>
    <row r="11" spans="1:10" x14ac:dyDescent="0.45">
      <c r="B11" s="25" t="s">
        <v>96</v>
      </c>
      <c r="C11" s="26" t="s">
        <v>97</v>
      </c>
      <c r="D11" s="27">
        <v>25</v>
      </c>
      <c r="E11" s="26" t="s">
        <v>98</v>
      </c>
      <c r="F11" s="28"/>
      <c r="G11" s="28"/>
      <c r="H11" s="28"/>
      <c r="I11" s="28"/>
      <c r="J11" s="29" t="s">
        <v>99</v>
      </c>
    </row>
    <row r="12" spans="1:10" ht="8" customHeight="1" x14ac:dyDescent="0.45"/>
    <row r="13" spans="1:10" ht="22.05" customHeight="1" x14ac:dyDescent="0.5">
      <c r="B13" s="7" t="s">
        <v>100</v>
      </c>
      <c r="C13" s="8"/>
      <c r="D13" s="8"/>
      <c r="E13" s="8"/>
      <c r="F13" s="8"/>
      <c r="G13" s="8"/>
      <c r="H13" s="8"/>
      <c r="I13" s="8"/>
      <c r="J13" s="8"/>
    </row>
    <row r="14" spans="1:10" ht="18" customHeight="1" x14ac:dyDescent="0.45">
      <c r="B14" s="13" t="s">
        <v>101</v>
      </c>
    </row>
    <row r="15" spans="1:10" ht="18" customHeight="1" x14ac:dyDescent="0.45">
      <c r="B15" s="23" t="s">
        <v>91</v>
      </c>
      <c r="C15" s="23" t="s">
        <v>92</v>
      </c>
      <c r="D15" s="24" t="s">
        <v>93</v>
      </c>
      <c r="E15" s="23" t="s">
        <v>94</v>
      </c>
      <c r="F15" s="5"/>
      <c r="G15" s="5"/>
      <c r="H15" s="5"/>
      <c r="I15" s="5"/>
      <c r="J15" s="23" t="s">
        <v>95</v>
      </c>
    </row>
    <row r="16" spans="1:10" x14ac:dyDescent="0.45">
      <c r="B16" s="25" t="s">
        <v>102</v>
      </c>
      <c r="C16" s="26" t="s">
        <v>57</v>
      </c>
      <c r="D16" s="30">
        <v>5</v>
      </c>
      <c r="E16" s="26" t="s">
        <v>98</v>
      </c>
      <c r="F16" s="28"/>
      <c r="G16" s="28"/>
      <c r="H16" s="28"/>
      <c r="I16" s="28"/>
      <c r="J16" s="29"/>
    </row>
    <row r="17" spans="2:10" x14ac:dyDescent="0.45">
      <c r="B17" s="25" t="s">
        <v>103</v>
      </c>
      <c r="C17" s="26" t="s">
        <v>57</v>
      </c>
      <c r="D17" s="30">
        <v>7</v>
      </c>
      <c r="E17" s="26" t="s">
        <v>98</v>
      </c>
      <c r="F17" s="28"/>
      <c r="G17" s="28"/>
      <c r="H17" s="28"/>
      <c r="I17" s="28"/>
      <c r="J17" s="29" t="s">
        <v>104</v>
      </c>
    </row>
    <row r="18" spans="2:10" ht="8" customHeight="1" x14ac:dyDescent="0.45"/>
    <row r="19" spans="2:10" ht="22.05" customHeight="1" x14ac:dyDescent="0.5">
      <c r="B19" s="7" t="s">
        <v>105</v>
      </c>
      <c r="C19" s="8"/>
      <c r="D19" s="8"/>
      <c r="E19" s="8"/>
      <c r="F19" s="8"/>
      <c r="G19" s="8"/>
      <c r="H19" s="8"/>
      <c r="I19" s="8"/>
      <c r="J19" s="8"/>
    </row>
    <row r="20" spans="2:10" ht="18" customHeight="1" x14ac:dyDescent="0.45">
      <c r="B20" s="13" t="s">
        <v>106</v>
      </c>
    </row>
    <row r="21" spans="2:10" ht="18" customHeight="1" x14ac:dyDescent="0.45">
      <c r="B21" s="23" t="s">
        <v>91</v>
      </c>
      <c r="C21" s="23" t="s">
        <v>92</v>
      </c>
      <c r="D21" s="24" t="s">
        <v>93</v>
      </c>
      <c r="E21" s="23" t="s">
        <v>94</v>
      </c>
      <c r="F21" s="5"/>
      <c r="G21" s="5"/>
      <c r="H21" s="5"/>
      <c r="I21" s="5"/>
      <c r="J21" s="23" t="s">
        <v>95</v>
      </c>
    </row>
    <row r="22" spans="2:10" x14ac:dyDescent="0.45">
      <c r="B22" s="25" t="s">
        <v>107</v>
      </c>
      <c r="C22" s="26" t="s">
        <v>57</v>
      </c>
      <c r="D22" s="27">
        <v>250</v>
      </c>
      <c r="E22" s="26" t="s">
        <v>98</v>
      </c>
      <c r="F22" s="28"/>
      <c r="G22" s="28"/>
      <c r="H22" s="28"/>
      <c r="I22" s="28"/>
      <c r="J22" s="29" t="s">
        <v>108</v>
      </c>
    </row>
    <row r="23" spans="2:10" x14ac:dyDescent="0.45">
      <c r="B23" s="25" t="s">
        <v>109</v>
      </c>
      <c r="C23" s="26" t="s">
        <v>57</v>
      </c>
      <c r="D23" s="27">
        <v>50</v>
      </c>
      <c r="E23" s="26" t="s">
        <v>98</v>
      </c>
      <c r="F23" s="28"/>
      <c r="G23" s="28"/>
      <c r="H23" s="28"/>
      <c r="I23" s="28"/>
      <c r="J23" s="29"/>
    </row>
    <row r="24" spans="2:10" ht="8" customHeight="1" x14ac:dyDescent="0.45"/>
  </sheetData>
  <mergeCells count="1">
    <mergeCell ref="B6:J6"/>
  </mergeCells>
  <dataValidations count="2">
    <dataValidation type="decimal" operator="greaterThan" showErrorMessage="1" errorTitle="Positive value" error="Enter a value greater than zero." sqref="D11 D22 D16:D17" xr:uid="{00000000-0002-0000-0100-000000000000}">
      <formula1>0</formula1>
    </dataValidation>
    <dataValidation type="decimal" showErrorMessage="1" errorTitle="Value" error="Enter a value of zero or more." sqref="D23" xr:uid="{00000000-0002-0000-0100-000004000000}">
      <formula1>0</formula1>
      <formula2>1000000000000</formula2>
    </dataValidation>
  </dataValidations>
  <hyperlinks>
    <hyperlink ref="B4" location="'About'!A1" display="◂  About" xr:uid="{00000000-0004-0000-0100-000000000000}"/>
    <hyperlink ref="J4" location="'Moments'!A1" display="Next:  Moments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H51"/>
  <sheetViews>
    <sheetView showGridLines="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2" customWidth="1"/>
    <col min="2" max="2" width="36" customWidth="1"/>
    <col min="3" max="4" width="13" customWidth="1"/>
    <col min="5" max="5" width="14" customWidth="1"/>
    <col min="6" max="6" width="15" customWidth="1"/>
    <col min="7" max="7" width="3" customWidth="1"/>
    <col min="8" max="8" width="70" customWidth="1"/>
  </cols>
  <sheetData>
    <row r="1" spans="1:8" ht="6" customHeight="1" x14ac:dyDescent="0.45"/>
    <row r="2" spans="1:8" ht="30" customHeight="1" x14ac:dyDescent="0.45">
      <c r="A2" s="1"/>
      <c r="B2" s="21" t="s">
        <v>0</v>
      </c>
      <c r="C2" s="1"/>
      <c r="D2" s="1"/>
      <c r="E2" s="1"/>
      <c r="F2" s="1"/>
      <c r="G2" s="1"/>
      <c r="H2" s="3" t="s">
        <v>1</v>
      </c>
    </row>
    <row r="3" spans="1:8" ht="20" customHeight="1" x14ac:dyDescent="0.45">
      <c r="A3" s="1"/>
      <c r="B3" s="4" t="s">
        <v>110</v>
      </c>
      <c r="C3" s="1"/>
      <c r="D3" s="1"/>
      <c r="E3" s="1"/>
      <c r="F3" s="1"/>
      <c r="G3" s="1"/>
      <c r="H3" s="1"/>
    </row>
    <row r="4" spans="1:8" ht="20" customHeight="1" x14ac:dyDescent="0.45">
      <c r="A4" s="5"/>
      <c r="B4" s="22" t="s">
        <v>111</v>
      </c>
      <c r="C4" s="5"/>
      <c r="D4" s="5"/>
      <c r="E4" s="5"/>
      <c r="F4" s="5"/>
      <c r="G4" s="5"/>
      <c r="H4" s="6" t="s">
        <v>112</v>
      </c>
    </row>
    <row r="5" spans="1:8" ht="8" customHeight="1" x14ac:dyDescent="0.45"/>
    <row r="6" spans="1:8" ht="22.05" customHeight="1" x14ac:dyDescent="0.5">
      <c r="B6" s="7" t="s">
        <v>113</v>
      </c>
      <c r="C6" s="8"/>
      <c r="D6" s="8"/>
      <c r="E6" s="8"/>
      <c r="F6" s="8"/>
    </row>
    <row r="7" spans="1:8" ht="18" customHeight="1" x14ac:dyDescent="0.45">
      <c r="B7" s="13" t="s">
        <v>114</v>
      </c>
    </row>
    <row r="8" spans="1:8" x14ac:dyDescent="0.45">
      <c r="B8" s="25" t="s">
        <v>115</v>
      </c>
      <c r="C8" s="31" t="str" cm="1">
        <f t="array" ref="C8">_xll.VosePoissonObject(Lambda)</f>
        <v>VosePoisson(25)</v>
      </c>
      <c r="D8" s="28"/>
      <c r="E8" s="28"/>
      <c r="F8" s="28"/>
      <c r="H8" s="32" t="s">
        <v>116</v>
      </c>
    </row>
    <row r="9" spans="1:8" x14ac:dyDescent="0.45">
      <c r="B9" s="25" t="s">
        <v>117</v>
      </c>
      <c r="C9" s="31" t="str" cm="1">
        <f t="array" ref="C9">_xll.VoseLognormalObject(SevMean,SevSD)</f>
        <v>VoseLognormal(5,7)</v>
      </c>
      <c r="D9" s="28"/>
      <c r="E9" s="28"/>
      <c r="F9" s="28"/>
      <c r="H9" s="32" t="s">
        <v>118</v>
      </c>
    </row>
    <row r="10" spans="1:8" ht="8" customHeight="1" x14ac:dyDescent="0.45"/>
    <row r="11" spans="1:8" ht="22.05" customHeight="1" x14ac:dyDescent="0.5">
      <c r="B11" s="7" t="s">
        <v>119</v>
      </c>
      <c r="C11" s="8"/>
      <c r="D11" s="8"/>
      <c r="E11" s="8"/>
      <c r="F11" s="8"/>
    </row>
    <row r="12" spans="1:8" ht="18" customHeight="1" x14ac:dyDescent="0.45">
      <c r="B12" s="13" t="s">
        <v>120</v>
      </c>
    </row>
    <row r="13" spans="1:8" ht="30" customHeight="1" x14ac:dyDescent="0.45">
      <c r="B13" s="23" t="s">
        <v>121</v>
      </c>
      <c r="C13" s="24" t="s">
        <v>122</v>
      </c>
      <c r="D13" s="24" t="s">
        <v>123</v>
      </c>
      <c r="E13" s="24" t="s">
        <v>124</v>
      </c>
      <c r="F13" s="24" t="s">
        <v>125</v>
      </c>
    </row>
    <row r="14" spans="1:8" x14ac:dyDescent="0.45">
      <c r="B14" s="33" t="s">
        <v>126</v>
      </c>
      <c r="C14" s="34" cm="1">
        <f t="array" ref="C14">_xll.VoseMean(Freq)</f>
        <v>25</v>
      </c>
      <c r="D14" s="34" cm="1">
        <f t="array" ref="D14">_xll.VoseMean(Sev)</f>
        <v>5</v>
      </c>
      <c r="E14" s="34">
        <f>C14*D14</f>
        <v>125</v>
      </c>
      <c r="F14" s="34">
        <f t="array" ref="F14:F17">_xll.VoseAggregateMoments(Freq,Sev)</f>
        <v>125</v>
      </c>
      <c r="H14" s="32" t="s">
        <v>127</v>
      </c>
    </row>
    <row r="15" spans="1:8" x14ac:dyDescent="0.45">
      <c r="B15" s="33" t="s">
        <v>128</v>
      </c>
      <c r="C15" s="34" cm="1">
        <f t="array" ref="C15">_xll.VoseVariance(Freq)</f>
        <v>25</v>
      </c>
      <c r="D15" s="34" cm="1">
        <f t="array" ref="D15">_xll.VoseVariance(Sev)</f>
        <v>49</v>
      </c>
      <c r="E15" s="34">
        <f>C14*D15+C15*D14^2</f>
        <v>1850</v>
      </c>
      <c r="F15" s="34">
        <v>1850</v>
      </c>
      <c r="H15" s="32" t="s">
        <v>129</v>
      </c>
    </row>
    <row r="16" spans="1:8" x14ac:dyDescent="0.45">
      <c r="B16" s="33" t="s">
        <v>130</v>
      </c>
      <c r="C16" s="35" cm="1">
        <f t="array" ref="C16">_xll.VoseSkewness(Freq)</f>
        <v>0.2</v>
      </c>
      <c r="D16" s="35" cm="1">
        <f t="array" ref="D16">_xll.VoseSkewness(Sev)</f>
        <v>6.9439999999999991</v>
      </c>
      <c r="E16" s="35">
        <f>(C14*D16*D15^1.5+3*C15*D14*D15+C16*C15^1.5*D14^3)/E15^1.5</f>
        <v>1.0185153116178476</v>
      </c>
      <c r="F16" s="35">
        <v>1.0185153116178469</v>
      </c>
      <c r="H16" s="32" t="s">
        <v>131</v>
      </c>
    </row>
    <row r="17" spans="2:8" x14ac:dyDescent="0.45">
      <c r="B17" s="33" t="s">
        <v>55</v>
      </c>
      <c r="C17" s="35" cm="1">
        <f t="array" ref="C17">_xll.VoseKurtosis(Freq)</f>
        <v>3.04</v>
      </c>
      <c r="D17" s="35" cm="1">
        <f t="array" ref="D17">_xll.VoseKurtosis(Sev)</f>
        <v>151.91910655999999</v>
      </c>
      <c r="E17" s="35">
        <f>3+(C14*(D17-3)*D15^2+C15*(4*D16*D15^1.5*D14+3*D15^2)+6*C16*C15^1.5*D14^2*D15+(C17-3)*C15^2*D14^4)/E15^2</f>
        <v>6.0706253823999994</v>
      </c>
      <c r="F17" s="35">
        <v>6.0706253823999941</v>
      </c>
      <c r="H17" s="32" t="s">
        <v>132</v>
      </c>
    </row>
    <row r="18" spans="2:8" ht="8" customHeight="1" x14ac:dyDescent="0.45"/>
    <row r="19" spans="2:8" ht="22.05" customHeight="1" x14ac:dyDescent="0.5">
      <c r="B19" s="7" t="s">
        <v>133</v>
      </c>
      <c r="C19" s="8"/>
      <c r="D19" s="8"/>
      <c r="E19" s="8"/>
      <c r="F19" s="8"/>
    </row>
    <row r="20" spans="2:8" ht="18" customHeight="1" x14ac:dyDescent="0.45">
      <c r="B20" s="13" t="s">
        <v>134</v>
      </c>
    </row>
    <row r="21" spans="2:8" x14ac:dyDescent="0.45">
      <c r="B21" s="25" t="s">
        <v>135</v>
      </c>
      <c r="C21" s="35">
        <f>(2/AggSkew)^2</f>
        <v>3.8558920498292313</v>
      </c>
      <c r="D21" s="28"/>
      <c r="E21" s="28"/>
      <c r="F21" s="28"/>
      <c r="H21" s="32" t="s">
        <v>136</v>
      </c>
    </row>
    <row r="22" spans="2:8" x14ac:dyDescent="0.45">
      <c r="B22" s="25" t="s">
        <v>137</v>
      </c>
      <c r="C22" s="35">
        <f>SQRT(AggVar/GamA)</f>
        <v>21.903999999999996</v>
      </c>
      <c r="D22" s="28"/>
      <c r="E22" s="28"/>
      <c r="F22" s="28"/>
      <c r="H22" s="32" t="s">
        <v>138</v>
      </c>
    </row>
    <row r="23" spans="2:8" x14ac:dyDescent="0.45">
      <c r="B23" s="25" t="s">
        <v>139</v>
      </c>
      <c r="C23" s="34">
        <f>AggMean-GamA*GamB</f>
        <v>40.540540540540533</v>
      </c>
      <c r="D23" s="28"/>
      <c r="E23" s="28"/>
      <c r="F23" s="28"/>
      <c r="H23" s="32" t="s">
        <v>140</v>
      </c>
    </row>
    <row r="24" spans="2:8" x14ac:dyDescent="0.45">
      <c r="B24" s="33" t="s">
        <v>141</v>
      </c>
      <c r="C24" s="31" t="str" cm="1">
        <f t="array" ref="C24">_xll.VoseGammaObject(GamA,GamB,_xll.VoseShift(GamT))</f>
        <v>VoseGamma(3.85589204982923,21.904,,VoseShift(40.5405405405405))</v>
      </c>
      <c r="D24" s="28"/>
      <c r="E24" s="28"/>
      <c r="F24" s="28"/>
      <c r="H24" s="32" t="s">
        <v>142</v>
      </c>
    </row>
    <row r="25" spans="2:8" x14ac:dyDescent="0.45">
      <c r="B25" s="33" t="s">
        <v>143</v>
      </c>
      <c r="C25" s="31" t="str" cm="1">
        <f t="array" ref="C25">_xll.VoseNormalObject(AggMean,SQRT(AggVar))</f>
        <v>VoseNormal(125,43.0116263352131)</v>
      </c>
      <c r="D25" s="28"/>
      <c r="E25" s="28"/>
      <c r="F25" s="28"/>
      <c r="H25" s="32" t="s">
        <v>144</v>
      </c>
    </row>
    <row r="26" spans="2:8" ht="6" customHeight="1" x14ac:dyDescent="0.45"/>
    <row r="27" spans="2:8" ht="18" customHeight="1" x14ac:dyDescent="0.45">
      <c r="B27" s="23" t="s">
        <v>121</v>
      </c>
      <c r="C27" s="24" t="s">
        <v>141</v>
      </c>
      <c r="D27" s="24" t="s">
        <v>143</v>
      </c>
      <c r="E27" s="5"/>
      <c r="F27" s="24" t="s">
        <v>145</v>
      </c>
    </row>
    <row r="28" spans="2:8" x14ac:dyDescent="0.45">
      <c r="B28" s="25" t="s">
        <v>126</v>
      </c>
      <c r="C28" s="34" cm="1">
        <f t="array" ref="C28">_xll.VoseMean(GammaObj)</f>
        <v>124.99999999999994</v>
      </c>
      <c r="D28" s="34" cm="1">
        <f t="array" ref="D28">_xll.VoseMean(NormObj)</f>
        <v>125</v>
      </c>
      <c r="E28" s="28"/>
      <c r="F28" s="34">
        <f>AggMean</f>
        <v>125</v>
      </c>
    </row>
    <row r="29" spans="2:8" x14ac:dyDescent="0.45">
      <c r="B29" s="25" t="s">
        <v>128</v>
      </c>
      <c r="C29" s="34" cm="1">
        <f t="array" ref="C29">_xll.VoseVariance(GammaObj)</f>
        <v>1849.9999999999998</v>
      </c>
      <c r="D29" s="34" cm="1">
        <f t="array" ref="D29">_xll.VoseVariance(NormObj)</f>
        <v>1849.9999999999973</v>
      </c>
      <c r="E29" s="28"/>
      <c r="F29" s="34">
        <f>AggVar</f>
        <v>1850</v>
      </c>
    </row>
    <row r="30" spans="2:8" x14ac:dyDescent="0.45">
      <c r="B30" s="25" t="s">
        <v>130</v>
      </c>
      <c r="C30" s="35" cm="1">
        <f t="array" ref="C30">_xll.VoseSkewness(GammaObj)</f>
        <v>1.0185153116178471</v>
      </c>
      <c r="D30" s="35" cm="1">
        <f t="array" ref="D30">_xll.VoseSkewness(NormObj)</f>
        <v>0</v>
      </c>
      <c r="E30" s="28"/>
      <c r="F30" s="35">
        <f>AggSkew</f>
        <v>1.0185153116178469</v>
      </c>
    </row>
    <row r="31" spans="2:8" x14ac:dyDescent="0.45">
      <c r="B31" s="25" t="s">
        <v>55</v>
      </c>
      <c r="C31" s="35" cm="1">
        <f t="array" ref="C31">_xll.VoseKurtosis(GammaObj)</f>
        <v>4.5560601600000004</v>
      </c>
      <c r="D31" s="35" cm="1">
        <f t="array" ref="D31">_xll.VoseKurtosis(NormObj)</f>
        <v>3</v>
      </c>
      <c r="E31" s="28"/>
      <c r="F31" s="35">
        <f>AggKurt</f>
        <v>6.0706253823999941</v>
      </c>
      <c r="H31" s="32" t="s">
        <v>146</v>
      </c>
    </row>
    <row r="32" spans="2:8" ht="8" customHeight="1" x14ac:dyDescent="0.45"/>
    <row r="33" spans="2:8" ht="22.05" customHeight="1" x14ac:dyDescent="0.5">
      <c r="B33" s="7" t="s">
        <v>147</v>
      </c>
      <c r="C33" s="8"/>
      <c r="D33" s="8"/>
      <c r="E33" s="8"/>
      <c r="F33" s="8"/>
    </row>
    <row r="34" spans="2:8" ht="18" customHeight="1" x14ac:dyDescent="0.45">
      <c r="B34" s="13" t="s">
        <v>148</v>
      </c>
    </row>
    <row r="35" spans="2:8" x14ac:dyDescent="0.45">
      <c r="B35" s="25" t="s">
        <v>149</v>
      </c>
      <c r="C35" s="36" cm="1">
        <f t="array" aca="1" ref="C35" ca="1">_xll.VoseAggregateMC(Freq,Sev)</f>
        <v>252.20370674635004</v>
      </c>
      <c r="D35" s="28"/>
      <c r="E35" s="28"/>
      <c r="F35" s="28"/>
      <c r="H35" s="32" t="s">
        <v>150</v>
      </c>
    </row>
    <row r="36" spans="2:8" x14ac:dyDescent="0.45">
      <c r="B36" s="25" t="s">
        <v>141</v>
      </c>
      <c r="C36" s="36" cm="1">
        <f t="array" aca="1" ref="C36" ca="1">_xll.VoseSimulate(GammaObj)</f>
        <v>79.825312028999974</v>
      </c>
      <c r="D36" s="28"/>
      <c r="E36" s="28"/>
      <c r="F36" s="28"/>
      <c r="H36" s="32"/>
    </row>
    <row r="37" spans="2:8" x14ac:dyDescent="0.45">
      <c r="B37" s="25" t="s">
        <v>143</v>
      </c>
      <c r="C37" s="36" cm="1">
        <f t="array" aca="1" ref="C37" ca="1">_xll.VoseSimulate(NormObj)</f>
        <v>95.354527239311977</v>
      </c>
      <c r="D37" s="28"/>
      <c r="E37" s="28"/>
      <c r="F37" s="28"/>
      <c r="H37" s="32"/>
    </row>
    <row r="38" spans="2:8" ht="8" customHeight="1" x14ac:dyDescent="0.45"/>
    <row r="39" spans="2:8" ht="22.05" customHeight="1" x14ac:dyDescent="0.5">
      <c r="B39" s="7" t="s">
        <v>151</v>
      </c>
      <c r="C39" s="8"/>
      <c r="D39" s="8"/>
      <c r="E39" s="8"/>
      <c r="F39" s="8"/>
    </row>
    <row r="40" spans="2:8" ht="18" customHeight="1" x14ac:dyDescent="0.45">
      <c r="B40" s="13" t="s">
        <v>152</v>
      </c>
    </row>
    <row r="41" spans="2:8" ht="18" customHeight="1" x14ac:dyDescent="0.45">
      <c r="B41" s="37" t="s">
        <v>153</v>
      </c>
      <c r="C41" s="37" t="s">
        <v>92</v>
      </c>
      <c r="D41" s="38" t="s">
        <v>154</v>
      </c>
      <c r="E41" s="5"/>
      <c r="F41" s="37" t="s">
        <v>155</v>
      </c>
    </row>
    <row r="42" spans="2:8" x14ac:dyDescent="0.45">
      <c r="B42" s="25" t="s">
        <v>156</v>
      </c>
      <c r="C42" s="26" t="s">
        <v>57</v>
      </c>
      <c r="D42" s="39" cm="1">
        <f t="array" aca="1" ref="D42" ca="1">_xll.VoseOutput("Total claims","$ thousand")+C35</f>
        <v>252.20370674635004</v>
      </c>
      <c r="E42" s="28"/>
      <c r="F42" s="26"/>
    </row>
    <row r="43" spans="2:8" x14ac:dyDescent="0.45">
      <c r="B43" s="25" t="s">
        <v>141</v>
      </c>
      <c r="C43" s="26" t="s">
        <v>57</v>
      </c>
      <c r="D43" s="39" cm="1">
        <f t="array" aca="1" ref="D43" ca="1">_xll.VoseOutput("Shifted Gamma","$ thousand")+C36</f>
        <v>79.825312028999974</v>
      </c>
      <c r="E43" s="28"/>
      <c r="F43" s="26"/>
    </row>
    <row r="44" spans="2:8" x14ac:dyDescent="0.45">
      <c r="B44" s="25" t="s">
        <v>143</v>
      </c>
      <c r="C44" s="26" t="s">
        <v>57</v>
      </c>
      <c r="D44" s="39" cm="1">
        <f t="array" aca="1" ref="D44" ca="1">_xll.VoseOutput("Normal","$ thousand")+C37</f>
        <v>95.354527239311977</v>
      </c>
      <c r="E44" s="28"/>
      <c r="F44" s="26"/>
    </row>
    <row r="45" spans="2:8" ht="8" customHeight="1" x14ac:dyDescent="0.45"/>
    <row r="46" spans="2:8" ht="22.05" customHeight="1" x14ac:dyDescent="0.5">
      <c r="B46" s="7" t="s">
        <v>157</v>
      </c>
      <c r="C46" s="8"/>
      <c r="D46" s="8"/>
      <c r="E46" s="8"/>
      <c r="F46" s="8"/>
    </row>
    <row r="47" spans="2:8" ht="18" customHeight="1" x14ac:dyDescent="0.45">
      <c r="B47" s="13" t="s">
        <v>158</v>
      </c>
    </row>
    <row r="48" spans="2:8" x14ac:dyDescent="0.45">
      <c r="B48" s="25" t="s">
        <v>159</v>
      </c>
      <c r="C48" s="28"/>
      <c r="D48" s="28"/>
      <c r="E48" s="40" t="str">
        <f>IF(AND(ABS(Form_AggMean/AggMean-1)&lt;0.000001,ABS(Form_AggVar/AggVar-1)&lt;0.000001,ABS(Form_AggSkew/AggSkew-1)&lt;0.000001,ABS(Form_AggKurt/AggKurt-1)&lt;0.000001),"OK","CHECK")</f>
        <v>OK</v>
      </c>
      <c r="F48" s="28"/>
    </row>
    <row r="49" spans="2:6" x14ac:dyDescent="0.45">
      <c r="B49" s="25" t="s">
        <v>160</v>
      </c>
      <c r="C49" s="28"/>
      <c r="D49" s="28"/>
      <c r="E49" s="40" t="str">
        <f>IF(AggSkew&gt;0,"OK","CHECK")</f>
        <v>OK</v>
      </c>
      <c r="F49" s="28"/>
    </row>
    <row r="50" spans="2:6" x14ac:dyDescent="0.45">
      <c r="B50" s="25" t="s">
        <v>161</v>
      </c>
      <c r="C50" s="28"/>
      <c r="D50" s="28"/>
      <c r="E50" s="40" t="str">
        <f>IF(SmallYear&lt;LargeYear,"OK","CHECK")</f>
        <v>OK</v>
      </c>
      <c r="F50" s="28"/>
    </row>
    <row r="51" spans="2:6" ht="14" customHeight="1" x14ac:dyDescent="0.45"/>
  </sheetData>
  <conditionalFormatting sqref="E48:E50">
    <cfRule type="expression" dxfId="4" priority="1">
      <formula>E48="CHECK"</formula>
    </cfRule>
  </conditionalFormatting>
  <hyperlinks>
    <hyperlink ref="B4" location="'Inputs'!A1" display="◂  Inputs" xr:uid="{00000000-0004-0000-0200-000000000000}"/>
    <hyperlink ref="H4" location="'Results'!A1" display="Next:  Results  ▸" xr:uid="{00000000-0004-0000-0200-000001000000}"/>
  </hyperlinks>
  <printOptions horizontalCentered="1"/>
  <pageMargins left="0.4" right="0.4" top="0.5" bottom="0.6" header="0.25" footer="0.25"/>
  <pageSetup paperSize="9" scale="83" fitToHeight="0" orientation="landscape" r:id="rId1"/>
  <headerFooter>
    <oddFooter>&amp;L&amp;K3F5876&amp;8&amp;F · &amp;A&amp;R&amp;K3F5876&amp;8Page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237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162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163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41" t="str" cm="1">
        <f t="array" aca="1" ref="B6" ca="1">IF(ISNUMBER(_xll.VoseSimMean(Tot_Sim)),"✔  Showing results of the last simulation run in this Excel session. Re-run the simulation after changing any input.","▶  No simulation results yet. On the ModelRisk ribbon, start a simulation — this sheet then fills in automatically.")</f>
        <v>✔  Showing results of the last simulation run in this Excel session. Re-run the simulation after changing any input.</v>
      </c>
      <c r="C6" s="42"/>
      <c r="D6" s="42"/>
      <c r="E6" s="42"/>
      <c r="F6" s="42"/>
      <c r="G6" s="42"/>
    </row>
    <row r="7" spans="1:18" x14ac:dyDescent="0.45">
      <c r="B7" s="32" t="str">
        <f>IF(COUNTIF(Checks,"CHECK")=0,"✔  All model checks read OK.","✗  "&amp;COUNTIF(Checks,"CHECK")&amp;" model check(s) read CHECK: see Model checks at the end of the calculation sheet.")</f>
        <v>✔  All model checks read OK.</v>
      </c>
    </row>
    <row r="8" spans="1:18" ht="8" customHeight="1" x14ac:dyDescent="0.45"/>
    <row r="9" spans="1:18" ht="22.05" customHeight="1" x14ac:dyDescent="0.5">
      <c r="B9" s="7" t="s">
        <v>164</v>
      </c>
      <c r="C9" s="8"/>
      <c r="D9" s="8"/>
      <c r="E9" s="8"/>
      <c r="F9" s="8"/>
      <c r="G9" s="8"/>
      <c r="I9" s="43" t="s">
        <v>165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166</v>
      </c>
    </row>
    <row r="11" spans="1:18" ht="18" customHeight="1" x14ac:dyDescent="0.45">
      <c r="B11" s="23" t="s">
        <v>121</v>
      </c>
      <c r="C11" s="24" t="s">
        <v>167</v>
      </c>
      <c r="D11" s="24" t="s">
        <v>168</v>
      </c>
      <c r="E11" s="24" t="s">
        <v>141</v>
      </c>
      <c r="F11" s="24" t="s">
        <v>143</v>
      </c>
      <c r="G11" s="5"/>
    </row>
    <row r="12" spans="1:18" x14ac:dyDescent="0.45">
      <c r="B12" s="25" t="s">
        <v>126</v>
      </c>
      <c r="C12" s="44">
        <f>AggMean</f>
        <v>125</v>
      </c>
      <c r="D12" s="45" cm="1">
        <f t="array" aca="1" ref="D12" ca="1">_xll.VoseSimMean(Tot_Sim)</f>
        <v>125.05346139319923</v>
      </c>
      <c r="E12" s="44">
        <f>Gam_AggMean</f>
        <v>124.99999999999994</v>
      </c>
      <c r="F12" s="44">
        <f>Norm_AggMean</f>
        <v>125</v>
      </c>
      <c r="G12" s="28"/>
    </row>
    <row r="13" spans="1:18" x14ac:dyDescent="0.45">
      <c r="B13" s="25" t="s">
        <v>169</v>
      </c>
      <c r="C13" s="44">
        <f>SQRT(AggVar)</f>
        <v>43.011626335213137</v>
      </c>
      <c r="D13" s="45" cm="1">
        <f t="array" aca="1" ref="D13" ca="1">_xll.VoseSimStdev(Tot_Sim)</f>
        <v>42.965528420064203</v>
      </c>
      <c r="E13" s="44">
        <f>SQRT(Gam_AggVar)</f>
        <v>43.01162633521313</v>
      </c>
      <c r="F13" s="44">
        <f>SQRT(Norm_AggVar)</f>
        <v>43.011626335213101</v>
      </c>
      <c r="G13" s="28"/>
    </row>
    <row r="14" spans="1:18" x14ac:dyDescent="0.45">
      <c r="B14" s="25" t="s">
        <v>130</v>
      </c>
      <c r="C14" s="46">
        <f>AggSkew</f>
        <v>1.0185153116178469</v>
      </c>
      <c r="D14" s="47" cm="1">
        <f t="array" aca="1" ref="D14" ca="1">_xll.VoseSimSkewness(Tot_Sim)</f>
        <v>0.98417876214198041</v>
      </c>
      <c r="E14" s="46">
        <f>Gam_AggSkew</f>
        <v>1.0185153116178471</v>
      </c>
      <c r="F14" s="46">
        <f>Norm_AggSkew</f>
        <v>0</v>
      </c>
      <c r="G14" s="28"/>
    </row>
    <row r="15" spans="1:18" x14ac:dyDescent="0.45">
      <c r="B15" s="25" t="s">
        <v>55</v>
      </c>
      <c r="C15" s="46">
        <f>AggKurt</f>
        <v>6.0706253823999941</v>
      </c>
      <c r="D15" s="47" cm="1">
        <f t="array" aca="1" ref="D15" ca="1">_xll.VoseSimKurtosis(Tot_Sim)</f>
        <v>5.4662191266853819</v>
      </c>
      <c r="E15" s="46">
        <f>Gam_AggKurt</f>
        <v>4.5560601600000004</v>
      </c>
      <c r="F15" s="46">
        <f>Norm_AggKurt</f>
        <v>3</v>
      </c>
      <c r="G15" s="28"/>
    </row>
    <row r="16" spans="1:18" ht="8" customHeight="1" x14ac:dyDescent="0.45"/>
    <row r="17" spans="2:7" ht="22.05" customHeight="1" x14ac:dyDescent="0.5">
      <c r="B17" s="7" t="s">
        <v>170</v>
      </c>
      <c r="C17" s="8"/>
      <c r="D17" s="8"/>
      <c r="E17" s="8"/>
      <c r="F17" s="8"/>
      <c r="G17" s="8"/>
    </row>
    <row r="18" spans="2:7" ht="18" customHeight="1" x14ac:dyDescent="0.45">
      <c r="B18" s="13" t="s">
        <v>171</v>
      </c>
    </row>
    <row r="19" spans="2:7" ht="30" customHeight="1" x14ac:dyDescent="0.45">
      <c r="B19" s="23" t="s">
        <v>172</v>
      </c>
      <c r="C19" s="5"/>
      <c r="D19" s="24" t="s">
        <v>173</v>
      </c>
      <c r="E19" s="24" t="s">
        <v>141</v>
      </c>
      <c r="F19" s="24" t="s">
        <v>143</v>
      </c>
      <c r="G19" s="5"/>
    </row>
    <row r="20" spans="2:7" x14ac:dyDescent="0.45">
      <c r="B20" s="25" t="s">
        <v>174</v>
      </c>
      <c r="C20" s="28"/>
      <c r="D20" s="45" cm="1">
        <f t="array" aca="1" ref="D20" ca="1">_xll.VoseSimPercentile(Tot_Sim,0.05)</f>
        <v>65.645370346425779</v>
      </c>
      <c r="E20" s="44" cm="1">
        <f t="array" ref="E20">_xll.VosePercentile(GammaObj,0.05)</f>
        <v>68.650935493968603</v>
      </c>
      <c r="F20" s="44" cm="1">
        <f t="array" ref="F20">_xll.VosePercentile(NormObj,0.05)</f>
        <v>54.252170421443253</v>
      </c>
      <c r="G20" s="28"/>
    </row>
    <row r="21" spans="2:7" x14ac:dyDescent="0.45">
      <c r="B21" s="25" t="s">
        <v>175</v>
      </c>
      <c r="C21" s="28"/>
      <c r="D21" s="45" cm="1">
        <f t="array" aca="1" ref="D21" ca="1">_xll.VoseSimPercentile(Tot_Sim,0.5)</f>
        <v>119.5754562654032</v>
      </c>
      <c r="E21" s="44" cm="1">
        <f t="array" ref="E21">_xll.VosePercentile(GammaObj,0.5)</f>
        <v>117.8216212243251</v>
      </c>
      <c r="F21" s="44" cm="1">
        <f t="array" ref="F21">_xll.VosePercentile(NormObj,0.5)</f>
        <v>125</v>
      </c>
      <c r="G21" s="28"/>
    </row>
    <row r="22" spans="2:7" x14ac:dyDescent="0.45">
      <c r="B22" s="25" t="s">
        <v>176</v>
      </c>
      <c r="C22" s="28"/>
      <c r="D22" s="45" cm="1">
        <f t="array" aca="1" ref="D22" ca="1">_xll.VoseSimPercentile(Tot_Sim,0.9)</f>
        <v>180.03310572873795</v>
      </c>
      <c r="E22" s="44" cm="1">
        <f t="array" ref="E22">_xll.VosePercentile(GammaObj,0.9)</f>
        <v>182.65978516246332</v>
      </c>
      <c r="F22" s="44" cm="1">
        <f t="array" ref="F22">_xll.VosePercentile(NormObj,0.9)</f>
        <v>180.12161706651173</v>
      </c>
      <c r="G22" s="28"/>
    </row>
    <row r="23" spans="2:7" x14ac:dyDescent="0.45">
      <c r="B23" s="25" t="s">
        <v>177</v>
      </c>
      <c r="C23" s="28"/>
      <c r="D23" s="45" cm="1">
        <f t="array" aca="1" ref="D23" ca="1">_xll.VoseSimPercentile(Tot_Sim,0.95)</f>
        <v>203.03608100691184</v>
      </c>
      <c r="E23" s="44" cm="1">
        <f t="array" ref="E23">_xll.VosePercentile(GammaObj,0.95)</f>
        <v>205.865515229294</v>
      </c>
      <c r="F23" s="44" cm="1">
        <f t="array" ref="F23">_xll.VosePercentile(NormObj,0.95)</f>
        <v>195.74782957855672</v>
      </c>
      <c r="G23" s="28"/>
    </row>
    <row r="24" spans="2:7" x14ac:dyDescent="0.45">
      <c r="B24" s="25" t="s">
        <v>178</v>
      </c>
      <c r="C24" s="28"/>
      <c r="D24" s="45" cm="1">
        <f t="array" aca="1" ref="D24" ca="1">_xll.VoseSimPercentile(Tot_Sim,0.99)</f>
        <v>254.33290644805447</v>
      </c>
      <c r="E24" s="44" cm="1">
        <f t="array" ref="E24">_xll.VosePercentile(GammaObj,0.99)</f>
        <v>255.51903795568762</v>
      </c>
      <c r="F24" s="44" cm="1">
        <f t="array" ref="F24">_xll.VosePercentile(NormObj,0.99)</f>
        <v>225.06000548396204</v>
      </c>
      <c r="G24" s="28"/>
    </row>
    <row r="25" spans="2:7" x14ac:dyDescent="0.45">
      <c r="B25" s="25" t="s">
        <v>179</v>
      </c>
      <c r="C25" s="28"/>
      <c r="D25" s="45" cm="1">
        <f t="array" aca="1" ref="D25" ca="1">_xll.VoseSimPercentile(Tot_Sim,0.995)</f>
        <v>269.76612121430048</v>
      </c>
      <c r="E25" s="44" cm="1">
        <f t="array" ref="E25">_xll.VosePercentile(GammaObj,0.995)</f>
        <v>275.7492741570386</v>
      </c>
      <c r="F25" s="44" cm="1">
        <f t="array" ref="F25">_xll.VosePercentile(NormObj,0.995)</f>
        <v>235.79060750753749</v>
      </c>
      <c r="G25" s="28"/>
    </row>
    <row r="26" spans="2:7" ht="8" customHeight="1" x14ac:dyDescent="0.45"/>
    <row r="27" spans="2:7" ht="22.05" customHeight="1" x14ac:dyDescent="0.5">
      <c r="B27" s="7" t="s">
        <v>105</v>
      </c>
      <c r="C27" s="8"/>
      <c r="D27" s="8"/>
      <c r="E27" s="8"/>
      <c r="F27" s="8"/>
      <c r="G27" s="8"/>
    </row>
    <row r="28" spans="2:7" ht="18" customHeight="1" x14ac:dyDescent="0.45">
      <c r="B28" s="13" t="s">
        <v>180</v>
      </c>
    </row>
    <row r="29" spans="2:7" ht="30" customHeight="1" x14ac:dyDescent="0.45">
      <c r="B29" s="23" t="s">
        <v>181</v>
      </c>
      <c r="C29" s="5"/>
      <c r="D29" s="24" t="s">
        <v>173</v>
      </c>
      <c r="E29" s="24" t="s">
        <v>141</v>
      </c>
      <c r="F29" s="24" t="s">
        <v>143</v>
      </c>
      <c r="G29" s="5"/>
    </row>
    <row r="30" spans="2:7" x14ac:dyDescent="0.45">
      <c r="B30" s="25" t="s">
        <v>182</v>
      </c>
      <c r="C30" s="28"/>
      <c r="D30" s="48" cm="1">
        <f t="array" aca="1" ref="D30" ca="1">1-_xll.VoseSimProbability(Tot_Sim,LargeYear)</f>
        <v>1.129887011298869E-2</v>
      </c>
      <c r="E30" s="49" cm="1">
        <f t="array" ref="E30">1-_xll.VoseProb(LargeYear,GammaObj,TRUE)</f>
        <v>1.2041704677666409E-2</v>
      </c>
      <c r="F30" s="49" cm="1">
        <f t="array" ref="F30">1-_xll.VoseProb(LargeYear,NormObj,TRUE)</f>
        <v>1.8292904367778196E-3</v>
      </c>
      <c r="G30" s="28"/>
    </row>
    <row r="31" spans="2:7" x14ac:dyDescent="0.45">
      <c r="B31" s="25" t="s">
        <v>183</v>
      </c>
      <c r="C31" s="28"/>
      <c r="D31" s="48" cm="1">
        <f t="array" aca="1" ref="D31" ca="1">_xll.VoseSimProbability(Tot_Sim,SmallYear)</f>
        <v>1.1098890110988901E-2</v>
      </c>
      <c r="E31" s="49" cm="1">
        <f t="array" ref="E31">_xll.VoseProb(SmallYear,GammaObj,TRUE)</f>
        <v>1.4427502741347169E-3</v>
      </c>
      <c r="F31" s="49" cm="1">
        <f t="array" ref="F31">_xll.VoseProb(SmallYear,NormObj,TRUE)</f>
        <v>4.0604435764099202E-2</v>
      </c>
      <c r="G31" s="28"/>
    </row>
    <row r="32" spans="2:7" ht="8" customHeight="1" x14ac:dyDescent="0.45"/>
    <row r="33" spans="2:18" x14ac:dyDescent="0.45">
      <c r="I33" s="43" t="s">
        <v>184</v>
      </c>
      <c r="J33" s="8"/>
      <c r="K33" s="8"/>
      <c r="L33" s="8"/>
      <c r="M33" s="8"/>
      <c r="N33" s="8"/>
      <c r="O33" s="8"/>
      <c r="P33" s="8"/>
      <c r="Q33" s="8"/>
      <c r="R33" s="8"/>
    </row>
    <row r="48" spans="2:18" ht="22.05" customHeight="1" x14ac:dyDescent="0.5">
      <c r="B48" s="7" t="s">
        <v>185</v>
      </c>
      <c r="C48" s="8"/>
      <c r="D48" s="8"/>
      <c r="E48" s="8"/>
      <c r="F48" s="8"/>
      <c r="G48" s="8"/>
    </row>
    <row r="49" spans="2:7" ht="45" customHeight="1" x14ac:dyDescent="0.45">
      <c r="B49" s="57" t="s">
        <v>186</v>
      </c>
      <c r="C49" s="56"/>
      <c r="D49" s="56"/>
      <c r="E49" s="56"/>
      <c r="F49" s="56"/>
      <c r="G49" s="56"/>
    </row>
    <row r="50" spans="2:7" ht="45" customHeight="1" x14ac:dyDescent="0.45">
      <c r="B50" s="57" t="s">
        <v>187</v>
      </c>
      <c r="C50" s="56"/>
      <c r="D50" s="56"/>
      <c r="E50" s="56"/>
      <c r="F50" s="56"/>
      <c r="G50" s="56"/>
    </row>
    <row r="51" spans="2:7" ht="32" customHeight="1" x14ac:dyDescent="0.45">
      <c r="B51" s="57" t="s">
        <v>188</v>
      </c>
      <c r="C51" s="56"/>
      <c r="D51" s="56"/>
      <c r="E51" s="56"/>
      <c r="F51" s="56"/>
      <c r="G51" s="56"/>
    </row>
    <row r="52" spans="2:7" ht="32" customHeight="1" x14ac:dyDescent="0.45">
      <c r="B52" s="57" t="s">
        <v>189</v>
      </c>
      <c r="C52" s="56"/>
      <c r="D52" s="56"/>
      <c r="E52" s="56"/>
      <c r="F52" s="56"/>
      <c r="G52" s="56"/>
    </row>
    <row r="53" spans="2:7" ht="14" customHeight="1" x14ac:dyDescent="0.45"/>
    <row r="54" spans="2:7" ht="14" customHeight="1" x14ac:dyDescent="0.45"/>
    <row r="55" spans="2:7" ht="22.05" customHeight="1" x14ac:dyDescent="0.5">
      <c r="B55" s="7" t="s">
        <v>190</v>
      </c>
      <c r="C55" s="8"/>
      <c r="D55" s="8"/>
      <c r="E55" s="8"/>
      <c r="F55" s="8"/>
      <c r="G55" s="8"/>
    </row>
    <row r="56" spans="2:7" ht="18" customHeight="1" x14ac:dyDescent="0.45">
      <c r="B56" s="13" t="s">
        <v>191</v>
      </c>
    </row>
    <row r="57" spans="2:7" ht="28.05" hidden="1" customHeight="1" outlineLevel="1" x14ac:dyDescent="0.45">
      <c r="B57" s="24" t="s">
        <v>192</v>
      </c>
      <c r="C57" s="24" t="s">
        <v>193</v>
      </c>
      <c r="D57" s="24" t="s">
        <v>194</v>
      </c>
      <c r="E57" s="24" t="s">
        <v>195</v>
      </c>
      <c r="F57" s="24" t="s">
        <v>196</v>
      </c>
      <c r="G57" s="5"/>
    </row>
    <row r="58" spans="2:7" hidden="1" outlineLevel="1" x14ac:dyDescent="0.45">
      <c r="B58" s="50">
        <v>0.01</v>
      </c>
      <c r="C58" s="50">
        <f t="shared" ref="C58:C89" si="0">1-B58</f>
        <v>0.99</v>
      </c>
      <c r="D58" s="51" cm="1">
        <f t="array" aca="1" ref="D58" ca="1">IF(ISNUMBER(_xll.VoseSimPercentile(Tot_Sim,$B58)),_xll.VoseSimPercentile(Tot_Sim,$B58),NA())</f>
        <v>49.236679293438442</v>
      </c>
      <c r="E58" s="51" cm="1">
        <f t="array" aca="1" ref="E58" ca="1">IF(ISNUMBER(_xll.VoseSimPercentile(Tot_Gamma,$B58)),_xll.VoseSimPercentile(Tot_Gamma,$B58),NA())</f>
        <v>56.840087230704398</v>
      </c>
      <c r="F58" s="51" cm="1">
        <f t="array" aca="1" ref="F58" ca="1">IF(ISNUMBER(_xll.VoseSimPercentile(Tot_Normal,$B58)),_xll.VoseSimPercentile(Tot_Normal,$B58),NA())</f>
        <v>21.123831735669</v>
      </c>
    </row>
    <row r="59" spans="2:7" hidden="1" outlineLevel="1" x14ac:dyDescent="0.45">
      <c r="B59" s="50">
        <v>0.03</v>
      </c>
      <c r="C59" s="50">
        <f t="shared" si="0"/>
        <v>0.97</v>
      </c>
      <c r="D59" s="51" cm="1">
        <f t="array" aca="1" ref="D59" ca="1">IF(ISNUMBER(_xll.VoseSimPercentile(Tot_Sim,$B59)),_xll.VoseSimPercentile(Tot_Sim,$B59),NA())</f>
        <v>59.576763893462235</v>
      </c>
      <c r="E59" s="51" cm="1">
        <f t="array" aca="1" ref="E59" ca="1">IF(ISNUMBER(_xll.VoseSimPercentile(Tot_Gamma,$B59)),_xll.VoseSimPercentile(Tot_Gamma,$B59),NA())</f>
        <v>64.014989594820506</v>
      </c>
      <c r="F59" s="51" cm="1">
        <f t="array" aca="1" ref="F59" ca="1">IF(ISNUMBER(_xll.VoseSimPercentile(Tot_Normal,$B59)),_xll.VoseSimPercentile(Tot_Normal,$B59),NA())</f>
        <v>44.433682658121043</v>
      </c>
    </row>
    <row r="60" spans="2:7" hidden="1" outlineLevel="1" x14ac:dyDescent="0.45">
      <c r="B60" s="50">
        <v>0.05</v>
      </c>
      <c r="C60" s="50">
        <f t="shared" si="0"/>
        <v>0.95</v>
      </c>
      <c r="D60" s="51" cm="1">
        <f t="array" aca="1" ref="D60" ca="1">IF(ISNUMBER(_xll.VoseSimPercentile(Tot_Sim,$B60)),_xll.VoseSimPercentile(Tot_Sim,$B60),NA())</f>
        <v>65.645370346425779</v>
      </c>
      <c r="E60" s="51" cm="1">
        <f t="array" aca="1" ref="E60" ca="1">IF(ISNUMBER(_xll.VoseSimPercentile(Tot_Gamma,$B60)),_xll.VoseSimPercentile(Tot_Gamma,$B60),NA())</f>
        <v>68.39755951931879</v>
      </c>
      <c r="F60" s="51" cm="1">
        <f t="array" aca="1" ref="F60" ca="1">IF(ISNUMBER(_xll.VoseSimPercentile(Tot_Normal,$B60)),_xll.VoseSimPercentile(Tot_Normal,$B60),NA())</f>
        <v>54.970816462448241</v>
      </c>
    </row>
    <row r="61" spans="2:7" hidden="1" outlineLevel="1" x14ac:dyDescent="0.45">
      <c r="B61" s="50">
        <v>7.0000000000000007E-2</v>
      </c>
      <c r="C61" s="50">
        <f t="shared" si="0"/>
        <v>0.92999999999999994</v>
      </c>
      <c r="D61" s="51" cm="1">
        <f t="array" aca="1" ref="D61" ca="1">IF(ISNUMBER(_xll.VoseSimPercentile(Tot_Sim,$B61)),_xll.VoseSimPercentile(Tot_Sim,$B61),NA())</f>
        <v>70.634082037111682</v>
      </c>
      <c r="E61" s="51" cm="1">
        <f t="array" aca="1" ref="E61" ca="1">IF(ISNUMBER(_xll.VoseSimPercentile(Tot_Gamma,$B61)),_xll.VoseSimPercentile(Tot_Gamma,$B61),NA())</f>
        <v>72.326171688332522</v>
      </c>
      <c r="F61" s="51" cm="1">
        <f t="array" aca="1" ref="F61" ca="1">IF(ISNUMBER(_xll.VoseSimPercentile(Tot_Normal,$B61)),_xll.VoseSimPercentile(Tot_Normal,$B61),NA())</f>
        <v>62.718618340971929</v>
      </c>
    </row>
    <row r="62" spans="2:7" hidden="1" outlineLevel="1" x14ac:dyDescent="0.45">
      <c r="B62" s="50">
        <v>0.09</v>
      </c>
      <c r="C62" s="50">
        <f t="shared" si="0"/>
        <v>0.91</v>
      </c>
      <c r="D62" s="51" cm="1">
        <f t="array" aca="1" ref="D62" ca="1">IF(ISNUMBER(_xll.VoseSimPercentile(Tot_Sim,$B62)),_xll.VoseSimPercentile(Tot_Sim,$B62),NA())</f>
        <v>74.17523070043579</v>
      </c>
      <c r="E62" s="51" cm="1">
        <f t="array" aca="1" ref="E62" ca="1">IF(ISNUMBER(_xll.VoseSimPercentile(Tot_Gamma,$B62)),_xll.VoseSimPercentile(Tot_Gamma,$B62),NA())</f>
        <v>75.206466762430722</v>
      </c>
      <c r="F62" s="51" cm="1">
        <f t="array" aca="1" ref="F62" ca="1">IF(ISNUMBER(_xll.VoseSimPercentile(Tot_Normal,$B62)),_xll.VoseSimPercentile(Tot_Normal,$B62),NA())</f>
        <v>68.540564886986374</v>
      </c>
    </row>
    <row r="63" spans="2:7" hidden="1" outlineLevel="1" x14ac:dyDescent="0.45">
      <c r="B63" s="50">
        <v>0.11</v>
      </c>
      <c r="C63" s="50">
        <f t="shared" si="0"/>
        <v>0.89</v>
      </c>
      <c r="D63" s="51" cm="1">
        <f t="array" aca="1" ref="D63" ca="1">IF(ISNUMBER(_xll.VoseSimPercentile(Tot_Sim,$B63)),_xll.VoseSimPercentile(Tot_Sim,$B63),NA())</f>
        <v>77.379060958540677</v>
      </c>
      <c r="E63" s="51" cm="1">
        <f t="array" aca="1" ref="E63" ca="1">IF(ISNUMBER(_xll.VoseSimPercentile(Tot_Gamma,$B63)),_xll.VoseSimPercentile(Tot_Gamma,$B63),NA())</f>
        <v>78.03702111865158</v>
      </c>
      <c r="F63" s="51" cm="1">
        <f t="array" aca="1" ref="F63" ca="1">IF(ISNUMBER(_xll.VoseSimPercentile(Tot_Normal,$B63)),_xll.VoseSimPercentile(Tot_Normal,$B63),NA())</f>
        <v>73.270303157184927</v>
      </c>
    </row>
    <row r="64" spans="2:7" hidden="1" outlineLevel="1" x14ac:dyDescent="0.45">
      <c r="B64" s="50">
        <v>0.13</v>
      </c>
      <c r="C64" s="50">
        <f t="shared" si="0"/>
        <v>0.87</v>
      </c>
      <c r="D64" s="51" cm="1">
        <f t="array" aca="1" ref="D64" ca="1">IF(ISNUMBER(_xll.VoseSimPercentile(Tot_Sim,$B64)),_xll.VoseSimPercentile(Tot_Sim,$B64),NA())</f>
        <v>80.032749847436563</v>
      </c>
      <c r="E64" s="51" cm="1">
        <f t="array" aca="1" ref="E64" ca="1">IF(ISNUMBER(_xll.VoseSimPercentile(Tot_Gamma,$B64)),_xll.VoseSimPercentile(Tot_Gamma,$B64),NA())</f>
        <v>80.685328063654197</v>
      </c>
      <c r="F64" s="51" cm="1">
        <f t="array" aca="1" ref="F64" ca="1">IF(ISNUMBER(_xll.VoseSimPercentile(Tot_Normal,$B64)),_xll.VoseSimPercentile(Tot_Normal,$B64),NA())</f>
        <v>77.441172501649362</v>
      </c>
    </row>
    <row r="65" spans="2:6" hidden="1" outlineLevel="1" x14ac:dyDescent="0.45">
      <c r="B65" s="50">
        <v>0.15</v>
      </c>
      <c r="C65" s="50">
        <f t="shared" si="0"/>
        <v>0.85</v>
      </c>
      <c r="D65" s="51" cm="1">
        <f t="array" aca="1" ref="D65" ca="1">IF(ISNUMBER(_xll.VoseSimPercentile(Tot_Sim,$B65)),_xll.VoseSimPercentile(Tot_Sim,$B65),NA())</f>
        <v>82.805186645451656</v>
      </c>
      <c r="E65" s="51" cm="1">
        <f t="array" aca="1" ref="E65" ca="1">IF(ISNUMBER(_xll.VoseSimPercentile(Tot_Gamma,$B65)),_xll.VoseSimPercentile(Tot_Gamma,$B65),NA())</f>
        <v>82.95207985646843</v>
      </c>
      <c r="F65" s="51" cm="1">
        <f t="array" aca="1" ref="F65" ca="1">IF(ISNUMBER(_xll.VoseSimPercentile(Tot_Normal,$B65)),_xll.VoseSimPercentile(Tot_Normal,$B65),NA())</f>
        <v>81.194909082436595</v>
      </c>
    </row>
    <row r="66" spans="2:6" hidden="1" outlineLevel="1" x14ac:dyDescent="0.45">
      <c r="B66" s="50">
        <v>0.17</v>
      </c>
      <c r="C66" s="50">
        <f t="shared" si="0"/>
        <v>0.83</v>
      </c>
      <c r="D66" s="51" cm="1">
        <f t="array" aca="1" ref="D66" ca="1">IF(ISNUMBER(_xll.VoseSimPercentile(Tot_Sim,$B66)),_xll.VoseSimPercentile(Tot_Sim,$B66),NA())</f>
        <v>85.242502801148632</v>
      </c>
      <c r="E66" s="51" cm="1">
        <f t="array" aca="1" ref="E66" ca="1">IF(ISNUMBER(_xll.VoseSimPercentile(Tot_Gamma,$B66)),_xll.VoseSimPercentile(Tot_Gamma,$B66),NA())</f>
        <v>85.279475636623644</v>
      </c>
      <c r="F66" s="51" cm="1">
        <f t="array" aca="1" ref="F66" ca="1">IF(ISNUMBER(_xll.VoseSimPercentile(Tot_Normal,$B66)),_xll.VoseSimPercentile(Tot_Normal,$B66),NA())</f>
        <v>84.551562962532628</v>
      </c>
    </row>
    <row r="67" spans="2:6" hidden="1" outlineLevel="1" x14ac:dyDescent="0.45">
      <c r="B67" s="50">
        <v>0.19</v>
      </c>
      <c r="C67" s="50">
        <f t="shared" si="0"/>
        <v>0.81</v>
      </c>
      <c r="D67" s="51" cm="1">
        <f t="array" aca="1" ref="D67" ca="1">IF(ISNUMBER(_xll.VoseSimPercentile(Tot_Sim,$B67)),_xll.VoseSimPercentile(Tot_Sim,$B67),NA())</f>
        <v>87.969372278487654</v>
      </c>
      <c r="E67" s="51" cm="1">
        <f t="array" aca="1" ref="E67" ca="1">IF(ISNUMBER(_xll.VoseSimPercentile(Tot_Gamma,$B67)),_xll.VoseSimPercentile(Tot_Gamma,$B67),NA())</f>
        <v>87.428444584621417</v>
      </c>
      <c r="F67" s="51" cm="1">
        <f t="array" aca="1" ref="F67" ca="1">IF(ISNUMBER(_xll.VoseSimPercentile(Tot_Normal,$B67)),_xll.VoseSimPercentile(Tot_Normal,$B67),NA())</f>
        <v>87.329837351537435</v>
      </c>
    </row>
    <row r="68" spans="2:6" hidden="1" outlineLevel="1" x14ac:dyDescent="0.45">
      <c r="B68" s="50">
        <v>0.21</v>
      </c>
      <c r="C68" s="50">
        <f t="shared" si="0"/>
        <v>0.79</v>
      </c>
      <c r="D68" s="51" cm="1">
        <f t="array" aca="1" ref="D68" ca="1">IF(ISNUMBER(_xll.VoseSimPercentile(Tot_Sim,$B68)),_xll.VoseSimPercentile(Tot_Sim,$B68),NA())</f>
        <v>90.175970113873177</v>
      </c>
      <c r="E68" s="51" cm="1">
        <f t="array" aca="1" ref="E68" ca="1">IF(ISNUMBER(_xll.VoseSimPercentile(Tot_Gamma,$B68)),_xll.VoseSimPercentile(Tot_Gamma,$B68),NA())</f>
        <v>89.57435009059148</v>
      </c>
      <c r="F68" s="51" cm="1">
        <f t="array" aca="1" ref="F68" ca="1">IF(ISNUMBER(_xll.VoseSimPercentile(Tot_Normal,$B68)),_xll.VoseSimPercentile(Tot_Normal,$B68),NA())</f>
        <v>90.098508953211493</v>
      </c>
    </row>
    <row r="69" spans="2:6" hidden="1" outlineLevel="1" x14ac:dyDescent="0.45">
      <c r="B69" s="50">
        <v>0.23</v>
      </c>
      <c r="C69" s="50">
        <f t="shared" si="0"/>
        <v>0.77</v>
      </c>
      <c r="D69" s="51" cm="1">
        <f t="array" aca="1" ref="D69" ca="1">IF(ISNUMBER(_xll.VoseSimPercentile(Tot_Sim,$B69)),_xll.VoseSimPercentile(Tot_Sim,$B69),NA())</f>
        <v>92.496170797262465</v>
      </c>
      <c r="E69" s="51" cm="1">
        <f t="array" aca="1" ref="E69" ca="1">IF(ISNUMBER(_xll.VoseSimPercentile(Tot_Gamma,$B69)),_xll.VoseSimPercentile(Tot_Gamma,$B69),NA())</f>
        <v>91.692876714223814</v>
      </c>
      <c r="F69" s="51" cm="1">
        <f t="array" aca="1" ref="F69" ca="1">IF(ISNUMBER(_xll.VoseSimPercentile(Tot_Normal,$B69)),_xll.VoseSimPercentile(Tot_Normal,$B69),NA())</f>
        <v>93.06957087670267</v>
      </c>
    </row>
    <row r="70" spans="2:6" hidden="1" outlineLevel="1" x14ac:dyDescent="0.45">
      <c r="B70" s="50">
        <v>0.25</v>
      </c>
      <c r="C70" s="50">
        <f t="shared" si="0"/>
        <v>0.75</v>
      </c>
      <c r="D70" s="51" cm="1">
        <f t="array" aca="1" ref="D70" ca="1">IF(ISNUMBER(_xll.VoseSimPercentile(Tot_Sim,$B70)),_xll.VoseSimPercentile(Tot_Sim,$B70),NA())</f>
        <v>94.807249045804582</v>
      </c>
      <c r="E70" s="51" cm="1">
        <f t="array" aca="1" ref="E70" ca="1">IF(ISNUMBER(_xll.VoseSimPercentile(Tot_Gamma,$B70)),_xll.VoseSimPercentile(Tot_Gamma,$B70),NA())</f>
        <v>93.837812728040632</v>
      </c>
      <c r="F70" s="51" cm="1">
        <f t="array" aca="1" ref="F70" ca="1">IF(ISNUMBER(_xll.VoseSimPercentile(Tot_Normal,$B70)),_xll.VoseSimPercentile(Tot_Normal,$B70),NA())</f>
        <v>95.920693421493255</v>
      </c>
    </row>
    <row r="71" spans="2:6" hidden="1" outlineLevel="1" x14ac:dyDescent="0.45">
      <c r="B71" s="50">
        <v>0.27</v>
      </c>
      <c r="C71" s="50">
        <f t="shared" si="0"/>
        <v>0.73</v>
      </c>
      <c r="D71" s="51" cm="1">
        <f t="array" aca="1" ref="D71" ca="1">IF(ISNUMBER(_xll.VoseSimPercentile(Tot_Sim,$B71)),_xll.VoseSimPercentile(Tot_Sim,$B71),NA())</f>
        <v>96.815080855474804</v>
      </c>
      <c r="E71" s="51" cm="1">
        <f t="array" aca="1" ref="E71" ca="1">IF(ISNUMBER(_xll.VoseSimPercentile(Tot_Gamma,$B71)),_xll.VoseSimPercentile(Tot_Gamma,$B71),NA())</f>
        <v>95.658309716121124</v>
      </c>
      <c r="F71" s="51" cm="1">
        <f t="array" aca="1" ref="F71" ca="1">IF(ISNUMBER(_xll.VoseSimPercentile(Tot_Normal,$B71)),_xll.VoseSimPercentile(Tot_Normal,$B71),NA())</f>
        <v>98.650513150875014</v>
      </c>
    </row>
    <row r="72" spans="2:6" hidden="1" outlineLevel="1" x14ac:dyDescent="0.45">
      <c r="B72" s="50">
        <v>0.28999999999999998</v>
      </c>
      <c r="C72" s="50">
        <f t="shared" si="0"/>
        <v>0.71</v>
      </c>
      <c r="D72" s="51" cm="1">
        <f t="array" aca="1" ref="D72" ca="1">IF(ISNUMBER(_xll.VoseSimPercentile(Tot_Sim,$B72)),_xll.VoseSimPercentile(Tot_Sim,$B72),NA())</f>
        <v>98.816649562808635</v>
      </c>
      <c r="E72" s="51" cm="1">
        <f t="array" aca="1" ref="E72" ca="1">IF(ISNUMBER(_xll.VoseSimPercentile(Tot_Gamma,$B72)),_xll.VoseSimPercentile(Tot_Gamma,$B72),NA())</f>
        <v>97.872298601996434</v>
      </c>
      <c r="F72" s="51" cm="1">
        <f t="array" aca="1" ref="F72" ca="1">IF(ISNUMBER(_xll.VoseSimPercentile(Tot_Normal,$B72)),_xll.VoseSimPercentile(Tot_Normal,$B72),NA())</f>
        <v>101.21438827703655</v>
      </c>
    </row>
    <row r="73" spans="2:6" hidden="1" outlineLevel="1" x14ac:dyDescent="0.45">
      <c r="B73" s="50">
        <v>0.31</v>
      </c>
      <c r="C73" s="50">
        <f t="shared" si="0"/>
        <v>0.69</v>
      </c>
      <c r="D73" s="51" cm="1">
        <f t="array" aca="1" ref="D73" ca="1">IF(ISNUMBER(_xll.VoseSimPercentile(Tot_Sim,$B73)),_xll.VoseSimPercentile(Tot_Sim,$B73),NA())</f>
        <v>100.81146062372416</v>
      </c>
      <c r="E73" s="51" cm="1">
        <f t="array" aca="1" ref="E73" ca="1">IF(ISNUMBER(_xll.VoseSimPercentile(Tot_Gamma,$B73)),_xll.VoseSimPercentile(Tot_Gamma,$B73),NA())</f>
        <v>99.945408658173932</v>
      </c>
      <c r="F73" s="51" cm="1">
        <f t="array" aca="1" ref="F73" ca="1">IF(ISNUMBER(_xll.VoseSimPercentile(Tot_Normal,$B73)),_xll.VoseSimPercentile(Tot_Normal,$B73),NA())</f>
        <v>103.6906713301416</v>
      </c>
    </row>
    <row r="74" spans="2:6" hidden="1" outlineLevel="1" x14ac:dyDescent="0.45">
      <c r="B74" s="50">
        <v>0.33</v>
      </c>
      <c r="C74" s="50">
        <f t="shared" si="0"/>
        <v>0.66999999999999993</v>
      </c>
      <c r="D74" s="51" cm="1">
        <f t="array" aca="1" ref="D74" ca="1">IF(ISNUMBER(_xll.VoseSimPercentile(Tot_Sim,$B74)),_xll.VoseSimPercentile(Tot_Sim,$B74),NA())</f>
        <v>102.65330247807344</v>
      </c>
      <c r="E74" s="51" cm="1">
        <f t="array" aca="1" ref="E74" ca="1">IF(ISNUMBER(_xll.VoseSimPercentile(Tot_Gamma,$B74)),_xll.VoseSimPercentile(Tot_Gamma,$B74),NA())</f>
        <v>101.78833625203285</v>
      </c>
      <c r="F74" s="51" cm="1">
        <f t="array" aca="1" ref="F74" ca="1">IF(ISNUMBER(_xll.VoseSimPercentile(Tot_Normal,$B74)),_xll.VoseSimPercentile(Tot_Normal,$B74),NA())</f>
        <v>106.01277980658784</v>
      </c>
    </row>
    <row r="75" spans="2:6" hidden="1" outlineLevel="1" x14ac:dyDescent="0.45">
      <c r="B75" s="50">
        <v>0.35</v>
      </c>
      <c r="C75" s="50">
        <f t="shared" si="0"/>
        <v>0.65</v>
      </c>
      <c r="D75" s="51" cm="1">
        <f t="array" aca="1" ref="D75" ca="1">IF(ISNUMBER(_xll.VoseSimPercentile(Tot_Sim,$B75)),_xll.VoseSimPercentile(Tot_Sim,$B75),NA())</f>
        <v>104.66802880072176</v>
      </c>
      <c r="E75" s="51" cm="1">
        <f t="array" aca="1" ref="E75" ca="1">IF(ISNUMBER(_xll.VoseSimPercentile(Tot_Gamma,$B75)),_xll.VoseSimPercentile(Tot_Gamma,$B75),NA())</f>
        <v>103.5633298253224</v>
      </c>
      <c r="F75" s="51" cm="1">
        <f t="array" aca="1" ref="F75" ca="1">IF(ISNUMBER(_xll.VoseSimPercentile(Tot_Normal,$B75)),_xll.VoseSimPercentile(Tot_Normal,$B75),NA())</f>
        <v>108.32713401652052</v>
      </c>
    </row>
    <row r="76" spans="2:6" hidden="1" outlineLevel="1" x14ac:dyDescent="0.45">
      <c r="B76" s="50">
        <v>0.37</v>
      </c>
      <c r="C76" s="50">
        <f t="shared" si="0"/>
        <v>0.63</v>
      </c>
      <c r="D76" s="51" cm="1">
        <f t="array" aca="1" ref="D76" ca="1">IF(ISNUMBER(_xll.VoseSimPercentile(Tot_Sim,$B76)),_xll.VoseSimPercentile(Tot_Sim,$B76),NA())</f>
        <v>106.95441418294739</v>
      </c>
      <c r="E76" s="51" cm="1">
        <f t="array" aca="1" ref="E76" ca="1">IF(ISNUMBER(_xll.VoseSimPercentile(Tot_Gamma,$B76)),_xll.VoseSimPercentile(Tot_Gamma,$B76),NA())</f>
        <v>105.12674281278446</v>
      </c>
      <c r="F76" s="51" cm="1">
        <f t="array" aca="1" ref="F76" ca="1">IF(ISNUMBER(_xll.VoseSimPercentile(Tot_Normal,$B76)),_xll.VoseSimPercentile(Tot_Normal,$B76),NA())</f>
        <v>110.38080827735904</v>
      </c>
    </row>
    <row r="77" spans="2:6" hidden="1" outlineLevel="1" x14ac:dyDescent="0.45">
      <c r="B77" s="50">
        <v>0.39</v>
      </c>
      <c r="C77" s="50">
        <f t="shared" si="0"/>
        <v>0.61</v>
      </c>
      <c r="D77" s="51" cm="1">
        <f t="array" aca="1" ref="D77" ca="1">IF(ISNUMBER(_xll.VoseSimPercentile(Tot_Sim,$B77)),_xll.VoseSimPercentile(Tot_Sim,$B77),NA())</f>
        <v>108.97789959789706</v>
      </c>
      <c r="E77" s="51" cm="1">
        <f t="array" aca="1" ref="E77" ca="1">IF(ISNUMBER(_xll.VoseSimPercentile(Tot_Gamma,$B77)),_xll.VoseSimPercentile(Tot_Gamma,$B77),NA())</f>
        <v>107.17113829614905</v>
      </c>
      <c r="F77" s="51" cm="1">
        <f t="array" aca="1" ref="F77" ca="1">IF(ISNUMBER(_xll.VoseSimPercentile(Tot_Normal,$B77)),_xll.VoseSimPercentile(Tot_Normal,$B77),NA())</f>
        <v>112.57813796148147</v>
      </c>
    </row>
    <row r="78" spans="2:6" hidden="1" outlineLevel="1" x14ac:dyDescent="0.45">
      <c r="B78" s="50">
        <v>0.41</v>
      </c>
      <c r="C78" s="50">
        <f t="shared" si="0"/>
        <v>0.59000000000000008</v>
      </c>
      <c r="D78" s="51" cm="1">
        <f t="array" aca="1" ref="D78" ca="1">IF(ISNUMBER(_xll.VoseSimPercentile(Tot_Sim,$B78)),_xll.VoseSimPercentile(Tot_Sim,$B78),NA())</f>
        <v>110.86071833267005</v>
      </c>
      <c r="E78" s="51" cm="1">
        <f t="array" aca="1" ref="E78" ca="1">IF(ISNUMBER(_xll.VoseSimPercentile(Tot_Gamma,$B78)),_xll.VoseSimPercentile(Tot_Gamma,$B78),NA())</f>
        <v>109.22429628876741</v>
      </c>
      <c r="F78" s="51" cm="1">
        <f t="array" aca="1" ref="F78" ca="1">IF(ISNUMBER(_xll.VoseSimPercentile(Tot_Normal,$B78)),_xll.VoseSimPercentile(Tot_Normal,$B78),NA())</f>
        <v>114.93826070467017</v>
      </c>
    </row>
    <row r="79" spans="2:6" hidden="1" outlineLevel="1" x14ac:dyDescent="0.45">
      <c r="B79" s="50">
        <v>0.43</v>
      </c>
      <c r="C79" s="50">
        <f t="shared" si="0"/>
        <v>0.57000000000000006</v>
      </c>
      <c r="D79" s="51" cm="1">
        <f t="array" aca="1" ref="D79" ca="1">IF(ISNUMBER(_xll.VoseSimPercentile(Tot_Sim,$B79)),_xll.VoseSimPercentile(Tot_Sim,$B79),NA())</f>
        <v>112.91971783049634</v>
      </c>
      <c r="E79" s="51" cm="1">
        <f t="array" aca="1" ref="E79" ca="1">IF(ISNUMBER(_xll.VoseSimPercentile(Tot_Gamma,$B79)),_xll.VoseSimPercentile(Tot_Gamma,$B79),NA())</f>
        <v>111.26857831981232</v>
      </c>
      <c r="F79" s="51" cm="1">
        <f t="array" aca="1" ref="F79" ca="1">IF(ISNUMBER(_xll.VoseSimPercentile(Tot_Normal,$B79)),_xll.VoseSimPercentile(Tot_Normal,$B79),NA())</f>
        <v>117.00136125208108</v>
      </c>
    </row>
    <row r="80" spans="2:6" hidden="1" outlineLevel="1" x14ac:dyDescent="0.45">
      <c r="B80" s="50">
        <v>0.45</v>
      </c>
      <c r="C80" s="50">
        <f t="shared" si="0"/>
        <v>0.55000000000000004</v>
      </c>
      <c r="D80" s="51" cm="1">
        <f t="array" aca="1" ref="D80" ca="1">IF(ISNUMBER(_xll.VoseSimPercentile(Tot_Sim,$B80)),_xll.VoseSimPercentile(Tot_Sim,$B80),NA())</f>
        <v>114.80102857121545</v>
      </c>
      <c r="E80" s="51" cm="1">
        <f t="array" aca="1" ref="E80" ca="1">IF(ISNUMBER(_xll.VoseSimPercentile(Tot_Gamma,$B80)),_xll.VoseSimPercentile(Tot_Gamma,$B80),NA())</f>
        <v>113.19259470389503</v>
      </c>
      <c r="F80" s="51" cm="1">
        <f t="array" aca="1" ref="F80" ca="1">IF(ISNUMBER(_xll.VoseSimPercentile(Tot_Normal,$B80)),_xll.VoseSimPercentile(Tot_Normal,$B80),NA())</f>
        <v>118.91369521199603</v>
      </c>
    </row>
    <row r="81" spans="2:6" hidden="1" outlineLevel="1" x14ac:dyDescent="0.45">
      <c r="B81" s="50">
        <v>0.47</v>
      </c>
      <c r="C81" s="50">
        <f t="shared" si="0"/>
        <v>0.53</v>
      </c>
      <c r="D81" s="51" cm="1">
        <f t="array" aca="1" ref="D81" ca="1">IF(ISNUMBER(_xll.VoseSimPercentile(Tot_Sim,$B81)),_xll.VoseSimPercentile(Tot_Sim,$B81),NA())</f>
        <v>116.63783400149811</v>
      </c>
      <c r="E81" s="51" cm="1">
        <f t="array" aca="1" ref="E81" ca="1">IF(ISNUMBER(_xll.VoseSimPercentile(Tot_Gamma,$B81)),_xll.VoseSimPercentile(Tot_Gamma,$B81),NA())</f>
        <v>115.22480149124543</v>
      </c>
      <c r="F81" s="51" cm="1">
        <f t="array" aca="1" ref="F81" ca="1">IF(ISNUMBER(_xll.VoseSimPercentile(Tot_Normal,$B81)),_xll.VoseSimPercentile(Tot_Normal,$B81),NA())</f>
        <v>120.87445234566066</v>
      </c>
    </row>
    <row r="82" spans="2:6" hidden="1" outlineLevel="1" x14ac:dyDescent="0.45">
      <c r="B82" s="50">
        <v>0.49</v>
      </c>
      <c r="C82" s="50">
        <f t="shared" si="0"/>
        <v>0.51</v>
      </c>
      <c r="D82" s="51" cm="1">
        <f t="array" aca="1" ref="D82" ca="1">IF(ISNUMBER(_xll.VoseSimPercentile(Tot_Sim,$B82)),_xll.VoseSimPercentile(Tot_Sim,$B82),NA())</f>
        <v>118.58862611646722</v>
      </c>
      <c r="E82" s="51" cm="1">
        <f t="array" aca="1" ref="E82" ca="1">IF(ISNUMBER(_xll.VoseSimPercentile(Tot_Gamma,$B82)),_xll.VoseSimPercentile(Tot_Gamma,$B82),NA())</f>
        <v>117.0201050599549</v>
      </c>
      <c r="F82" s="51" cm="1">
        <f t="array" aca="1" ref="F82" ca="1">IF(ISNUMBER(_xll.VoseSimPercentile(Tot_Normal,$B82)),_xll.VoseSimPercentile(Tot_Normal,$B82),NA())</f>
        <v>123.51582150979952</v>
      </c>
    </row>
    <row r="83" spans="2:6" hidden="1" outlineLevel="1" x14ac:dyDescent="0.45">
      <c r="B83" s="50">
        <v>0.51</v>
      </c>
      <c r="C83" s="50">
        <f t="shared" si="0"/>
        <v>0.49</v>
      </c>
      <c r="D83" s="51" cm="1">
        <f t="array" aca="1" ref="D83" ca="1">IF(ISNUMBER(_xll.VoseSimPercentile(Tot_Sim,$B83)),_xll.VoseSimPercentile(Tot_Sim,$B83),NA())</f>
        <v>120.48506280740679</v>
      </c>
      <c r="E83" s="51" cm="1">
        <f t="array" aca="1" ref="E83" ca="1">IF(ISNUMBER(_xll.VoseSimPercentile(Tot_Gamma,$B83)),_xll.VoseSimPercentile(Tot_Gamma,$B83),NA())</f>
        <v>118.9474933776083</v>
      </c>
      <c r="F83" s="51" cm="1">
        <f t="array" aca="1" ref="F83" ca="1">IF(ISNUMBER(_xll.VoseSimPercentile(Tot_Normal,$B83)),_xll.VoseSimPercentile(Tot_Normal,$B83),NA())</f>
        <v>125.62151632794142</v>
      </c>
    </row>
    <row r="84" spans="2:6" hidden="1" outlineLevel="1" x14ac:dyDescent="0.45">
      <c r="B84" s="50">
        <v>0.53</v>
      </c>
      <c r="C84" s="50">
        <f t="shared" si="0"/>
        <v>0.47</v>
      </c>
      <c r="D84" s="51" cm="1">
        <f t="array" aca="1" ref="D84" ca="1">IF(ISNUMBER(_xll.VoseSimPercentile(Tot_Sim,$B84)),_xll.VoseSimPercentile(Tot_Sim,$B84),NA())</f>
        <v>122.46825210486159</v>
      </c>
      <c r="E84" s="51" cm="1">
        <f t="array" aca="1" ref="E84" ca="1">IF(ISNUMBER(_xll.VoseSimPercentile(Tot_Gamma,$B84)),_xll.VoseSimPercentile(Tot_Gamma,$B84),NA())</f>
        <v>121.29669540253312</v>
      </c>
      <c r="F84" s="51" cm="1">
        <f t="array" aca="1" ref="F84" ca="1">IF(ISNUMBER(_xll.VoseSimPercentile(Tot_Normal,$B84)),_xll.VoseSimPercentile(Tot_Normal,$B84),NA())</f>
        <v>127.60326270391654</v>
      </c>
    </row>
    <row r="85" spans="2:6" hidden="1" outlineLevel="1" x14ac:dyDescent="0.45">
      <c r="B85" s="50">
        <v>0.55000000000000004</v>
      </c>
      <c r="C85" s="50">
        <f t="shared" si="0"/>
        <v>0.44999999999999996</v>
      </c>
      <c r="D85" s="51" cm="1">
        <f t="array" aca="1" ref="D85" ca="1">IF(ISNUMBER(_xll.VoseSimPercentile(Tot_Sim,$B85)),_xll.VoseSimPercentile(Tot_Sim,$B85),NA())</f>
        <v>124.99263556214794</v>
      </c>
      <c r="E85" s="51" cm="1">
        <f t="array" aca="1" ref="E85" ca="1">IF(ISNUMBER(_xll.VoseSimPercentile(Tot_Gamma,$B85)),_xll.VoseSimPercentile(Tot_Gamma,$B85),NA())</f>
        <v>123.47657602033389</v>
      </c>
      <c r="F85" s="51" cm="1">
        <f t="array" aca="1" ref="F85" ca="1">IF(ISNUMBER(_xll.VoseSimPercentile(Tot_Normal,$B85)),_xll.VoseSimPercentile(Tot_Normal,$B85),NA())</f>
        <v>129.9163193366004</v>
      </c>
    </row>
    <row r="86" spans="2:6" hidden="1" outlineLevel="1" x14ac:dyDescent="0.45">
      <c r="B86" s="50">
        <v>0.56999999999999995</v>
      </c>
      <c r="C86" s="50">
        <f t="shared" si="0"/>
        <v>0.43000000000000005</v>
      </c>
      <c r="D86" s="51" cm="1">
        <f t="array" aca="1" ref="D86" ca="1">IF(ISNUMBER(_xll.VoseSimPercentile(Tot_Sim,$B86)),_xll.VoseSimPercentile(Tot_Sim,$B86),NA())</f>
        <v>127.20749590221222</v>
      </c>
      <c r="E86" s="51" cm="1">
        <f t="array" aca="1" ref="E86" ca="1">IF(ISNUMBER(_xll.VoseSimPercentile(Tot_Gamma,$B86)),_xll.VoseSimPercentile(Tot_Gamma,$B86),NA())</f>
        <v>125.86709954333956</v>
      </c>
      <c r="F86" s="51" cm="1">
        <f t="array" aca="1" ref="F86" ca="1">IF(ISNUMBER(_xll.VoseSimPercentile(Tot_Normal,$B86)),_xll.VoseSimPercentile(Tot_Normal,$B86),NA())</f>
        <v>132.05195597614625</v>
      </c>
    </row>
    <row r="87" spans="2:6" hidden="1" outlineLevel="1" x14ac:dyDescent="0.45">
      <c r="B87" s="50">
        <v>0.59</v>
      </c>
      <c r="C87" s="50">
        <f t="shared" si="0"/>
        <v>0.41000000000000003</v>
      </c>
      <c r="D87" s="51" cm="1">
        <f t="array" aca="1" ref="D87" ca="1">IF(ISNUMBER(_xll.VoseSimPercentile(Tot_Sim,$B87)),_xll.VoseSimPercentile(Tot_Sim,$B87),NA())</f>
        <v>129.4857489710727</v>
      </c>
      <c r="E87" s="51" cm="1">
        <f t="array" aca="1" ref="E87" ca="1">IF(ISNUMBER(_xll.VoseSimPercentile(Tot_Gamma,$B87)),_xll.VoseSimPercentile(Tot_Gamma,$B87),NA())</f>
        <v>128.03188465857946</v>
      </c>
      <c r="F87" s="51" cm="1">
        <f t="array" aca="1" ref="F87" ca="1">IF(ISNUMBER(_xll.VoseSimPercentile(Tot_Normal,$B87)),_xll.VoseSimPercentile(Tot_Normal,$B87),NA())</f>
        <v>134.27092482809937</v>
      </c>
    </row>
    <row r="88" spans="2:6" hidden="1" outlineLevel="1" x14ac:dyDescent="0.45">
      <c r="B88" s="50">
        <v>0.61</v>
      </c>
      <c r="C88" s="50">
        <f t="shared" si="0"/>
        <v>0.39</v>
      </c>
      <c r="D88" s="51" cm="1">
        <f t="array" aca="1" ref="D88" ca="1">IF(ISNUMBER(_xll.VoseSimPercentile(Tot_Sim,$B88)),_xll.VoseSimPercentile(Tot_Sim,$B88),NA())</f>
        <v>131.34683872869519</v>
      </c>
      <c r="E88" s="51" cm="1">
        <f t="array" aca="1" ref="E88" ca="1">IF(ISNUMBER(_xll.VoseSimPercentile(Tot_Gamma,$B88)),_xll.VoseSimPercentile(Tot_Gamma,$B88),NA())</f>
        <v>130.4651682332231</v>
      </c>
      <c r="F88" s="51" cm="1">
        <f t="array" aca="1" ref="F88" ca="1">IF(ISNUMBER(_xll.VoseSimPercentile(Tot_Normal,$B88)),_xll.VoseSimPercentile(Tot_Normal,$B88),NA())</f>
        <v>136.70370682018537</v>
      </c>
    </row>
    <row r="89" spans="2:6" hidden="1" outlineLevel="1" x14ac:dyDescent="0.45">
      <c r="B89" s="50">
        <v>0.63</v>
      </c>
      <c r="C89" s="50">
        <f t="shared" si="0"/>
        <v>0.37</v>
      </c>
      <c r="D89" s="51" cm="1">
        <f t="array" aca="1" ref="D89" ca="1">IF(ISNUMBER(_xll.VoseSimPercentile(Tot_Sim,$B89)),_xll.VoseSimPercentile(Tot_Sim,$B89),NA())</f>
        <v>133.54965176064542</v>
      </c>
      <c r="E89" s="51" cm="1">
        <f t="array" aca="1" ref="E89" ca="1">IF(ISNUMBER(_xll.VoseSimPercentile(Tot_Gamma,$B89)),_xll.VoseSimPercentile(Tot_Gamma,$B89),NA())</f>
        <v>132.80675604249075</v>
      </c>
      <c r="F89" s="51" cm="1">
        <f t="array" aca="1" ref="F89" ca="1">IF(ISNUMBER(_xll.VoseSimPercentile(Tot_Normal,$B89)),_xll.VoseSimPercentile(Tot_Normal,$B89),NA())</f>
        <v>138.92638995740981</v>
      </c>
    </row>
    <row r="90" spans="2:6" hidden="1" outlineLevel="1" x14ac:dyDescent="0.45">
      <c r="B90" s="50">
        <v>0.65</v>
      </c>
      <c r="C90" s="50">
        <f t="shared" ref="C90:C121" si="1">1-B90</f>
        <v>0.35</v>
      </c>
      <c r="D90" s="51" cm="1">
        <f t="array" aca="1" ref="D90" ca="1">IF(ISNUMBER(_xll.VoseSimPercentile(Tot_Sim,$B90)),_xll.VoseSimPercentile(Tot_Sim,$B90),NA())</f>
        <v>136.13842314865053</v>
      </c>
      <c r="E90" s="51" cm="1">
        <f t="array" aca="1" ref="E90" ca="1">IF(ISNUMBER(_xll.VoseSimPercentile(Tot_Gamma,$B90)),_xll.VoseSimPercentile(Tot_Gamma,$B90),NA())</f>
        <v>135.42180513088755</v>
      </c>
      <c r="F90" s="51" cm="1">
        <f t="array" aca="1" ref="F90" ca="1">IF(ISNUMBER(_xll.VoseSimPercentile(Tot_Normal,$B90)),_xll.VoseSimPercentile(Tot_Normal,$B90),NA())</f>
        <v>141.24518210319943</v>
      </c>
    </row>
    <row r="91" spans="2:6" hidden="1" outlineLevel="1" x14ac:dyDescent="0.45">
      <c r="B91" s="50">
        <v>0.67</v>
      </c>
      <c r="C91" s="50">
        <f t="shared" si="1"/>
        <v>0.32999999999999996</v>
      </c>
      <c r="D91" s="51" cm="1">
        <f t="array" aca="1" ref="D91" ca="1">IF(ISNUMBER(_xll.VoseSimPercentile(Tot_Sim,$B91)),_xll.VoseSimPercentile(Tot_Sim,$B91),NA())</f>
        <v>138.59014887191989</v>
      </c>
      <c r="E91" s="51" cm="1">
        <f t="array" aca="1" ref="E91" ca="1">IF(ISNUMBER(_xll.VoseSimPercentile(Tot_Gamma,$B91)),_xll.VoseSimPercentile(Tot_Gamma,$B91),NA())</f>
        <v>138.19601351389423</v>
      </c>
      <c r="F91" s="51" cm="1">
        <f t="array" aca="1" ref="F91" ca="1">IF(ISNUMBER(_xll.VoseSimPercentile(Tot_Normal,$B91)),_xll.VoseSimPercentile(Tot_Normal,$B91),NA())</f>
        <v>143.68953343656895</v>
      </c>
    </row>
    <row r="92" spans="2:6" hidden="1" outlineLevel="1" x14ac:dyDescent="0.45">
      <c r="B92" s="50">
        <v>0.69</v>
      </c>
      <c r="C92" s="50">
        <f t="shared" si="1"/>
        <v>0.31000000000000005</v>
      </c>
      <c r="D92" s="51" cm="1">
        <f t="array" aca="1" ref="D92" ca="1">IF(ISNUMBER(_xll.VoseSimPercentile(Tot_Sim,$B92)),_xll.VoseSimPercentile(Tot_Sim,$B92),NA())</f>
        <v>140.78401949052306</v>
      </c>
      <c r="E92" s="51" cm="1">
        <f t="array" aca="1" ref="E92" ca="1">IF(ISNUMBER(_xll.VoseSimPercentile(Tot_Gamma,$B92)),_xll.VoseSimPercentile(Tot_Gamma,$B92),NA())</f>
        <v>140.79867643813861</v>
      </c>
      <c r="F92" s="51" cm="1">
        <f t="array" aca="1" ref="F92" ca="1">IF(ISNUMBER(_xll.VoseSimPercentile(Tot_Normal,$B92)),_xll.VoseSimPercentile(Tot_Normal,$B92),NA())</f>
        <v>145.99520580396435</v>
      </c>
    </row>
    <row r="93" spans="2:6" hidden="1" outlineLevel="1" x14ac:dyDescent="0.45">
      <c r="B93" s="50">
        <v>0.71</v>
      </c>
      <c r="C93" s="50">
        <f t="shared" si="1"/>
        <v>0.29000000000000004</v>
      </c>
      <c r="D93" s="51" cm="1">
        <f t="array" aca="1" ref="D93" ca="1">IF(ISNUMBER(_xll.VoseSimPercentile(Tot_Sim,$B93)),_xll.VoseSimPercentile(Tot_Sim,$B93),NA())</f>
        <v>143.34791565100676</v>
      </c>
      <c r="E93" s="51" cm="1">
        <f t="array" aca="1" ref="E93" ca="1">IF(ISNUMBER(_xll.VoseSimPercentile(Tot_Gamma,$B93)),_xll.VoseSimPercentile(Tot_Gamma,$B93),NA())</f>
        <v>143.7430497147889</v>
      </c>
      <c r="F93" s="51" cm="1">
        <f t="array" aca="1" ref="F93" ca="1">IF(ISNUMBER(_xll.VoseSimPercentile(Tot_Normal,$B93)),_xll.VoseSimPercentile(Tot_Normal,$B93),NA())</f>
        <v>148.58008522352003</v>
      </c>
    </row>
    <row r="94" spans="2:6" hidden="1" outlineLevel="1" x14ac:dyDescent="0.45">
      <c r="B94" s="50">
        <v>0.73</v>
      </c>
      <c r="C94" s="50">
        <f t="shared" si="1"/>
        <v>0.27</v>
      </c>
      <c r="D94" s="51" cm="1">
        <f t="array" aca="1" ref="D94" ca="1">IF(ISNUMBER(_xll.VoseSimPercentile(Tot_Sim,$B94)),_xll.VoseSimPercentile(Tot_Sim,$B94),NA())</f>
        <v>146.09661276914161</v>
      </c>
      <c r="E94" s="51" cm="1">
        <f t="array" aca="1" ref="E94" ca="1">IF(ISNUMBER(_xll.VoseSimPercentile(Tot_Gamma,$B94)),_xll.VoseSimPercentile(Tot_Gamma,$B94),NA())</f>
        <v>146.84310864105845</v>
      </c>
      <c r="F94" s="51" cm="1">
        <f t="array" aca="1" ref="F94" ca="1">IF(ISNUMBER(_xll.VoseSimPercentile(Tot_Normal,$B94)),_xll.VoseSimPercentile(Tot_Normal,$B94),NA())</f>
        <v>151.33644651406985</v>
      </c>
    </row>
    <row r="95" spans="2:6" hidden="1" outlineLevel="1" x14ac:dyDescent="0.45">
      <c r="B95" s="50">
        <v>0.75</v>
      </c>
      <c r="C95" s="50">
        <f t="shared" si="1"/>
        <v>0.25</v>
      </c>
      <c r="D95" s="51" cm="1">
        <f t="array" aca="1" ref="D95" ca="1">IF(ISNUMBER(_xll.VoseSimPercentile(Tot_Sim,$B95)),_xll.VoseSimPercentile(Tot_Sim,$B95),NA())</f>
        <v>149.24520494857833</v>
      </c>
      <c r="E95" s="51" cm="1">
        <f t="array" aca="1" ref="E95" ca="1">IF(ISNUMBER(_xll.VoseSimPercentile(Tot_Gamma,$B95)),_xll.VoseSimPercentile(Tot_Gamma,$B95),NA())</f>
        <v>150.14635232986677</v>
      </c>
      <c r="F95" s="51" cm="1">
        <f t="array" aca="1" ref="F95" ca="1">IF(ISNUMBER(_xll.VoseSimPercentile(Tot_Normal,$B95)),_xll.VoseSimPercentile(Tot_Normal,$B95),NA())</f>
        <v>153.91520485191006</v>
      </c>
    </row>
    <row r="96" spans="2:6" hidden="1" outlineLevel="1" x14ac:dyDescent="0.45">
      <c r="B96" s="50">
        <v>0.77</v>
      </c>
      <c r="C96" s="50">
        <f t="shared" si="1"/>
        <v>0.22999999999999998</v>
      </c>
      <c r="D96" s="51" cm="1">
        <f t="array" aca="1" ref="D96" ca="1">IF(ISNUMBER(_xll.VoseSimPercentile(Tot_Sim,$B96)),_xll.VoseSimPercentile(Tot_Sim,$B96),NA())</f>
        <v>152.22237828476099</v>
      </c>
      <c r="E96" s="51" cm="1">
        <f t="array" aca="1" ref="E96" ca="1">IF(ISNUMBER(_xll.VoseSimPercentile(Tot_Gamma,$B96)),_xll.VoseSimPercentile(Tot_Gamma,$B96),NA())</f>
        <v>153.47211459784998</v>
      </c>
      <c r="F96" s="51" cm="1">
        <f t="array" aca="1" ref="F96" ca="1">IF(ISNUMBER(_xll.VoseSimPercentile(Tot_Normal,$B96)),_xll.VoseSimPercentile(Tot_Normal,$B96),NA())</f>
        <v>156.50901059300173</v>
      </c>
    </row>
    <row r="97" spans="2:7" hidden="1" outlineLevel="1" x14ac:dyDescent="0.45">
      <c r="B97" s="50">
        <v>0.79</v>
      </c>
      <c r="C97" s="50">
        <f t="shared" si="1"/>
        <v>0.20999999999999996</v>
      </c>
      <c r="D97" s="51" cm="1">
        <f t="array" aca="1" ref="D97" ca="1">IF(ISNUMBER(_xll.VoseSimPercentile(Tot_Sim,$B97)),_xll.VoseSimPercentile(Tot_Sim,$B97),NA())</f>
        <v>155.48609117905937</v>
      </c>
      <c r="E97" s="51" cm="1">
        <f t="array" aca="1" ref="E97" ca="1">IF(ISNUMBER(_xll.VoseSimPercentile(Tot_Gamma,$B97)),_xll.VoseSimPercentile(Tot_Gamma,$B97),NA())</f>
        <v>156.82000945801013</v>
      </c>
      <c r="F97" s="51" cm="1">
        <f t="array" aca="1" ref="F97" ca="1">IF(ISNUMBER(_xll.VoseSimPercentile(Tot_Normal,$B97)),_xll.VoseSimPercentile(Tot_Normal,$B97),NA())</f>
        <v>159.49488503137235</v>
      </c>
    </row>
    <row r="98" spans="2:7" hidden="1" outlineLevel="1" x14ac:dyDescent="0.45">
      <c r="B98" s="50">
        <v>0.81</v>
      </c>
      <c r="C98" s="50">
        <f t="shared" si="1"/>
        <v>0.18999999999999995</v>
      </c>
      <c r="D98" s="51" cm="1">
        <f t="array" aca="1" ref="D98" ca="1">IF(ISNUMBER(_xll.VoseSimPercentile(Tot_Sim,$B98)),_xll.VoseSimPercentile(Tot_Sim,$B98),NA())</f>
        <v>159.33978662955707</v>
      </c>
      <c r="E98" s="51" cm="1">
        <f t="array" aca="1" ref="E98" ca="1">IF(ISNUMBER(_xll.VoseSimPercentile(Tot_Gamma,$B98)),_xll.VoseSimPercentile(Tot_Gamma,$B98),NA())</f>
        <v>160.62108420013089</v>
      </c>
      <c r="F98" s="51" cm="1">
        <f t="array" aca="1" ref="F98" ca="1">IF(ISNUMBER(_xll.VoseSimPercentile(Tot_Normal,$B98)),_xll.VoseSimPercentile(Tot_Normal,$B98),NA())</f>
        <v>162.86563193490448</v>
      </c>
    </row>
    <row r="99" spans="2:7" hidden="1" outlineLevel="1" x14ac:dyDescent="0.45">
      <c r="B99" s="50">
        <v>0.83</v>
      </c>
      <c r="C99" s="50">
        <f t="shared" si="1"/>
        <v>0.17000000000000004</v>
      </c>
      <c r="D99" s="51" cm="1">
        <f t="array" aca="1" ref="D99" ca="1">IF(ISNUMBER(_xll.VoseSimPercentile(Tot_Sim,$B99)),_xll.VoseSimPercentile(Tot_Sim,$B99),NA())</f>
        <v>162.91242425395575</v>
      </c>
      <c r="E99" s="51" cm="1">
        <f t="array" aca="1" ref="E99" ca="1">IF(ISNUMBER(_xll.VoseSimPercentile(Tot_Gamma,$B99)),_xll.VoseSimPercentile(Tot_Gamma,$B99),NA())</f>
        <v>165.13493608965592</v>
      </c>
      <c r="F99" s="51" cm="1">
        <f t="array" aca="1" ref="F99" ca="1">IF(ISNUMBER(_xll.VoseSimPercentile(Tot_Normal,$B99)),_xll.VoseSimPercentile(Tot_Normal,$B99),NA())</f>
        <v>166.1245475988263</v>
      </c>
    </row>
    <row r="100" spans="2:7" hidden="1" outlineLevel="1" x14ac:dyDescent="0.45">
      <c r="B100" s="50">
        <v>0.85</v>
      </c>
      <c r="C100" s="50">
        <f t="shared" si="1"/>
        <v>0.15000000000000002</v>
      </c>
      <c r="D100" s="51" cm="1">
        <f t="array" aca="1" ref="D100" ca="1">IF(ISNUMBER(_xll.VoseSimPercentile(Tot_Sim,$B100)),_xll.VoseSimPercentile(Tot_Sim,$B100),NA())</f>
        <v>167.25762567889186</v>
      </c>
      <c r="E100" s="51" cm="1">
        <f t="array" aca="1" ref="E100" ca="1">IF(ISNUMBER(_xll.VoseSimPercentile(Tot_Gamma,$B100)),_xll.VoseSimPercentile(Tot_Gamma,$B100),NA())</f>
        <v>169.76201758339869</v>
      </c>
      <c r="F100" s="51" cm="1">
        <f t="array" aca="1" ref="F100" ca="1">IF(ISNUMBER(_xll.VoseSimPercentile(Tot_Normal,$B100)),_xll.VoseSimPercentile(Tot_Normal,$B100),NA())</f>
        <v>170.2045999653339</v>
      </c>
    </row>
    <row r="101" spans="2:7" hidden="1" outlineLevel="1" x14ac:dyDescent="0.45">
      <c r="B101" s="50">
        <v>0.87</v>
      </c>
      <c r="C101" s="50">
        <f t="shared" si="1"/>
        <v>0.13</v>
      </c>
      <c r="D101" s="51" cm="1">
        <f t="array" aca="1" ref="D101" ca="1">IF(ISNUMBER(_xll.VoseSimPercentile(Tot_Sim,$B101)),_xll.VoseSimPercentile(Tot_Sim,$B101),NA())</f>
        <v>171.78646284641459</v>
      </c>
      <c r="E101" s="51" cm="1">
        <f t="array" aca="1" ref="E101" ca="1">IF(ISNUMBER(_xll.VoseSimPercentile(Tot_Gamma,$B101)),_xll.VoseSimPercentile(Tot_Gamma,$B101),NA())</f>
        <v>174.56965334063528</v>
      </c>
      <c r="F101" s="51" cm="1">
        <f t="array" aca="1" ref="F101" ca="1">IF(ISNUMBER(_xll.VoseSimPercentile(Tot_Normal,$B101)),_xll.VoseSimPercentile(Tot_Normal,$B101),NA())</f>
        <v>174.08938459042545</v>
      </c>
    </row>
    <row r="102" spans="2:7" hidden="1" outlineLevel="1" x14ac:dyDescent="0.45">
      <c r="B102" s="50">
        <v>0.89</v>
      </c>
      <c r="C102" s="50">
        <f t="shared" si="1"/>
        <v>0.10999999999999999</v>
      </c>
      <c r="D102" s="51" cm="1">
        <f t="array" aca="1" ref="D102" ca="1">IF(ISNUMBER(_xll.VoseSimPercentile(Tot_Sim,$B102)),_xll.VoseSimPercentile(Tot_Sim,$B102),NA())</f>
        <v>177.05600261572641</v>
      </c>
      <c r="E102" s="51" cm="1">
        <f t="array" aca="1" ref="E102" ca="1">IF(ISNUMBER(_xll.VoseSimPercentile(Tot_Gamma,$B102)),_xll.VoseSimPercentile(Tot_Gamma,$B102),NA())</f>
        <v>180.08783462215013</v>
      </c>
      <c r="F102" s="51" cm="1">
        <f t="array" aca="1" ref="F102" ca="1">IF(ISNUMBER(_xll.VoseSimPercentile(Tot_Normal,$B102)),_xll.VoseSimPercentile(Tot_Normal,$B102),NA())</f>
        <v>178.77526752446715</v>
      </c>
    </row>
    <row r="103" spans="2:7" hidden="1" outlineLevel="1" x14ac:dyDescent="0.45">
      <c r="B103" s="50">
        <v>0.91</v>
      </c>
      <c r="C103" s="50">
        <f t="shared" si="1"/>
        <v>8.9999999999999969E-2</v>
      </c>
      <c r="D103" s="51" cm="1">
        <f t="array" aca="1" ref="D103" ca="1">IF(ISNUMBER(_xll.VoseSimPercentile(Tot_Sim,$B103)),_xll.VoseSimPercentile(Tot_Sim,$B103),NA())</f>
        <v>183.74266531969096</v>
      </c>
      <c r="E103" s="51" cm="1">
        <f t="array" aca="1" ref="E103" ca="1">IF(ISNUMBER(_xll.VoseSimPercentile(Tot_Gamma,$B103)),_xll.VoseSimPercentile(Tot_Gamma,$B103),NA())</f>
        <v>187.02747523760632</v>
      </c>
      <c r="F103" s="51" cm="1">
        <f t="array" aca="1" ref="F103" ca="1">IF(ISNUMBER(_xll.VoseSimPercentile(Tot_Normal,$B103)),_xll.VoseSimPercentile(Tot_Normal,$B103),NA())</f>
        <v>183.74666408680133</v>
      </c>
    </row>
    <row r="104" spans="2:7" hidden="1" outlineLevel="1" x14ac:dyDescent="0.45">
      <c r="B104" s="50">
        <v>0.93</v>
      </c>
      <c r="C104" s="50">
        <f t="shared" si="1"/>
        <v>6.9999999999999951E-2</v>
      </c>
      <c r="D104" s="51" cm="1">
        <f t="array" aca="1" ref="D104" ca="1">IF(ISNUMBER(_xll.VoseSimPercentile(Tot_Sim,$B104)),_xll.VoseSimPercentile(Tot_Sim,$B104),NA())</f>
        <v>191.09747658276646</v>
      </c>
      <c r="E104" s="51" cm="1">
        <f t="array" aca="1" ref="E104" ca="1">IF(ISNUMBER(_xll.VoseSimPercentile(Tot_Gamma,$B104)),_xll.VoseSimPercentile(Tot_Gamma,$B104),NA())</f>
        <v>194.44054374395563</v>
      </c>
      <c r="F104" s="51" cm="1">
        <f t="array" aca="1" ref="F104" ca="1">IF(ISNUMBER(_xll.VoseSimPercentile(Tot_Normal,$B104)),_xll.VoseSimPercentile(Tot_Normal,$B104),NA())</f>
        <v>189.22053647181525</v>
      </c>
    </row>
    <row r="105" spans="2:7" hidden="1" outlineLevel="1" x14ac:dyDescent="0.45">
      <c r="B105" s="50">
        <v>0.95</v>
      </c>
      <c r="C105" s="50">
        <f t="shared" si="1"/>
        <v>5.0000000000000044E-2</v>
      </c>
      <c r="D105" s="51" cm="1">
        <f t="array" aca="1" ref="D105" ca="1">IF(ISNUMBER(_xll.VoseSimPercentile(Tot_Sim,$B105)),_xll.VoseSimPercentile(Tot_Sim,$B105),NA())</f>
        <v>203.03608100691184</v>
      </c>
      <c r="E105" s="51" cm="1">
        <f t="array" aca="1" ref="E105" ca="1">IF(ISNUMBER(_xll.VoseSimPercentile(Tot_Gamma,$B105)),_xll.VoseSimPercentile(Tot_Gamma,$B105),NA())</f>
        <v>207.15119876683247</v>
      </c>
      <c r="F105" s="51" cm="1">
        <f t="array" aca="1" ref="F105" ca="1">IF(ISNUMBER(_xll.VoseSimPercentile(Tot_Normal,$B105)),_xll.VoseSimPercentile(Tot_Normal,$B105),NA())</f>
        <v>197.0883799125063</v>
      </c>
    </row>
    <row r="106" spans="2:7" hidden="1" outlineLevel="1" x14ac:dyDescent="0.45">
      <c r="B106" s="50">
        <v>0.97</v>
      </c>
      <c r="C106" s="50">
        <f t="shared" si="1"/>
        <v>3.0000000000000027E-2</v>
      </c>
      <c r="D106" s="51" cm="1">
        <f t="array" aca="1" ref="D106" ca="1">IF(ISNUMBER(_xll.VoseSimPercentile(Tot_Sim,$B106)),_xll.VoseSimPercentile(Tot_Sim,$B106),NA())</f>
        <v>218.22141076327009</v>
      </c>
      <c r="E106" s="51" cm="1">
        <f t="array" aca="1" ref="E106" ca="1">IF(ISNUMBER(_xll.VoseSimPercentile(Tot_Gamma,$B106)),_xll.VoseSimPercentile(Tot_Gamma,$B106),NA())</f>
        <v>224.24985332031673</v>
      </c>
      <c r="F106" s="51" cm="1">
        <f t="array" aca="1" ref="F106" ca="1">IF(ISNUMBER(_xll.VoseSimPercentile(Tot_Normal,$B106)),_xll.VoseSimPercentile(Tot_Normal,$B106),NA())</f>
        <v>205.39408394319759</v>
      </c>
    </row>
    <row r="107" spans="2:7" hidden="1" outlineLevel="1" x14ac:dyDescent="0.45">
      <c r="B107" s="50">
        <v>0.99</v>
      </c>
      <c r="C107" s="50">
        <f t="shared" si="1"/>
        <v>1.0000000000000009E-2</v>
      </c>
      <c r="D107" s="51" cm="1">
        <f t="array" aca="1" ref="D107" ca="1">IF(ISNUMBER(_xll.VoseSimPercentile(Tot_Sim,$B107)),_xll.VoseSimPercentile(Tot_Sim,$B107),NA())</f>
        <v>254.33290644805447</v>
      </c>
      <c r="E107" s="51" cm="1">
        <f t="array" aca="1" ref="E107" ca="1">IF(ISNUMBER(_xll.VoseSimPercentile(Tot_Gamma,$B107)),_xll.VoseSimPercentile(Tot_Gamma,$B107),NA())</f>
        <v>255.89724702814686</v>
      </c>
      <c r="F107" s="51" cm="1">
        <f t="array" aca="1" ref="F107" ca="1">IF(ISNUMBER(_xll.VoseSimPercentile(Tot_Normal,$B107)),_xll.VoseSimPercentile(Tot_Normal,$B107),NA())</f>
        <v>222.80058562781568</v>
      </c>
    </row>
    <row r="108" spans="2:7" hidden="1" outlineLevel="1" x14ac:dyDescent="0.45"/>
    <row r="109" spans="2:7" ht="18" hidden="1" customHeight="1" outlineLevel="1" x14ac:dyDescent="0.45">
      <c r="B109" s="23" t="s">
        <v>197</v>
      </c>
      <c r="C109" s="24" t="s">
        <v>154</v>
      </c>
      <c r="D109" s="5"/>
      <c r="E109" s="5"/>
      <c r="F109" s="5"/>
      <c r="G109" s="5"/>
    </row>
    <row r="110" spans="2:7" hidden="1" outlineLevel="1" x14ac:dyDescent="0.45">
      <c r="B110" s="52">
        <v>5.0000000000000001E-3</v>
      </c>
      <c r="C110" s="51" cm="1">
        <f t="array" aca="1" ref="C110" ca="1">IF(ISNUMBER(_xll.VoseSimPercentile(Tot_Sim,0.005)),_xll.VoseSimPercentile(Tot_Sim,0.005),NA())</f>
        <v>43.578815431172387</v>
      </c>
    </row>
    <row r="111" spans="2:7" hidden="1" outlineLevel="1" x14ac:dyDescent="0.45">
      <c r="B111" s="52">
        <v>0.01</v>
      </c>
      <c r="C111" s="51" cm="1">
        <f t="array" aca="1" ref="C111" ca="1">IF(ISNUMBER(_xll.VoseSimPercentile(Tot_Sim,0.01)),_xll.VoseSimPercentile(Tot_Sim,0.01),NA())</f>
        <v>49.236679293438442</v>
      </c>
    </row>
    <row r="112" spans="2:7" hidden="1" outlineLevel="1" x14ac:dyDescent="0.45">
      <c r="B112" s="52">
        <v>0.02</v>
      </c>
      <c r="C112" s="51" cm="1">
        <f t="array" aca="1" ref="C112" ca="1">IF(ISNUMBER(_xll.VoseSimPercentile(Tot_Sim,0.02)),_xll.VoseSimPercentile(Tot_Sim,0.02),NA())</f>
        <v>55.679781489188429</v>
      </c>
    </row>
    <row r="113" spans="2:3" hidden="1" outlineLevel="1" x14ac:dyDescent="0.45">
      <c r="B113" s="52">
        <v>0.03</v>
      </c>
      <c r="C113" s="51" cm="1">
        <f t="array" aca="1" ref="C113" ca="1">IF(ISNUMBER(_xll.VoseSimPercentile(Tot_Sim,0.03)),_xll.VoseSimPercentile(Tot_Sim,0.03),NA())</f>
        <v>59.576763893462235</v>
      </c>
    </row>
    <row r="114" spans="2:3" hidden="1" outlineLevel="1" x14ac:dyDescent="0.45">
      <c r="B114" s="52">
        <v>0.04</v>
      </c>
      <c r="C114" s="51" cm="1">
        <f t="array" aca="1" ref="C114" ca="1">IF(ISNUMBER(_xll.VoseSimPercentile(Tot_Sim,0.04)),_xll.VoseSimPercentile(Tot_Sim,0.04),NA())</f>
        <v>63.090952764831925</v>
      </c>
    </row>
    <row r="115" spans="2:3" hidden="1" outlineLevel="1" x14ac:dyDescent="0.45">
      <c r="B115" s="52">
        <v>0.05</v>
      </c>
      <c r="C115" s="51" cm="1">
        <f t="array" aca="1" ref="C115" ca="1">IF(ISNUMBER(_xll.VoseSimPercentile(Tot_Sim,0.05)),_xll.VoseSimPercentile(Tot_Sim,0.05),NA())</f>
        <v>65.645370346425779</v>
      </c>
    </row>
    <row r="116" spans="2:3" hidden="1" outlineLevel="1" x14ac:dyDescent="0.45">
      <c r="B116" s="52">
        <v>0.06</v>
      </c>
      <c r="C116" s="51" cm="1">
        <f t="array" aca="1" ref="C116" ca="1">IF(ISNUMBER(_xll.VoseSimPercentile(Tot_Sim,0.06)),_xll.VoseSimPercentile(Tot_Sim,0.06),NA())</f>
        <v>68.395064273233643</v>
      </c>
    </row>
    <row r="117" spans="2:3" hidden="1" outlineLevel="1" x14ac:dyDescent="0.45">
      <c r="B117" s="52">
        <v>7.0000000000000007E-2</v>
      </c>
      <c r="C117" s="51" cm="1">
        <f t="array" aca="1" ref="C117" ca="1">IF(ISNUMBER(_xll.VoseSimPercentile(Tot_Sim,0.07)),_xll.VoseSimPercentile(Tot_Sim,0.07),NA())</f>
        <v>70.634082037111682</v>
      </c>
    </row>
    <row r="118" spans="2:3" hidden="1" outlineLevel="1" x14ac:dyDescent="0.45">
      <c r="B118" s="52">
        <v>0.08</v>
      </c>
      <c r="C118" s="51" cm="1">
        <f t="array" aca="1" ref="C118" ca="1">IF(ISNUMBER(_xll.VoseSimPercentile(Tot_Sim,0.08)),_xll.VoseSimPercentile(Tot_Sim,0.08),NA())</f>
        <v>72.601269054400589</v>
      </c>
    </row>
    <row r="119" spans="2:3" hidden="1" outlineLevel="1" x14ac:dyDescent="0.45">
      <c r="B119" s="52">
        <v>0.09</v>
      </c>
      <c r="C119" s="51" cm="1">
        <f t="array" aca="1" ref="C119" ca="1">IF(ISNUMBER(_xll.VoseSimPercentile(Tot_Sim,0.09)),_xll.VoseSimPercentile(Tot_Sim,0.09),NA())</f>
        <v>74.17523070043579</v>
      </c>
    </row>
    <row r="120" spans="2:3" hidden="1" outlineLevel="1" x14ac:dyDescent="0.45">
      <c r="B120" s="52">
        <v>0.1</v>
      </c>
      <c r="C120" s="51" cm="1">
        <f t="array" aca="1" ref="C120" ca="1">IF(ISNUMBER(_xll.VoseSimPercentile(Tot_Sim,0.1)),_xll.VoseSimPercentile(Tot_Sim,0.1),NA())</f>
        <v>75.945626093498532</v>
      </c>
    </row>
    <row r="121" spans="2:3" hidden="1" outlineLevel="1" x14ac:dyDescent="0.45">
      <c r="B121" s="52">
        <v>0.11</v>
      </c>
      <c r="C121" s="51" cm="1">
        <f t="array" aca="1" ref="C121" ca="1">IF(ISNUMBER(_xll.VoseSimPercentile(Tot_Sim,0.11)),_xll.VoseSimPercentile(Tot_Sim,0.11),NA())</f>
        <v>77.379060958540677</v>
      </c>
    </row>
    <row r="122" spans="2:3" hidden="1" outlineLevel="1" x14ac:dyDescent="0.45">
      <c r="B122" s="52">
        <v>0.12</v>
      </c>
      <c r="C122" s="51" cm="1">
        <f t="array" aca="1" ref="C122" ca="1">IF(ISNUMBER(_xll.VoseSimPercentile(Tot_Sim,0.12)),_xll.VoseSimPercentile(Tot_Sim,0.12),NA())</f>
        <v>78.80486293226592</v>
      </c>
    </row>
    <row r="123" spans="2:3" hidden="1" outlineLevel="1" x14ac:dyDescent="0.45">
      <c r="B123" s="52">
        <v>0.13</v>
      </c>
      <c r="C123" s="51" cm="1">
        <f t="array" aca="1" ref="C123" ca="1">IF(ISNUMBER(_xll.VoseSimPercentile(Tot_Sim,0.13)),_xll.VoseSimPercentile(Tot_Sim,0.13),NA())</f>
        <v>80.032749847436563</v>
      </c>
    </row>
    <row r="124" spans="2:3" hidden="1" outlineLevel="1" x14ac:dyDescent="0.45">
      <c r="B124" s="52">
        <v>0.14000000000000001</v>
      </c>
      <c r="C124" s="51" cm="1">
        <f t="array" aca="1" ref="C124" ca="1">IF(ISNUMBER(_xll.VoseSimPercentile(Tot_Sim,0.14)),_xll.VoseSimPercentile(Tot_Sim,0.14),NA())</f>
        <v>81.238354643081479</v>
      </c>
    </row>
    <row r="125" spans="2:3" hidden="1" outlineLevel="1" x14ac:dyDescent="0.45">
      <c r="B125" s="52">
        <v>0.15</v>
      </c>
      <c r="C125" s="51" cm="1">
        <f t="array" aca="1" ref="C125" ca="1">IF(ISNUMBER(_xll.VoseSimPercentile(Tot_Sim,0.15)),_xll.VoseSimPercentile(Tot_Sim,0.15),NA())</f>
        <v>82.805186645451656</v>
      </c>
    </row>
    <row r="126" spans="2:3" hidden="1" outlineLevel="1" x14ac:dyDescent="0.45">
      <c r="B126" s="52">
        <v>0.16</v>
      </c>
      <c r="C126" s="51" cm="1">
        <f t="array" aca="1" ref="C126" ca="1">IF(ISNUMBER(_xll.VoseSimPercentile(Tot_Sim,0.16)),_xll.VoseSimPercentile(Tot_Sim,0.16),NA())</f>
        <v>84.09280406716428</v>
      </c>
    </row>
    <row r="127" spans="2:3" hidden="1" outlineLevel="1" x14ac:dyDescent="0.45">
      <c r="B127" s="52">
        <v>0.17</v>
      </c>
      <c r="C127" s="51" cm="1">
        <f t="array" aca="1" ref="C127" ca="1">IF(ISNUMBER(_xll.VoseSimPercentile(Tot_Sim,0.17)),_xll.VoseSimPercentile(Tot_Sim,0.17),NA())</f>
        <v>85.242502801148632</v>
      </c>
    </row>
    <row r="128" spans="2:3" hidden="1" outlineLevel="1" x14ac:dyDescent="0.45">
      <c r="B128" s="52">
        <v>0.18</v>
      </c>
      <c r="C128" s="51" cm="1">
        <f t="array" aca="1" ref="C128" ca="1">IF(ISNUMBER(_xll.VoseSimPercentile(Tot_Sim,0.18)),_xll.VoseSimPercentile(Tot_Sim,0.18),NA())</f>
        <v>86.523415351461892</v>
      </c>
    </row>
    <row r="129" spans="2:3" hidden="1" outlineLevel="1" x14ac:dyDescent="0.45">
      <c r="B129" s="52">
        <v>0.19</v>
      </c>
      <c r="C129" s="51" cm="1">
        <f t="array" aca="1" ref="C129" ca="1">IF(ISNUMBER(_xll.VoseSimPercentile(Tot_Sim,0.19)),_xll.VoseSimPercentile(Tot_Sim,0.19),NA())</f>
        <v>87.969372278487654</v>
      </c>
    </row>
    <row r="130" spans="2:3" hidden="1" outlineLevel="1" x14ac:dyDescent="0.45">
      <c r="B130" s="52">
        <v>0.2</v>
      </c>
      <c r="C130" s="51" cm="1">
        <f t="array" aca="1" ref="C130" ca="1">IF(ISNUMBER(_xll.VoseSimPercentile(Tot_Sim,0.2)),_xll.VoseSimPercentile(Tot_Sim,0.2),NA())</f>
        <v>89.034941592638802</v>
      </c>
    </row>
    <row r="131" spans="2:3" hidden="1" outlineLevel="1" x14ac:dyDescent="0.45">
      <c r="B131" s="52">
        <v>0.21</v>
      </c>
      <c r="C131" s="51" cm="1">
        <f t="array" aca="1" ref="C131" ca="1">IF(ISNUMBER(_xll.VoseSimPercentile(Tot_Sim,0.21)),_xll.VoseSimPercentile(Tot_Sim,0.21),NA())</f>
        <v>90.175970113873177</v>
      </c>
    </row>
    <row r="132" spans="2:3" hidden="1" outlineLevel="1" x14ac:dyDescent="0.45">
      <c r="B132" s="52">
        <v>0.22</v>
      </c>
      <c r="C132" s="51" cm="1">
        <f t="array" aca="1" ref="C132" ca="1">IF(ISNUMBER(_xll.VoseSimPercentile(Tot_Sim,0.22)),_xll.VoseSimPercentile(Tot_Sim,0.22),NA())</f>
        <v>91.47380979261014</v>
      </c>
    </row>
    <row r="133" spans="2:3" hidden="1" outlineLevel="1" x14ac:dyDescent="0.45">
      <c r="B133" s="52">
        <v>0.23</v>
      </c>
      <c r="C133" s="51" cm="1">
        <f t="array" aca="1" ref="C133" ca="1">IF(ISNUMBER(_xll.VoseSimPercentile(Tot_Sim,0.23)),_xll.VoseSimPercentile(Tot_Sim,0.23),NA())</f>
        <v>92.496170797262465</v>
      </c>
    </row>
    <row r="134" spans="2:3" hidden="1" outlineLevel="1" x14ac:dyDescent="0.45">
      <c r="B134" s="52">
        <v>0.24</v>
      </c>
      <c r="C134" s="51" cm="1">
        <f t="array" aca="1" ref="C134" ca="1">IF(ISNUMBER(_xll.VoseSimPercentile(Tot_Sim,0.24)),_xll.VoseSimPercentile(Tot_Sim,0.24),NA())</f>
        <v>93.703967466135111</v>
      </c>
    </row>
    <row r="135" spans="2:3" hidden="1" outlineLevel="1" x14ac:dyDescent="0.45">
      <c r="B135" s="52">
        <v>0.25</v>
      </c>
      <c r="C135" s="51" cm="1">
        <f t="array" aca="1" ref="C135" ca="1">IF(ISNUMBER(_xll.VoseSimPercentile(Tot_Sim,0.25)),_xll.VoseSimPercentile(Tot_Sim,0.25),NA())</f>
        <v>94.807249045804582</v>
      </c>
    </row>
    <row r="136" spans="2:3" hidden="1" outlineLevel="1" x14ac:dyDescent="0.45">
      <c r="B136" s="52">
        <v>0.26</v>
      </c>
      <c r="C136" s="51" cm="1">
        <f t="array" aca="1" ref="C136" ca="1">IF(ISNUMBER(_xll.VoseSimPercentile(Tot_Sim,0.26)),_xll.VoseSimPercentile(Tot_Sim,0.26),NA())</f>
        <v>95.799619945000416</v>
      </c>
    </row>
    <row r="137" spans="2:3" hidden="1" outlineLevel="1" x14ac:dyDescent="0.45">
      <c r="B137" s="52">
        <v>0.27</v>
      </c>
      <c r="C137" s="51" cm="1">
        <f t="array" aca="1" ref="C137" ca="1">IF(ISNUMBER(_xll.VoseSimPercentile(Tot_Sim,0.27)),_xll.VoseSimPercentile(Tot_Sim,0.27),NA())</f>
        <v>96.815080855474804</v>
      </c>
    </row>
    <row r="138" spans="2:3" hidden="1" outlineLevel="1" x14ac:dyDescent="0.45">
      <c r="B138" s="52">
        <v>0.28000000000000003</v>
      </c>
      <c r="C138" s="51" cm="1">
        <f t="array" aca="1" ref="C138" ca="1">IF(ISNUMBER(_xll.VoseSimPercentile(Tot_Sim,0.28)),_xll.VoseSimPercentile(Tot_Sim,0.28),NA())</f>
        <v>97.846930355827425</v>
      </c>
    </row>
    <row r="139" spans="2:3" hidden="1" outlineLevel="1" x14ac:dyDescent="0.45">
      <c r="B139" s="52">
        <v>0.28999999999999998</v>
      </c>
      <c r="C139" s="51" cm="1">
        <f t="array" aca="1" ref="C139" ca="1">IF(ISNUMBER(_xll.VoseSimPercentile(Tot_Sim,0.29)),_xll.VoseSimPercentile(Tot_Sim,0.29),NA())</f>
        <v>98.816649562808635</v>
      </c>
    </row>
    <row r="140" spans="2:3" hidden="1" outlineLevel="1" x14ac:dyDescent="0.45">
      <c r="B140" s="52">
        <v>0.3</v>
      </c>
      <c r="C140" s="51" cm="1">
        <f t="array" aca="1" ref="C140" ca="1">IF(ISNUMBER(_xll.VoseSimPercentile(Tot_Sim,0.3)),_xll.VoseSimPercentile(Tot_Sim,0.3),NA())</f>
        <v>99.722134984082743</v>
      </c>
    </row>
    <row r="141" spans="2:3" hidden="1" outlineLevel="1" x14ac:dyDescent="0.45">
      <c r="B141" s="52">
        <v>0.31</v>
      </c>
      <c r="C141" s="51" cm="1">
        <f t="array" aca="1" ref="C141" ca="1">IF(ISNUMBER(_xll.VoseSimPercentile(Tot_Sim,0.31)),_xll.VoseSimPercentile(Tot_Sim,0.31),NA())</f>
        <v>100.81146062372416</v>
      </c>
    </row>
    <row r="142" spans="2:3" hidden="1" outlineLevel="1" x14ac:dyDescent="0.45">
      <c r="B142" s="52">
        <v>0.32</v>
      </c>
      <c r="C142" s="51" cm="1">
        <f t="array" aca="1" ref="C142" ca="1">IF(ISNUMBER(_xll.VoseSimPercentile(Tot_Sim,0.32)),_xll.VoseSimPercentile(Tot_Sim,0.32),NA())</f>
        <v>101.69262515274568</v>
      </c>
    </row>
    <row r="143" spans="2:3" hidden="1" outlineLevel="1" x14ac:dyDescent="0.45">
      <c r="B143" s="52">
        <v>0.33</v>
      </c>
      <c r="C143" s="51" cm="1">
        <f t="array" aca="1" ref="C143" ca="1">IF(ISNUMBER(_xll.VoseSimPercentile(Tot_Sim,0.33)),_xll.VoseSimPercentile(Tot_Sim,0.33),NA())</f>
        <v>102.65330247807344</v>
      </c>
    </row>
    <row r="144" spans="2:3" hidden="1" outlineLevel="1" x14ac:dyDescent="0.45">
      <c r="B144" s="52">
        <v>0.34</v>
      </c>
      <c r="C144" s="51" cm="1">
        <f t="array" aca="1" ref="C144" ca="1">IF(ISNUMBER(_xll.VoseSimPercentile(Tot_Sim,0.34)),_xll.VoseSimPercentile(Tot_Sim,0.34),NA())</f>
        <v>103.72631314102946</v>
      </c>
    </row>
    <row r="145" spans="2:3" hidden="1" outlineLevel="1" x14ac:dyDescent="0.45">
      <c r="B145" s="52">
        <v>0.35</v>
      </c>
      <c r="C145" s="51" cm="1">
        <f t="array" aca="1" ref="C145" ca="1">IF(ISNUMBER(_xll.VoseSimPercentile(Tot_Sim,0.35)),_xll.VoseSimPercentile(Tot_Sim,0.35),NA())</f>
        <v>104.66802880072176</v>
      </c>
    </row>
    <row r="146" spans="2:3" hidden="1" outlineLevel="1" x14ac:dyDescent="0.45">
      <c r="B146" s="52">
        <v>0.36</v>
      </c>
      <c r="C146" s="51" cm="1">
        <f t="array" aca="1" ref="C146" ca="1">IF(ISNUMBER(_xll.VoseSimPercentile(Tot_Sim,0.36)),_xll.VoseSimPercentile(Tot_Sim,0.36),NA())</f>
        <v>105.81484070378849</v>
      </c>
    </row>
    <row r="147" spans="2:3" hidden="1" outlineLevel="1" x14ac:dyDescent="0.45">
      <c r="B147" s="52">
        <v>0.37</v>
      </c>
      <c r="C147" s="51" cm="1">
        <f t="array" aca="1" ref="C147" ca="1">IF(ISNUMBER(_xll.VoseSimPercentile(Tot_Sim,0.37)),_xll.VoseSimPercentile(Tot_Sim,0.37),NA())</f>
        <v>106.95441418294739</v>
      </c>
    </row>
    <row r="148" spans="2:3" hidden="1" outlineLevel="1" x14ac:dyDescent="0.45">
      <c r="B148" s="52">
        <v>0.38</v>
      </c>
      <c r="C148" s="51" cm="1">
        <f t="array" aca="1" ref="C148" ca="1">IF(ISNUMBER(_xll.VoseSimPercentile(Tot_Sim,0.38)),_xll.VoseSimPercentile(Tot_Sim,0.38),NA())</f>
        <v>107.96025280821532</v>
      </c>
    </row>
    <row r="149" spans="2:3" hidden="1" outlineLevel="1" x14ac:dyDescent="0.45">
      <c r="B149" s="52">
        <v>0.39</v>
      </c>
      <c r="C149" s="51" cm="1">
        <f t="array" aca="1" ref="C149" ca="1">IF(ISNUMBER(_xll.VoseSimPercentile(Tot_Sim,0.39)),_xll.VoseSimPercentile(Tot_Sim,0.39),NA())</f>
        <v>108.97789959789706</v>
      </c>
    </row>
    <row r="150" spans="2:3" hidden="1" outlineLevel="1" x14ac:dyDescent="0.45">
      <c r="B150" s="52">
        <v>0.4</v>
      </c>
      <c r="C150" s="51" cm="1">
        <f t="array" aca="1" ref="C150" ca="1">IF(ISNUMBER(_xll.VoseSimPercentile(Tot_Sim,0.4)),_xll.VoseSimPercentile(Tot_Sim,0.4),NA())</f>
        <v>110.03700204036501</v>
      </c>
    </row>
    <row r="151" spans="2:3" hidden="1" outlineLevel="1" x14ac:dyDescent="0.45">
      <c r="B151" s="52">
        <v>0.41</v>
      </c>
      <c r="C151" s="51" cm="1">
        <f t="array" aca="1" ref="C151" ca="1">IF(ISNUMBER(_xll.VoseSimPercentile(Tot_Sim,0.41)),_xll.VoseSimPercentile(Tot_Sim,0.41),NA())</f>
        <v>110.86071833267005</v>
      </c>
    </row>
    <row r="152" spans="2:3" hidden="1" outlineLevel="1" x14ac:dyDescent="0.45">
      <c r="B152" s="52">
        <v>0.42</v>
      </c>
      <c r="C152" s="51" cm="1">
        <f t="array" aca="1" ref="C152" ca="1">IF(ISNUMBER(_xll.VoseSimPercentile(Tot_Sim,0.42)),_xll.VoseSimPercentile(Tot_Sim,0.42),NA())</f>
        <v>111.9199892073252</v>
      </c>
    </row>
    <row r="153" spans="2:3" hidden="1" outlineLevel="1" x14ac:dyDescent="0.45">
      <c r="B153" s="52">
        <v>0.43</v>
      </c>
      <c r="C153" s="51" cm="1">
        <f t="array" aca="1" ref="C153" ca="1">IF(ISNUMBER(_xll.VoseSimPercentile(Tot_Sim,0.43)),_xll.VoseSimPercentile(Tot_Sim,0.43),NA())</f>
        <v>112.91971783049634</v>
      </c>
    </row>
    <row r="154" spans="2:3" hidden="1" outlineLevel="1" x14ac:dyDescent="0.45">
      <c r="B154" s="52">
        <v>0.44</v>
      </c>
      <c r="C154" s="51" cm="1">
        <f t="array" aca="1" ref="C154" ca="1">IF(ISNUMBER(_xll.VoseSimPercentile(Tot_Sim,0.44)),_xll.VoseSimPercentile(Tot_Sim,0.44),NA())</f>
        <v>113.82731416888694</v>
      </c>
    </row>
    <row r="155" spans="2:3" hidden="1" outlineLevel="1" x14ac:dyDescent="0.45">
      <c r="B155" s="52">
        <v>0.45</v>
      </c>
      <c r="C155" s="51" cm="1">
        <f t="array" aca="1" ref="C155" ca="1">IF(ISNUMBER(_xll.VoseSimPercentile(Tot_Sim,0.45)),_xll.VoseSimPercentile(Tot_Sim,0.45),NA())</f>
        <v>114.80102857121545</v>
      </c>
    </row>
    <row r="156" spans="2:3" hidden="1" outlineLevel="1" x14ac:dyDescent="0.45">
      <c r="B156" s="52">
        <v>0.46</v>
      </c>
      <c r="C156" s="51" cm="1">
        <f t="array" aca="1" ref="C156" ca="1">IF(ISNUMBER(_xll.VoseSimPercentile(Tot_Sim,0.46)),_xll.VoseSimPercentile(Tot_Sim,0.46),NA())</f>
        <v>115.70952293859079</v>
      </c>
    </row>
    <row r="157" spans="2:3" hidden="1" outlineLevel="1" x14ac:dyDescent="0.45">
      <c r="B157" s="52">
        <v>0.47</v>
      </c>
      <c r="C157" s="51" cm="1">
        <f t="array" aca="1" ref="C157" ca="1">IF(ISNUMBER(_xll.VoseSimPercentile(Tot_Sim,0.47)),_xll.VoseSimPercentile(Tot_Sim,0.47),NA())</f>
        <v>116.63783400149811</v>
      </c>
    </row>
    <row r="158" spans="2:3" hidden="1" outlineLevel="1" x14ac:dyDescent="0.45">
      <c r="B158" s="52">
        <v>0.48</v>
      </c>
      <c r="C158" s="51" cm="1">
        <f t="array" aca="1" ref="C158" ca="1">IF(ISNUMBER(_xll.VoseSimPercentile(Tot_Sim,0.48)),_xll.VoseSimPercentile(Tot_Sim,0.48),NA())</f>
        <v>117.62137777043685</v>
      </c>
    </row>
    <row r="159" spans="2:3" hidden="1" outlineLevel="1" x14ac:dyDescent="0.45">
      <c r="B159" s="52">
        <v>0.49</v>
      </c>
      <c r="C159" s="51" cm="1">
        <f t="array" aca="1" ref="C159" ca="1">IF(ISNUMBER(_xll.VoseSimPercentile(Tot_Sim,0.49)),_xll.VoseSimPercentile(Tot_Sim,0.49),NA())</f>
        <v>118.58862611646722</v>
      </c>
    </row>
    <row r="160" spans="2:3" hidden="1" outlineLevel="1" x14ac:dyDescent="0.45">
      <c r="B160" s="52">
        <v>0.5</v>
      </c>
      <c r="C160" s="51" cm="1">
        <f t="array" aca="1" ref="C160" ca="1">IF(ISNUMBER(_xll.VoseSimPercentile(Tot_Sim,0.5)),_xll.VoseSimPercentile(Tot_Sim,0.5),NA())</f>
        <v>119.5754562654032</v>
      </c>
    </row>
    <row r="161" spans="2:3" hidden="1" outlineLevel="1" x14ac:dyDescent="0.45">
      <c r="B161" s="52">
        <v>0.51</v>
      </c>
      <c r="C161" s="51" cm="1">
        <f t="array" aca="1" ref="C161" ca="1">IF(ISNUMBER(_xll.VoseSimPercentile(Tot_Sim,0.51)),_xll.VoseSimPercentile(Tot_Sim,0.51),NA())</f>
        <v>120.48506280740679</v>
      </c>
    </row>
    <row r="162" spans="2:3" hidden="1" outlineLevel="1" x14ac:dyDescent="0.45">
      <c r="B162" s="52">
        <v>0.52</v>
      </c>
      <c r="C162" s="51" cm="1">
        <f t="array" aca="1" ref="C162" ca="1">IF(ISNUMBER(_xll.VoseSimPercentile(Tot_Sim,0.52)),_xll.VoseSimPercentile(Tot_Sim,0.52),NA())</f>
        <v>121.49184159647206</v>
      </c>
    </row>
    <row r="163" spans="2:3" hidden="1" outlineLevel="1" x14ac:dyDescent="0.45">
      <c r="B163" s="52">
        <v>0.53</v>
      </c>
      <c r="C163" s="51" cm="1">
        <f t="array" aca="1" ref="C163" ca="1">IF(ISNUMBER(_xll.VoseSimPercentile(Tot_Sim,0.53)),_xll.VoseSimPercentile(Tot_Sim,0.53),NA())</f>
        <v>122.46825210486159</v>
      </c>
    </row>
    <row r="164" spans="2:3" hidden="1" outlineLevel="1" x14ac:dyDescent="0.45">
      <c r="B164" s="52">
        <v>0.54</v>
      </c>
      <c r="C164" s="51" cm="1">
        <f t="array" aca="1" ref="C164" ca="1">IF(ISNUMBER(_xll.VoseSimPercentile(Tot_Sim,0.54)),_xll.VoseSimPercentile(Tot_Sim,0.54),NA())</f>
        <v>123.50313196357438</v>
      </c>
    </row>
    <row r="165" spans="2:3" hidden="1" outlineLevel="1" x14ac:dyDescent="0.45">
      <c r="B165" s="52">
        <v>0.55000000000000004</v>
      </c>
      <c r="C165" s="51" cm="1">
        <f t="array" aca="1" ref="C165" ca="1">IF(ISNUMBER(_xll.VoseSimPercentile(Tot_Sim,0.55)),_xll.VoseSimPercentile(Tot_Sim,0.55),NA())</f>
        <v>124.99263556214794</v>
      </c>
    </row>
    <row r="166" spans="2:3" hidden="1" outlineLevel="1" x14ac:dyDescent="0.45">
      <c r="B166" s="52">
        <v>0.56000000000000005</v>
      </c>
      <c r="C166" s="51" cm="1">
        <f t="array" aca="1" ref="C166" ca="1">IF(ISNUMBER(_xll.VoseSimPercentile(Tot_Sim,0.56)),_xll.VoseSimPercentile(Tot_Sim,0.56),NA())</f>
        <v>126.23783797200176</v>
      </c>
    </row>
    <row r="167" spans="2:3" hidden="1" outlineLevel="1" x14ac:dyDescent="0.45">
      <c r="B167" s="52">
        <v>0.56999999999999995</v>
      </c>
      <c r="C167" s="51" cm="1">
        <f t="array" aca="1" ref="C167" ca="1">IF(ISNUMBER(_xll.VoseSimPercentile(Tot_Sim,0.57)),_xll.VoseSimPercentile(Tot_Sim,0.57),NA())</f>
        <v>127.20749590221222</v>
      </c>
    </row>
    <row r="168" spans="2:3" hidden="1" outlineLevel="1" x14ac:dyDescent="0.45">
      <c r="B168" s="52">
        <v>0.57999999999999996</v>
      </c>
      <c r="C168" s="51" cm="1">
        <f t="array" aca="1" ref="C168" ca="1">IF(ISNUMBER(_xll.VoseSimPercentile(Tot_Sim,0.58)),_xll.VoseSimPercentile(Tot_Sim,0.58),NA())</f>
        <v>128.22966769194699</v>
      </c>
    </row>
    <row r="169" spans="2:3" hidden="1" outlineLevel="1" x14ac:dyDescent="0.45">
      <c r="B169" s="52">
        <v>0.59</v>
      </c>
      <c r="C169" s="51" cm="1">
        <f t="array" aca="1" ref="C169" ca="1">IF(ISNUMBER(_xll.VoseSimPercentile(Tot_Sim,0.59)),_xll.VoseSimPercentile(Tot_Sim,0.59),NA())</f>
        <v>129.4857489710727</v>
      </c>
    </row>
    <row r="170" spans="2:3" hidden="1" outlineLevel="1" x14ac:dyDescent="0.45">
      <c r="B170" s="52">
        <v>0.6</v>
      </c>
      <c r="C170" s="51" cm="1">
        <f t="array" aca="1" ref="C170" ca="1">IF(ISNUMBER(_xll.VoseSimPercentile(Tot_Sim,0.6)),_xll.VoseSimPercentile(Tot_Sim,0.6),NA())</f>
        <v>130.47722070522599</v>
      </c>
    </row>
    <row r="171" spans="2:3" hidden="1" outlineLevel="1" x14ac:dyDescent="0.45">
      <c r="B171" s="52">
        <v>0.61</v>
      </c>
      <c r="C171" s="51" cm="1">
        <f t="array" aca="1" ref="C171" ca="1">IF(ISNUMBER(_xll.VoseSimPercentile(Tot_Sim,0.61)),_xll.VoseSimPercentile(Tot_Sim,0.61),NA())</f>
        <v>131.34683872869519</v>
      </c>
    </row>
    <row r="172" spans="2:3" hidden="1" outlineLevel="1" x14ac:dyDescent="0.45">
      <c r="B172" s="52">
        <v>0.62</v>
      </c>
      <c r="C172" s="51" cm="1">
        <f t="array" aca="1" ref="C172" ca="1">IF(ISNUMBER(_xll.VoseSimPercentile(Tot_Sim,0.62)),_xll.VoseSimPercentile(Tot_Sim,0.62),NA())</f>
        <v>132.40849411393205</v>
      </c>
    </row>
    <row r="173" spans="2:3" hidden="1" outlineLevel="1" x14ac:dyDescent="0.45">
      <c r="B173" s="52">
        <v>0.63</v>
      </c>
      <c r="C173" s="51" cm="1">
        <f t="array" aca="1" ref="C173" ca="1">IF(ISNUMBER(_xll.VoseSimPercentile(Tot_Sim,0.63)),_xll.VoseSimPercentile(Tot_Sim,0.63),NA())</f>
        <v>133.54965176064542</v>
      </c>
    </row>
    <row r="174" spans="2:3" hidden="1" outlineLevel="1" x14ac:dyDescent="0.45">
      <c r="B174" s="52">
        <v>0.64</v>
      </c>
      <c r="C174" s="51" cm="1">
        <f t="array" aca="1" ref="C174" ca="1">IF(ISNUMBER(_xll.VoseSimPercentile(Tot_Sim,0.64)),_xll.VoseSimPercentile(Tot_Sim,0.64),NA())</f>
        <v>134.80233366555046</v>
      </c>
    </row>
    <row r="175" spans="2:3" hidden="1" outlineLevel="1" x14ac:dyDescent="0.45">
      <c r="B175" s="52">
        <v>0.65</v>
      </c>
      <c r="C175" s="51" cm="1">
        <f t="array" aca="1" ref="C175" ca="1">IF(ISNUMBER(_xll.VoseSimPercentile(Tot_Sim,0.65)),_xll.VoseSimPercentile(Tot_Sim,0.65),NA())</f>
        <v>136.13842314865053</v>
      </c>
    </row>
    <row r="176" spans="2:3" hidden="1" outlineLevel="1" x14ac:dyDescent="0.45">
      <c r="B176" s="52">
        <v>0.66</v>
      </c>
      <c r="C176" s="51" cm="1">
        <f t="array" aca="1" ref="C176" ca="1">IF(ISNUMBER(_xll.VoseSimPercentile(Tot_Sim,0.66)),_xll.VoseSimPercentile(Tot_Sim,0.66),NA())</f>
        <v>137.32166823880814</v>
      </c>
    </row>
    <row r="177" spans="2:3" hidden="1" outlineLevel="1" x14ac:dyDescent="0.45">
      <c r="B177" s="52">
        <v>0.67</v>
      </c>
      <c r="C177" s="51" cm="1">
        <f t="array" aca="1" ref="C177" ca="1">IF(ISNUMBER(_xll.VoseSimPercentile(Tot_Sim,0.67)),_xll.VoseSimPercentile(Tot_Sim,0.67),NA())</f>
        <v>138.59014887191989</v>
      </c>
    </row>
    <row r="178" spans="2:3" hidden="1" outlineLevel="1" x14ac:dyDescent="0.45">
      <c r="B178" s="52">
        <v>0.68</v>
      </c>
      <c r="C178" s="51" cm="1">
        <f t="array" aca="1" ref="C178" ca="1">IF(ISNUMBER(_xll.VoseSimPercentile(Tot_Sim,0.68)),_xll.VoseSimPercentile(Tot_Sim,0.68),NA())</f>
        <v>139.85949604629963</v>
      </c>
    </row>
    <row r="179" spans="2:3" hidden="1" outlineLevel="1" x14ac:dyDescent="0.45">
      <c r="B179" s="52">
        <v>0.69</v>
      </c>
      <c r="C179" s="51" cm="1">
        <f t="array" aca="1" ref="C179" ca="1">IF(ISNUMBER(_xll.VoseSimPercentile(Tot_Sim,0.69)),_xll.VoseSimPercentile(Tot_Sim,0.69),NA())</f>
        <v>140.78401949052306</v>
      </c>
    </row>
    <row r="180" spans="2:3" hidden="1" outlineLevel="1" x14ac:dyDescent="0.45">
      <c r="B180" s="52">
        <v>0.7</v>
      </c>
      <c r="C180" s="51" cm="1">
        <f t="array" aca="1" ref="C180" ca="1">IF(ISNUMBER(_xll.VoseSimPercentile(Tot_Sim,0.7)),_xll.VoseSimPercentile(Tot_Sim,0.7),NA())</f>
        <v>142.09578476222288</v>
      </c>
    </row>
    <row r="181" spans="2:3" hidden="1" outlineLevel="1" x14ac:dyDescent="0.45">
      <c r="B181" s="52">
        <v>0.71</v>
      </c>
      <c r="C181" s="51" cm="1">
        <f t="array" aca="1" ref="C181" ca="1">IF(ISNUMBER(_xll.VoseSimPercentile(Tot_Sim,0.71)),_xll.VoseSimPercentile(Tot_Sim,0.71),NA())</f>
        <v>143.34791565100676</v>
      </c>
    </row>
    <row r="182" spans="2:3" hidden="1" outlineLevel="1" x14ac:dyDescent="0.45">
      <c r="B182" s="52">
        <v>0.72</v>
      </c>
      <c r="C182" s="51" cm="1">
        <f t="array" aca="1" ref="C182" ca="1">IF(ISNUMBER(_xll.VoseSimPercentile(Tot_Sim,0.72)),_xll.VoseSimPercentile(Tot_Sim,0.72),NA())</f>
        <v>144.71048333143727</v>
      </c>
    </row>
    <row r="183" spans="2:3" hidden="1" outlineLevel="1" x14ac:dyDescent="0.45">
      <c r="B183" s="52">
        <v>0.73</v>
      </c>
      <c r="C183" s="51" cm="1">
        <f t="array" aca="1" ref="C183" ca="1">IF(ISNUMBER(_xll.VoseSimPercentile(Tot_Sim,0.73)),_xll.VoseSimPercentile(Tot_Sim,0.73),NA())</f>
        <v>146.09661276914161</v>
      </c>
    </row>
    <row r="184" spans="2:3" hidden="1" outlineLevel="1" x14ac:dyDescent="0.45">
      <c r="B184" s="52">
        <v>0.74</v>
      </c>
      <c r="C184" s="51" cm="1">
        <f t="array" aca="1" ref="C184" ca="1">IF(ISNUMBER(_xll.VoseSimPercentile(Tot_Sim,0.74)),_xll.VoseSimPercentile(Tot_Sim,0.74),NA())</f>
        <v>147.51836895824596</v>
      </c>
    </row>
    <row r="185" spans="2:3" hidden="1" outlineLevel="1" x14ac:dyDescent="0.45">
      <c r="B185" s="52">
        <v>0.75</v>
      </c>
      <c r="C185" s="51" cm="1">
        <f t="array" aca="1" ref="C185" ca="1">IF(ISNUMBER(_xll.VoseSimPercentile(Tot_Sim,0.75)),_xll.VoseSimPercentile(Tot_Sim,0.75),NA())</f>
        <v>149.24520494857833</v>
      </c>
    </row>
    <row r="186" spans="2:3" hidden="1" outlineLevel="1" x14ac:dyDescent="0.45">
      <c r="B186" s="52">
        <v>0.76</v>
      </c>
      <c r="C186" s="51" cm="1">
        <f t="array" aca="1" ref="C186" ca="1">IF(ISNUMBER(_xll.VoseSimPercentile(Tot_Sim,0.76)),_xll.VoseSimPercentile(Tot_Sim,0.76),NA())</f>
        <v>150.63588500891163</v>
      </c>
    </row>
    <row r="187" spans="2:3" hidden="1" outlineLevel="1" x14ac:dyDescent="0.45">
      <c r="B187" s="52">
        <v>0.77</v>
      </c>
      <c r="C187" s="51" cm="1">
        <f t="array" aca="1" ref="C187" ca="1">IF(ISNUMBER(_xll.VoseSimPercentile(Tot_Sim,0.77)),_xll.VoseSimPercentile(Tot_Sim,0.77),NA())</f>
        <v>152.22237828476099</v>
      </c>
    </row>
    <row r="188" spans="2:3" hidden="1" outlineLevel="1" x14ac:dyDescent="0.45">
      <c r="B188" s="52">
        <v>0.78</v>
      </c>
      <c r="C188" s="51" cm="1">
        <f t="array" aca="1" ref="C188" ca="1">IF(ISNUMBER(_xll.VoseSimPercentile(Tot_Sim,0.78)),_xll.VoseSimPercentile(Tot_Sim,0.78),NA())</f>
        <v>153.70923499527427</v>
      </c>
    </row>
    <row r="189" spans="2:3" hidden="1" outlineLevel="1" x14ac:dyDescent="0.45">
      <c r="B189" s="52">
        <v>0.79</v>
      </c>
      <c r="C189" s="51" cm="1">
        <f t="array" aca="1" ref="C189" ca="1">IF(ISNUMBER(_xll.VoseSimPercentile(Tot_Sim,0.79)),_xll.VoseSimPercentile(Tot_Sim,0.79),NA())</f>
        <v>155.48609117905937</v>
      </c>
    </row>
    <row r="190" spans="2:3" hidden="1" outlineLevel="1" x14ac:dyDescent="0.45">
      <c r="B190" s="52">
        <v>0.8</v>
      </c>
      <c r="C190" s="51" cm="1">
        <f t="array" aca="1" ref="C190" ca="1">IF(ISNUMBER(_xll.VoseSimPercentile(Tot_Sim,0.8)),_xll.VoseSimPercentile(Tot_Sim,0.8),NA())</f>
        <v>157.28763437183437</v>
      </c>
    </row>
    <row r="191" spans="2:3" hidden="1" outlineLevel="1" x14ac:dyDescent="0.45">
      <c r="B191" s="52">
        <v>0.81</v>
      </c>
      <c r="C191" s="51" cm="1">
        <f t="array" aca="1" ref="C191" ca="1">IF(ISNUMBER(_xll.VoseSimPercentile(Tot_Sim,0.81)),_xll.VoseSimPercentile(Tot_Sim,0.81),NA())</f>
        <v>159.33978662955707</v>
      </c>
    </row>
    <row r="192" spans="2:3" hidden="1" outlineLevel="1" x14ac:dyDescent="0.45">
      <c r="B192" s="52">
        <v>0.82</v>
      </c>
      <c r="C192" s="51" cm="1">
        <f t="array" aca="1" ref="C192" ca="1">IF(ISNUMBER(_xll.VoseSimPercentile(Tot_Sim,0.82)),_xll.VoseSimPercentile(Tot_Sim,0.82),NA())</f>
        <v>161.04798569343677</v>
      </c>
    </row>
    <row r="193" spans="2:3" hidden="1" outlineLevel="1" x14ac:dyDescent="0.45">
      <c r="B193" s="52">
        <v>0.83</v>
      </c>
      <c r="C193" s="51" cm="1">
        <f t="array" aca="1" ref="C193" ca="1">IF(ISNUMBER(_xll.VoseSimPercentile(Tot_Sim,0.83)),_xll.VoseSimPercentile(Tot_Sim,0.83),NA())</f>
        <v>162.91242425395575</v>
      </c>
    </row>
    <row r="194" spans="2:3" hidden="1" outlineLevel="1" x14ac:dyDescent="0.45">
      <c r="B194" s="52">
        <v>0.84</v>
      </c>
      <c r="C194" s="51" cm="1">
        <f t="array" aca="1" ref="C194" ca="1">IF(ISNUMBER(_xll.VoseSimPercentile(Tot_Sim,0.84)),_xll.VoseSimPercentile(Tot_Sim,0.84),NA())</f>
        <v>165.18494116461363</v>
      </c>
    </row>
    <row r="195" spans="2:3" hidden="1" outlineLevel="1" x14ac:dyDescent="0.45">
      <c r="B195" s="52">
        <v>0.85</v>
      </c>
      <c r="C195" s="51" cm="1">
        <f t="array" aca="1" ref="C195" ca="1">IF(ISNUMBER(_xll.VoseSimPercentile(Tot_Sim,0.85)),_xll.VoseSimPercentile(Tot_Sim,0.85),NA())</f>
        <v>167.25762567889186</v>
      </c>
    </row>
    <row r="196" spans="2:3" hidden="1" outlineLevel="1" x14ac:dyDescent="0.45">
      <c r="B196" s="52">
        <v>0.86</v>
      </c>
      <c r="C196" s="51" cm="1">
        <f t="array" aca="1" ref="C196" ca="1">IF(ISNUMBER(_xll.VoseSimPercentile(Tot_Sim,0.86)),_xll.VoseSimPercentile(Tot_Sim,0.86),NA())</f>
        <v>169.59786475923113</v>
      </c>
    </row>
    <row r="197" spans="2:3" hidden="1" outlineLevel="1" x14ac:dyDescent="0.45">
      <c r="B197" s="52">
        <v>0.87</v>
      </c>
      <c r="C197" s="51" cm="1">
        <f t="array" aca="1" ref="C197" ca="1">IF(ISNUMBER(_xll.VoseSimPercentile(Tot_Sim,0.87)),_xll.VoseSimPercentile(Tot_Sim,0.87),NA())</f>
        <v>171.78646284641459</v>
      </c>
    </row>
    <row r="198" spans="2:3" hidden="1" outlineLevel="1" x14ac:dyDescent="0.45">
      <c r="B198" s="52">
        <v>0.88</v>
      </c>
      <c r="C198" s="51" cm="1">
        <f t="array" aca="1" ref="C198" ca="1">IF(ISNUMBER(_xll.VoseSimPercentile(Tot_Sim,0.88)),_xll.VoseSimPercentile(Tot_Sim,0.88),NA())</f>
        <v>174.31901846720527</v>
      </c>
    </row>
    <row r="199" spans="2:3" hidden="1" outlineLevel="1" x14ac:dyDescent="0.45">
      <c r="B199" s="52">
        <v>0.89</v>
      </c>
      <c r="C199" s="51" cm="1">
        <f t="array" aca="1" ref="C199" ca="1">IF(ISNUMBER(_xll.VoseSimPercentile(Tot_Sim,0.89)),_xll.VoseSimPercentile(Tot_Sim,0.89),NA())</f>
        <v>177.05600261572641</v>
      </c>
    </row>
    <row r="200" spans="2:3" hidden="1" outlineLevel="1" x14ac:dyDescent="0.45">
      <c r="B200" s="52">
        <v>0.9</v>
      </c>
      <c r="C200" s="51" cm="1">
        <f t="array" aca="1" ref="C200" ca="1">IF(ISNUMBER(_xll.VoseSimPercentile(Tot_Sim,0.9)),_xll.VoseSimPercentile(Tot_Sim,0.9),NA())</f>
        <v>180.03310572873795</v>
      </c>
    </row>
    <row r="201" spans="2:3" hidden="1" outlineLevel="1" x14ac:dyDescent="0.45">
      <c r="B201" s="52">
        <v>0.91</v>
      </c>
      <c r="C201" s="51" cm="1">
        <f t="array" aca="1" ref="C201" ca="1">IF(ISNUMBER(_xll.VoseSimPercentile(Tot_Sim,0.91)),_xll.VoseSimPercentile(Tot_Sim,0.91),NA())</f>
        <v>183.74266531969096</v>
      </c>
    </row>
    <row r="202" spans="2:3" hidden="1" outlineLevel="1" x14ac:dyDescent="0.45">
      <c r="B202" s="52">
        <v>0.92</v>
      </c>
      <c r="C202" s="51" cm="1">
        <f t="array" aca="1" ref="C202" ca="1">IF(ISNUMBER(_xll.VoseSimPercentile(Tot_Sim,0.92)),_xll.VoseSimPercentile(Tot_Sim,0.92),NA())</f>
        <v>187.17349897143416</v>
      </c>
    </row>
    <row r="203" spans="2:3" hidden="1" outlineLevel="1" x14ac:dyDescent="0.45">
      <c r="B203" s="52">
        <v>0.93</v>
      </c>
      <c r="C203" s="51" cm="1">
        <f t="array" aca="1" ref="C203" ca="1">IF(ISNUMBER(_xll.VoseSimPercentile(Tot_Sim,0.93)),_xll.VoseSimPercentile(Tot_Sim,0.93),NA())</f>
        <v>191.09747658276646</v>
      </c>
    </row>
    <row r="204" spans="2:3" hidden="1" outlineLevel="1" x14ac:dyDescent="0.45">
      <c r="B204" s="52">
        <v>0.94</v>
      </c>
      <c r="C204" s="51" cm="1">
        <f t="array" aca="1" ref="C204" ca="1">IF(ISNUMBER(_xll.VoseSimPercentile(Tot_Sim,0.94)),_xll.VoseSimPercentile(Tot_Sim,0.94),NA())</f>
        <v>197.31960664854145</v>
      </c>
    </row>
    <row r="205" spans="2:3" hidden="1" outlineLevel="1" x14ac:dyDescent="0.45">
      <c r="B205" s="52">
        <v>0.95</v>
      </c>
      <c r="C205" s="51" cm="1">
        <f t="array" aca="1" ref="C205" ca="1">IF(ISNUMBER(_xll.VoseSimPercentile(Tot_Sim,0.95)),_xll.VoseSimPercentile(Tot_Sim,0.95),NA())</f>
        <v>203.03608100691184</v>
      </c>
    </row>
    <row r="206" spans="2:3" hidden="1" outlineLevel="1" x14ac:dyDescent="0.45">
      <c r="B206" s="52">
        <v>0.96</v>
      </c>
      <c r="C206" s="51" cm="1">
        <f t="array" aca="1" ref="C206" ca="1">IF(ISNUMBER(_xll.VoseSimPercentile(Tot_Sim,0.96)),_xll.VoseSimPercentile(Tot_Sim,0.96),NA())</f>
        <v>209.27568934254307</v>
      </c>
    </row>
    <row r="207" spans="2:3" hidden="1" outlineLevel="1" x14ac:dyDescent="0.45">
      <c r="B207" s="52">
        <v>0.97</v>
      </c>
      <c r="C207" s="51" cm="1">
        <f t="array" aca="1" ref="C207" ca="1">IF(ISNUMBER(_xll.VoseSimPercentile(Tot_Sim,0.97)),_xll.VoseSimPercentile(Tot_Sim,0.97),NA())</f>
        <v>218.22141076327009</v>
      </c>
    </row>
    <row r="208" spans="2:3" hidden="1" outlineLevel="1" x14ac:dyDescent="0.45">
      <c r="B208" s="52">
        <v>0.98</v>
      </c>
      <c r="C208" s="51" cm="1">
        <f t="array" aca="1" ref="C208" ca="1">IF(ISNUMBER(_xll.VoseSimPercentile(Tot_Sim,0.98)),_xll.VoseSimPercentile(Tot_Sim,0.98),NA())</f>
        <v>229.17579682224064</v>
      </c>
    </row>
    <row r="209" spans="2:7" hidden="1" outlineLevel="1" x14ac:dyDescent="0.45">
      <c r="B209" s="52">
        <v>0.99</v>
      </c>
      <c r="C209" s="51" cm="1">
        <f t="array" aca="1" ref="C209" ca="1">IF(ISNUMBER(_xll.VoseSimPercentile(Tot_Sim,0.99)),_xll.VoseSimPercentile(Tot_Sim,0.99),NA())</f>
        <v>254.33290644805447</v>
      </c>
    </row>
    <row r="210" spans="2:7" hidden="1" outlineLevel="1" x14ac:dyDescent="0.45">
      <c r="B210" s="52">
        <v>0.995</v>
      </c>
      <c r="C210" s="51" cm="1">
        <f t="array" aca="1" ref="C210" ca="1">IF(ISNUMBER(_xll.VoseSimPercentile(Tot_Sim,0.995)),_xll.VoseSimPercentile(Tot_Sim,0.995),NA())</f>
        <v>269.76612121430048</v>
      </c>
    </row>
    <row r="211" spans="2:7" hidden="1" outlineLevel="1" x14ac:dyDescent="0.45"/>
    <row r="212" spans="2:7" ht="18" hidden="1" customHeight="1" outlineLevel="1" x14ac:dyDescent="0.45">
      <c r="B212" s="23" t="s">
        <v>198</v>
      </c>
      <c r="C212" s="24" t="s">
        <v>199</v>
      </c>
      <c r="D212" s="24" t="s">
        <v>200</v>
      </c>
      <c r="E212" s="24" t="s">
        <v>201</v>
      </c>
      <c r="F212" s="24" t="s">
        <v>202</v>
      </c>
      <c r="G212" s="24" t="s">
        <v>203</v>
      </c>
    </row>
    <row r="213" spans="2:7" hidden="1" outlineLevel="1" x14ac:dyDescent="0.45">
      <c r="B213" s="53">
        <v>0</v>
      </c>
      <c r="C213" s="51">
        <f ca="1">IF(ISNUMBER($C$110),$C$110+($C$210-$C$110)*0/24,NA())</f>
        <v>43.578815431172387</v>
      </c>
      <c r="D213" s="54">
        <f t="shared" ref="D213:D237" ca="1" si="2">IF(ISNUMBER(C213),MATCH(C213,$C$110:$C$210,1),NA())</f>
        <v>1</v>
      </c>
      <c r="E213" s="51">
        <f t="shared" ref="E213:E236" ca="1" si="3">IF(ISNUMBER(C213),(C213+C214)/2,NA())</f>
        <v>48.291050968320889</v>
      </c>
      <c r="F213" s="52">
        <f t="shared" ref="F213:F236" ca="1" si="4">IF(ISNUMBER(G214),G214-G213,NA())</f>
        <v>1.0845952923912158E-2</v>
      </c>
      <c r="G213" s="52" cm="1">
        <f t="array" aca="1" ref="G213" ca="1">IF(ISNUMBER(D213),IF(D213&gt;=101,INDEX($B$110:$B$210,101),INDEX($B$110:$B$210,D213)+(C213-INDEX($C$110:$C$210,D213))/MAX(0.000000000001,INDEX($C$110:$C$210,D213+1)-INDEX($C$110:$C$210,D213))*(INDEX($B$110:$B$210,D213+1)-INDEX($B$110:$B$210,D213))),NA())</f>
        <v>5.0000000000000001E-3</v>
      </c>
    </row>
    <row r="214" spans="2:7" hidden="1" outlineLevel="1" x14ac:dyDescent="0.45">
      <c r="B214" s="53">
        <v>1</v>
      </c>
      <c r="C214" s="51">
        <f ca="1">IF(ISNUMBER($C$110),$C$110+($C$210-$C$110)*1/24,NA())</f>
        <v>53.00328650546939</v>
      </c>
      <c r="D214" s="54">
        <f t="shared" ca="1" si="2"/>
        <v>2</v>
      </c>
      <c r="E214" s="51">
        <f t="shared" ca="1" si="3"/>
        <v>57.715522042617891</v>
      </c>
      <c r="F214" s="52">
        <f t="shared" ca="1" si="4"/>
        <v>2.2266854300341997E-2</v>
      </c>
      <c r="G214" s="52" cm="1">
        <f t="array" aca="1" ref="G214" ca="1">IF(ISNUMBER(D214),IF(D214&gt;=101,INDEX($B$110:$B$210,101),INDEX($B$110:$B$210,D214)+(C214-INDEX($C$110:$C$210,D214))/MAX(0.000000000001,INDEX($C$110:$C$210,D214+1)-INDEX($C$110:$C$210,D214))*(INDEX($B$110:$B$210,D214+1)-INDEX($B$110:$B$210,D214))),NA())</f>
        <v>1.5845952923912159E-2</v>
      </c>
    </row>
    <row r="215" spans="2:7" hidden="1" outlineLevel="1" x14ac:dyDescent="0.45">
      <c r="B215" s="53">
        <v>2</v>
      </c>
      <c r="C215" s="51">
        <f ca="1">IF(ISNUMBER($C$110),$C$110+($C$210-$C$110)*2/24,NA())</f>
        <v>62.427757579766393</v>
      </c>
      <c r="D215" s="54">
        <f t="shared" ca="1" si="2"/>
        <v>4</v>
      </c>
      <c r="E215" s="51">
        <f t="shared" ca="1" si="3"/>
        <v>67.139993116914894</v>
      </c>
      <c r="F215" s="52">
        <f t="shared" ca="1" si="4"/>
        <v>3.8079520227309205E-2</v>
      </c>
      <c r="G215" s="52" cm="1">
        <f t="array" aca="1" ref="G215" ca="1">IF(ISNUMBER(D215),IF(D215&gt;=101,INDEX($B$110:$B$210,101),INDEX($B$110:$B$210,D215)+(C215-INDEX($C$110:$C$210,D215))/MAX(0.000000000001,INDEX($C$110:$C$210,D215+1)-INDEX($C$110:$C$210,D215))*(INDEX($B$110:$B$210,D215+1)-INDEX($B$110:$B$210,D215))),NA())</f>
        <v>3.8112807224254155E-2</v>
      </c>
    </row>
    <row r="216" spans="2:7" hidden="1" outlineLevel="1" x14ac:dyDescent="0.45">
      <c r="B216" s="53">
        <v>3</v>
      </c>
      <c r="C216" s="51">
        <f ca="1">IF(ISNUMBER($C$110),$C$110+($C$210-$C$110)*3/24,NA())</f>
        <v>71.852228654063396</v>
      </c>
      <c r="D216" s="54">
        <f t="shared" ca="1" si="2"/>
        <v>8</v>
      </c>
      <c r="E216" s="51">
        <f t="shared" ca="1" si="3"/>
        <v>76.564464191211897</v>
      </c>
      <c r="F216" s="52">
        <f t="shared" ca="1" si="4"/>
        <v>6.4052402584719517E-2</v>
      </c>
      <c r="G216" s="52" cm="1">
        <f t="array" aca="1" ref="G216" ca="1">IF(ISNUMBER(D216),IF(D216&gt;=101,INDEX($B$110:$B$210,101),INDEX($B$110:$B$210,D216)+(C216-INDEX($C$110:$C$210,D216))/MAX(0.000000000001,INDEX($C$110:$C$210,D216+1)-INDEX($C$110:$C$210,D216))*(INDEX($B$110:$B$210,D216+1)-INDEX($B$110:$B$210,D216))),NA())</f>
        <v>7.619232745156336E-2</v>
      </c>
    </row>
    <row r="217" spans="2:7" hidden="1" outlineLevel="1" x14ac:dyDescent="0.45">
      <c r="B217" s="53">
        <v>4</v>
      </c>
      <c r="C217" s="51">
        <f ca="1">IF(ISNUMBER($C$110),$C$110+($C$210-$C$110)*4/24,NA())</f>
        <v>81.276699728360398</v>
      </c>
      <c r="D217" s="54">
        <f t="shared" ca="1" si="2"/>
        <v>15</v>
      </c>
      <c r="E217" s="51">
        <f t="shared" ca="1" si="3"/>
        <v>85.9889352655089</v>
      </c>
      <c r="F217" s="52">
        <f t="shared" ca="1" si="4"/>
        <v>7.3802000059805278E-2</v>
      </c>
      <c r="G217" s="52" cm="1">
        <f t="array" aca="1" ref="G217" ca="1">IF(ISNUMBER(D217),IF(D217&gt;=101,INDEX($B$110:$B$210,101),INDEX($B$110:$B$210,D217)+(C217-INDEX($C$110:$C$210,D217))/MAX(0.000000000001,INDEX($C$110:$C$210,D217+1)-INDEX($C$110:$C$210,D217))*(INDEX($B$110:$B$210,D217+1)-INDEX($B$110:$B$210,D217))),NA())</f>
        <v>0.14024473003628288</v>
      </c>
    </row>
    <row r="218" spans="2:7" hidden="1" outlineLevel="1" x14ac:dyDescent="0.45">
      <c r="B218" s="53">
        <v>5</v>
      </c>
      <c r="C218" s="51">
        <f ca="1">IF(ISNUMBER($C$110),$C$110+($C$210-$C$110)*5/24,NA())</f>
        <v>90.701170802657401</v>
      </c>
      <c r="D218" s="54">
        <f t="shared" ca="1" si="2"/>
        <v>22</v>
      </c>
      <c r="E218" s="51">
        <f t="shared" ca="1" si="3"/>
        <v>95.413406339805903</v>
      </c>
      <c r="F218" s="52">
        <f t="shared" ca="1" si="4"/>
        <v>8.9657459708941012E-2</v>
      </c>
      <c r="G218" s="52" cm="1">
        <f t="array" aca="1" ref="G218" ca="1">IF(ISNUMBER(D218),IF(D218&gt;=101,INDEX($B$110:$B$210,101),INDEX($B$110:$B$210,D218)+(C218-INDEX($C$110:$C$210,D218))/MAX(0.000000000001,INDEX($C$110:$C$210,D218+1)-INDEX($C$110:$C$210,D218))*(INDEX($B$110:$B$210,D218+1)-INDEX($B$110:$B$210,D218))),NA())</f>
        <v>0.21404673009608816</v>
      </c>
    </row>
    <row r="219" spans="2:7" hidden="1" outlineLevel="1" x14ac:dyDescent="0.45">
      <c r="B219" s="53">
        <v>6</v>
      </c>
      <c r="C219" s="51">
        <f ca="1">IF(ISNUMBER($C$110),$C$110+($C$210-$C$110)*6/24,NA())</f>
        <v>100.1256418769544</v>
      </c>
      <c r="D219" s="54">
        <f t="shared" ca="1" si="2"/>
        <v>31</v>
      </c>
      <c r="E219" s="51">
        <f t="shared" ca="1" si="3"/>
        <v>104.83787741410291</v>
      </c>
      <c r="F219" s="52">
        <f t="shared" ca="1" si="4"/>
        <v>9.169862422324343E-2</v>
      </c>
      <c r="G219" s="52" cm="1">
        <f t="array" aca="1" ref="G219" ca="1">IF(ISNUMBER(D219),IF(D219&gt;=101,INDEX($B$110:$B$210,101),INDEX($B$110:$B$210,D219)+(C219-INDEX($C$110:$C$210,D219))/MAX(0.000000000001,INDEX($C$110:$C$210,D219+1)-INDEX($C$110:$C$210,D219))*(INDEX($B$110:$B$210,D219+1)-INDEX($B$110:$B$210,D219))),NA())</f>
        <v>0.30370418980502917</v>
      </c>
    </row>
    <row r="220" spans="2:7" hidden="1" outlineLevel="1" x14ac:dyDescent="0.45">
      <c r="B220" s="53">
        <v>7</v>
      </c>
      <c r="C220" s="51">
        <f ca="1">IF(ISNUMBER($C$110),$C$110+($C$210-$C$110)*7/24,NA())</f>
        <v>109.55011295125142</v>
      </c>
      <c r="D220" s="54">
        <f t="shared" ca="1" si="2"/>
        <v>40</v>
      </c>
      <c r="E220" s="51">
        <f t="shared" ca="1" si="3"/>
        <v>114.26234848839992</v>
      </c>
      <c r="F220" s="52">
        <f t="shared" ca="1" si="4"/>
        <v>9.8508273502822263E-2</v>
      </c>
      <c r="G220" s="52" cm="1">
        <f t="array" aca="1" ref="G220" ca="1">IF(ISNUMBER(D220),IF(D220&gt;=101,INDEX($B$110:$B$210,101),INDEX($B$110:$B$210,D220)+(C220-INDEX($C$110:$C$210,D220))/MAX(0.000000000001,INDEX($C$110:$C$210,D220+1)-INDEX($C$110:$C$210,D220))*(INDEX($B$110:$B$210,D220+1)-INDEX($B$110:$B$210,D220))),NA())</f>
        <v>0.3954028140282726</v>
      </c>
    </row>
    <row r="221" spans="2:7" hidden="1" outlineLevel="1" x14ac:dyDescent="0.45">
      <c r="B221" s="53">
        <v>8</v>
      </c>
      <c r="C221" s="51">
        <f ca="1">IF(ISNUMBER($C$110),$C$110+($C$210-$C$110)*8/24,NA())</f>
        <v>118.97458402554842</v>
      </c>
      <c r="D221" s="54">
        <f t="shared" ca="1" si="2"/>
        <v>50</v>
      </c>
      <c r="E221" s="51">
        <f t="shared" ca="1" si="3"/>
        <v>123.68681956269694</v>
      </c>
      <c r="F221" s="52">
        <f t="shared" ca="1" si="4"/>
        <v>8.7437451060423277E-2</v>
      </c>
      <c r="G221" s="52" cm="1">
        <f t="array" aca="1" ref="G221" ca="1">IF(ISNUMBER(D221),IF(D221&gt;=101,INDEX($B$110:$B$210,101),INDEX($B$110:$B$210,D221)+(C221-INDEX($C$110:$C$210,D221))/MAX(0.000000000001,INDEX($C$110:$C$210,D221+1)-INDEX($C$110:$C$210,D221))*(INDEX($B$110:$B$210,D221+1)-INDEX($B$110:$B$210,D221))),NA())</f>
        <v>0.49391108753109486</v>
      </c>
    </row>
    <row r="222" spans="2:7" hidden="1" outlineLevel="1" x14ac:dyDescent="0.45">
      <c r="B222" s="53">
        <v>9</v>
      </c>
      <c r="C222" s="51">
        <f ca="1">IF(ISNUMBER($C$110),$C$110+($C$210-$C$110)*9/24,NA())</f>
        <v>128.39905509984544</v>
      </c>
      <c r="D222" s="54">
        <f t="shared" ca="1" si="2"/>
        <v>59</v>
      </c>
      <c r="E222" s="51">
        <f t="shared" ca="1" si="3"/>
        <v>133.11129063699394</v>
      </c>
      <c r="F222" s="52">
        <f t="shared" ca="1" si="4"/>
        <v>8.2607831905863294E-2</v>
      </c>
      <c r="G222" s="52" cm="1">
        <f t="array" aca="1" ref="G222" ca="1">IF(ISNUMBER(D222),IF(D222&gt;=101,INDEX($B$110:$B$210,101),INDEX($B$110:$B$210,D222)+(C222-INDEX($C$110:$C$210,D222))/MAX(0.000000000001,INDEX($C$110:$C$210,D222+1)-INDEX($C$110:$C$210,D222))*(INDEX($B$110:$B$210,D222+1)-INDEX($B$110:$B$210,D222))),NA())</f>
        <v>0.58134853859151814</v>
      </c>
    </row>
    <row r="223" spans="2:7" hidden="1" outlineLevel="1" x14ac:dyDescent="0.45">
      <c r="B223" s="53">
        <v>10</v>
      </c>
      <c r="C223" s="51">
        <f ca="1">IF(ISNUMBER($C$110),$C$110+($C$210-$C$110)*10/24,NA())</f>
        <v>137.82352617414244</v>
      </c>
      <c r="D223" s="54">
        <f t="shared" ca="1" si="2"/>
        <v>67</v>
      </c>
      <c r="E223" s="51">
        <f t="shared" ca="1" si="3"/>
        <v>142.53576171129095</v>
      </c>
      <c r="F223" s="52">
        <f t="shared" ca="1" si="4"/>
        <v>7.414195527831402E-2</v>
      </c>
      <c r="G223" s="52" cm="1">
        <f t="array" aca="1" ref="G223" ca="1">IF(ISNUMBER(D223),IF(D223&gt;=101,INDEX($B$110:$B$210,101),INDEX($B$110:$B$210,D223)+(C223-INDEX($C$110:$C$210,D223))/MAX(0.000000000001,INDEX($C$110:$C$210,D223+1)-INDEX($C$110:$C$210,D223))*(INDEX($B$110:$B$210,D223+1)-INDEX($B$110:$B$210,D223))),NA())</f>
        <v>0.66395637049738143</v>
      </c>
    </row>
    <row r="224" spans="2:7" hidden="1" outlineLevel="1" x14ac:dyDescent="0.45">
      <c r="B224" s="53">
        <v>11</v>
      </c>
      <c r="C224" s="51">
        <f ca="1">IF(ISNUMBER($C$110),$C$110+($C$210-$C$110)*11/24,NA())</f>
        <v>147.24799724843945</v>
      </c>
      <c r="D224" s="54">
        <f t="shared" ca="1" si="2"/>
        <v>74</v>
      </c>
      <c r="E224" s="51">
        <f t="shared" ca="1" si="3"/>
        <v>151.96023278558795</v>
      </c>
      <c r="F224" s="52">
        <f t="shared" ca="1" si="4"/>
        <v>5.8487012552216888E-2</v>
      </c>
      <c r="G224" s="52" cm="1">
        <f t="array" aca="1" ref="G224" ca="1">IF(ISNUMBER(D224),IF(D224&gt;=101,INDEX($B$110:$B$210,101),INDEX($B$110:$B$210,D224)+(C224-INDEX($C$110:$C$210,D224))/MAX(0.000000000001,INDEX($C$110:$C$210,D224+1)-INDEX($C$110:$C$210,D224))*(INDEX($B$110:$B$210,D224+1)-INDEX($B$110:$B$210,D224))),NA())</f>
        <v>0.73809832577569545</v>
      </c>
    </row>
    <row r="225" spans="2:7" hidden="1" outlineLevel="1" x14ac:dyDescent="0.45">
      <c r="B225" s="53">
        <v>12</v>
      </c>
      <c r="C225" s="51">
        <f ca="1">IF(ISNUMBER($C$110),$C$110+($C$210-$C$110)*12/24,NA())</f>
        <v>156.67246832273645</v>
      </c>
      <c r="D225" s="54">
        <f t="shared" ca="1" si="2"/>
        <v>80</v>
      </c>
      <c r="E225" s="51">
        <f t="shared" ca="1" si="3"/>
        <v>161.38470385988495</v>
      </c>
      <c r="F225" s="52">
        <f t="shared" ca="1" si="4"/>
        <v>4.7814743913920821E-2</v>
      </c>
      <c r="G225" s="52" cm="1">
        <f t="array" aca="1" ref="G225" ca="1">IF(ISNUMBER(D225),IF(D225&gt;=101,INDEX($B$110:$B$210,101),INDEX($B$110:$B$210,D225)+(C225-INDEX($C$110:$C$210,D225))/MAX(0.000000000001,INDEX($C$110:$C$210,D225+1)-INDEX($C$110:$C$210,D225))*(INDEX($B$110:$B$210,D225+1)-INDEX($B$110:$B$210,D225))),NA())</f>
        <v>0.79658533832791234</v>
      </c>
    </row>
    <row r="226" spans="2:7" hidden="1" outlineLevel="1" x14ac:dyDescent="0.45">
      <c r="B226" s="53">
        <v>13</v>
      </c>
      <c r="C226" s="51">
        <f ca="1">IF(ISNUMBER($C$110),$C$110+($C$210-$C$110)*13/24,NA())</f>
        <v>166.09693939703345</v>
      </c>
      <c r="D226" s="54">
        <f t="shared" ca="1" si="2"/>
        <v>85</v>
      </c>
      <c r="E226" s="51">
        <f t="shared" ca="1" si="3"/>
        <v>170.80917493418195</v>
      </c>
      <c r="F226" s="52">
        <f t="shared" ca="1" si="4"/>
        <v>3.9993045152692974E-2</v>
      </c>
      <c r="G226" s="52" cm="1">
        <f t="array" aca="1" ref="G226" ca="1">IF(ISNUMBER(D226),IF(D226&gt;=101,INDEX($B$110:$B$210,101),INDEX($B$110:$B$210,D226)+(C226-INDEX($C$110:$C$210,D226))/MAX(0.000000000001,INDEX($C$110:$C$210,D226+1)-INDEX($C$110:$C$210,D226))*(INDEX($B$110:$B$210,D226+1)-INDEX($B$110:$B$210,D226))),NA())</f>
        <v>0.84440008224183316</v>
      </c>
    </row>
    <row r="227" spans="2:7" hidden="1" outlineLevel="1" x14ac:dyDescent="0.45">
      <c r="B227" s="53">
        <v>14</v>
      </c>
      <c r="C227" s="51">
        <f ca="1">IF(ISNUMBER($C$110),$C$110+($C$210-$C$110)*14/24,NA())</f>
        <v>175.52141047133046</v>
      </c>
      <c r="D227" s="54">
        <f t="shared" ca="1" si="2"/>
        <v>89</v>
      </c>
      <c r="E227" s="51">
        <f t="shared" ca="1" si="3"/>
        <v>180.23364600847896</v>
      </c>
      <c r="F227" s="52">
        <f t="shared" ca="1" si="4"/>
        <v>2.9113939248956111E-2</v>
      </c>
      <c r="G227" s="52" cm="1">
        <f t="array" aca="1" ref="G227" ca="1">IF(ISNUMBER(D227),IF(D227&gt;=101,INDEX($B$110:$B$210,101),INDEX($B$110:$B$210,D227)+(C227-INDEX($C$110:$C$210,D227))/MAX(0.000000000001,INDEX($C$110:$C$210,D227+1)-INDEX($C$110:$C$210,D227))*(INDEX($B$110:$B$210,D227+1)-INDEX($B$110:$B$210,D227))),NA())</f>
        <v>0.88439312739452614</v>
      </c>
    </row>
    <row r="228" spans="2:7" hidden="1" outlineLevel="1" x14ac:dyDescent="0.45">
      <c r="B228" s="53">
        <v>15</v>
      </c>
      <c r="C228" s="51">
        <f ca="1">IF(ISNUMBER($C$110),$C$110+($C$210-$C$110)*15/24,NA())</f>
        <v>184.94588154562746</v>
      </c>
      <c r="D228" s="54">
        <f t="shared" ca="1" si="2"/>
        <v>92</v>
      </c>
      <c r="E228" s="51">
        <f t="shared" ca="1" si="3"/>
        <v>189.65811708277596</v>
      </c>
      <c r="F228" s="52">
        <f t="shared" ca="1" si="4"/>
        <v>2.175299060790914E-2</v>
      </c>
      <c r="G228" s="52" cm="1">
        <f t="array" aca="1" ref="G228" ca="1">IF(ISNUMBER(D228),IF(D228&gt;=101,INDEX($B$110:$B$210,101),INDEX($B$110:$B$210,D228)+(C228-INDEX($C$110:$C$210,D228))/MAX(0.000000000001,INDEX($C$110:$C$210,D228+1)-INDEX($C$110:$C$210,D228))*(INDEX($B$110:$B$210,D228+1)-INDEX($B$110:$B$210,D228))),NA())</f>
        <v>0.91350706664348225</v>
      </c>
    </row>
    <row r="229" spans="2:7" hidden="1" outlineLevel="1" x14ac:dyDescent="0.45">
      <c r="B229" s="53">
        <v>16</v>
      </c>
      <c r="C229" s="51">
        <f ca="1">IF(ISNUMBER($C$110),$C$110+($C$210-$C$110)*16/24,NA())</f>
        <v>194.37035261992446</v>
      </c>
      <c r="D229" s="54">
        <f t="shared" ca="1" si="2"/>
        <v>94</v>
      </c>
      <c r="E229" s="51">
        <f t="shared" ca="1" si="3"/>
        <v>199.08258815707296</v>
      </c>
      <c r="F229" s="52">
        <f t="shared" ca="1" si="4"/>
        <v>1.5955952867347634E-2</v>
      </c>
      <c r="G229" s="52" cm="1">
        <f t="array" aca="1" ref="G229" ca="1">IF(ISNUMBER(D229),IF(D229&gt;=101,INDEX($B$110:$B$210,101),INDEX($B$110:$B$210,D229)+(C229-INDEX($C$110:$C$210,D229))/MAX(0.000000000001,INDEX($C$110:$C$210,D229+1)-INDEX($C$110:$C$210,D229))*(INDEX($B$110:$B$210,D229+1)-INDEX($B$110:$B$210,D229))),NA())</f>
        <v>0.93526005725139139</v>
      </c>
    </row>
    <row r="230" spans="2:7" hidden="1" outlineLevel="1" x14ac:dyDescent="0.45">
      <c r="B230" s="53">
        <v>17</v>
      </c>
      <c r="C230" s="51">
        <f ca="1">IF(ISNUMBER($C$110),$C$110+($C$210-$C$110)*17/24,NA())</f>
        <v>203.79482369422146</v>
      </c>
      <c r="D230" s="54">
        <f t="shared" ca="1" si="2"/>
        <v>96</v>
      </c>
      <c r="E230" s="51">
        <f t="shared" ca="1" si="3"/>
        <v>208.50705923136996</v>
      </c>
      <c r="F230" s="52">
        <f t="shared" ca="1" si="4"/>
        <v>1.3192360364202793E-2</v>
      </c>
      <c r="G230" s="52" cm="1">
        <f t="array" aca="1" ref="G230" ca="1">IF(ISNUMBER(D230),IF(D230&gt;=101,INDEX($B$110:$B$210,101),INDEX($B$110:$B$210,D230)+(C230-INDEX($C$110:$C$210,D230))/MAX(0.000000000001,INDEX($C$110:$C$210,D230+1)-INDEX($C$110:$C$210,D230))*(INDEX($B$110:$B$210,D230+1)-INDEX($B$110:$B$210,D230))),NA())</f>
        <v>0.95121601011873902</v>
      </c>
    </row>
    <row r="231" spans="2:7" hidden="1" outlineLevel="1" x14ac:dyDescent="0.45">
      <c r="B231" s="53">
        <v>18</v>
      </c>
      <c r="C231" s="51">
        <f ca="1">IF(ISNUMBER($C$110),$C$110+($C$210-$C$110)*18/24,NA())</f>
        <v>213.21929476851847</v>
      </c>
      <c r="D231" s="54">
        <f t="shared" ca="1" si="2"/>
        <v>97</v>
      </c>
      <c r="E231" s="51">
        <f t="shared" ca="1" si="3"/>
        <v>217.93153030566697</v>
      </c>
      <c r="F231" s="52">
        <f t="shared" ca="1" si="4"/>
        <v>9.6286928958168039E-3</v>
      </c>
      <c r="G231" s="52" cm="1">
        <f t="array" aca="1" ref="G231" ca="1">IF(ISNUMBER(D231),IF(D231&gt;=101,INDEX($B$110:$B$210,101),INDEX($B$110:$B$210,D231)+(C231-INDEX($C$110:$C$210,D231))/MAX(0.000000000001,INDEX($C$110:$C$210,D231+1)-INDEX($C$110:$C$210,D231))*(INDEX($B$110:$B$210,D231+1)-INDEX($B$110:$B$210,D231))),NA())</f>
        <v>0.96440837048294181</v>
      </c>
    </row>
    <row r="232" spans="2:7" hidden="1" outlineLevel="1" x14ac:dyDescent="0.45">
      <c r="B232" s="53">
        <v>19</v>
      </c>
      <c r="C232" s="51">
        <f ca="1">IF(ISNUMBER($C$110),$C$110+($C$210-$C$110)*19/24,NA())</f>
        <v>222.64376584281547</v>
      </c>
      <c r="D232" s="54">
        <f t="shared" ca="1" si="2"/>
        <v>98</v>
      </c>
      <c r="E232" s="51">
        <f t="shared" ca="1" si="3"/>
        <v>227.35600137996397</v>
      </c>
      <c r="F232" s="52">
        <f t="shared" ca="1" si="4"/>
        <v>7.1126871839625183E-3</v>
      </c>
      <c r="G232" s="52" cm="1">
        <f t="array" aca="1" ref="G232" ca="1">IF(ISNUMBER(D232),IF(D232&gt;=101,INDEX($B$110:$B$210,101),INDEX($B$110:$B$210,D232)+(C232-INDEX($C$110:$C$210,D232))/MAX(0.000000000001,INDEX($C$110:$C$210,D232+1)-INDEX($C$110:$C$210,D232))*(INDEX($B$110:$B$210,D232+1)-INDEX($B$110:$B$210,D232))),NA())</f>
        <v>0.97403706337875862</v>
      </c>
    </row>
    <row r="233" spans="2:7" hidden="1" outlineLevel="1" x14ac:dyDescent="0.45">
      <c r="B233" s="53">
        <v>20</v>
      </c>
      <c r="C233" s="51">
        <f ca="1">IF(ISNUMBER($C$110),$C$110+($C$210-$C$110)*20/24,NA())</f>
        <v>232.06823691711247</v>
      </c>
      <c r="D233" s="54">
        <f t="shared" ca="1" si="2"/>
        <v>99</v>
      </c>
      <c r="E233" s="51">
        <f t="shared" ca="1" si="3"/>
        <v>236.78047245426097</v>
      </c>
      <c r="F233" s="52">
        <f t="shared" ca="1" si="4"/>
        <v>3.7462455800671979E-3</v>
      </c>
      <c r="G233" s="52" cm="1">
        <f t="array" aca="1" ref="G233" ca="1">IF(ISNUMBER(D233),IF(D233&gt;=101,INDEX($B$110:$B$210,101),INDEX($B$110:$B$210,D233)+(C233-INDEX($C$110:$C$210,D233))/MAX(0.000000000001,INDEX($C$110:$C$210,D233+1)-INDEX($C$110:$C$210,D233))*(INDEX($B$110:$B$210,D233+1)-INDEX($B$110:$B$210,D233))),NA())</f>
        <v>0.98114975056272113</v>
      </c>
    </row>
    <row r="234" spans="2:7" hidden="1" outlineLevel="1" x14ac:dyDescent="0.45">
      <c r="B234" s="53">
        <v>21</v>
      </c>
      <c r="C234" s="51">
        <f ca="1">IF(ISNUMBER($C$110),$C$110+($C$210-$C$110)*21/24,NA())</f>
        <v>241.49270799140947</v>
      </c>
      <c r="D234" s="54">
        <f t="shared" ca="1" si="2"/>
        <v>99</v>
      </c>
      <c r="E234" s="51">
        <f t="shared" ca="1" si="3"/>
        <v>246.20494352855798</v>
      </c>
      <c r="F234" s="52">
        <f t="shared" ca="1" si="4"/>
        <v>3.7462455800671979E-3</v>
      </c>
      <c r="G234" s="52" cm="1">
        <f t="array" aca="1" ref="G234" ca="1">IF(ISNUMBER(D234),IF(D234&gt;=101,INDEX($B$110:$B$210,101),INDEX($B$110:$B$210,D234)+(C234-INDEX($C$110:$C$210,D234))/MAX(0.000000000001,INDEX($C$110:$C$210,D234+1)-INDEX($C$110:$C$210,D234))*(INDEX($B$110:$B$210,D234+1)-INDEX($B$110:$B$210,D234))),NA())</f>
        <v>0.98489599614278833</v>
      </c>
    </row>
    <row r="235" spans="2:7" hidden="1" outlineLevel="1" x14ac:dyDescent="0.45">
      <c r="B235" s="53">
        <v>22</v>
      </c>
      <c r="C235" s="51">
        <f ca="1">IF(ISNUMBER($C$110),$C$110+($C$210-$C$110)*22/24,NA())</f>
        <v>250.91717906570648</v>
      </c>
      <c r="D235" s="54">
        <f t="shared" ca="1" si="2"/>
        <v>99</v>
      </c>
      <c r="E235" s="51">
        <f t="shared" ca="1" si="3"/>
        <v>255.62941460285498</v>
      </c>
      <c r="F235" s="52">
        <f t="shared" ca="1" si="4"/>
        <v>3.3044504546844156E-3</v>
      </c>
      <c r="G235" s="52" cm="1">
        <f t="array" aca="1" ref="G235" ca="1">IF(ISNUMBER(D235),IF(D235&gt;=101,INDEX($B$110:$B$210,101),INDEX($B$110:$B$210,D235)+(C235-INDEX($C$110:$C$210,D235))/MAX(0.000000000001,INDEX($C$110:$C$210,D235+1)-INDEX($C$110:$C$210,D235))*(INDEX($B$110:$B$210,D235+1)-INDEX($B$110:$B$210,D235))),NA())</f>
        <v>0.98864224172285553</v>
      </c>
    </row>
    <row r="236" spans="2:7" hidden="1" outlineLevel="1" x14ac:dyDescent="0.45">
      <c r="B236" s="53">
        <v>23</v>
      </c>
      <c r="C236" s="51">
        <f ca="1">IF(ISNUMBER($C$110),$C$110+($C$210-$C$110)*23/24,NA())</f>
        <v>260.34165014000348</v>
      </c>
      <c r="D236" s="54">
        <f t="shared" ca="1" si="2"/>
        <v>100</v>
      </c>
      <c r="E236" s="51">
        <f t="shared" ca="1" si="3"/>
        <v>265.05388567715198</v>
      </c>
      <c r="F236" s="52">
        <f t="shared" ca="1" si="4"/>
        <v>3.0533078224600496E-3</v>
      </c>
      <c r="G236" s="52" cm="1">
        <f t="array" aca="1" ref="G236" ca="1">IF(ISNUMBER(D236),IF(D236&gt;=101,INDEX($B$110:$B$210,101),INDEX($B$110:$B$210,D236)+(C236-INDEX($C$110:$C$210,D236))/MAX(0.000000000001,INDEX($C$110:$C$210,D236+1)-INDEX($C$110:$C$210,D236))*(INDEX($B$110:$B$210,D236+1)-INDEX($B$110:$B$210,D236))),NA())</f>
        <v>0.99194669217753995</v>
      </c>
    </row>
    <row r="237" spans="2:7" hidden="1" outlineLevel="1" x14ac:dyDescent="0.45">
      <c r="B237" s="53">
        <v>24</v>
      </c>
      <c r="C237" s="51">
        <f ca="1">IF(ISNUMBER($C$110),$C$110+($C$210-$C$110)*24/24,NA())</f>
        <v>269.76612121430048</v>
      </c>
      <c r="D237" s="54">
        <f t="shared" ca="1" si="2"/>
        <v>101</v>
      </c>
      <c r="G237" s="52" cm="1">
        <f t="array" aca="1" ref="G237" ca="1">IF(ISNUMBER(D237),IF(D237&gt;=101,INDEX($B$110:$B$210,101),INDEX($B$110:$B$210,D237)+(C237-INDEX($C$110:$C$210,D237))/MAX(0.000000000001,INDEX($C$110:$C$210,D237+1)-INDEX($C$110:$C$210,D237))*(INDEX($B$110:$B$210,D237+1)-INDEX($B$110:$B$210,D237))),NA())</f>
        <v>0.995</v>
      </c>
    </row>
  </sheetData>
  <mergeCells count="4">
    <mergeCell ref="B52:G52"/>
    <mergeCell ref="B49:G49"/>
    <mergeCell ref="B50:G50"/>
    <mergeCell ref="B51:G51"/>
  </mergeCells>
  <conditionalFormatting sqref="B7">
    <cfRule type="expression" dxfId="3" priority="2">
      <formula>LEFT($B$7,1)="✗"</formula>
    </cfRule>
  </conditionalFormatting>
  <conditionalFormatting sqref="B6:G6">
    <cfRule type="expression" dxfId="2" priority="1">
      <formula>LEFT($B$6,1)&lt;&gt;"✔"</formula>
    </cfRule>
  </conditionalFormatting>
  <conditionalFormatting sqref="C110:G237">
    <cfRule type="expression" dxfId="1" priority="4">
      <formula>ISNA($C$110)</formula>
    </cfRule>
  </conditionalFormatting>
  <conditionalFormatting sqref="D58:F107">
    <cfRule type="expression" dxfId="0" priority="3">
      <formula>ISNA(D58)</formula>
    </cfRule>
  </conditionalFormatting>
  <hyperlinks>
    <hyperlink ref="B4" location="'Moments'!A1" display="◂  Moments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7E5C4-E1E3-4338-A77A-8C28A2BE19E9}">
  <dimension ref="A1:B1"/>
  <sheetViews>
    <sheetView workbookViewId="0"/>
  </sheetViews>
  <sheetFormatPr defaultRowHeight="14.25" x14ac:dyDescent="0.45"/>
  <sheetData>
    <row r="1" spans="1:2" x14ac:dyDescent="0.45">
      <c r="A1" s="59" t="s">
        <v>204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B8B9E-2C8C-4563-9144-9430AC662385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12235-63C7-49C3-AB55-3745D42C19C5}">
  <dimension ref="B3:B32"/>
  <sheetViews>
    <sheetView workbookViewId="0"/>
  </sheetViews>
  <sheetFormatPr defaultRowHeight="14.25" x14ac:dyDescent="0.45"/>
  <sheetData>
    <row r="3" spans="2:2" x14ac:dyDescent="0.45">
      <c r="B3">
        <v>239</v>
      </c>
    </row>
    <row r="4" spans="2:2" x14ac:dyDescent="0.45">
      <c r="B4">
        <v>734</v>
      </c>
    </row>
    <row r="5" spans="2:2" x14ac:dyDescent="0.45">
      <c r="B5">
        <v>621</v>
      </c>
    </row>
    <row r="6" spans="2:2" x14ac:dyDescent="0.45">
      <c r="B6">
        <v>274</v>
      </c>
    </row>
    <row r="7" spans="2:2" x14ac:dyDescent="0.45">
      <c r="B7">
        <v>94</v>
      </c>
    </row>
    <row r="8" spans="2:2" x14ac:dyDescent="0.45">
      <c r="B8">
        <v>31</v>
      </c>
    </row>
    <row r="9" spans="2:2" x14ac:dyDescent="0.45">
      <c r="B9">
        <v>3</v>
      </c>
    </row>
    <row r="10" spans="2:2" x14ac:dyDescent="0.45">
      <c r="B10">
        <v>2</v>
      </c>
    </row>
    <row r="11" spans="2:2" x14ac:dyDescent="0.45">
      <c r="B11">
        <v>0</v>
      </c>
    </row>
    <row r="12" spans="2:2" x14ac:dyDescent="0.45">
      <c r="B12">
        <v>2</v>
      </c>
    </row>
    <row r="13" spans="2:2" x14ac:dyDescent="0.45">
      <c r="B13">
        <v>337</v>
      </c>
    </row>
    <row r="14" spans="2:2" x14ac:dyDescent="0.45">
      <c r="B14">
        <v>773</v>
      </c>
    </row>
    <row r="15" spans="2:2" x14ac:dyDescent="0.45">
      <c r="B15">
        <v>530</v>
      </c>
    </row>
    <row r="16" spans="2:2" x14ac:dyDescent="0.45">
      <c r="B16">
        <v>240</v>
      </c>
    </row>
    <row r="17" spans="2:2" x14ac:dyDescent="0.45">
      <c r="B17">
        <v>83</v>
      </c>
    </row>
    <row r="18" spans="2:2" x14ac:dyDescent="0.45">
      <c r="B18">
        <v>30</v>
      </c>
    </row>
    <row r="19" spans="2:2" x14ac:dyDescent="0.45">
      <c r="B19">
        <v>5</v>
      </c>
    </row>
    <row r="20" spans="2:2" x14ac:dyDescent="0.45">
      <c r="B20">
        <v>1</v>
      </c>
    </row>
    <row r="21" spans="2:2" x14ac:dyDescent="0.45">
      <c r="B21">
        <v>0</v>
      </c>
    </row>
    <row r="22" spans="2:2" x14ac:dyDescent="0.45">
      <c r="B22">
        <v>1</v>
      </c>
    </row>
    <row r="23" spans="2:2" x14ac:dyDescent="0.45">
      <c r="B23">
        <v>3</v>
      </c>
    </row>
    <row r="24" spans="2:2" x14ac:dyDescent="0.45">
      <c r="B24">
        <v>17</v>
      </c>
    </row>
    <row r="25" spans="2:2" x14ac:dyDescent="0.45">
      <c r="B25">
        <v>68</v>
      </c>
    </row>
    <row r="26" spans="2:2" x14ac:dyDescent="0.45">
      <c r="B26">
        <v>253</v>
      </c>
    </row>
    <row r="27" spans="2:2" x14ac:dyDescent="0.45">
      <c r="B27">
        <v>486</v>
      </c>
    </row>
    <row r="28" spans="2:2" x14ac:dyDescent="0.45">
      <c r="B28">
        <v>572</v>
      </c>
    </row>
    <row r="29" spans="2:2" x14ac:dyDescent="0.45">
      <c r="B29">
        <v>387</v>
      </c>
    </row>
    <row r="30" spans="2:2" x14ac:dyDescent="0.45">
      <c r="B30">
        <v>167</v>
      </c>
    </row>
    <row r="31" spans="2:2" x14ac:dyDescent="0.45">
      <c r="B31">
        <v>39</v>
      </c>
    </row>
    <row r="32" spans="2:2" x14ac:dyDescent="0.45">
      <c r="B32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884">PABGAEkATABUAEUAUgBTAD4ADQAKADwALwBDAE4AVAA6ADAADQAKAEYASQBMAFQARQBSAFMAPgANAAoAPABQAEEARwBFAFMAPgANAAoAQwBOAFQAOgAz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BOADoAMwANAAoAVABZAFAARQA6ADIADQAKAE4ATQA6AEgAaQBzAHQAbwBnAHIAYQBtADMADQAKAFMASQBNAEkARAA6ADAADQAKAFMARQBMAFMAOgAwAA0ACgBDAFUAUgBTAEUATAA6ADAADQAKADwATwBQAFQASQBPAE4AUwA+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DwALwBQAEEARwBFAFMAPgANAAoA</mr:Charts>
</mr:ModelRisk>
</file>

<file path=customXml/itemProps1.xml><?xml version="1.0" encoding="utf-8"?>
<ds:datastoreItem xmlns:ds="http://schemas.openxmlformats.org/officeDocument/2006/customXml" ds:itemID="{0627FA0D-E0E7-4C63-BE4B-2A646BF0BE14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36</vt:i4>
      </vt:variant>
    </vt:vector>
  </HeadingPairs>
  <TitlesOfParts>
    <vt:vector size="43" baseType="lpstr">
      <vt:lpstr>About</vt:lpstr>
      <vt:lpstr>Inputs</vt:lpstr>
      <vt:lpstr>Moments</vt:lpstr>
      <vt:lpstr>Results</vt:lpstr>
      <vt:lpstr>ModelRiskDSN</vt:lpstr>
      <vt:lpstr>ModelRiskSYS1</vt:lpstr>
      <vt:lpstr>ModelRiskCharts</vt:lpstr>
      <vt:lpstr>AggKurt</vt:lpstr>
      <vt:lpstr>AggMean</vt:lpstr>
      <vt:lpstr>AggSkew</vt:lpstr>
      <vt:lpstr>AggVar</vt:lpstr>
      <vt:lpstr>Checks</vt:lpstr>
      <vt:lpstr>Form_AggKurt</vt:lpstr>
      <vt:lpstr>Form_AggMean</vt:lpstr>
      <vt:lpstr>Form_AggSkew</vt:lpstr>
      <vt:lpstr>Form_AggVar</vt:lpstr>
      <vt:lpstr>Freq</vt:lpstr>
      <vt:lpstr>Gam_AggKurt</vt:lpstr>
      <vt:lpstr>Gam_AggMean</vt:lpstr>
      <vt:lpstr>Gam_AggSkew</vt:lpstr>
      <vt:lpstr>Gam_AggVar</vt:lpstr>
      <vt:lpstr>GamA</vt:lpstr>
      <vt:lpstr>GamB</vt:lpstr>
      <vt:lpstr>GammaObj</vt:lpstr>
      <vt:lpstr>GamT</vt:lpstr>
      <vt:lpstr>Lambda</vt:lpstr>
      <vt:lpstr>LargeYear</vt:lpstr>
      <vt:lpstr>Norm_AggKurt</vt:lpstr>
      <vt:lpstr>Norm_AggMean</vt:lpstr>
      <vt:lpstr>Norm_AggSkew</vt:lpstr>
      <vt:lpstr>Norm_AggVar</vt:lpstr>
      <vt:lpstr>NormObj</vt:lpstr>
      <vt:lpstr>Moments!Print_Area</vt:lpstr>
      <vt:lpstr>Results!Print_Area</vt:lpstr>
      <vt:lpstr>Inputs!Print_Titles</vt:lpstr>
      <vt:lpstr>Results!Print_Titles</vt:lpstr>
      <vt:lpstr>Sev</vt:lpstr>
      <vt:lpstr>SevMean</vt:lpstr>
      <vt:lpstr>SevSD</vt:lpstr>
      <vt:lpstr>SmallYear</vt:lpstr>
      <vt:lpstr>Tot_Gamma</vt:lpstr>
      <vt:lpstr>Tot_Normal</vt:lpstr>
      <vt:lpstr>Tot_Sim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GU-21 Moments of an Aggregate Distribution</dc:title>
  <dc:subject>ModelRisk industry example library — General use</dc:subject>
  <dc:creator>Vose Software</dc:creator>
  <cp:keywords>ModelRisk; Monte Carlo; General use</cp:keywords>
  <dc:description>The exact moments of a Poisson–Lognormal total, and a shifted Gamma matched to them, against simulation.</dc:description>
  <cp:lastModifiedBy>Timour Koupeev</cp:lastModifiedBy>
  <cp:lastPrinted>2026-10-07T16:06:15Z</cp:lastPrinted>
  <dcterms:created xsi:type="dcterms:W3CDTF">2026-10-07T16:05:28Z</dcterms:created>
  <dcterms:modified xsi:type="dcterms:W3CDTF">2026-10-07T16:06:17Z</dcterms:modified>
</cp:coreProperties>
</file>