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196D6C55-0CB9-4EF1-B4A6-D888524B31DC}"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istribution" sheetId="3" r:id="rId3"/>
    <sheet name="Copula" sheetId="4" r:id="rId4"/>
    <sheet name="Time series" sheetId="5" r:id="rId5"/>
    <sheet name="Results" sheetId="6" r:id="rId6"/>
    <sheet name="ModelRiskDSN" sheetId="7" state="hidden" r:id="rId7"/>
    <sheet name="ModelRiskSYS1" sheetId="8" state="hidden" r:id="rId8"/>
    <sheet name="ModelRiskCharts" sheetId="9" state="hidden" r:id="rId9"/>
  </sheets>
  <definedNames>
    <definedName name="BMA_Cum">Distribution!$H$32</definedName>
    <definedName name="BMA_Dens">Distribution!$G$32</definedName>
    <definedName name="BMA_Obj">Distribution!$I$36</definedName>
    <definedName name="Checks">'Time series'!$F$95:$F$99</definedName>
    <definedName name="Clayton_U1">Copula!$F$79</definedName>
    <definedName name="Clayton_U2">Copula!$F$80</definedName>
    <definedName name="Clayton_U3">Copula!$F$81</definedName>
    <definedName name="CN_U1">Copula!$F$82</definedName>
    <definedName name="CN_U2">Copula!$F$83</definedName>
    <definedName name="CN_U3">Copula!$F$84</definedName>
    <definedName name="Cop_U1">Copula!$F$70</definedName>
    <definedName name="Cop_U2">Copula!$F$71</definedName>
    <definedName name="Cop_U3">Copula!$F$72</definedName>
    <definedName name="CopBMA_Obj">Copula!$I$54</definedName>
    <definedName name="CopObjs">Copula!$I$42:$I$46</definedName>
    <definedName name="CopPriors">Copula!$C$42:$C$46</definedName>
    <definedName name="CT_U1">Copula!$F$85</definedName>
    <definedName name="CT_U2">Copula!$F$86</definedName>
    <definedName name="CT_U3">Copula!$F$87</definedName>
    <definedName name="Data_Cop">Copula!$C$9:$E$31</definedName>
    <definedName name="Data_Dist">Distribution!$C$9:$C$19</definedName>
    <definedName name="Data_TS">'Time series'!$C$9:$C$52</definedName>
    <definedName name="DataRho_1">Copula!$F$35</definedName>
    <definedName name="DataRho_2">Copula!$F$36</definedName>
    <definedName name="DataRho_3">Copula!$F$37</definedName>
    <definedName name="Dist_BMA">Distribution!$F$50</definedName>
    <definedName name="Dist_Lognormal">Distribution!$F$52</definedName>
    <definedName name="Dist_Normal">Distribution!$F$51</definedName>
    <definedName name="DistObjs">Distribution!$I$24:$I$25</definedName>
    <definedName name="DistPriors">Distribution!$C$24:$C$25</definedName>
    <definedName name="Fc_1">'Time series'!$F$66</definedName>
    <definedName name="Fc_10">'Time series'!$F$75</definedName>
    <definedName name="Fc_11">'Time series'!$F$76</definedName>
    <definedName name="Fc_12">'Time series'!$F$77</definedName>
    <definedName name="Fc_13">'Time series'!$F$78</definedName>
    <definedName name="Fc_14">'Time series'!$F$79</definedName>
    <definedName name="Fc_15">'Time series'!$F$80</definedName>
    <definedName name="Fc_16">'Time series'!$F$81</definedName>
    <definedName name="Fc_17">'Time series'!$F$82</definedName>
    <definedName name="Fc_18">'Time series'!$F$83</definedName>
    <definedName name="Fc_19">'Time series'!$F$84</definedName>
    <definedName name="Fc_2">'Time series'!$F$67</definedName>
    <definedName name="Fc_20">'Time series'!$F$85</definedName>
    <definedName name="Fc_21">'Time series'!$F$86</definedName>
    <definedName name="Fc_22">'Time series'!$F$87</definedName>
    <definedName name="Fc_23">'Time series'!$F$88</definedName>
    <definedName name="Fc_24">'Time series'!$F$89</definedName>
    <definedName name="Fc_25">'Time series'!$F$90</definedName>
    <definedName name="Fc_3">'Time series'!$F$68</definedName>
    <definedName name="Fc_4">'Time series'!$F$69</definedName>
    <definedName name="Fc_5">'Time series'!$F$70</definedName>
    <definedName name="Fc_6">'Time series'!$F$71</definedName>
    <definedName name="Fc_7">'Time series'!$F$72</definedName>
    <definedName name="Fc_8">'Time series'!$F$73</definedName>
    <definedName name="Fc_9">'Time series'!$F$74</definedName>
    <definedName name="Frank_U1">Copula!$F$73</definedName>
    <definedName name="Frank_U2">Copula!$F$74</definedName>
    <definedName name="Frank_U3">Copula!$F$75</definedName>
    <definedName name="Gumbel_U1">Copula!$F$76</definedName>
    <definedName name="Gumbel_U2">Copula!$F$77</definedName>
    <definedName name="Gumbel_U3">Copula!$F$78</definedName>
    <definedName name="LLH_AR1">'Time series'!$D$57</definedName>
    <definedName name="LLH_Clayton">Copula!$D$44</definedName>
    <definedName name="LLH_CN">Copula!$D$45</definedName>
    <definedName name="LLH_CT">Copula!$D$46</definedName>
    <definedName name="LLH_DL">Distribution!$D$25</definedName>
    <definedName name="LLH_DN">Distribution!$D$24</definedName>
    <definedName name="LLH_Frank">Copula!$D$42</definedName>
    <definedName name="LLH_GBM">'Time series'!$D$58</definedName>
    <definedName name="LLH_Gumbel">Copula!$D$43</definedName>
    <definedName name="LLH_MA1">'Time series'!$D$59</definedName>
    <definedName name="Mix_Cum">Distribution!$H$34</definedName>
    <definedName name="Mix_Dens">Distribution!$G$34</definedName>
    <definedName name="_xlnm.Print_Area" localSheetId="3">Copula!$A$1:$K$89</definedName>
    <definedName name="_xlnm.Print_Area" localSheetId="2">Distribution!$A$1:$K$54</definedName>
    <definedName name="_xlnm.Print_Area" localSheetId="5">Results!$A$1:$R$50</definedName>
    <definedName name="_xlnm.Print_Area" localSheetId="4">'Time series'!$A$1:$K$101</definedName>
    <definedName name="_xlnm.Print_Titles" localSheetId="1">Inputs!$1:$4</definedName>
    <definedName name="_xlnm.Print_Titles" localSheetId="5">Results!$1:$4</definedName>
    <definedName name="Prior_AR1">Inputs!$D$26</definedName>
    <definedName name="Prior_Clayton">Inputs!$D$19</definedName>
    <definedName name="Prior_CN">Inputs!$D$20</definedName>
    <definedName name="Prior_CT">Inputs!$D$21</definedName>
    <definedName name="Prior_DL">Inputs!$D$12</definedName>
    <definedName name="Prior_DN">Inputs!$D$11</definedName>
    <definedName name="Prior_Frank">Inputs!$D$17</definedName>
    <definedName name="Prior_GBM">Inputs!$D$27</definedName>
    <definedName name="Prior_Gumbel">Inputs!$D$18</definedName>
    <definedName name="Prior_MA1">Inputs!$D$28</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S_Last">'Time series'!$C$52</definedName>
    <definedName name="TSBMA_Obj">'Time series'!$I$91</definedName>
    <definedName name="TSObjs">'Time series'!$I$57:$I$59</definedName>
    <definedName name="TSPriors">'Time series'!$C$57:$C$59</definedName>
    <definedName name="W_AR1">'Time series'!$F$57</definedName>
    <definedName name="W_Clayton">Copula!$F$44</definedName>
    <definedName name="W_CN">Copula!$F$45</definedName>
    <definedName name="W_CT">Copula!$F$46</definedName>
    <definedName name="W_DL">Distribution!$F$25</definedName>
    <definedName name="W_DN">Distribution!$F$24</definedName>
    <definedName name="W_Frank">Copula!$F$42</definedName>
    <definedName name="W_GBM">'Time series'!$F$58</definedName>
    <definedName name="W_Gumbel">Copula!$F$43</definedName>
    <definedName name="W_MA1">'Time series'!$F$59</definedName>
    <definedName name="X_Cum">Inputs!$D$34</definedName>
    <definedName name="X_Dens">Inputs!$D$33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2" i="6" l="1"/>
  <c r="G131" i="6"/>
  <c r="G130" i="6"/>
  <c r="G129" i="6"/>
  <c r="G128" i="6"/>
  <c r="G127" i="6"/>
  <c r="G126" i="6"/>
  <c r="G125" i="6"/>
  <c r="G124" i="6"/>
  <c r="G123" i="6"/>
  <c r="G122" i="6"/>
  <c r="G121" i="6"/>
  <c r="G120" i="6"/>
  <c r="G119" i="6"/>
  <c r="G118" i="6"/>
  <c r="G117" i="6"/>
  <c r="G116" i="6"/>
  <c r="G115" i="6"/>
  <c r="G114" i="6"/>
  <c r="G113" i="6"/>
  <c r="G112" i="6"/>
  <c r="G111" i="6"/>
  <c r="G110" i="6"/>
  <c r="G109" i="6"/>
  <c r="G108"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33" i="6"/>
  <c r="C32" i="6"/>
  <c r="C31" i="6"/>
  <c r="C59" i="5"/>
  <c r="C58" i="5"/>
  <c r="C57"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C46" i="4"/>
  <c r="C45" i="4"/>
  <c r="C44" i="4"/>
  <c r="C43" i="4"/>
  <c r="C42" i="4"/>
  <c r="F96" i="5" s="1"/>
  <c r="H31" i="4"/>
  <c r="G31" i="4"/>
  <c r="F31" i="4"/>
  <c r="H30" i="4"/>
  <c r="G30" i="4"/>
  <c r="F30" i="4"/>
  <c r="H29" i="4"/>
  <c r="G29" i="4"/>
  <c r="F29" i="4"/>
  <c r="H28" i="4"/>
  <c r="G28" i="4"/>
  <c r="F28" i="4"/>
  <c r="H27" i="4"/>
  <c r="G27" i="4"/>
  <c r="F27" i="4"/>
  <c r="H26" i="4"/>
  <c r="G26" i="4"/>
  <c r="F26" i="4"/>
  <c r="H25" i="4"/>
  <c r="G25" i="4"/>
  <c r="F25" i="4"/>
  <c r="H24" i="4"/>
  <c r="G24" i="4"/>
  <c r="F24" i="4"/>
  <c r="H23" i="4"/>
  <c r="G23" i="4"/>
  <c r="F23" i="4"/>
  <c r="H22" i="4"/>
  <c r="G22" i="4"/>
  <c r="F22" i="4"/>
  <c r="H21" i="4"/>
  <c r="G21" i="4"/>
  <c r="F21" i="4"/>
  <c r="H20" i="4"/>
  <c r="G20" i="4"/>
  <c r="F20" i="4"/>
  <c r="H19" i="4"/>
  <c r="G19" i="4"/>
  <c r="F19" i="4"/>
  <c r="H18" i="4"/>
  <c r="G18" i="4"/>
  <c r="F18" i="4"/>
  <c r="H17" i="4"/>
  <c r="G17" i="4"/>
  <c r="F17" i="4"/>
  <c r="H16" i="4"/>
  <c r="G16" i="4"/>
  <c r="F16" i="4"/>
  <c r="H15" i="4"/>
  <c r="G15" i="4"/>
  <c r="F15" i="4"/>
  <c r="H14" i="4"/>
  <c r="G14" i="4"/>
  <c r="F14" i="4"/>
  <c r="H13" i="4"/>
  <c r="G13" i="4"/>
  <c r="F13" i="4"/>
  <c r="H12" i="4"/>
  <c r="G12" i="4"/>
  <c r="F12" i="4"/>
  <c r="H11" i="4"/>
  <c r="G11" i="4"/>
  <c r="F11" i="4"/>
  <c r="H10" i="4"/>
  <c r="G10" i="4"/>
  <c r="F10" i="4"/>
  <c r="H9" i="4"/>
  <c r="G9" i="4"/>
  <c r="F37" i="4" s="1"/>
  <c r="G20" i="6" s="1"/>
  <c r="F9" i="4"/>
  <c r="F35" i="4" s="1"/>
  <c r="E20" i="6" s="1"/>
  <c r="H31" i="3"/>
  <c r="G31" i="3"/>
  <c r="C25" i="3"/>
  <c r="C24" i="3"/>
  <c r="F95" i="5"/>
  <c r="F36" i="4"/>
  <c r="F20" i="6" s="1"/>
  <c r="F97" i="5"/>
  <c r="I91" i="5" a="1"/>
  <c r="I59" i="5" a="1"/>
  <c r="I58" i="5" a="1"/>
  <c r="I57" i="5" a="1"/>
  <c r="I46" i="4" a="1"/>
  <c r="I54" i="4" a="1"/>
  <c r="I43" i="4" a="1"/>
  <c r="I45" i="4" a="1"/>
  <c r="I42" i="4" a="1"/>
  <c r="I44" i="4" a="1"/>
  <c r="F45" i="3" a="1"/>
  <c r="I25" i="3" a="1"/>
  <c r="F42" i="3" a="1"/>
  <c r="I36" i="3" a="1"/>
  <c r="I24" i="3" a="1"/>
  <c r="F44" i="3" a="1"/>
  <c r="F43" i="3" a="1"/>
  <c r="I57" i="5" l="1"/>
  <c r="I58" i="5"/>
  <c r="I59" i="5"/>
  <c r="I91" i="5"/>
  <c r="I44" i="4"/>
  <c r="I42" i="4"/>
  <c r="I45" i="4"/>
  <c r="I43" i="4"/>
  <c r="I54" i="4"/>
  <c r="I46" i="4"/>
  <c r="F43" i="3"/>
  <c r="F52" i="3" s="1" a="1"/>
  <c r="F52" i="3" s="1"/>
  <c r="F44" i="3"/>
  <c r="I24" i="3"/>
  <c r="I36" i="3"/>
  <c r="F42" i="3"/>
  <c r="F51" i="3" s="1" a="1"/>
  <c r="F51" i="3" s="1"/>
  <c r="I25" i="3"/>
  <c r="F45" i="3"/>
  <c r="D85" i="6" a="1"/>
  <c r="D98" i="6" a="1"/>
  <c r="D75" i="6" a="1"/>
  <c r="D80" i="6" a="1"/>
  <c r="D60" i="6" a="1"/>
  <c r="D105" i="6" a="1"/>
  <c r="D72" i="6" a="1"/>
  <c r="D96" i="6" a="1"/>
  <c r="D89" i="6" a="1"/>
  <c r="D57" i="6" a="1"/>
  <c r="D71" i="6" a="1"/>
  <c r="D88" i="6" a="1"/>
  <c r="D64" i="6" a="1"/>
  <c r="D66" i="6" a="1"/>
  <c r="D102" i="6" a="1"/>
  <c r="E12" i="6" a="1"/>
  <c r="D103" i="6" a="1"/>
  <c r="D82" i="6" a="1"/>
  <c r="D62" i="6" a="1"/>
  <c r="D79" i="6" a="1"/>
  <c r="D92" i="6" a="1"/>
  <c r="D12" i="6" a="1"/>
  <c r="D61" i="6" a="1"/>
  <c r="D78" i="6" a="1"/>
  <c r="D76" i="6" a="1"/>
  <c r="D87" i="6" a="1"/>
  <c r="D90" i="6" a="1"/>
  <c r="D77" i="6" a="1"/>
  <c r="D94" i="6" a="1"/>
  <c r="D99" i="6" a="1"/>
  <c r="D81" i="6" a="1"/>
  <c r="D67" i="6" a="1"/>
  <c r="D104" i="6" a="1"/>
  <c r="D69" i="6" a="1"/>
  <c r="D95" i="6" a="1"/>
  <c r="D74" i="6" a="1"/>
  <c r="D63" i="6" a="1"/>
  <c r="D65" i="6" a="1"/>
  <c r="D58" i="6" a="1"/>
  <c r="D97" i="6" a="1"/>
  <c r="D84" i="6" a="1"/>
  <c r="G12" i="6" a="1"/>
  <c r="D70" i="6" a="1"/>
  <c r="D100" i="6" a="1"/>
  <c r="D93" i="6" a="1"/>
  <c r="D56" i="6" a="1"/>
  <c r="D59" i="6" a="1"/>
  <c r="D73" i="6" a="1"/>
  <c r="D68" i="6" a="1"/>
  <c r="F12" i="6" a="1"/>
  <c r="D83" i="6" a="1"/>
  <c r="D91" i="6" a="1"/>
  <c r="D86" i="6" a="1"/>
  <c r="D101" i="6" a="1"/>
  <c r="E59" i="6" a="1"/>
  <c r="E101" i="6" a="1"/>
  <c r="E103" i="6" a="1"/>
  <c r="E94" i="6" a="1"/>
  <c r="E60" i="6" a="1"/>
  <c r="E100" i="6" a="1"/>
  <c r="E90" i="6" a="1"/>
  <c r="E105" i="6" a="1"/>
  <c r="F13" i="6" a="1"/>
  <c r="E92" i="6" a="1"/>
  <c r="E87" i="6" a="1"/>
  <c r="E65" i="6" a="1"/>
  <c r="E75" i="6" a="1"/>
  <c r="E104" i="6" a="1"/>
  <c r="E81" i="6" a="1"/>
  <c r="E74" i="6" a="1"/>
  <c r="E76" i="6" a="1"/>
  <c r="E95" i="6" a="1"/>
  <c r="G13" i="6" a="1"/>
  <c r="E79" i="6" a="1"/>
  <c r="E72" i="6" a="1"/>
  <c r="E56" i="6" a="1"/>
  <c r="E67" i="6" a="1"/>
  <c r="D13" i="6" a="1"/>
  <c r="E68" i="6" a="1"/>
  <c r="E62" i="6" a="1"/>
  <c r="E70" i="6" a="1"/>
  <c r="E63" i="6" a="1"/>
  <c r="E102" i="6" a="1"/>
  <c r="E82" i="6" a="1"/>
  <c r="E78" i="6" a="1"/>
  <c r="E13" i="6" a="1"/>
  <c r="E66" i="6" a="1"/>
  <c r="E83" i="6" a="1"/>
  <c r="E98" i="6" a="1"/>
  <c r="E91" i="6" a="1"/>
  <c r="E61" i="6" a="1"/>
  <c r="E64" i="6" a="1"/>
  <c r="E99" i="6" a="1"/>
  <c r="E86" i="6" a="1"/>
  <c r="E88" i="6" a="1"/>
  <c r="E57" i="6" a="1"/>
  <c r="E96" i="6" a="1"/>
  <c r="E89" i="6" a="1"/>
  <c r="E58" i="6" a="1"/>
  <c r="E84" i="6" a="1"/>
  <c r="E71" i="6" a="1"/>
  <c r="E77" i="6" a="1"/>
  <c r="E97" i="6" a="1"/>
  <c r="E80" i="6" a="1"/>
  <c r="E85" i="6" a="1"/>
  <c r="E93" i="6" a="1"/>
  <c r="E73" i="6" a="1"/>
  <c r="E69" i="6" a="1"/>
  <c r="D57" i="5" a="1"/>
  <c r="E66" i="5" a="1"/>
  <c r="D58" i="5" a="1"/>
  <c r="D59" i="5" a="1"/>
  <c r="D66" i="5" a="1"/>
  <c r="C55" i="4" a="1"/>
  <c r="D44" i="4" a="1"/>
  <c r="C63" i="4" a="1"/>
  <c r="D46" i="4" a="1"/>
  <c r="C65" i="4" a="1"/>
  <c r="C61" i="4" a="1"/>
  <c r="C56" i="4" a="1"/>
  <c r="D42" i="4" a="1"/>
  <c r="C62" i="4" a="1"/>
  <c r="D43" i="4" a="1"/>
  <c r="D45" i="4" a="1"/>
  <c r="C64" i="4" a="1"/>
  <c r="H33" i="3" a="1"/>
  <c r="G33" i="3" a="1"/>
  <c r="D25" i="3" a="1"/>
  <c r="H25" i="3" a="1"/>
  <c r="G25" i="3" a="1"/>
  <c r="G24" i="3" a="1"/>
  <c r="G35" i="3" a="1"/>
  <c r="G32" i="3" a="1"/>
  <c r="H35" i="3" a="1"/>
  <c r="D24" i="3" a="1"/>
  <c r="H32" i="3" a="1"/>
  <c r="H24" i="3" a="1"/>
  <c r="E69" i="6" l="1"/>
  <c r="E73" i="6"/>
  <c r="E93" i="6"/>
  <c r="E85" i="6"/>
  <c r="E80" i="6"/>
  <c r="E97" i="6"/>
  <c r="E77" i="6"/>
  <c r="E71" i="6"/>
  <c r="E84" i="6"/>
  <c r="E58" i="6"/>
  <c r="E89" i="6"/>
  <c r="E96" i="6"/>
  <c r="E57" i="6"/>
  <c r="E88" i="6"/>
  <c r="E86" i="6"/>
  <c r="E99" i="6"/>
  <c r="E64" i="6"/>
  <c r="E61" i="6"/>
  <c r="E91" i="6"/>
  <c r="E98" i="6"/>
  <c r="E83" i="6"/>
  <c r="E66" i="6"/>
  <c r="E13" i="6"/>
  <c r="E78" i="6"/>
  <c r="E82" i="6"/>
  <c r="E102" i="6"/>
  <c r="E63" i="6"/>
  <c r="E70" i="6"/>
  <c r="E62" i="6"/>
  <c r="E68" i="6"/>
  <c r="D13" i="6"/>
  <c r="E67" i="6"/>
  <c r="E56" i="6"/>
  <c r="E72" i="6"/>
  <c r="E79" i="6"/>
  <c r="G13" i="6"/>
  <c r="E95" i="6"/>
  <c r="E76" i="6"/>
  <c r="E74" i="6"/>
  <c r="E81" i="6"/>
  <c r="E104" i="6"/>
  <c r="E75" i="6"/>
  <c r="E65" i="6"/>
  <c r="E87" i="6"/>
  <c r="E92" i="6"/>
  <c r="F13" i="6"/>
  <c r="E105" i="6"/>
  <c r="E90" i="6"/>
  <c r="E100" i="6"/>
  <c r="E60" i="6"/>
  <c r="E94" i="6"/>
  <c r="E103" i="6"/>
  <c r="E101" i="6"/>
  <c r="E59" i="6"/>
  <c r="D101" i="6"/>
  <c r="D86" i="6"/>
  <c r="D91" i="6"/>
  <c r="D83" i="6"/>
  <c r="F12" i="6"/>
  <c r="D68" i="6"/>
  <c r="D73" i="6"/>
  <c r="D59" i="6"/>
  <c r="D56" i="6"/>
  <c r="D93" i="6"/>
  <c r="D100" i="6"/>
  <c r="D70" i="6"/>
  <c r="G12" i="6"/>
  <c r="D84" i="6"/>
  <c r="D97" i="6"/>
  <c r="D58" i="6"/>
  <c r="D65" i="6"/>
  <c r="D63" i="6"/>
  <c r="D74" i="6"/>
  <c r="D95" i="6"/>
  <c r="D69" i="6"/>
  <c r="D104" i="6"/>
  <c r="D67" i="6"/>
  <c r="D81" i="6"/>
  <c r="D99" i="6"/>
  <c r="D94" i="6"/>
  <c r="D77" i="6"/>
  <c r="D90" i="6"/>
  <c r="D87" i="6"/>
  <c r="D76" i="6"/>
  <c r="D78" i="6"/>
  <c r="D61" i="6"/>
  <c r="D12" i="6"/>
  <c r="D92" i="6"/>
  <c r="D79" i="6"/>
  <c r="D62" i="6"/>
  <c r="D82" i="6"/>
  <c r="D103" i="6"/>
  <c r="E12" i="6"/>
  <c r="D102" i="6"/>
  <c r="D66" i="6"/>
  <c r="D64" i="6"/>
  <c r="D88" i="6"/>
  <c r="D71" i="6"/>
  <c r="D57" i="6"/>
  <c r="D89" i="6"/>
  <c r="D96" i="6"/>
  <c r="D72" i="6"/>
  <c r="D105" i="6"/>
  <c r="D60" i="6"/>
  <c r="D80" i="6"/>
  <c r="D75" i="6"/>
  <c r="D98" i="6"/>
  <c r="D85" i="6"/>
  <c r="D81" i="5"/>
  <c r="D71" i="5"/>
  <c r="D80" i="5"/>
  <c r="D73" i="5"/>
  <c r="D86" i="5"/>
  <c r="D72" i="5"/>
  <c r="D66" i="5"/>
  <c r="D78" i="5"/>
  <c r="D84" i="5"/>
  <c r="D90" i="5"/>
  <c r="D70" i="5"/>
  <c r="D76" i="5"/>
  <c r="D83" i="5"/>
  <c r="D82" i="5"/>
  <c r="D85" i="5"/>
  <c r="D68" i="5"/>
  <c r="D75" i="5"/>
  <c r="D74" i="5"/>
  <c r="D69" i="5"/>
  <c r="D67" i="5"/>
  <c r="D87" i="5"/>
  <c r="D77" i="5"/>
  <c r="D89" i="5"/>
  <c r="D79" i="5"/>
  <c r="D88" i="5"/>
  <c r="D59" i="5"/>
  <c r="D33" i="6" s="1"/>
  <c r="D58" i="5"/>
  <c r="E71" i="5"/>
  <c r="E76" i="5"/>
  <c r="E90" i="5"/>
  <c r="E88" i="5"/>
  <c r="E68" i="5"/>
  <c r="E82" i="5"/>
  <c r="E89" i="5"/>
  <c r="E80" i="5"/>
  <c r="E75" i="5"/>
  <c r="E74" i="5"/>
  <c r="E81" i="5"/>
  <c r="E72" i="5"/>
  <c r="E83" i="5"/>
  <c r="E73" i="5"/>
  <c r="E85" i="5"/>
  <c r="E67" i="5"/>
  <c r="E66" i="5"/>
  <c r="E77" i="5"/>
  <c r="E86" i="5"/>
  <c r="E87" i="5"/>
  <c r="E69" i="5"/>
  <c r="E78" i="5"/>
  <c r="E79" i="5"/>
  <c r="E84" i="5"/>
  <c r="E70" i="5"/>
  <c r="D57" i="5"/>
  <c r="D31" i="6" s="1"/>
  <c r="E64" i="4"/>
  <c r="F84" i="4" s="1" a="1"/>
  <c r="F84" i="4" s="1"/>
  <c r="D64" i="4"/>
  <c r="F83" i="4" s="1" a="1"/>
  <c r="F83" i="4" s="1"/>
  <c r="C64" i="4"/>
  <c r="F82" i="4" s="1" a="1"/>
  <c r="F82" i="4" s="1"/>
  <c r="D45" i="4"/>
  <c r="C24" i="6" s="1"/>
  <c r="D43" i="4"/>
  <c r="C22" i="6" s="1"/>
  <c r="C62" i="4"/>
  <c r="F76" i="4" s="1" a="1"/>
  <c r="F76" i="4" s="1"/>
  <c r="D62" i="4"/>
  <c r="F77" i="4" s="1" a="1"/>
  <c r="F77" i="4" s="1"/>
  <c r="E62" i="4"/>
  <c r="F78" i="4" s="1" a="1"/>
  <c r="F78" i="4" s="1"/>
  <c r="D42" i="4"/>
  <c r="C21" i="6" s="1"/>
  <c r="C56" i="4"/>
  <c r="E56" i="4"/>
  <c r="D56" i="4"/>
  <c r="E61" i="4"/>
  <c r="F75" i="4" s="1" a="1"/>
  <c r="F75" i="4" s="1"/>
  <c r="C61" i="4"/>
  <c r="F73" i="4" s="1" a="1"/>
  <c r="F73" i="4" s="1"/>
  <c r="D61" i="4"/>
  <c r="F74" i="4" s="1" a="1"/>
  <c r="F74" i="4" s="1"/>
  <c r="C65" i="4"/>
  <c r="F85" i="4" s="1" a="1"/>
  <c r="F85" i="4" s="1"/>
  <c r="D65" i="4"/>
  <c r="F86" i="4" s="1" a="1"/>
  <c r="F86" i="4" s="1"/>
  <c r="E65" i="4"/>
  <c r="F87" i="4" s="1" a="1"/>
  <c r="F87" i="4" s="1"/>
  <c r="D46" i="4"/>
  <c r="C25" i="6" s="1"/>
  <c r="C63" i="4"/>
  <c r="F79" i="4" s="1" a="1"/>
  <c r="F79" i="4" s="1"/>
  <c r="E63" i="4"/>
  <c r="F81" i="4" s="1" a="1"/>
  <c r="F81" i="4" s="1"/>
  <c r="D63" i="4"/>
  <c r="F80" i="4" s="1" a="1"/>
  <c r="F80" i="4" s="1"/>
  <c r="D44" i="4"/>
  <c r="C23" i="6" s="1"/>
  <c r="C55" i="4"/>
  <c r="E55" i="4"/>
  <c r="D55" i="4"/>
  <c r="H24" i="3"/>
  <c r="H32" i="3"/>
  <c r="D24" i="3"/>
  <c r="H35" i="3"/>
  <c r="G32" i="3"/>
  <c r="G35" i="3"/>
  <c r="G24" i="3"/>
  <c r="G25" i="3"/>
  <c r="H25" i="3"/>
  <c r="D25" i="3"/>
  <c r="E25" i="3" s="1"/>
  <c r="G33" i="3"/>
  <c r="H33" i="3"/>
  <c r="G24" i="6" a="1"/>
  <c r="F23" i="6" a="1"/>
  <c r="E23" i="6" a="1"/>
  <c r="G23" i="6" a="1"/>
  <c r="F25" i="6" a="1"/>
  <c r="E25" i="6" a="1"/>
  <c r="F22" i="6" a="1"/>
  <c r="E22" i="6" a="1"/>
  <c r="E21" i="6" a="1"/>
  <c r="F21" i="6" a="1"/>
  <c r="G25" i="6" a="1"/>
  <c r="G22" i="6" a="1"/>
  <c r="G21" i="6" a="1"/>
  <c r="F24" i="6" a="1"/>
  <c r="E24" i="6" a="1"/>
  <c r="D15" i="6" l="1"/>
  <c r="E24" i="3"/>
  <c r="F24" i="3" s="1"/>
  <c r="F25" i="3"/>
  <c r="C13" i="6" s="1"/>
  <c r="E15" i="6"/>
  <c r="E24" i="6"/>
  <c r="F24" i="6"/>
  <c r="G21" i="6"/>
  <c r="G22" i="6"/>
  <c r="G25" i="6"/>
  <c r="F21" i="6"/>
  <c r="E21" i="6"/>
  <c r="E22" i="6"/>
  <c r="F22" i="6"/>
  <c r="E25" i="6"/>
  <c r="F25" i="6"/>
  <c r="G23" i="6"/>
  <c r="E23" i="6"/>
  <c r="F23" i="6"/>
  <c r="G24" i="6"/>
  <c r="E58" i="5"/>
  <c r="D32" i="6"/>
  <c r="E46" i="4"/>
  <c r="E57" i="5"/>
  <c r="E59" i="5"/>
  <c r="E44" i="4"/>
  <c r="E43" i="4"/>
  <c r="E45" i="4"/>
  <c r="E42" i="4"/>
  <c r="H34" i="3"/>
  <c r="F99" i="5" s="1"/>
  <c r="G34" i="3"/>
  <c r="F98" i="5" s="1"/>
  <c r="B7" i="6" s="1"/>
  <c r="F26" i="3"/>
  <c r="F40" i="3" a="1"/>
  <c r="F40" i="3" l="1"/>
  <c r="C12" i="6"/>
  <c r="F59" i="5"/>
  <c r="E33" i="6" s="1"/>
  <c r="F58" i="5"/>
  <c r="E32" i="6" s="1"/>
  <c r="F42" i="4"/>
  <c r="D21" i="6" s="1"/>
  <c r="F57" i="5"/>
  <c r="E31" i="6" s="1"/>
  <c r="F46" i="4"/>
  <c r="D25" i="6" s="1"/>
  <c r="F45" i="4"/>
  <c r="D24" i="6" s="1"/>
  <c r="F43" i="4"/>
  <c r="D22" i="6" s="1"/>
  <c r="F44" i="4"/>
  <c r="D23" i="6" s="1"/>
  <c r="F41" i="3" a="1"/>
  <c r="C64" i="5" a="1"/>
  <c r="C52" i="4" a="1"/>
  <c r="F41" i="3" l="1"/>
  <c r="F50" i="3" s="1" a="1"/>
  <c r="F50" i="3" s="1"/>
  <c r="C64" i="5"/>
  <c r="F60" i="5"/>
  <c r="C52" i="4"/>
  <c r="F47" i="4"/>
  <c r="F82" i="6" a="1"/>
  <c r="F103" i="6" a="1"/>
  <c r="F88" i="6" a="1"/>
  <c r="F64" i="6" a="1"/>
  <c r="F74" i="6" a="1"/>
  <c r="F67" i="6" a="1"/>
  <c r="F96" i="6" a="1"/>
  <c r="F73" i="6" a="1"/>
  <c r="F62" i="6" a="1"/>
  <c r="F93" i="6" a="1"/>
  <c r="D14" i="6" a="1"/>
  <c r="F63" i="6" a="1"/>
  <c r="F102" i="6" a="1"/>
  <c r="F60" i="6" a="1"/>
  <c r="F71" i="6" a="1"/>
  <c r="F83" i="6" a="1"/>
  <c r="F92" i="6" a="1"/>
  <c r="F76" i="6" a="1"/>
  <c r="F98" i="6" a="1"/>
  <c r="F56" i="6" a="1"/>
  <c r="F95" i="6" a="1"/>
  <c r="F90" i="6" a="1"/>
  <c r="F65" i="6" a="1"/>
  <c r="F97" i="6" a="1"/>
  <c r="G14" i="6" a="1"/>
  <c r="E14" i="6" a="1"/>
  <c r="F91" i="6" a="1"/>
  <c r="F14" i="6" a="1"/>
  <c r="F81" i="6" a="1"/>
  <c r="F72" i="6" a="1"/>
  <c r="F86" i="6" a="1"/>
  <c r="F70" i="6" a="1"/>
  <c r="F87" i="6" a="1"/>
  <c r="F105" i="6" a="1"/>
  <c r="F84" i="6" a="1"/>
  <c r="F79" i="6" a="1"/>
  <c r="B6" i="6" a="1"/>
  <c r="F77" i="6" a="1"/>
  <c r="F100" i="6" a="1"/>
  <c r="F85" i="6" a="1"/>
  <c r="F80" i="6" a="1"/>
  <c r="F89" i="6" a="1"/>
  <c r="F61" i="6" a="1"/>
  <c r="F99" i="6" a="1"/>
  <c r="F75" i="6" a="1"/>
  <c r="F59" i="6" a="1"/>
  <c r="F101" i="6" a="1"/>
  <c r="F69" i="6" a="1"/>
  <c r="F78" i="6" a="1"/>
  <c r="F68" i="6" a="1"/>
  <c r="F58" i="6" a="1"/>
  <c r="F57" i="6" a="1"/>
  <c r="F94" i="6" a="1"/>
  <c r="F104" i="6" a="1"/>
  <c r="F66" i="6" a="1"/>
  <c r="C66" i="5" a="1"/>
  <c r="C53" i="4" a="1"/>
  <c r="F66" i="6" l="1"/>
  <c r="F104" i="6"/>
  <c r="F94" i="6"/>
  <c r="F57" i="6"/>
  <c r="F58" i="6"/>
  <c r="F68" i="6"/>
  <c r="F78" i="6"/>
  <c r="F69" i="6"/>
  <c r="F101" i="6"/>
  <c r="F59" i="6"/>
  <c r="F75" i="6"/>
  <c r="F99" i="6"/>
  <c r="F61" i="6"/>
  <c r="F89" i="6"/>
  <c r="F80" i="6"/>
  <c r="F85" i="6"/>
  <c r="F100" i="6"/>
  <c r="F77" i="6"/>
  <c r="B6" i="6"/>
  <c r="F79" i="6"/>
  <c r="F84" i="6"/>
  <c r="F105" i="6"/>
  <c r="F87" i="6"/>
  <c r="F70" i="6"/>
  <c r="F86" i="6"/>
  <c r="F72" i="6"/>
  <c r="F81" i="6"/>
  <c r="F14" i="6"/>
  <c r="F91" i="6"/>
  <c r="E14" i="6"/>
  <c r="G14" i="6"/>
  <c r="F97" i="6"/>
  <c r="F65" i="6"/>
  <c r="F90" i="6"/>
  <c r="F95" i="6"/>
  <c r="F56" i="6"/>
  <c r="F98" i="6"/>
  <c r="F76" i="6"/>
  <c r="F92" i="6"/>
  <c r="F83" i="6"/>
  <c r="F71" i="6"/>
  <c r="F60" i="6"/>
  <c r="F102" i="6"/>
  <c r="F63" i="6"/>
  <c r="D14" i="6"/>
  <c r="F93" i="6"/>
  <c r="F62" i="6"/>
  <c r="F73" i="6"/>
  <c r="F96" i="6"/>
  <c r="F67" i="6"/>
  <c r="F74" i="6"/>
  <c r="F64" i="6"/>
  <c r="F88" i="6"/>
  <c r="F103" i="6"/>
  <c r="F82" i="6"/>
  <c r="C87" i="5"/>
  <c r="F87" i="5" s="1" a="1"/>
  <c r="F87" i="5" s="1"/>
  <c r="C71" i="5"/>
  <c r="F71" i="5" s="1" a="1"/>
  <c r="F71" i="5" s="1"/>
  <c r="C72" i="5"/>
  <c r="F72" i="5" s="1" a="1"/>
  <c r="F72" i="5" s="1"/>
  <c r="C81" i="5"/>
  <c r="F81" i="5" s="1" a="1"/>
  <c r="F81" i="5" s="1"/>
  <c r="C83" i="5"/>
  <c r="F83" i="5" s="1" a="1"/>
  <c r="F83" i="5" s="1"/>
  <c r="C86" i="5"/>
  <c r="F86" i="5" s="1" a="1"/>
  <c r="F86" i="5" s="1"/>
  <c r="C74" i="5"/>
  <c r="F74" i="5" s="1" a="1"/>
  <c r="F74" i="5" s="1"/>
  <c r="C76" i="5"/>
  <c r="F76" i="5" s="1" a="1"/>
  <c r="F76" i="5" s="1"/>
  <c r="C70" i="5"/>
  <c r="F70" i="5" s="1" a="1"/>
  <c r="F70" i="5" s="1"/>
  <c r="C80" i="5"/>
  <c r="F80" i="5" s="1" a="1"/>
  <c r="F80" i="5" s="1"/>
  <c r="C75" i="5"/>
  <c r="F75" i="5" s="1" a="1"/>
  <c r="F75" i="5" s="1"/>
  <c r="C85" i="5"/>
  <c r="F85" i="5" s="1" a="1"/>
  <c r="F85" i="5" s="1"/>
  <c r="C82" i="5"/>
  <c r="F82" i="5" s="1" a="1"/>
  <c r="F82" i="5" s="1"/>
  <c r="C66" i="5"/>
  <c r="F66" i="5" s="1" a="1"/>
  <c r="F66" i="5" s="1"/>
  <c r="C84" i="5"/>
  <c r="F84" i="5" s="1" a="1"/>
  <c r="F84" i="5" s="1"/>
  <c r="C79" i="5"/>
  <c r="F79" i="5" s="1" a="1"/>
  <c r="F79" i="5" s="1"/>
  <c r="C89" i="5"/>
  <c r="F89" i="5" s="1" a="1"/>
  <c r="F89" i="5" s="1"/>
  <c r="C69" i="5"/>
  <c r="F69" i="5" s="1" a="1"/>
  <c r="F69" i="5" s="1"/>
  <c r="C78" i="5"/>
  <c r="F78" i="5" s="1" a="1"/>
  <c r="F78" i="5" s="1"/>
  <c r="C88" i="5"/>
  <c r="F88" i="5" s="1" a="1"/>
  <c r="F88" i="5" s="1"/>
  <c r="C68" i="5"/>
  <c r="F68" i="5" s="1" a="1"/>
  <c r="F68" i="5" s="1"/>
  <c r="C73" i="5"/>
  <c r="F73" i="5" s="1" a="1"/>
  <c r="F73" i="5" s="1"/>
  <c r="C67" i="5"/>
  <c r="F67" i="5" s="1" a="1"/>
  <c r="F67" i="5" s="1"/>
  <c r="C90" i="5"/>
  <c r="F90" i="5" s="1" a="1"/>
  <c r="F90" i="5" s="1"/>
  <c r="C77" i="5"/>
  <c r="F77" i="5" s="1" a="1"/>
  <c r="F77" i="5" s="1"/>
  <c r="D53" i="4"/>
  <c r="F71" i="4" s="1" a="1"/>
  <c r="F71" i="4" s="1"/>
  <c r="C53" i="4"/>
  <c r="F70" i="4" s="1" a="1"/>
  <c r="F70" i="4" s="1"/>
  <c r="E53" i="4"/>
  <c r="F72" i="4" s="1" a="1"/>
  <c r="F72" i="4" s="1"/>
  <c r="D129" i="6" a="1"/>
  <c r="E129" i="6" a="1"/>
  <c r="C129" i="6" a="1"/>
  <c r="F129" i="6" a="1"/>
  <c r="C112" i="6" a="1"/>
  <c r="D112" i="6" a="1"/>
  <c r="F112" i="6" a="1"/>
  <c r="E112" i="6" a="1"/>
  <c r="D131" i="6" a="1"/>
  <c r="F131" i="6" a="1"/>
  <c r="E131" i="6" a="1"/>
  <c r="C131" i="6" a="1"/>
  <c r="D119" i="6" a="1"/>
  <c r="F119" i="6" a="1"/>
  <c r="C119" i="6" a="1"/>
  <c r="E119" i="6" a="1"/>
  <c r="D113" i="6" a="1"/>
  <c r="E113" i="6" a="1"/>
  <c r="F113" i="6" a="1"/>
  <c r="C113" i="6" a="1"/>
  <c r="F122" i="6" a="1"/>
  <c r="C122" i="6" a="1"/>
  <c r="E122" i="6" a="1"/>
  <c r="D122" i="6" a="1"/>
  <c r="D111" i="6" a="1"/>
  <c r="C111" i="6" a="1"/>
  <c r="F111" i="6" a="1"/>
  <c r="E111" i="6" a="1"/>
  <c r="G26" i="6" a="1"/>
  <c r="D110" i="6" a="1"/>
  <c r="F110" i="6" a="1"/>
  <c r="E110" i="6" a="1"/>
  <c r="C110" i="6" a="1"/>
  <c r="D114" i="6" a="1"/>
  <c r="F114" i="6" a="1"/>
  <c r="C114" i="6" a="1"/>
  <c r="E114" i="6" a="1"/>
  <c r="E117" i="6" a="1"/>
  <c r="C117" i="6" a="1"/>
  <c r="F117" i="6" a="1"/>
  <c r="D117" i="6" a="1"/>
  <c r="D120" i="6" a="1"/>
  <c r="E120" i="6" a="1"/>
  <c r="F120" i="6" a="1"/>
  <c r="C120" i="6" a="1"/>
  <c r="E26" i="6" a="1"/>
  <c r="F26" i="6" a="1"/>
  <c r="F123" i="6" a="1"/>
  <c r="C123" i="6" a="1"/>
  <c r="E123" i="6" a="1"/>
  <c r="D123" i="6" a="1"/>
  <c r="C127" i="6" a="1"/>
  <c r="E127" i="6" a="1"/>
  <c r="F127" i="6" a="1"/>
  <c r="D127" i="6" a="1"/>
  <c r="D130" i="6" a="1"/>
  <c r="E130" i="6" a="1"/>
  <c r="C130" i="6" a="1"/>
  <c r="F130" i="6" a="1"/>
  <c r="F124" i="6" a="1"/>
  <c r="E124" i="6" a="1"/>
  <c r="C124" i="6" a="1"/>
  <c r="D124" i="6" a="1"/>
  <c r="D125" i="6" a="1"/>
  <c r="F125" i="6" a="1"/>
  <c r="C125" i="6" a="1"/>
  <c r="E125" i="6" a="1"/>
  <c r="E128" i="6" a="1"/>
  <c r="C128" i="6" a="1"/>
  <c r="F128" i="6" a="1"/>
  <c r="D128" i="6" a="1"/>
  <c r="E108" i="6" a="1"/>
  <c r="D108" i="6" a="1"/>
  <c r="F108" i="6" a="1"/>
  <c r="C108" i="6" a="1"/>
  <c r="C115" i="6" a="1"/>
  <c r="D115" i="6" a="1"/>
  <c r="F115" i="6" a="1"/>
  <c r="E115" i="6" a="1"/>
  <c r="F116" i="6" a="1"/>
  <c r="D116" i="6" a="1"/>
  <c r="E116" i="6" a="1"/>
  <c r="C116" i="6" a="1"/>
  <c r="F126" i="6" a="1"/>
  <c r="D126" i="6" a="1"/>
  <c r="E126" i="6" a="1"/>
  <c r="C126" i="6" a="1"/>
  <c r="C109" i="6" a="1"/>
  <c r="E109" i="6" a="1"/>
  <c r="F109" i="6" a="1"/>
  <c r="D109" i="6" a="1"/>
  <c r="F121" i="6" a="1"/>
  <c r="C121" i="6" a="1"/>
  <c r="E121" i="6" a="1"/>
  <c r="D121" i="6" a="1"/>
  <c r="D132" i="6" a="1"/>
  <c r="C132" i="6" a="1"/>
  <c r="E132" i="6" a="1"/>
  <c r="F132" i="6" a="1"/>
  <c r="E118" i="6" a="1"/>
  <c r="F118" i="6" a="1"/>
  <c r="C118" i="6" a="1"/>
  <c r="D118" i="6" a="1"/>
  <c r="D118" i="6" l="1"/>
  <c r="C118" i="6"/>
  <c r="F118" i="6"/>
  <c r="E118" i="6"/>
  <c r="F132" i="6"/>
  <c r="E132" i="6"/>
  <c r="C132" i="6"/>
  <c r="D132" i="6"/>
  <c r="D121" i="6"/>
  <c r="E121" i="6"/>
  <c r="C121" i="6"/>
  <c r="F121" i="6"/>
  <c r="D109" i="6"/>
  <c r="F109" i="6"/>
  <c r="E109" i="6"/>
  <c r="C109" i="6"/>
  <c r="C126" i="6"/>
  <c r="E126" i="6"/>
  <c r="D126" i="6"/>
  <c r="F126" i="6"/>
  <c r="C116" i="6"/>
  <c r="E116" i="6"/>
  <c r="D116" i="6"/>
  <c r="F116" i="6"/>
  <c r="E115" i="6"/>
  <c r="F115" i="6"/>
  <c r="D115" i="6"/>
  <c r="C115" i="6"/>
  <c r="C108" i="6"/>
  <c r="F108" i="6"/>
  <c r="D108" i="6"/>
  <c r="E108" i="6"/>
  <c r="D128" i="6"/>
  <c r="F128" i="6"/>
  <c r="C128" i="6"/>
  <c r="E128" i="6"/>
  <c r="E125" i="6"/>
  <c r="C125" i="6"/>
  <c r="F125" i="6"/>
  <c r="D125" i="6"/>
  <c r="D124" i="6"/>
  <c r="C124" i="6"/>
  <c r="E124" i="6"/>
  <c r="F124" i="6"/>
  <c r="F130" i="6"/>
  <c r="C130" i="6"/>
  <c r="E130" i="6"/>
  <c r="D130" i="6"/>
  <c r="D127" i="6"/>
  <c r="F127" i="6"/>
  <c r="E127" i="6"/>
  <c r="C127" i="6"/>
  <c r="D123" i="6"/>
  <c r="E123" i="6"/>
  <c r="C123" i="6"/>
  <c r="F123" i="6"/>
  <c r="F26" i="6"/>
  <c r="E26" i="6"/>
  <c r="C120" i="6"/>
  <c r="F120" i="6"/>
  <c r="E120" i="6"/>
  <c r="D120" i="6"/>
  <c r="D117" i="6"/>
  <c r="F117" i="6"/>
  <c r="C117" i="6"/>
  <c r="E117" i="6"/>
  <c r="E114" i="6"/>
  <c r="C114" i="6"/>
  <c r="F114" i="6"/>
  <c r="D114" i="6"/>
  <c r="C110" i="6"/>
  <c r="E110" i="6"/>
  <c r="F110" i="6"/>
  <c r="D110" i="6"/>
  <c r="G26" i="6"/>
  <c r="E111" i="6"/>
  <c r="F111" i="6"/>
  <c r="C111" i="6"/>
  <c r="D111" i="6"/>
  <c r="D122" i="6"/>
  <c r="E122" i="6"/>
  <c r="C122" i="6"/>
  <c r="F122" i="6"/>
  <c r="C113" i="6"/>
  <c r="F113" i="6"/>
  <c r="E113" i="6"/>
  <c r="D113" i="6"/>
  <c r="E119" i="6"/>
  <c r="C119" i="6"/>
  <c r="F119" i="6"/>
  <c r="D119" i="6"/>
  <c r="C131" i="6"/>
  <c r="E131" i="6"/>
  <c r="F131" i="6"/>
  <c r="D131" i="6"/>
  <c r="E112" i="6"/>
  <c r="F112" i="6"/>
  <c r="D112" i="6"/>
  <c r="C112" i="6"/>
  <c r="F129" i="6"/>
  <c r="C129" i="6"/>
  <c r="E129" i="6"/>
  <c r="D12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<sst xmlns="http://schemas.openxmlformats.org/spreadsheetml/2006/main" count="485" uniqueCount="352">
  <si>
    <t>Bayesian Model Averaging</t>
  </si>
  <si>
    <t>ModelRisk example  ·  General use  ·  GU-20</t>
  </si>
  <si>
    <t>When the data cannot tell which model is right, keep them all, weighted by how well each fits.</t>
  </si>
  <si>
    <t>Next:  Inputs  ▸</t>
  </si>
  <si>
    <t>Model card</t>
  </si>
  <si>
    <t>Industry</t>
  </si>
  <si>
    <t>General use</t>
  </si>
  <si>
    <t>Difficulty</t>
  </si>
  <si>
    <t>★★★☆☆   Fitting several candidate models and mixing them by how well each explains the data; three kinds of model.</t>
  </si>
  <si>
    <t>Business question</t>
  </si>
  <si>
    <t>Several models fit the same data almost equally well. Rather than pick one, how do we use them all, each in proportion to how plausible it is?</t>
  </si>
  <si>
    <t>Who it is for</t>
  </si>
  <si>
    <t>Anyone fitting distributions, correlations or time series to limited data, where the choice of model matters more than the fit statistics can settle.</t>
  </si>
  <si>
    <t>Main outputs</t>
  </si>
  <si>
    <t>For a distribution, a copula and a time series: each candidate's log-likelihood and its weight in the average · the averaged (BMA) distribution next to its candidates, with the density and cumulative probability at chosen values · the BMA copula's rank correlations against the data's · the BMA forecast, 25 periods ahead.</t>
  </si>
  <si>
    <t>ModelRisk techniques</t>
  </si>
  <si>
    <t>Fit objects (VoseNormalFitObject, VoseCopulaMultiNormalFitObject, VoseTimeAR1FitObject, …) · VoseLLH · VoseBMA, VoseBMAObject, VoseBMAProb, VoseBMAProb10 · VoseCopulaBMA, VoseCopulaBMAObject, VoseCopulaSimulate · VoseTimeBMA, VoseTimeBMAObject, VoseTimeSimulate · prior weights · VoseDiscrete to draw a candidate.</t>
  </si>
  <si>
    <t>File</t>
  </si>
  <si>
    <t>GU-20 Bayesian model averaging  ·  Version 1.0  ·  October 2026  ·  re-issues the example BMA  ·  built with ModelRisk 10</t>
  </si>
  <si>
    <t>The business question</t>
  </si>
  <si>
    <t>Fitting software ranks candidate models and invites us to pick the best. With few data the ranking is fragile: the second-best model may be nearly as plausible. Bayesian model averaging (BMA) keeps every candidate and weights it by Bayes' theorem: a prior weight (our belief before seeing the data) times the likelihood of the data under the fitted model. Each simulation then draws from one candidate, chosen with those weights. The model does this three times, on three data sets: two distributions fitted to 11 values, five copulas fitted to 23 joint observations of three variables, and three time series fitted to 44 periods.</t>
  </si>
  <si>
    <t>How the model works</t>
  </si>
  <si>
    <t>Five sheets after this one, read from left to right. Each one feeds the next.</t>
  </si>
  <si>
    <t>1  Inputs</t>
  </si>
  <si>
    <t>A prior weight for every candidate model: equal weights say we had no preference before seeing the data.</t>
  </si>
  <si>
    <t>2  Distribution</t>
  </si>
  <si>
    <t>Normal and Lognormal fitted to 11 values. Each fit's log-likelihood (VoseLLH) gives its weight: prior × likelihood, scaled to add up to 100%. VoseBMAProb gives the average's density and cumulative probability (a check confirms they equal the weighted candidates'); each sample comes from a candidate drawn with its weight.</t>
  </si>
  <si>
    <t>3  Copula</t>
  </si>
  <si>
    <t>Frank, Gumbel, Clayton, Normal and Student t copulas fitted to 23 joint observations of three variables, weighted the same way; each sample comes from a copula drawn with its weight.</t>
  </si>
  <si>
    <t>4  Time series</t>
  </si>
  <si>
    <t>AR1, GBM and MA1 fitted to 44 periods; each simulation forecasts 25 periods ahead with a candidate drawn with its weight.</t>
  </si>
  <si>
    <t>5  Results</t>
  </si>
  <si>
    <t>The weights, the BMA distribution against its candidates, the copula's rank correlations against the data's, and the BMA forecast.</t>
  </si>
  <si>
    <t>How to use it</t>
  </si>
  <si>
    <t>Step 1</t>
  </si>
  <si>
    <t>Replace the data on the three calculation sheets with your own (keep each block's size, or extend its defined name), and set the prior weights on the Inputs sheet.</t>
  </si>
  <si>
    <t>Step 2</t>
  </si>
  <si>
    <t>Run a simulation from the ModelRisk ribbon (10,000 samples with a fixed seed are set).</t>
  </si>
  <si>
    <t>Step 3</t>
  </si>
  <si>
    <t>Use the BMA object (VoseBMAObject, VoseCopulaBMAObject, VoseTimeBMAObject) wherever a single fitted model would go.</t>
  </si>
  <si>
    <t>Workbook map</t>
  </si>
  <si>
    <t>Inputs</t>
  </si>
  <si>
    <t>Prior weights and the two x values.</t>
  </si>
  <si>
    <t>Distribution</t>
  </si>
  <si>
    <t>11 values, two fits, the BMA distribution.</t>
  </si>
  <si>
    <t>Copula</t>
  </si>
  <si>
    <t>23 joint observations, five copula fits, the BMA copula.</t>
  </si>
  <si>
    <t>Time series</t>
  </si>
  <si>
    <t>44 periods, three time-series fits, the BMA forecast; checks.</t>
  </si>
  <si>
    <t>Results</t>
  </si>
  <si>
    <t>Weights, the BMA distribution, rank correlations, the forecast.</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</si>
  <si>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</si>
  <si>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</si>
  <si>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</si>
  <si>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</si>
  <si>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</si>
  <si>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</si>
  <si>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</si>
  <si>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</si>
  <si>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</si>
  <si>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</si>
  <si>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</si>
  <si>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</si>
  <si>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Weight</t>
  </si>
  <si>
    <t>Prior weight × likelihood of the data under the fitted model, scaled so the candidates add up to 100%.</t>
  </si>
  <si>
    <t>Log-likelihood</t>
  </si>
  <si>
    <t>VoseLLH: the natural log of the joint likelihood at the fitted parameters; higher fits better.</t>
  </si>
  <si>
    <t>x for the density / cumulative</t>
  </si>
  <si>
    <t>Where the BMA distribution's density and cumulative probability are read.</t>
  </si>
  <si>
    <t>Key assumptions and limitations</t>
  </si>
  <si>
    <t>Candidates</t>
  </si>
  <si>
    <t>The average is only over the candidates offered: a model left out gets no weight.</t>
  </si>
  <si>
    <t>Weights</t>
  </si>
  <si>
    <t>By the likelihood alone, as ModelRisk's BMA does: no penalty for extra parameters (SIC would add one).</t>
  </si>
  <si>
    <t>ModelRisk build</t>
  </si>
  <si>
    <t>In the build this example was made with, VoseBMA, VoseCopulaBMA and VoseTimeBMA return errors in every iteration of a simulation, and VoseSimulate on a VoseBMAObject repeats one value. The model therefore samples the average itself: it draws a candidate with its weight (VoseDiscrete) and samples that candidate. ModelRisk's BMA functions and objects are shown beside it.</t>
  </si>
  <si>
    <t>Data</t>
  </si>
  <si>
    <t>The data and prior weights are those of ModelRisk's earlier BMA example. Its labels read the cumulative probability at 2.4 and its formulas at 2.3: 2.4 is used here, as an input.</t>
  </si>
  <si>
    <t>ModelRisk functions used</t>
  </si>
  <si>
    <t>VoseNormalFitObject, VoseLognormalFitObject</t>
  </si>
  <si>
    <t>Distributions fitted to the data, as objects.</t>
  </si>
  <si>
    <t>VoseCopulaMulti…FitObject</t>
  </si>
  <si>
    <t>Frank, Gumbel, Clayton, Normal and T copulas fitted to the data.</t>
  </si>
  <si>
    <t>VoseTimeAR1FitObject, VoseTimeGBMFitObject, VoseTimeMA1FitObject</t>
  </si>
  <si>
    <t>Time series fitted to the data.</t>
  </si>
  <si>
    <t>VoseLLH</t>
  </si>
  <si>
    <t>The log-likelihood of a fitted model.</t>
  </si>
  <si>
    <t>VoseBMA, VoseBMAObject, VoseBMAProb, VoseBMAProb10</t>
  </si>
  <si>
    <t>Sample, object, density / cumulative probability and their log10 for the BMA distribution.</t>
  </si>
  <si>
    <t>VoseCopulaBMA, VoseCopulaBMAObject, VoseCopulaSimulate</t>
  </si>
  <si>
    <t>The BMA copula.</t>
  </si>
  <si>
    <t>VoseTimeBMA, VoseTimeBMAObject, VoseTimeSimulate</t>
  </si>
  <si>
    <t>The BMA time series.</t>
  </si>
  <si>
    <t>VoseSimulate, VoseProb</t>
  </si>
  <si>
    <t>A sample, and a density or cumulative probability, from any distribution object.</t>
  </si>
  <si>
    <t>VoseSimCorrelation</t>
  </si>
  <si>
    <t>The rank correlation between two outputs in the simulation.</t>
  </si>
  <si>
    <t>Further reading</t>
  </si>
  <si>
    <t>BMA</t>
  </si>
  <si>
    <t>Hoeting, J. A., Madigan, D., Raftery, A. E. and Volinsky, C. T. (1999). Bayesian model averaging: a tutorial. Statistical Science 14(4), 382–417.</t>
  </si>
  <si>
    <t>Fitting</t>
  </si>
  <si>
    <t>Vose, D. (2008). Risk Analysis: A Quantitative Guide, 3rd edition. Wiley: fitting distributions, copulas and time series to data.</t>
  </si>
  <si>
    <t>© 2026 Vose Software   ·   www.vosesoftware.com   ·   An illustrative example: the figures are invented for teaching and do not describe a real company, project or asset.</t>
  </si>
  <si>
    <t>INPUTS   ·   Prior weights for every candidate model. The data are on the three calculation sheets. Change only the yellow cells.</t>
  </si>
  <si>
    <t>◂  About</t>
  </si>
  <si>
    <t>Next:  Distribution  ▸</t>
  </si>
  <si>
    <t>How to read this sheet:  yellow cells are inputs.</t>
  </si>
  <si>
    <t>1   Prior weights: distributions</t>
  </si>
  <si>
    <t>Equal weights: no preference before seeing the data.</t>
  </si>
  <si>
    <t>Assumption</t>
  </si>
  <si>
    <t>Unit</t>
  </si>
  <si>
    <t>Value in model</t>
  </si>
  <si>
    <t>Uncertainty</t>
  </si>
  <si>
    <t>Basis / source (illustrative)</t>
  </si>
  <si>
    <t>Normal distribution</t>
  </si>
  <si>
    <t>weight</t>
  </si>
  <si>
    <t>Fixed</t>
  </si>
  <si>
    <t>Lognormal distribution</t>
  </si>
  <si>
    <t>2   Prior weights: copulas</t>
  </si>
  <si>
    <t>The original example's weights: more belief in the elliptical copulas.</t>
  </si>
  <si>
    <t>Frank copula</t>
  </si>
  <si>
    <t>Gumbel copula</t>
  </si>
  <si>
    <t>Clayton copula</t>
  </si>
  <si>
    <t>Normal copula</t>
  </si>
  <si>
    <t>Student t copula</t>
  </si>
  <si>
    <t>3   Prior weights: time series</t>
  </si>
  <si>
    <t>GBM, the plainest model, given twice the weight of the other two.</t>
  </si>
  <si>
    <t>Autoregressive, order 1 (AR1)</t>
  </si>
  <si>
    <t>Geometric Brownian motion (GBM)</t>
  </si>
  <si>
    <t>Moving average, order 1 (MA1)</t>
  </si>
  <si>
    <t>4   Where to read the BMA distribution</t>
  </si>
  <si>
    <t>Values at which the density and the cumulative probability are reported.</t>
  </si>
  <si>
    <t>x for the density</t>
  </si>
  <si>
    <t>value</t>
  </si>
  <si>
    <t>The original example's value</t>
  </si>
  <si>
    <t>x for the cumulative probability</t>
  </si>
  <si>
    <t>The original's label said 2.4 and its formula 2.3: 2.4 is used</t>
  </si>
  <si>
    <t>DISTRIBUTION   ·   Normal or Lognormal? Both, weighted by how well each explains 11 values.</t>
  </si>
  <si>
    <t>◂  Inputs</t>
  </si>
  <si>
    <t>Next:  Copula  ▸</t>
  </si>
  <si>
    <t>1   The data</t>
  </si>
  <si>
    <t>11 observed values. Yellow cells are inputs.</t>
  </si>
  <si>
    <t>Observation</t>
  </si>
  <si>
    <t>Value</t>
  </si>
  <si>
    <t>Mean 2.30 and standard deviation 1.04 (n divisor): what the Normal fit uses</t>
  </si>
  <si>
    <t>2   The candidates</t>
  </si>
  <si>
    <t>Each distribution fitted by maximum likelihood.</t>
  </si>
  <si>
    <t>Candidate</t>
  </si>
  <si>
    <t>Prior weight</t>
  </si>
  <si>
    <t>Likelihood ÷ best</t>
  </si>
  <si>
    <t>Density at x</t>
  </si>
  <si>
    <t>Cumulative at x</t>
  </si>
  <si>
    <t>Fitted model (object)</t>
  </si>
  <si>
    <t>Normal</t>
  </si>
  <si>
    <t>Log-likelihood: VoseLLH(fitted object), the fit's natural log likelihood</t>
  </si>
  <si>
    <t>Lognormal</t>
  </si>
  <si>
    <t>The data are 2.34 times as likely under the Lognormal fit as under the Normal</t>
  </si>
  <si>
    <t>Total</t>
  </si>
  <si>
    <t>Each object is a one-cell array formula: it shows the object, not the fit statistics below it</t>
  </si>
  <si>
    <t>3   The BMA distribution</t>
  </si>
  <si>
    <t>The average of the candidates: at x, the density and cumulative probability three ways.</t>
  </si>
  <si>
    <t>Density</t>
  </si>
  <si>
    <t>Cumulative</t>
  </si>
  <si>
    <t>x  (Inputs sheet)</t>
  </si>
  <si>
    <t>VoseBMAProb(x, candidates, priors)</t>
  </si>
  <si>
    <t>From the candidates and the priors directly</t>
  </si>
  <si>
    <t>VoseProb(x, BMA object)</t>
  </si>
  <si>
    <t>The same from the BMA object</t>
  </si>
  <si>
    <t>Weighted sum of the candidates</t>
  </si>
  <si>
    <t>Weight × each candidate's value, added: the same again (checked)</t>
  </si>
  <si>
    <t>Log10: VoseBMAProb10</t>
  </si>
  <si>
    <t>Log base 10, for the joint probability of many values</t>
  </si>
  <si>
    <t>BMA object: VoseBMAObject</t>
  </si>
  <si>
    <t>Use it wherever a single fitted distribution would go</t>
  </si>
  <si>
    <t>4   Samples</t>
  </si>
  <si>
    <t>One value per simulation from the BMA and, for comparison, from each candidate alone.</t>
  </si>
  <si>
    <t>Candidate drawn  (1 = Normal, 2 = Lognormal)</t>
  </si>
  <si>
    <t>VoseDiscrete(candidates, weights): which model this sample comes from</t>
  </si>
  <si>
    <t>From the BMA: the drawn candidate, sampled</t>
  </si>
  <si>
    <t>What BMA sampling is: pick a candidate with its weight, then sample it</t>
  </si>
  <si>
    <t>From the Normal fit alone</t>
  </si>
  <si>
    <t>From the Lognormal fit alone</t>
  </si>
  <si>
    <t>VoseBMA(candidates, priors)</t>
  </si>
  <si>
    <t>ModelRisk's own sampler. Not used: in this build it errors in every simulation iteration</t>
  </si>
  <si>
    <t>VoseSimulate(BMA object)</t>
  </si>
  <si>
    <t>Not used either: in this build it repeats one value throughout a simulation</t>
  </si>
  <si>
    <t>5   Value in this iteration</t>
  </si>
  <si>
    <t>Key outputs, recorded by ModelRisk at every sample (VoseOutput). Their statistics appear on the Results sheet.</t>
  </si>
  <si>
    <t>Output</t>
  </si>
  <si>
    <t>Meaning</t>
  </si>
  <si>
    <t>BMA distribution</t>
  </si>
  <si>
    <t>Normal fit alone</t>
  </si>
  <si>
    <t>Lognormal fit alone</t>
  </si>
  <si>
    <t>COPULA   ·   Five copulas fitted to 23 joint observations of three variables, averaged.</t>
  </si>
  <si>
    <t>◂  Distribution</t>
  </si>
  <si>
    <t>Next:  Time series  ▸</t>
  </si>
  <si>
    <t>23 joint observations of three variables. Yellow cells are inputs; their ranks beside them.</t>
  </si>
  <si>
    <t>Variable 1</t>
  </si>
  <si>
    <t>Variable 2</t>
  </si>
  <si>
    <t>Variable 3</t>
  </si>
  <si>
    <t>Rank 1</t>
  </si>
  <si>
    <t>Rank 2</t>
  </si>
  <si>
    <t>Rank 3</t>
  </si>
  <si>
    <t>Ranks: what a copula describes, the dependence without the variables' own distributions</t>
  </si>
  <si>
    <t>2   Rank correlation in the data</t>
  </si>
  <si>
    <t>Spearman's rank correlation of each pair of variables.</t>
  </si>
  <si>
    <t>Variables 1 and 2</t>
  </si>
  <si>
    <t>CORREL of the ranks: Spearman's rank correlation</t>
  </si>
  <si>
    <t>Variables 1 and 3</t>
  </si>
  <si>
    <t>Variables 2 and 3</t>
  </si>
  <si>
    <t>3   The candidates</t>
  </si>
  <si>
    <t>Each copula fitted to the data by maximum likelihood.</t>
  </si>
  <si>
    <t>Frank</t>
  </si>
  <si>
    <t>Gumbel</t>
  </si>
  <si>
    <t>Weight = prior × likelihood, scaled to add up to 100%</t>
  </si>
  <si>
    <t>Clayton</t>
  </si>
  <si>
    <t>Student t</t>
  </si>
  <si>
    <t>Archimedean copulas (Frank, Gumbel, Clayton) have one parameter for all three pairs</t>
  </si>
  <si>
    <t>4   The BMA copula</t>
  </si>
  <si>
    <t>One sample per simulation: a copula drawn with its weight, then sampled.</t>
  </si>
  <si>
    <t>U1</t>
  </si>
  <si>
    <t>U2</t>
  </si>
  <si>
    <t>U3</t>
  </si>
  <si>
    <t>Copula drawn  (1 Frank … 5 Student t)</t>
  </si>
  <si>
    <t>VoseDiscrete(candidates, weights): which copula this sample comes from</t>
  </si>
  <si>
    <t>BMA sample: the drawn copula</t>
  </si>
  <si>
    <t>The outputs come from this row. Use the U's as the U parameter of the three variables</t>
  </si>
  <si>
    <t>BMA object: VoseCopulaBMAObject</t>
  </si>
  <si>
    <t>ModelRisk's BMA copula, as an object</t>
  </si>
  <si>
    <t>VoseCopulaSimulate(BMA object)</t>
  </si>
  <si>
    <t>ModelRisk's own route to the same average: shown, not used for the outputs</t>
  </si>
  <si>
    <t>VoseCopulaBMA(candidates, priors)</t>
  </si>
  <si>
    <t>ModelRisk's sampler. Not used: in this build it errors in every simulation iteration</t>
  </si>
  <si>
    <t>5   Each candidate alone</t>
  </si>
  <si>
    <t>For comparison: one sample per simulation from each fitted copula.</t>
  </si>
  <si>
    <t>VoseCopulaSimulate(fitted copula): its rank correlations show what each candidate implies</t>
  </si>
  <si>
    <t>6   Value in this iteration</t>
  </si>
  <si>
    <t>BMA copula, U1</t>
  </si>
  <si>
    <t>probability</t>
  </si>
  <si>
    <t>BMA copula, U2</t>
  </si>
  <si>
    <t>BMA copula, U3</t>
  </si>
  <si>
    <t>Frank copula alone, U1</t>
  </si>
  <si>
    <t>Frank copula alone, U2</t>
  </si>
  <si>
    <t>Frank copula alone, U3</t>
  </si>
  <si>
    <t>Gumbel copula alone, U1</t>
  </si>
  <si>
    <t>Gumbel copula alone, U2</t>
  </si>
  <si>
    <t>Gumbel copula alone, U3</t>
  </si>
  <si>
    <t>Clayton copula alone, U1</t>
  </si>
  <si>
    <t>Clayton copula alone, U2</t>
  </si>
  <si>
    <t>Clayton copula alone, U3</t>
  </si>
  <si>
    <t>Normal copula alone, U1</t>
  </si>
  <si>
    <t>Normal copula alone, U2</t>
  </si>
  <si>
    <t>Normal copula alone, U3</t>
  </si>
  <si>
    <t>Student t copula alone, U1</t>
  </si>
  <si>
    <t>Student t copula alone, U2</t>
  </si>
  <si>
    <t>Student t copula alone, U3</t>
  </si>
  <si>
    <t>TIME SERIES   ·   Three time series fitted to 44 periods, averaged, and forecast 25 periods ahead.</t>
  </si>
  <si>
    <t>◂  Copula</t>
  </si>
  <si>
    <t>Next:  Results  ▸</t>
  </si>
  <si>
    <t>44 periods. Yellow cells are inputs.</t>
  </si>
  <si>
    <t>Period</t>
  </si>
  <si>
    <t>Log return</t>
  </si>
  <si>
    <t>All three models describe the log returns: LN(this period ÷ the last)</t>
  </si>
  <si>
    <t>The returns barely depend on the last one: a random walk fits about as well as AR1 or MA1</t>
  </si>
  <si>
    <t>Each time series fitted by maximum likelihood.</t>
  </si>
  <si>
    <t>AR1 and MA1 have one more parameter than GBM; BMA by likelihood does not penalise it</t>
  </si>
  <si>
    <t>3   The BMA forecast</t>
  </si>
  <si>
    <t>25 periods ahead from the last value. Each simulation follows one candidate, drawn with its weight.</t>
  </si>
  <si>
    <t>Model drawn  (1 AR1, 2 GBM, 3 MA1)</t>
  </si>
  <si>
    <t>VoseDiscrete(candidates, weights): which model this simulation's path follows</t>
  </si>
  <si>
    <t>Periods ahead</t>
  </si>
  <si>
    <t>Drawn model's path</t>
  </si>
  <si>
    <t>From the BMA object</t>
  </si>
  <si>
    <t>VoseTimeBMA</t>
  </si>
  <si>
    <t>Drawn candidate's path: VoseTimeSimulate(INDEX(candidates, drawn)); the outputs record it</t>
  </si>
  <si>
    <t>VoseTimeSimulate(BMA object): ModelRisk's own route, shown, not used for the outputs</t>
  </si>
  <si>
    <t>VoseTimeBMA: not used; in this build it errors in every simulation iteration</t>
  </si>
  <si>
    <t>Output range 'BMA forecast': one output per period</t>
  </si>
  <si>
    <t>BMA object: VoseTimeBMAObject</t>
  </si>
  <si>
    <t>4   Model checks</t>
  </si>
  <si>
    <t>Should all read OK. A CHECK means an input has been set outside the range the model is built for.</t>
  </si>
  <si>
    <t>Distribution priors: none negative, not all zero</t>
  </si>
  <si>
    <t>Copula priors: none negative, not all zero</t>
  </si>
  <si>
    <t>Time-series priors: none negative, not all zero</t>
  </si>
  <si>
    <t>BMA density = weighted candidates' densities (Distribution sheet)</t>
  </si>
  <si>
    <t>BMA cumulative = weighted candidates' cumulatives</t>
  </si>
  <si>
    <t>RESULTS   ·   Filled in automatically from the last simulation. Run a simulation after changing any input.</t>
  </si>
  <si>
    <t>◂  Time series</t>
  </si>
  <si>
    <t>1   Distribution: Normal or Lognormal?</t>
  </si>
  <si>
    <t>Normal, Lognormal and their average</t>
  </si>
  <si>
    <t>The BMA distribution against each candidate alone (simulated).</t>
  </si>
  <si>
    <t>Model</t>
  </si>
  <si>
    <t>Mean</t>
  </si>
  <si>
    <t>5th pct</t>
  </si>
  <si>
    <t>95th pct</t>
  </si>
  <si>
    <t>Below 0</t>
  </si>
  <si>
    <t>Normal fit</t>
  </si>
  <si>
    <t>Lognormal fit</t>
  </si>
  <si>
    <t>BMA density at x / cumulative probability at x</t>
  </si>
  <si>
    <t>2   Copula: which dependence?</t>
  </si>
  <si>
    <t>Each fitted copula's weight, and the rank correlations it produces (simulated), against the data's.</t>
  </si>
  <si>
    <t>ρ 1–2</t>
  </si>
  <si>
    <t>ρ 1–3</t>
  </si>
  <si>
    <t>ρ 2–3</t>
  </si>
  <si>
    <t>BMA copula</t>
  </si>
  <si>
    <t>3   Time series: which model?</t>
  </si>
  <si>
    <t>BMA forecast — 10th / 50th / 90th percentile band</t>
  </si>
  <si>
    <t>The weights of the three fitted time series.</t>
  </si>
  <si>
    <t>4   How to read these results</t>
  </si>
  <si>
    <t>•  Distribution: the 11 values are 2.34 times as likely under the fitted Lognormal as under the Normal, so with equal priors BMA gives the Lognormal 70% of the weight and the Normal 30%. The average keeps some of the Normal's left tail: a chance of about 0.4% of a negative value, against about 1.3% for the Normal alone and none for the Lognormal.</t>
  </si>
  <si>
    <t>•  Copula: the Normal and Student t copulas fit best and take 93% of the weight; the Student t has the larger share only because of its higher prior (3 against 2). Only they can give each pair its own correlation. Frank, Gumbel and Clayton have one parameter for all three pairs and give every pair about 0.69, while the data have 0.77, 0.72 and 0.44. The BMA copula follows the data's pattern.</t>
  </si>
  <si>
    <t>•  The fitted Clayton parameter is negative. In ModelRisk that is the Clayton copula turned around: the dependence is in the upper tail (large values together), which suits these data, whose largest values come together.</t>
  </si>
  <si>
    <t>•  Time series: the three models fit the 43 log returns almost equally well. AR1 and MA1 have a slightly higher likelihood, GBM the higher prior, and the weights end up 35%, 29% and 36%. Their forecasts hardly differ: the series behaves like a random walk, and the band widens with the square root of time.</t>
  </si>
  <si>
    <t>•  BMA weights each model by prior × likelihood, with no penalty for extra parameters; with SIC, GBM would take most of the weight. With few data, the priors matter.</t>
  </si>
  <si>
    <t>•  ModelRisk's own samplers (VoseBMA, VoseCopulaBMA, VoseTimeBMA) are shown on the calculation sheets but not used: in this build they return errors during a simulation. The model draws a candidate with its weight and samples it, which is what BMA sampling means.</t>
  </si>
  <si>
    <t>Chart data</t>
  </si>
  <si>
    <t>Statistics of the last simulation behind the charts and the ranking above. Grouped: click + in the left margin to show them.</t>
  </si>
  <si>
    <t>Cumulative probability</t>
  </si>
  <si>
    <t>Exceedance</t>
  </si>
  <si>
    <t>Dist_Normal</t>
  </si>
  <si>
    <t>Dist_Lognormal</t>
  </si>
  <si>
    <t>Dist_BMA</t>
  </si>
  <si>
    <t>10th percentile</t>
  </si>
  <si>
    <t>Median</t>
  </si>
  <si>
    <t>90th percentile</t>
  </si>
  <si>
    <t>Last observed value</t>
  </si>
  <si>
    <t>1</t>
  </si>
  <si>
    <t>2</t>
  </si>
  <si>
    <t>3</t>
  </si>
  <si>
    <t>4</t>
  </si>
  <si>
    <t>5</t>
  </si>
  <si>
    <t>6</t>
  </si>
  <si>
    <t>7</t>
  </si>
  <si>
    <t>8</t>
  </si>
  <si>
    <t>9</t>
  </si>
  <si>
    <t>10</t>
  </si>
  <si>
    <t>11</t>
  </si>
  <si>
    <t>12</t>
  </si>
  <si>
    <t>13</t>
  </si>
  <si>
    <t>14</t>
  </si>
  <si>
    <t>15</t>
  </si>
  <si>
    <t>16</t>
  </si>
  <si>
    <t>17</t>
  </si>
  <si>
    <t>18</t>
  </si>
  <si>
    <t>19</t>
  </si>
  <si>
    <t>20</t>
  </si>
  <si>
    <t>21</t>
  </si>
  <si>
    <t>22</t>
  </si>
  <si>
    <t>23</t>
  </si>
  <si>
    <t>24</t>
  </si>
  <si>
    <t>25</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</si>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</sst>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0\);&quot;–&quot;_)"/>
    <numFmt numFmtId="165" formatCode="#,##0.00_);\(#,##0.00\);&quot;–&quot;_)"/>
    <numFmt numFmtId="166" formatCode="0.000"/>
    <numFmt numFmtId="167" formatCode="0.0%"/>
    <numFmt numFmtId="168" formatCode="0.0000"/>
    <numFmt numFmtId="169" formatCode="0.000000"/>
    <numFmt numFmtId="170" formatCode="0.0"/>
    <numFmt numFmtId="171" formatCode="0.0%;\-0.0%;0.0%"/>
    <numFmt numFmtId="172" formatCode="#,##0.00_);\(#,##0.00\);&quot;–&quot;_);&quot;–&quot;"/>
    <numFmt numFmtId="173" formatCode="0.0%;\-0.0%;0.0%;&quot;–&quot;"/>
    <numFmt numFmtId="174" formatCode="0.00;\-0.00;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0F2A47"/>
      <name val="Calibri"/>
    </font>
    <font>
      <i/>
      <sz val="10"/>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166" fontId="1" fillId="2" borderId="7" xfId="1" applyNumberFormat="1" applyBorder="1">
      <alignment horizontal="right" vertical="center"/>
    </xf>
    <xf numFmtId="0" fontId="18" fillId="0" borderId="0" xfId="0" applyFont="1" applyAlignment="1">
      <alignment horizontal="left" vertical="center" indent="1"/>
    </xf>
    <xf numFmtId="0" fontId="12" fillId="0" borderId="6" xfId="0" applyFont="1" applyBorder="1" applyAlignment="1">
      <alignment horizontal="left" vertical="center" indent="1"/>
    </xf>
    <xf numFmtId="164" fontId="3" fillId="0" borderId="8" xfId="3" applyNumberFormat="1" applyBorder="1">
      <alignment horizontal="right" vertical="center"/>
    </xf>
    <xf numFmtId="166" fontId="3" fillId="0" borderId="8" xfId="3" applyNumberFormat="1" applyBorder="1">
      <alignment horizontal="right" vertical="center"/>
    </xf>
    <xf numFmtId="167" fontId="3" fillId="0" borderId="8" xfId="3" applyNumberFormat="1" applyBorder="1">
      <alignment horizontal="right" vertical="center"/>
    </xf>
    <xf numFmtId="168" fontId="3" fillId="0" borderId="2" xfId="3" applyNumberFormat="1">
      <alignment horizontal="right" vertical="center"/>
    </xf>
    <xf numFmtId="0" fontId="19" fillId="0" borderId="8" xfId="3" applyFont="1" applyBorder="1" applyAlignment="1">
      <alignment horizontal="left" vertical="center" indent="1"/>
    </xf>
    <xf numFmtId="0" fontId="12" fillId="0" borderId="9" xfId="0" applyFont="1" applyBorder="1" applyAlignment="1">
      <alignment horizontal="left" vertical="center" indent="1"/>
    </xf>
    <xf numFmtId="0" fontId="0" fillId="0" borderId="9" xfId="0" applyBorder="1"/>
    <xf numFmtId="167" fontId="12" fillId="0" borderId="9" xfId="3" applyNumberFormat="1" applyFont="1" applyBorder="1">
      <alignment horizontal="right" vertical="center"/>
    </xf>
    <xf numFmtId="165" fontId="3" fillId="0" borderId="8" xfId="3" applyNumberFormat="1" applyBorder="1">
      <alignment horizontal="right" vertical="center"/>
    </xf>
    <xf numFmtId="169" fontId="3" fillId="0" borderId="8" xfId="3" applyNumberFormat="1" applyBorder="1">
      <alignment horizontal="right" vertical="center"/>
    </xf>
    <xf numFmtId="1" fontId="2" fillId="3" borderId="7" xfId="2" applyNumberFormat="1" applyBorder="1">
      <alignment horizontal="right" vertical="center"/>
    </xf>
    <xf numFmtId="166" fontId="2" fillId="3" borderId="7" xfId="2" applyNumberFormat="1" applyBorder="1">
      <alignment horizontal="right" vertical="center"/>
    </xf>
    <xf numFmtId="0" fontId="20" fillId="0" borderId="6" xfId="0" applyFont="1" applyBorder="1" applyAlignment="1">
      <alignment horizontal="left" vertical="center"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6" fontId="4" fillId="4" borderId="10" xfId="4" applyNumberFormat="1" applyBorder="1">
      <alignment horizontal="right" vertical="center"/>
    </xf>
    <xf numFmtId="170" fontId="1" fillId="2" borderId="7" xfId="1" applyNumberFormat="1" applyBorder="1">
      <alignment horizontal="right" vertical="center"/>
    </xf>
    <xf numFmtId="171" fontId="3" fillId="0" borderId="8" xfId="3" applyNumberFormat="1" applyBorder="1">
      <alignment horizontal="right" vertical="center"/>
    </xf>
    <xf numFmtId="165" fontId="2" fillId="3" borderId="7" xfId="2" applyNumberFormat="1" applyBorder="1">
      <alignment horizontal="right" vertical="center"/>
    </xf>
    <xf numFmtId="165" fontId="4" fillId="4" borderId="10" xfId="4"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3" fillId="0" borderId="5" xfId="0" applyFont="1" applyBorder="1"/>
    <xf numFmtId="172" fontId="1" fillId="5" borderId="7" xfId="5" applyNumberFormat="1" applyBorder="1">
      <alignment horizontal="right" vertical="center"/>
    </xf>
    <xf numFmtId="173" fontId="1" fillId="5" borderId="7" xfId="5" applyNumberFormat="1" applyBorder="1">
      <alignment horizontal="right" vertical="center"/>
    </xf>
    <xf numFmtId="168" fontId="3" fillId="0" borderId="8" xfId="3" applyNumberFormat="1" applyBorder="1">
      <alignment horizontal="right" vertical="center"/>
    </xf>
    <xf numFmtId="2" fontId="3" fillId="0" borderId="8" xfId="3" applyNumberFormat="1" applyBorder="1">
      <alignment horizontal="right" vertical="center"/>
    </xf>
    <xf numFmtId="174"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2"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Normal fit</c:v>
          </c:tx>
          <c:spPr>
            <a:ln w="25400">
              <a:solidFill>
                <a:srgbClr val="0E4F92"/>
              </a:solidFill>
              <a:prstDash val="solid"/>
            </a:ln>
          </c:spPr>
          <c:marker>
            <c:symbol val="none"/>
          </c:marker>
          <c:xVal>
            <c:numRef>
              <c:f>Results!$D$56:$D$105</c:f>
              <c:numCache>
                <c:formatCode>#,##0.00</c:formatCode>
                <c:ptCount val="50"/>
                <c:pt idx="0">
                  <c:v>-3.927699034142762E-2</c:v>
                </c:pt>
                <c:pt idx="1">
                  <c:v>0.37260760484096211</c:v>
                </c:pt>
                <c:pt idx="2">
                  <c:v>0.6381976759307213</c:v>
                </c:pt>
                <c:pt idx="3">
                  <c:v>0.80702787093787332</c:v>
                </c:pt>
                <c:pt idx="4">
                  <c:v>0.9456531747872281</c:v>
                </c:pt>
                <c:pt idx="5">
                  <c:v>1.0653443930770756</c:v>
                </c:pt>
                <c:pt idx="6">
                  <c:v>1.1673708258533875</c:v>
                </c:pt>
                <c:pt idx="7">
                  <c:v>1.2632508496482029</c:v>
                </c:pt>
                <c:pt idx="8">
                  <c:v>1.3388103325143612</c:v>
                </c:pt>
                <c:pt idx="9">
                  <c:v>1.4180731471233456</c:v>
                </c:pt>
                <c:pt idx="10">
                  <c:v>1.484026507605622</c:v>
                </c:pt>
                <c:pt idx="11">
                  <c:v>1.5603846233613785</c:v>
                </c:pt>
                <c:pt idx="12">
                  <c:v>1.6293831038985307</c:v>
                </c:pt>
                <c:pt idx="13">
                  <c:v>1.6928839515399874</c:v>
                </c:pt>
                <c:pt idx="14">
                  <c:v>1.7532867558017213</c:v>
                </c:pt>
                <c:pt idx="15">
                  <c:v>1.8152374143806205</c:v>
                </c:pt>
                <c:pt idx="16">
                  <c:v>1.8728342973838441</c:v>
                </c:pt>
                <c:pt idx="17">
                  <c:v>1.9296315571963778</c:v>
                </c:pt>
                <c:pt idx="18">
                  <c:v>1.9860394140168793</c:v>
                </c:pt>
                <c:pt idx="19">
                  <c:v>2.0434708190198814</c:v>
                </c:pt>
                <c:pt idx="20">
                  <c:v>2.0998870281457762</c:v>
                </c:pt>
                <c:pt idx="21">
                  <c:v>2.1479371887300438</c:v>
                </c:pt>
                <c:pt idx="22">
                  <c:v>2.2011052155995352</c:v>
                </c:pt>
                <c:pt idx="23">
                  <c:v>2.2499372658731396</c:v>
                </c:pt>
                <c:pt idx="24">
                  <c:v>2.2982617431703432</c:v>
                </c:pt>
                <c:pt idx="25">
                  <c:v>2.3493403292527892</c:v>
                </c:pt>
                <c:pt idx="26">
                  <c:v>2.4036378317290139</c:v>
                </c:pt>
                <c:pt idx="27">
                  <c:v>2.4541080895523923</c:v>
                </c:pt>
                <c:pt idx="28">
                  <c:v>2.5015381826280763</c:v>
                </c:pt>
                <c:pt idx="29">
                  <c:v>2.5525927660219789</c:v>
                </c:pt>
                <c:pt idx="30">
                  <c:v>2.6059099831487496</c:v>
                </c:pt>
                <c:pt idx="31">
                  <c:v>2.6631349408390412</c:v>
                </c:pt>
                <c:pt idx="32">
                  <c:v>2.7142279815883672</c:v>
                </c:pt>
                <c:pt idx="33">
                  <c:v>2.7638014287092201</c:v>
                </c:pt>
                <c:pt idx="34">
                  <c:v>2.8233747093487223</c:v>
                </c:pt>
                <c:pt idx="35">
                  <c:v>2.8799468023703403</c:v>
                </c:pt>
                <c:pt idx="36">
                  <c:v>2.9423318449187681</c:v>
                </c:pt>
                <c:pt idx="37">
                  <c:v>3.0128327611108889</c:v>
                </c:pt>
                <c:pt idx="38">
                  <c:v>3.0800469985339092</c:v>
                </c:pt>
                <c:pt idx="39">
                  <c:v>3.1472317662874718</c:v>
                </c:pt>
                <c:pt idx="40">
                  <c:v>3.2308999244885697</c:v>
                </c:pt>
                <c:pt idx="41">
                  <c:v>3.3099367121713579</c:v>
                </c:pt>
                <c:pt idx="42">
                  <c:v>3.3908321657123324</c:v>
                </c:pt>
                <c:pt idx="43">
                  <c:v>3.4793628576674793</c:v>
                </c:pt>
                <c:pt idx="44">
                  <c:v>3.5853296225038864</c:v>
                </c:pt>
                <c:pt idx="45">
                  <c:v>3.7065098560771235</c:v>
                </c:pt>
                <c:pt idx="46">
                  <c:v>3.8481097519953362</c:v>
                </c:pt>
                <c:pt idx="47">
                  <c:v>4.0073792377094524</c:v>
                </c:pt>
                <c:pt idx="48">
                  <c:v>4.2660190260548703</c:v>
                </c:pt>
                <c:pt idx="49">
                  <c:v>4.7267490064342592</c:v>
                </c:pt>
              </c:numCache>
            </c:numRef>
          </c:xVal>
          <c:yVal>
            <c:numRef>
              <c:f>Results!$B$56:$B$105</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E162-4915-9579-FEC340684E60}"/>
            </c:ext>
          </c:extLst>
        </c:ser>
        <c:ser>
          <c:idx val="1"/>
          <c:order val="1"/>
          <c:tx>
            <c:v>Lognormal fit</c:v>
          </c:tx>
          <c:spPr>
            <a:ln w="25400">
              <a:solidFill>
                <a:srgbClr val="B45309"/>
              </a:solidFill>
              <a:prstDash val="dash"/>
            </a:ln>
          </c:spPr>
          <c:marker>
            <c:symbol val="none"/>
          </c:marker>
          <c:xVal>
            <c:numRef>
              <c:f>Results!$E$56:$E$105</c:f>
              <c:numCache>
                <c:formatCode>#,##0.00</c:formatCode>
                <c:ptCount val="50"/>
                <c:pt idx="0">
                  <c:v>0.71407112899740521</c:v>
                </c:pt>
                <c:pt idx="1">
                  <c:v>0.86877034100861628</c:v>
                </c:pt>
                <c:pt idx="2">
                  <c:v>0.97248355136308773</c:v>
                </c:pt>
                <c:pt idx="3">
                  <c:v>1.0461212776343534</c:v>
                </c:pt>
                <c:pt idx="4">
                  <c:v>1.1187067461117819</c:v>
                </c:pt>
                <c:pt idx="5">
                  <c:v>1.1791043341015019</c:v>
                </c:pt>
                <c:pt idx="6">
                  <c:v>1.2318352191494377</c:v>
                </c:pt>
                <c:pt idx="7">
                  <c:v>1.2819553860281263</c:v>
                </c:pt>
                <c:pt idx="8">
                  <c:v>1.3327552873696911</c:v>
                </c:pt>
                <c:pt idx="9">
                  <c:v>1.3749956029012345</c:v>
                </c:pt>
                <c:pt idx="10">
                  <c:v>1.423217033073114</c:v>
                </c:pt>
                <c:pt idx="11">
                  <c:v>1.4737058647587196</c:v>
                </c:pt>
                <c:pt idx="12">
                  <c:v>1.5203378450424512</c:v>
                </c:pt>
                <c:pt idx="13">
                  <c:v>1.5658039549274962</c:v>
                </c:pt>
                <c:pt idx="14">
                  <c:v>1.613194941238284</c:v>
                </c:pt>
                <c:pt idx="15">
                  <c:v>1.6593132776414123</c:v>
                </c:pt>
                <c:pt idx="16">
                  <c:v>1.7037262333574934</c:v>
                </c:pt>
                <c:pt idx="17">
                  <c:v>1.746233822927084</c:v>
                </c:pt>
                <c:pt idx="18">
                  <c:v>1.7929705796745321</c:v>
                </c:pt>
                <c:pt idx="19">
                  <c:v>1.8416584742358428</c:v>
                </c:pt>
                <c:pt idx="20">
                  <c:v>1.8806167983266122</c:v>
                </c:pt>
                <c:pt idx="21">
                  <c:v>1.9253281689636275</c:v>
                </c:pt>
                <c:pt idx="22">
                  <c:v>1.9707546212223142</c:v>
                </c:pt>
                <c:pt idx="23">
                  <c:v>2.0218299861373668</c:v>
                </c:pt>
                <c:pt idx="24">
                  <c:v>2.0665233038730424</c:v>
                </c:pt>
                <c:pt idx="25">
                  <c:v>2.1131642757779714</c:v>
                </c:pt>
                <c:pt idx="26">
                  <c:v>2.1628201334295887</c:v>
                </c:pt>
                <c:pt idx="27">
                  <c:v>2.2149785661313226</c:v>
                </c:pt>
                <c:pt idx="28">
                  <c:v>2.270736069255272</c:v>
                </c:pt>
                <c:pt idx="29">
                  <c:v>2.3262870861897587</c:v>
                </c:pt>
                <c:pt idx="30">
                  <c:v>2.3755284973153716</c:v>
                </c:pt>
                <c:pt idx="31">
                  <c:v>2.4342622178268041</c:v>
                </c:pt>
                <c:pt idx="32">
                  <c:v>2.4970924204851919</c:v>
                </c:pt>
                <c:pt idx="33">
                  <c:v>2.5568355660030528</c:v>
                </c:pt>
                <c:pt idx="34">
                  <c:v>2.6188190238270814</c:v>
                </c:pt>
                <c:pt idx="35">
                  <c:v>2.6904338127869467</c:v>
                </c:pt>
                <c:pt idx="36">
                  <c:v>2.7819148853512816</c:v>
                </c:pt>
                <c:pt idx="37">
                  <c:v>2.8798788947949565</c:v>
                </c:pt>
                <c:pt idx="38">
                  <c:v>2.9648392415363656</c:v>
                </c:pt>
                <c:pt idx="39">
                  <c:v>3.0639285708154458</c:v>
                </c:pt>
                <c:pt idx="40">
                  <c:v>3.1791859097202981</c:v>
                </c:pt>
                <c:pt idx="41">
                  <c:v>3.2950747686347888</c:v>
                </c:pt>
                <c:pt idx="42">
                  <c:v>3.422010315341272</c:v>
                </c:pt>
                <c:pt idx="43">
                  <c:v>3.5478318105880597</c:v>
                </c:pt>
                <c:pt idx="44">
                  <c:v>3.701409279370055</c:v>
                </c:pt>
                <c:pt idx="45">
                  <c:v>3.8996579849277881</c:v>
                </c:pt>
                <c:pt idx="46">
                  <c:v>4.1666973391298043</c:v>
                </c:pt>
                <c:pt idx="47">
                  <c:v>4.4863269708179008</c:v>
                </c:pt>
                <c:pt idx="48">
                  <c:v>4.9891944384561704</c:v>
                </c:pt>
                <c:pt idx="49">
                  <c:v>6.1993976201433316</c:v>
                </c:pt>
              </c:numCache>
            </c:numRef>
          </c:xVal>
          <c:yVal>
            <c:numRef>
              <c:f>Results!$B$56:$B$105</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E162-4915-9579-FEC340684E60}"/>
            </c:ext>
          </c:extLst>
        </c:ser>
        <c:ser>
          <c:idx val="2"/>
          <c:order val="2"/>
          <c:tx>
            <c:v>BMA</c:v>
          </c:tx>
          <c:spPr>
            <a:ln w="25400">
              <a:solidFill>
                <a:srgbClr val="15803D"/>
              </a:solidFill>
              <a:prstDash val="solid"/>
            </a:ln>
          </c:spPr>
          <c:marker>
            <c:symbol val="none"/>
          </c:marker>
          <c:xVal>
            <c:numRef>
              <c:f>Results!$F$56:$F$105</c:f>
              <c:numCache>
                <c:formatCode>#,##0.00</c:formatCode>
                <c:ptCount val="50"/>
                <c:pt idx="0">
                  <c:v>0.37548677002890707</c:v>
                </c:pt>
                <c:pt idx="1">
                  <c:v>0.735024837166249</c:v>
                </c:pt>
                <c:pt idx="2">
                  <c:v>0.87129030072228841</c:v>
                </c:pt>
                <c:pt idx="3">
                  <c:v>0.97343923138321542</c:v>
                </c:pt>
                <c:pt idx="4">
                  <c:v>1.0571015385687437</c:v>
                </c:pt>
                <c:pt idx="5">
                  <c:v>1.1396768372566395</c:v>
                </c:pt>
                <c:pt idx="6">
                  <c:v>1.2114555994137433</c:v>
                </c:pt>
                <c:pt idx="7">
                  <c:v>1.2694650729964772</c:v>
                </c:pt>
                <c:pt idx="8">
                  <c:v>1.3291424966024614</c:v>
                </c:pt>
                <c:pt idx="9">
                  <c:v>1.3835748441012066</c:v>
                </c:pt>
                <c:pt idx="10">
                  <c:v>1.4305595636327368</c:v>
                </c:pt>
                <c:pt idx="11">
                  <c:v>1.4804986406651601</c:v>
                </c:pt>
                <c:pt idx="12">
                  <c:v>1.5273439874389478</c:v>
                </c:pt>
                <c:pt idx="13">
                  <c:v>1.5807155043368253</c:v>
                </c:pt>
                <c:pt idx="14">
                  <c:v>1.6224666621260748</c:v>
                </c:pt>
                <c:pt idx="15">
                  <c:v>1.6658045368001417</c:v>
                </c:pt>
                <c:pt idx="16">
                  <c:v>1.7121696460972091</c:v>
                </c:pt>
                <c:pt idx="17">
                  <c:v>1.757622954521507</c:v>
                </c:pt>
                <c:pt idx="18">
                  <c:v>1.8032030805374104</c:v>
                </c:pt>
                <c:pt idx="19">
                  <c:v>1.8483543259735464</c:v>
                </c:pt>
                <c:pt idx="20">
                  <c:v>1.8969642614998743</c:v>
                </c:pt>
                <c:pt idx="21">
                  <c:v>1.9465576542593443</c:v>
                </c:pt>
                <c:pt idx="22">
                  <c:v>1.991019153317418</c:v>
                </c:pt>
                <c:pt idx="23">
                  <c:v>2.0408508416585684</c:v>
                </c:pt>
                <c:pt idx="24">
                  <c:v>2.0908437552468531</c:v>
                </c:pt>
                <c:pt idx="25">
                  <c:v>2.1381186081582784</c:v>
                </c:pt>
                <c:pt idx="26">
                  <c:v>2.1924060402505359</c:v>
                </c:pt>
                <c:pt idx="27">
                  <c:v>2.2442431264928682</c:v>
                </c:pt>
                <c:pt idx="28">
                  <c:v>2.3025863898239307</c:v>
                </c:pt>
                <c:pt idx="29">
                  <c:v>2.3603804441284231</c:v>
                </c:pt>
                <c:pt idx="30">
                  <c:v>2.4153593102065938</c:v>
                </c:pt>
                <c:pt idx="31">
                  <c:v>2.480221799626233</c:v>
                </c:pt>
                <c:pt idx="32">
                  <c:v>2.5459468365709044</c:v>
                </c:pt>
                <c:pt idx="33">
                  <c:v>2.609613900523879</c:v>
                </c:pt>
                <c:pt idx="34">
                  <c:v>2.6767954787192889</c:v>
                </c:pt>
                <c:pt idx="35">
                  <c:v>2.7469225881835757</c:v>
                </c:pt>
                <c:pt idx="36">
                  <c:v>2.8232423613503208</c:v>
                </c:pt>
                <c:pt idx="37">
                  <c:v>2.903837401826356</c:v>
                </c:pt>
                <c:pt idx="38">
                  <c:v>2.9826770166078296</c:v>
                </c:pt>
                <c:pt idx="39">
                  <c:v>3.0726257541490383</c:v>
                </c:pt>
                <c:pt idx="40">
                  <c:v>3.1566423340623286</c:v>
                </c:pt>
                <c:pt idx="41">
                  <c:v>3.2557754749711196</c:v>
                </c:pt>
                <c:pt idx="42">
                  <c:v>3.3549968056204751</c:v>
                </c:pt>
                <c:pt idx="43">
                  <c:v>3.470791251919076</c:v>
                </c:pt>
                <c:pt idx="44">
                  <c:v>3.6055100558315925</c:v>
                </c:pt>
                <c:pt idx="45">
                  <c:v>3.7714922327123466</c:v>
                </c:pt>
                <c:pt idx="46">
                  <c:v>3.9747242369570195</c:v>
                </c:pt>
                <c:pt idx="47">
                  <c:v>4.270654669373819</c:v>
                </c:pt>
                <c:pt idx="48">
                  <c:v>4.6985887552669121</c:v>
                </c:pt>
                <c:pt idx="49">
                  <c:v>5.7509026660978764</c:v>
                </c:pt>
              </c:numCache>
            </c:numRef>
          </c:xVal>
          <c:yVal>
            <c:numRef>
              <c:f>Results!$B$56:$B$105</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E162-4915-9579-FEC340684E60}"/>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Value</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Results!$B$108:$B$132</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Results!$E$108:$E$132</c:f>
              <c:numCache>
                <c:formatCode>#,##0.00</c:formatCode>
                <c:ptCount val="25"/>
                <c:pt idx="0">
                  <c:v>121.8863624077089</c:v>
                </c:pt>
                <c:pt idx="1">
                  <c:v>128.34244341964592</c:v>
                </c:pt>
                <c:pt idx="2">
                  <c:v>133.77388410998464</c:v>
                </c:pt>
                <c:pt idx="3">
                  <c:v>138.68900196579438</c:v>
                </c:pt>
                <c:pt idx="4">
                  <c:v>142.60507973664988</c:v>
                </c:pt>
                <c:pt idx="5">
                  <c:v>145.96197806536134</c:v>
                </c:pt>
                <c:pt idx="6">
                  <c:v>149.6677526177381</c:v>
                </c:pt>
                <c:pt idx="7">
                  <c:v>153.16918248599916</c:v>
                </c:pt>
                <c:pt idx="8">
                  <c:v>156.5022723164877</c:v>
                </c:pt>
                <c:pt idx="9">
                  <c:v>160.47552266706754</c:v>
                </c:pt>
                <c:pt idx="10">
                  <c:v>164.17678913547377</c:v>
                </c:pt>
                <c:pt idx="11">
                  <c:v>167.57296304794093</c:v>
                </c:pt>
                <c:pt idx="12">
                  <c:v>172.20921252755517</c:v>
                </c:pt>
                <c:pt idx="13">
                  <c:v>174.01108830043145</c:v>
                </c:pt>
                <c:pt idx="14">
                  <c:v>177.46144583845398</c:v>
                </c:pt>
                <c:pt idx="15">
                  <c:v>179.83637100238315</c:v>
                </c:pt>
                <c:pt idx="16">
                  <c:v>181.23223515575089</c:v>
                </c:pt>
                <c:pt idx="17">
                  <c:v>184.07365143617019</c:v>
                </c:pt>
                <c:pt idx="18">
                  <c:v>186.55841208526732</c:v>
                </c:pt>
                <c:pt idx="19">
                  <c:v>188.27919919239307</c:v>
                </c:pt>
                <c:pt idx="20">
                  <c:v>192.09757572539488</c:v>
                </c:pt>
                <c:pt idx="21">
                  <c:v>194.09069634542661</c:v>
                </c:pt>
                <c:pt idx="22">
                  <c:v>197.08125007212436</c:v>
                </c:pt>
                <c:pt idx="23">
                  <c:v>199.90785783405659</c:v>
                </c:pt>
                <c:pt idx="24">
                  <c:v>201.25044251955183</c:v>
                </c:pt>
              </c:numCache>
            </c:numRef>
          </c:val>
          <c:smooth val="0"/>
          <c:extLst>
            <c:ext xmlns:c16="http://schemas.microsoft.com/office/drawing/2014/chart" uri="{C3380CC4-5D6E-409C-BE32-E72D297353CC}">
              <c16:uniqueId val="{00000000-5BDD-4126-9D7E-31D0921B1963}"/>
            </c:ext>
          </c:extLst>
        </c:ser>
        <c:ser>
          <c:idx val="1"/>
          <c:order val="1"/>
          <c:tx>
            <c:v>Median</c:v>
          </c:tx>
          <c:spPr>
            <a:ln w="28575">
              <a:solidFill>
                <a:srgbClr val="0E4F92"/>
              </a:solidFill>
              <a:prstDash val="solid"/>
            </a:ln>
          </c:spPr>
          <c:marker>
            <c:symbol val="none"/>
          </c:marker>
          <c:cat>
            <c:strRef>
              <c:f>Results!$B$108:$B$132</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Results!$D$108:$D$132</c:f>
              <c:numCache>
                <c:formatCode>#,##0.00</c:formatCode>
                <c:ptCount val="25"/>
                <c:pt idx="0">
                  <c:v>105.22022128768013</c:v>
                </c:pt>
                <c:pt idx="1">
                  <c:v>104.79158529421407</c:v>
                </c:pt>
                <c:pt idx="2">
                  <c:v>104.75605125334465</c:v>
                </c:pt>
                <c:pt idx="3">
                  <c:v>104.83854703078963</c:v>
                </c:pt>
                <c:pt idx="4">
                  <c:v>104.69705877652062</c:v>
                </c:pt>
                <c:pt idx="5">
                  <c:v>104.46668497375209</c:v>
                </c:pt>
                <c:pt idx="6">
                  <c:v>104.19283780019832</c:v>
                </c:pt>
                <c:pt idx="7">
                  <c:v>104.0127318805915</c:v>
                </c:pt>
                <c:pt idx="8">
                  <c:v>103.87134867279298</c:v>
                </c:pt>
                <c:pt idx="9">
                  <c:v>103.82945289979818</c:v>
                </c:pt>
                <c:pt idx="10">
                  <c:v>103.92756327095769</c:v>
                </c:pt>
                <c:pt idx="11">
                  <c:v>103.60908080753113</c:v>
                </c:pt>
                <c:pt idx="12">
                  <c:v>103.76952346064535</c:v>
                </c:pt>
                <c:pt idx="13">
                  <c:v>103.66794815784513</c:v>
                </c:pt>
                <c:pt idx="14">
                  <c:v>103.72607170598565</c:v>
                </c:pt>
                <c:pt idx="15">
                  <c:v>103.42026784816174</c:v>
                </c:pt>
                <c:pt idx="16">
                  <c:v>103.2733216827764</c:v>
                </c:pt>
                <c:pt idx="17">
                  <c:v>103.05462982494404</c:v>
                </c:pt>
                <c:pt idx="18">
                  <c:v>102.98207426946692</c:v>
                </c:pt>
                <c:pt idx="19">
                  <c:v>103.14405723276826</c:v>
                </c:pt>
                <c:pt idx="20">
                  <c:v>102.89550226214797</c:v>
                </c:pt>
                <c:pt idx="21">
                  <c:v>102.23260141312217</c:v>
                </c:pt>
                <c:pt idx="22">
                  <c:v>102.33645737681151</c:v>
                </c:pt>
                <c:pt idx="23">
                  <c:v>102.3656016625179</c:v>
                </c:pt>
                <c:pt idx="24">
                  <c:v>101.99683817403714</c:v>
                </c:pt>
              </c:numCache>
            </c:numRef>
          </c:val>
          <c:smooth val="0"/>
          <c:extLst>
            <c:ext xmlns:c16="http://schemas.microsoft.com/office/drawing/2014/chart" uri="{C3380CC4-5D6E-409C-BE32-E72D297353CC}">
              <c16:uniqueId val="{00000001-5BDD-4126-9D7E-31D0921B1963}"/>
            </c:ext>
          </c:extLst>
        </c:ser>
        <c:ser>
          <c:idx val="2"/>
          <c:order val="2"/>
          <c:tx>
            <c:v>Mean</c:v>
          </c:tx>
          <c:spPr>
            <a:ln w="19050">
              <a:solidFill>
                <a:srgbClr val="B45309"/>
              </a:solidFill>
              <a:prstDash val="solid"/>
            </a:ln>
          </c:spPr>
          <c:marker>
            <c:symbol val="none"/>
          </c:marker>
          <c:cat>
            <c:strRef>
              <c:f>Results!$B$108:$B$132</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Results!$F$108:$F$132</c:f>
              <c:numCache>
                <c:formatCode>#,##0.00</c:formatCode>
                <c:ptCount val="25"/>
                <c:pt idx="0">
                  <c:v>105.89734162587014</c:v>
                </c:pt>
                <c:pt idx="1">
                  <c:v>106.26896915122359</c:v>
                </c:pt>
                <c:pt idx="2">
                  <c:v>106.77762132739508</c:v>
                </c:pt>
                <c:pt idx="3">
                  <c:v>107.40188527603631</c:v>
                </c:pt>
                <c:pt idx="4">
                  <c:v>107.77577895303961</c:v>
                </c:pt>
                <c:pt idx="5">
                  <c:v>108.12274842243393</c:v>
                </c:pt>
                <c:pt idx="6">
                  <c:v>108.51891083836465</c:v>
                </c:pt>
                <c:pt idx="7">
                  <c:v>109.07813589908973</c:v>
                </c:pt>
                <c:pt idx="8">
                  <c:v>109.44565443969984</c:v>
                </c:pt>
                <c:pt idx="9">
                  <c:v>110.25554048372706</c:v>
                </c:pt>
                <c:pt idx="10">
                  <c:v>110.75525833088528</c:v>
                </c:pt>
                <c:pt idx="11">
                  <c:v>111.33503872575976</c:v>
                </c:pt>
                <c:pt idx="12">
                  <c:v>112.00615987352477</c:v>
                </c:pt>
                <c:pt idx="13">
                  <c:v>112.46873480289074</c:v>
                </c:pt>
                <c:pt idx="14">
                  <c:v>112.74797108224043</c:v>
                </c:pt>
                <c:pt idx="15">
                  <c:v>113.03254432448199</c:v>
                </c:pt>
                <c:pt idx="16">
                  <c:v>113.38809944089891</c:v>
                </c:pt>
                <c:pt idx="17">
                  <c:v>113.94184625406064</c:v>
                </c:pt>
                <c:pt idx="18">
                  <c:v>114.52016107712224</c:v>
                </c:pt>
                <c:pt idx="19">
                  <c:v>114.89312720554537</c:v>
                </c:pt>
                <c:pt idx="20">
                  <c:v>115.42614916165113</c:v>
                </c:pt>
                <c:pt idx="21">
                  <c:v>116.08363572362327</c:v>
                </c:pt>
                <c:pt idx="22">
                  <c:v>116.64852555840167</c:v>
                </c:pt>
                <c:pt idx="23">
                  <c:v>117.21999282034196</c:v>
                </c:pt>
                <c:pt idx="24">
                  <c:v>117.58942909516792</c:v>
                </c:pt>
              </c:numCache>
            </c:numRef>
          </c:val>
          <c:smooth val="0"/>
          <c:extLst>
            <c:ext xmlns:c16="http://schemas.microsoft.com/office/drawing/2014/chart" uri="{C3380CC4-5D6E-409C-BE32-E72D297353CC}">
              <c16:uniqueId val="{00000002-5BDD-4126-9D7E-31D0921B1963}"/>
            </c:ext>
          </c:extLst>
        </c:ser>
        <c:ser>
          <c:idx val="3"/>
          <c:order val="3"/>
          <c:tx>
            <c:v>10th percentile</c:v>
          </c:tx>
          <c:spPr>
            <a:ln w="15875">
              <a:solidFill>
                <a:srgbClr val="0E4F92"/>
              </a:solidFill>
              <a:prstDash val="dash"/>
            </a:ln>
          </c:spPr>
          <c:marker>
            <c:symbol val="none"/>
          </c:marker>
          <c:cat>
            <c:strRef>
              <c:f>Results!$B$108:$B$132</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Results!$C$108:$C$132</c:f>
              <c:numCache>
                <c:formatCode>#,##0.00</c:formatCode>
                <c:ptCount val="25"/>
                <c:pt idx="0">
                  <c:v>90.849351001719725</c:v>
                </c:pt>
                <c:pt idx="1">
                  <c:v>85.97482353442193</c:v>
                </c:pt>
                <c:pt idx="2">
                  <c:v>82.094536503459594</c:v>
                </c:pt>
                <c:pt idx="3">
                  <c:v>79.723013130448848</c:v>
                </c:pt>
                <c:pt idx="4">
                  <c:v>76.961996043589409</c:v>
                </c:pt>
                <c:pt idx="5">
                  <c:v>74.383546087511235</c:v>
                </c:pt>
                <c:pt idx="6">
                  <c:v>72.420935845575713</c:v>
                </c:pt>
                <c:pt idx="7">
                  <c:v>70.818867168166534</c:v>
                </c:pt>
                <c:pt idx="8">
                  <c:v>69.33175191862243</c:v>
                </c:pt>
                <c:pt idx="9">
                  <c:v>67.714956733927522</c:v>
                </c:pt>
                <c:pt idx="10">
                  <c:v>65.973209088818265</c:v>
                </c:pt>
                <c:pt idx="11">
                  <c:v>64.283527799788772</c:v>
                </c:pt>
                <c:pt idx="12">
                  <c:v>63.199548315289114</c:v>
                </c:pt>
                <c:pt idx="13">
                  <c:v>61.858424523869765</c:v>
                </c:pt>
                <c:pt idx="14">
                  <c:v>60.603224001354178</c:v>
                </c:pt>
                <c:pt idx="15">
                  <c:v>59.276366857640113</c:v>
                </c:pt>
                <c:pt idx="16">
                  <c:v>57.613540419308897</c:v>
                </c:pt>
                <c:pt idx="17">
                  <c:v>56.979784841429911</c:v>
                </c:pt>
                <c:pt idx="18">
                  <c:v>55.919259303877283</c:v>
                </c:pt>
                <c:pt idx="19">
                  <c:v>54.633759689651747</c:v>
                </c:pt>
                <c:pt idx="20">
                  <c:v>53.91803249553692</c:v>
                </c:pt>
                <c:pt idx="21">
                  <c:v>53.225021065835392</c:v>
                </c:pt>
                <c:pt idx="22">
                  <c:v>52.732080217992859</c:v>
                </c:pt>
                <c:pt idx="23">
                  <c:v>51.926214103557975</c:v>
                </c:pt>
                <c:pt idx="24">
                  <c:v>51.357298743053526</c:v>
                </c:pt>
              </c:numCache>
            </c:numRef>
          </c:val>
          <c:smooth val="0"/>
          <c:extLst>
            <c:ext xmlns:c16="http://schemas.microsoft.com/office/drawing/2014/chart" uri="{C3380CC4-5D6E-409C-BE32-E72D297353CC}">
              <c16:uniqueId val="{00000003-5BDD-4126-9D7E-31D0921B1963}"/>
            </c:ext>
          </c:extLst>
        </c:ser>
        <c:ser>
          <c:idx val="4"/>
          <c:order val="4"/>
          <c:tx>
            <c:v>Last observed value</c:v>
          </c:tx>
          <c:spPr>
            <a:ln w="22225">
              <a:solidFill>
                <a:srgbClr val="B91C1C"/>
              </a:solidFill>
              <a:prstDash val="solid"/>
            </a:ln>
          </c:spPr>
          <c:marker>
            <c:symbol val="none"/>
          </c:marker>
          <c:cat>
            <c:strRef>
              <c:f>Results!$B$108:$B$132</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Results!$G$108:$G$132</c:f>
              <c:numCache>
                <c:formatCode>#,##0.00</c:formatCode>
                <c:ptCount val="25"/>
                <c:pt idx="0">
                  <c:v>105.251</c:v>
                </c:pt>
                <c:pt idx="1">
                  <c:v>105.251</c:v>
                </c:pt>
                <c:pt idx="2">
                  <c:v>105.251</c:v>
                </c:pt>
                <c:pt idx="3">
                  <c:v>105.251</c:v>
                </c:pt>
                <c:pt idx="4">
                  <c:v>105.251</c:v>
                </c:pt>
                <c:pt idx="5">
                  <c:v>105.251</c:v>
                </c:pt>
                <c:pt idx="6">
                  <c:v>105.251</c:v>
                </c:pt>
                <c:pt idx="7">
                  <c:v>105.251</c:v>
                </c:pt>
                <c:pt idx="8">
                  <c:v>105.251</c:v>
                </c:pt>
                <c:pt idx="9">
                  <c:v>105.251</c:v>
                </c:pt>
                <c:pt idx="10">
                  <c:v>105.251</c:v>
                </c:pt>
                <c:pt idx="11">
                  <c:v>105.251</c:v>
                </c:pt>
                <c:pt idx="12">
                  <c:v>105.251</c:v>
                </c:pt>
                <c:pt idx="13">
                  <c:v>105.251</c:v>
                </c:pt>
                <c:pt idx="14">
                  <c:v>105.251</c:v>
                </c:pt>
                <c:pt idx="15">
                  <c:v>105.251</c:v>
                </c:pt>
                <c:pt idx="16">
                  <c:v>105.251</c:v>
                </c:pt>
                <c:pt idx="17">
                  <c:v>105.251</c:v>
                </c:pt>
                <c:pt idx="18">
                  <c:v>105.251</c:v>
                </c:pt>
                <c:pt idx="19">
                  <c:v>105.251</c:v>
                </c:pt>
                <c:pt idx="20">
                  <c:v>105.251</c:v>
                </c:pt>
                <c:pt idx="21">
                  <c:v>105.251</c:v>
                </c:pt>
                <c:pt idx="22">
                  <c:v>105.251</c:v>
                </c:pt>
                <c:pt idx="23">
                  <c:v>105.251</c:v>
                </c:pt>
                <c:pt idx="24">
                  <c:v>105.251</c:v>
                </c:pt>
              </c:numCache>
            </c:numRef>
          </c:val>
          <c:smooth val="0"/>
          <c:extLst>
            <c:ext xmlns:c16="http://schemas.microsoft.com/office/drawing/2014/chart" uri="{C3380CC4-5D6E-409C-BE32-E72D297353CC}">
              <c16:uniqueId val="{00000004-5BDD-4126-9D7E-31D0921B196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4"/>
        <c:tickMark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Value</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52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E4F92"/>
    <pageSetUpPr fitToPage="1"/>
  </sheetPr>
  <dimension ref="A1:D7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6" t="s">
        <v>20</v>
      </c>
      <c r="C16" s="6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x14ac:dyDescent="0.45">
      <c r="B31" s="9" t="s">
        <v>29</v>
      </c>
      <c r="C31" s="10" t="s">
        <v>30</v>
      </c>
    </row>
    <row r="32" spans="2:3" x14ac:dyDescent="0.45">
      <c r="B32" s="9" t="s">
        <v>31</v>
      </c>
      <c r="C32" s="10" t="s">
        <v>32</v>
      </c>
    </row>
    <row r="33" spans="2:3" ht="12" customHeight="1" x14ac:dyDescent="0.45"/>
    <row r="34" spans="2:3" ht="22.05" customHeight="1" x14ac:dyDescent="0.5">
      <c r="B34" s="7" t="s">
        <v>33</v>
      </c>
      <c r="C34" s="8"/>
    </row>
    <row r="35" spans="2:3" ht="26.25"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ht="12" customHeight="1" x14ac:dyDescent="0.45"/>
    <row r="46" spans="2:3" ht="22.05" customHeight="1" x14ac:dyDescent="0.5">
      <c r="B46" s="7" t="s">
        <v>51</v>
      </c>
      <c r="C46" s="8"/>
    </row>
    <row r="47" spans="2:3" x14ac:dyDescent="0.45">
      <c r="B47" s="15" t="s">
        <v>52</v>
      </c>
      <c r="C47" s="12" t="s">
        <v>53</v>
      </c>
    </row>
    <row r="48" spans="2:3" x14ac:dyDescent="0.45">
      <c r="B48" s="16" t="s">
        <v>54</v>
      </c>
      <c r="C48" s="12" t="s">
        <v>55</v>
      </c>
    </row>
    <row r="49" spans="2:3" x14ac:dyDescent="0.45">
      <c r="B49" s="17" t="s">
        <v>56</v>
      </c>
      <c r="C49" s="12" t="s">
        <v>57</v>
      </c>
    </row>
    <row r="50" spans="2:3" x14ac:dyDescent="0.45">
      <c r="B50" s="18" t="s">
        <v>58</v>
      </c>
      <c r="C50" s="12" t="s">
        <v>59</v>
      </c>
    </row>
    <row r="51" spans="2:3" x14ac:dyDescent="0.45">
      <c r="B51" s="19"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x14ac:dyDescent="0.45">
      <c r="B56" s="9" t="s">
        <v>67</v>
      </c>
      <c r="C56" s="10" t="s">
        <v>68</v>
      </c>
    </row>
    <row r="57" spans="2:3" ht="12" customHeight="1" x14ac:dyDescent="0.45"/>
    <row r="58" spans="2:3" ht="22.05" customHeight="1" x14ac:dyDescent="0.5">
      <c r="B58" s="7" t="s">
        <v>69</v>
      </c>
      <c r="C58" s="8"/>
    </row>
    <row r="59" spans="2:3" x14ac:dyDescent="0.45">
      <c r="B59" s="9" t="s">
        <v>70</v>
      </c>
      <c r="C59" s="10" t="s">
        <v>71</v>
      </c>
    </row>
    <row r="60" spans="2:3" x14ac:dyDescent="0.45">
      <c r="B60" s="9" t="s">
        <v>72</v>
      </c>
      <c r="C60" s="10" t="s">
        <v>73</v>
      </c>
    </row>
    <row r="61" spans="2:3" ht="39.4" x14ac:dyDescent="0.45">
      <c r="B61" s="9" t="s">
        <v>74</v>
      </c>
      <c r="C61" s="10" t="s">
        <v>75</v>
      </c>
    </row>
    <row r="62" spans="2:3" ht="26.25" x14ac:dyDescent="0.45">
      <c r="B62" s="9" t="s">
        <v>76</v>
      </c>
      <c r="C62" s="10" t="s">
        <v>77</v>
      </c>
    </row>
    <row r="63" spans="2:3" ht="12" customHeight="1" x14ac:dyDescent="0.45"/>
    <row r="64" spans="2:3" ht="22.05" customHeight="1" x14ac:dyDescent="0.5">
      <c r="B64" s="7" t="s">
        <v>78</v>
      </c>
      <c r="C64" s="8"/>
    </row>
    <row r="65" spans="2:3" ht="26.25" x14ac:dyDescent="0.45">
      <c r="B65" s="20" t="s">
        <v>79</v>
      </c>
      <c r="C65" s="10" t="s">
        <v>80</v>
      </c>
    </row>
    <row r="66" spans="2:3" x14ac:dyDescent="0.45">
      <c r="B66" s="20" t="s">
        <v>81</v>
      </c>
      <c r="C66" s="10" t="s">
        <v>82</v>
      </c>
    </row>
    <row r="67" spans="2:3" ht="39.4" x14ac:dyDescent="0.45">
      <c r="B67" s="20" t="s">
        <v>83</v>
      </c>
      <c r="C67" s="10" t="s">
        <v>84</v>
      </c>
    </row>
    <row r="68" spans="2:3" x14ac:dyDescent="0.45">
      <c r="B68" s="20" t="s">
        <v>85</v>
      </c>
      <c r="C68" s="10" t="s">
        <v>86</v>
      </c>
    </row>
    <row r="69" spans="2:3" ht="39.4" x14ac:dyDescent="0.45">
      <c r="B69" s="20" t="s">
        <v>87</v>
      </c>
      <c r="C69" s="10" t="s">
        <v>88</v>
      </c>
    </row>
    <row r="70" spans="2:3" ht="39.4" x14ac:dyDescent="0.45">
      <c r="B70" s="20" t="s">
        <v>89</v>
      </c>
      <c r="C70" s="10" t="s">
        <v>90</v>
      </c>
    </row>
    <row r="71" spans="2:3" ht="39.4" x14ac:dyDescent="0.45">
      <c r="B71" s="20" t="s">
        <v>91</v>
      </c>
      <c r="C71" s="10" t="s">
        <v>92</v>
      </c>
    </row>
    <row r="72" spans="2:3" x14ac:dyDescent="0.45">
      <c r="B72" s="20" t="s">
        <v>93</v>
      </c>
      <c r="C72" s="10" t="s">
        <v>94</v>
      </c>
    </row>
    <row r="73" spans="2:3" x14ac:dyDescent="0.45">
      <c r="B73" s="20" t="s">
        <v>95</v>
      </c>
      <c r="C73" s="10" t="s">
        <v>96</v>
      </c>
    </row>
    <row r="74" spans="2:3" ht="12" customHeight="1" x14ac:dyDescent="0.45"/>
    <row r="75" spans="2:3" ht="22.05" customHeight="1" x14ac:dyDescent="0.5">
      <c r="B75" s="7" t="s">
        <v>97</v>
      </c>
      <c r="C75" s="8"/>
    </row>
    <row r="76" spans="2:3" x14ac:dyDescent="0.45">
      <c r="B76" s="9" t="s">
        <v>98</v>
      </c>
      <c r="C76" s="10" t="s">
        <v>99</v>
      </c>
    </row>
    <row r="77" spans="2:3" x14ac:dyDescent="0.45">
      <c r="B77" s="9" t="s">
        <v>100</v>
      </c>
      <c r="C77" s="10" t="s">
        <v>101</v>
      </c>
    </row>
    <row r="78" spans="2:3" ht="16.05" customHeight="1" x14ac:dyDescent="0.45"/>
    <row r="79" spans="2:3" x14ac:dyDescent="0.45">
      <c r="B79" s="68" t="s">
        <v>102</v>
      </c>
      <c r="C79" s="67"/>
    </row>
  </sheetData>
  <mergeCells count="2">
    <mergeCell ref="B79:C79"/>
    <mergeCell ref="B16:C16"/>
  </mergeCells>
  <hyperlinks>
    <hyperlink ref="D4" location="'Inputs'!A1" display="Next:  Inputs  ▸" xr:uid="{00000000-0004-0000-0000-000000000000}"/>
    <hyperlink ref="B40" location="'Inputs'!A1" display="Inputs" xr:uid="{00000000-0004-0000-0000-000001000000}"/>
    <hyperlink ref="B41" location="'Distribution'!A1" display="Distribution" xr:uid="{00000000-0004-0000-0000-000002000000}"/>
    <hyperlink ref="B42" location="'Copula'!A1" display="Copula" xr:uid="{00000000-0004-0000-0000-000003000000}"/>
    <hyperlink ref="B43" location="'Time series'!A1" display="Time series" xr:uid="{00000000-0004-0000-0000-000004000000}"/>
    <hyperlink ref="B44"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0A800"/>
    <pageSetUpPr fitToPage="1"/>
  </sheetPr>
  <dimension ref="A1:J3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103</v>
      </c>
      <c r="C3" s="1"/>
      <c r="D3" s="1"/>
      <c r="E3" s="1"/>
      <c r="F3" s="1"/>
      <c r="G3" s="1"/>
      <c r="H3" s="1"/>
      <c r="I3" s="1"/>
      <c r="J3" s="1"/>
    </row>
    <row r="4" spans="1:10" ht="20" customHeight="1" x14ac:dyDescent="0.45">
      <c r="A4" s="5"/>
      <c r="B4" s="22" t="s">
        <v>104</v>
      </c>
      <c r="C4" s="5"/>
      <c r="D4" s="5"/>
      <c r="E4" s="5"/>
      <c r="F4" s="5"/>
      <c r="G4" s="5"/>
      <c r="H4" s="5"/>
      <c r="I4" s="5"/>
      <c r="J4" s="6" t="s">
        <v>105</v>
      </c>
    </row>
    <row r="5" spans="1:10" ht="8" customHeight="1" x14ac:dyDescent="0.45"/>
    <row r="6" spans="1:10" ht="20" customHeight="1" x14ac:dyDescent="0.45">
      <c r="B6" s="69" t="s">
        <v>106</v>
      </c>
      <c r="C6" s="67"/>
      <c r="D6" s="67"/>
      <c r="E6" s="67"/>
      <c r="F6" s="67"/>
      <c r="G6" s="67"/>
      <c r="H6" s="67"/>
      <c r="I6" s="67"/>
      <c r="J6" s="67"/>
    </row>
    <row r="7" spans="1:10" ht="6" customHeight="1" x14ac:dyDescent="0.45"/>
    <row r="8" spans="1:10" ht="22.05" customHeight="1" x14ac:dyDescent="0.5">
      <c r="B8" s="7" t="s">
        <v>107</v>
      </c>
      <c r="C8" s="8"/>
      <c r="D8" s="8"/>
      <c r="E8" s="8"/>
      <c r="F8" s="8"/>
      <c r="G8" s="8"/>
      <c r="H8" s="8"/>
      <c r="I8" s="8"/>
      <c r="J8" s="8"/>
    </row>
    <row r="9" spans="1:10" ht="18" customHeight="1" x14ac:dyDescent="0.45">
      <c r="B9" s="13" t="s">
        <v>108</v>
      </c>
    </row>
    <row r="10" spans="1:10" ht="18" customHeight="1" x14ac:dyDescent="0.45">
      <c r="B10" s="23" t="s">
        <v>109</v>
      </c>
      <c r="C10" s="23" t="s">
        <v>110</v>
      </c>
      <c r="D10" s="24" t="s">
        <v>111</v>
      </c>
      <c r="E10" s="23" t="s">
        <v>112</v>
      </c>
      <c r="F10" s="5"/>
      <c r="G10" s="5"/>
      <c r="H10" s="5"/>
      <c r="I10" s="5"/>
      <c r="J10" s="23" t="s">
        <v>113</v>
      </c>
    </row>
    <row r="11" spans="1:10" x14ac:dyDescent="0.45">
      <c r="B11" s="25" t="s">
        <v>114</v>
      </c>
      <c r="C11" s="26" t="s">
        <v>115</v>
      </c>
      <c r="D11" s="27">
        <v>1</v>
      </c>
      <c r="E11" s="26" t="s">
        <v>116</v>
      </c>
      <c r="F11" s="28"/>
      <c r="G11" s="28"/>
      <c r="H11" s="28"/>
      <c r="I11" s="28"/>
      <c r="J11" s="29"/>
    </row>
    <row r="12" spans="1:10" x14ac:dyDescent="0.45">
      <c r="B12" s="25" t="s">
        <v>117</v>
      </c>
      <c r="C12" s="26" t="s">
        <v>115</v>
      </c>
      <c r="D12" s="27">
        <v>1</v>
      </c>
      <c r="E12" s="26" t="s">
        <v>116</v>
      </c>
      <c r="F12" s="28"/>
      <c r="G12" s="28"/>
      <c r="H12" s="28"/>
      <c r="I12" s="28"/>
      <c r="J12" s="29"/>
    </row>
    <row r="13" spans="1:10" ht="8" customHeight="1" x14ac:dyDescent="0.45"/>
    <row r="14" spans="1:10" ht="22.05" customHeight="1" x14ac:dyDescent="0.5">
      <c r="B14" s="7" t="s">
        <v>118</v>
      </c>
      <c r="C14" s="8"/>
      <c r="D14" s="8"/>
      <c r="E14" s="8"/>
      <c r="F14" s="8"/>
      <c r="G14" s="8"/>
      <c r="H14" s="8"/>
      <c r="I14" s="8"/>
      <c r="J14" s="8"/>
    </row>
    <row r="15" spans="1:10" ht="18" customHeight="1" x14ac:dyDescent="0.45">
      <c r="B15" s="13" t="s">
        <v>119</v>
      </c>
    </row>
    <row r="16" spans="1:10" ht="18" customHeight="1" x14ac:dyDescent="0.45">
      <c r="B16" s="23" t="s">
        <v>109</v>
      </c>
      <c r="C16" s="23" t="s">
        <v>110</v>
      </c>
      <c r="D16" s="24" t="s">
        <v>111</v>
      </c>
      <c r="E16" s="23" t="s">
        <v>112</v>
      </c>
      <c r="F16" s="5"/>
      <c r="G16" s="5"/>
      <c r="H16" s="5"/>
      <c r="I16" s="5"/>
      <c r="J16" s="23" t="s">
        <v>113</v>
      </c>
    </row>
    <row r="17" spans="2:10" x14ac:dyDescent="0.45">
      <c r="B17" s="25" t="s">
        <v>120</v>
      </c>
      <c r="C17" s="26" t="s">
        <v>115</v>
      </c>
      <c r="D17" s="27">
        <v>1</v>
      </c>
      <c r="E17" s="26" t="s">
        <v>116</v>
      </c>
      <c r="F17" s="28"/>
      <c r="G17" s="28"/>
      <c r="H17" s="28"/>
      <c r="I17" s="28"/>
      <c r="J17" s="29"/>
    </row>
    <row r="18" spans="2:10" x14ac:dyDescent="0.45">
      <c r="B18" s="25" t="s">
        <v>121</v>
      </c>
      <c r="C18" s="26" t="s">
        <v>115</v>
      </c>
      <c r="D18" s="27">
        <v>1</v>
      </c>
      <c r="E18" s="26" t="s">
        <v>116</v>
      </c>
      <c r="F18" s="28"/>
      <c r="G18" s="28"/>
      <c r="H18" s="28"/>
      <c r="I18" s="28"/>
      <c r="J18" s="29"/>
    </row>
    <row r="19" spans="2:10" x14ac:dyDescent="0.45">
      <c r="B19" s="25" t="s">
        <v>122</v>
      </c>
      <c r="C19" s="26" t="s">
        <v>115</v>
      </c>
      <c r="D19" s="27">
        <v>1</v>
      </c>
      <c r="E19" s="26" t="s">
        <v>116</v>
      </c>
      <c r="F19" s="28"/>
      <c r="G19" s="28"/>
      <c r="H19" s="28"/>
      <c r="I19" s="28"/>
      <c r="J19" s="29"/>
    </row>
    <row r="20" spans="2:10" x14ac:dyDescent="0.45">
      <c r="B20" s="25" t="s">
        <v>123</v>
      </c>
      <c r="C20" s="26" t="s">
        <v>115</v>
      </c>
      <c r="D20" s="27">
        <v>2</v>
      </c>
      <c r="E20" s="26" t="s">
        <v>116</v>
      </c>
      <c r="F20" s="28"/>
      <c r="G20" s="28"/>
      <c r="H20" s="28"/>
      <c r="I20" s="28"/>
      <c r="J20" s="29"/>
    </row>
    <row r="21" spans="2:10" x14ac:dyDescent="0.45">
      <c r="B21" s="25" t="s">
        <v>124</v>
      </c>
      <c r="C21" s="26" t="s">
        <v>115</v>
      </c>
      <c r="D21" s="27">
        <v>3</v>
      </c>
      <c r="E21" s="26" t="s">
        <v>116</v>
      </c>
      <c r="F21" s="28"/>
      <c r="G21" s="28"/>
      <c r="H21" s="28"/>
      <c r="I21" s="28"/>
      <c r="J21" s="29"/>
    </row>
    <row r="22" spans="2:10" ht="8" customHeight="1" x14ac:dyDescent="0.45"/>
    <row r="23" spans="2:10" ht="22.05" customHeight="1" x14ac:dyDescent="0.5">
      <c r="B23" s="7" t="s">
        <v>125</v>
      </c>
      <c r="C23" s="8"/>
      <c r="D23" s="8"/>
      <c r="E23" s="8"/>
      <c r="F23" s="8"/>
      <c r="G23" s="8"/>
      <c r="H23" s="8"/>
      <c r="I23" s="8"/>
      <c r="J23" s="8"/>
    </row>
    <row r="24" spans="2:10" ht="18" customHeight="1" x14ac:dyDescent="0.45">
      <c r="B24" s="13" t="s">
        <v>126</v>
      </c>
    </row>
    <row r="25" spans="2:10" ht="18" customHeight="1" x14ac:dyDescent="0.45">
      <c r="B25" s="23" t="s">
        <v>109</v>
      </c>
      <c r="C25" s="23" t="s">
        <v>110</v>
      </c>
      <c r="D25" s="24" t="s">
        <v>111</v>
      </c>
      <c r="E25" s="23" t="s">
        <v>112</v>
      </c>
      <c r="F25" s="5"/>
      <c r="G25" s="5"/>
      <c r="H25" s="5"/>
      <c r="I25" s="5"/>
      <c r="J25" s="23" t="s">
        <v>113</v>
      </c>
    </row>
    <row r="26" spans="2:10" x14ac:dyDescent="0.45">
      <c r="B26" s="25" t="s">
        <v>127</v>
      </c>
      <c r="C26" s="26" t="s">
        <v>115</v>
      </c>
      <c r="D26" s="27">
        <v>1</v>
      </c>
      <c r="E26" s="26" t="s">
        <v>116</v>
      </c>
      <c r="F26" s="28"/>
      <c r="G26" s="28"/>
      <c r="H26" s="28"/>
      <c r="I26" s="28"/>
      <c r="J26" s="29"/>
    </row>
    <row r="27" spans="2:10" x14ac:dyDescent="0.45">
      <c r="B27" s="25" t="s">
        <v>128</v>
      </c>
      <c r="C27" s="26" t="s">
        <v>115</v>
      </c>
      <c r="D27" s="27">
        <v>2</v>
      </c>
      <c r="E27" s="26" t="s">
        <v>116</v>
      </c>
      <c r="F27" s="28"/>
      <c r="G27" s="28"/>
      <c r="H27" s="28"/>
      <c r="I27" s="28"/>
      <c r="J27" s="29"/>
    </row>
    <row r="28" spans="2:10" x14ac:dyDescent="0.45">
      <c r="B28" s="25" t="s">
        <v>129</v>
      </c>
      <c r="C28" s="26" t="s">
        <v>115</v>
      </c>
      <c r="D28" s="27">
        <v>1</v>
      </c>
      <c r="E28" s="26" t="s">
        <v>116</v>
      </c>
      <c r="F28" s="28"/>
      <c r="G28" s="28"/>
      <c r="H28" s="28"/>
      <c r="I28" s="28"/>
      <c r="J28" s="29"/>
    </row>
    <row r="29" spans="2:10" ht="8" customHeight="1" x14ac:dyDescent="0.45"/>
    <row r="30" spans="2:10" ht="22.05" customHeight="1" x14ac:dyDescent="0.5">
      <c r="B30" s="7" t="s">
        <v>130</v>
      </c>
      <c r="C30" s="8"/>
      <c r="D30" s="8"/>
      <c r="E30" s="8"/>
      <c r="F30" s="8"/>
      <c r="G30" s="8"/>
      <c r="H30" s="8"/>
      <c r="I30" s="8"/>
      <c r="J30" s="8"/>
    </row>
    <row r="31" spans="2:10" ht="18" customHeight="1" x14ac:dyDescent="0.45">
      <c r="B31" s="13" t="s">
        <v>131</v>
      </c>
    </row>
    <row r="32" spans="2:10" ht="18" customHeight="1" x14ac:dyDescent="0.45">
      <c r="B32" s="23" t="s">
        <v>109</v>
      </c>
      <c r="C32" s="23" t="s">
        <v>110</v>
      </c>
      <c r="D32" s="24" t="s">
        <v>111</v>
      </c>
      <c r="E32" s="23" t="s">
        <v>112</v>
      </c>
      <c r="F32" s="5"/>
      <c r="G32" s="5"/>
      <c r="H32" s="5"/>
      <c r="I32" s="5"/>
      <c r="J32" s="23" t="s">
        <v>113</v>
      </c>
    </row>
    <row r="33" spans="2:10" x14ac:dyDescent="0.45">
      <c r="B33" s="25" t="s">
        <v>132</v>
      </c>
      <c r="C33" s="26" t="s">
        <v>133</v>
      </c>
      <c r="D33" s="30">
        <v>2.2999999999999998</v>
      </c>
      <c r="E33" s="26" t="s">
        <v>116</v>
      </c>
      <c r="F33" s="28"/>
      <c r="G33" s="28"/>
      <c r="H33" s="28"/>
      <c r="I33" s="28"/>
      <c r="J33" s="29" t="s">
        <v>134</v>
      </c>
    </row>
    <row r="34" spans="2:10" x14ac:dyDescent="0.45">
      <c r="B34" s="25" t="s">
        <v>135</v>
      </c>
      <c r="C34" s="26" t="s">
        <v>133</v>
      </c>
      <c r="D34" s="30">
        <v>2.4</v>
      </c>
      <c r="E34" s="26" t="s">
        <v>116</v>
      </c>
      <c r="F34" s="28"/>
      <c r="G34" s="28"/>
      <c r="H34" s="28"/>
      <c r="I34" s="28"/>
      <c r="J34" s="29" t="s">
        <v>136</v>
      </c>
    </row>
    <row r="35" spans="2:10" ht="8" customHeight="1" x14ac:dyDescent="0.45"/>
  </sheetData>
  <mergeCells count="1">
    <mergeCell ref="B6:J6"/>
  </mergeCells>
  <dataValidations count="1">
    <dataValidation type="decimal" showErrorMessage="1" errorTitle="Value" error="Enter a value of zero or more." sqref="D26:D28 D17:D21 D11:D12" xr:uid="{00000000-0002-0000-0100-000000000000}">
      <formula1>0</formula1>
      <formula2>1000000000000</formula2>
    </dataValidation>
  </dataValidations>
  <hyperlinks>
    <hyperlink ref="B4" location="'About'!A1" display="◂  About" xr:uid="{00000000-0004-0000-0100-000000000000}"/>
    <hyperlink ref="J4" location="'Distribution'!A1" display="Next:  Distributio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AA0BA"/>
    <pageSetUpPr fitToPage="1"/>
  </sheetPr>
  <dimension ref="A1:K53"/>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2" customWidth="1"/>
    <col min="3" max="3" width="11" customWidth="1"/>
    <col min="4" max="5" width="12" customWidth="1"/>
    <col min="6" max="6" width="11" customWidth="1"/>
    <col min="7" max="8" width="12" customWidth="1"/>
    <col min="9" max="9" width="44" customWidth="1"/>
    <col min="10" max="10" width="2" customWidth="1"/>
    <col min="11" max="11" width="8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137</v>
      </c>
      <c r="C3" s="1"/>
      <c r="D3" s="1"/>
      <c r="E3" s="1"/>
      <c r="F3" s="1"/>
      <c r="G3" s="1"/>
      <c r="H3" s="1"/>
      <c r="I3" s="1"/>
      <c r="J3" s="1"/>
      <c r="K3" s="1"/>
    </row>
    <row r="4" spans="1:11" ht="20" customHeight="1" x14ac:dyDescent="0.45">
      <c r="A4" s="5"/>
      <c r="B4" s="22" t="s">
        <v>138</v>
      </c>
      <c r="C4" s="5"/>
      <c r="D4" s="5"/>
      <c r="E4" s="5"/>
      <c r="F4" s="5"/>
      <c r="G4" s="5"/>
      <c r="H4" s="5"/>
      <c r="I4" s="5"/>
      <c r="J4" s="5"/>
      <c r="K4" s="6" t="s">
        <v>139</v>
      </c>
    </row>
    <row r="5" spans="1:11" ht="8" customHeight="1" x14ac:dyDescent="0.45"/>
    <row r="6" spans="1:11" ht="22.05" customHeight="1" x14ac:dyDescent="0.5">
      <c r="B6" s="7" t="s">
        <v>140</v>
      </c>
      <c r="C6" s="8"/>
    </row>
    <row r="7" spans="1:11" ht="18" customHeight="1" x14ac:dyDescent="0.45">
      <c r="B7" s="13" t="s">
        <v>141</v>
      </c>
    </row>
    <row r="8" spans="1:11" ht="18" customHeight="1" x14ac:dyDescent="0.45">
      <c r="B8" s="23" t="s">
        <v>142</v>
      </c>
      <c r="C8" s="24" t="s">
        <v>143</v>
      </c>
    </row>
    <row r="9" spans="1:11" x14ac:dyDescent="0.45">
      <c r="B9" s="25">
        <v>1</v>
      </c>
      <c r="C9" s="31">
        <v>2.4340000000000002</v>
      </c>
      <c r="E9" s="32" t="s">
        <v>144</v>
      </c>
    </row>
    <row r="10" spans="1:11" x14ac:dyDescent="0.45">
      <c r="B10" s="25">
        <v>2</v>
      </c>
      <c r="C10" s="31">
        <v>2.8140000000000001</v>
      </c>
    </row>
    <row r="11" spans="1:11" x14ac:dyDescent="0.45">
      <c r="B11" s="25">
        <v>3</v>
      </c>
      <c r="C11" s="31">
        <v>2.6619999999999999</v>
      </c>
    </row>
    <row r="12" spans="1:11" x14ac:dyDescent="0.45">
      <c r="B12" s="25">
        <v>4</v>
      </c>
      <c r="C12" s="31">
        <v>1.419</v>
      </c>
    </row>
    <row r="13" spans="1:11" x14ac:dyDescent="0.45">
      <c r="B13" s="25">
        <v>5</v>
      </c>
      <c r="C13" s="31">
        <v>1.3140000000000001</v>
      </c>
    </row>
    <row r="14" spans="1:11" x14ac:dyDescent="0.45">
      <c r="B14" s="25">
        <v>6</v>
      </c>
      <c r="C14" s="31">
        <v>3.9540000000000002</v>
      </c>
    </row>
    <row r="15" spans="1:11" x14ac:dyDescent="0.45">
      <c r="B15" s="25">
        <v>7</v>
      </c>
      <c r="C15" s="31">
        <v>4.2380000000000004</v>
      </c>
    </row>
    <row r="16" spans="1:11" x14ac:dyDescent="0.45">
      <c r="B16" s="25">
        <v>8</v>
      </c>
      <c r="C16" s="31">
        <v>2.5209999999999999</v>
      </c>
    </row>
    <row r="17" spans="2:11" x14ac:dyDescent="0.45">
      <c r="B17" s="25">
        <v>9</v>
      </c>
      <c r="C17" s="31">
        <v>1.774</v>
      </c>
    </row>
    <row r="18" spans="2:11" x14ac:dyDescent="0.45">
      <c r="B18" s="25">
        <v>10</v>
      </c>
      <c r="C18" s="31">
        <v>1.2370000000000001</v>
      </c>
    </row>
    <row r="19" spans="2:11" x14ac:dyDescent="0.45">
      <c r="B19" s="25">
        <v>11</v>
      </c>
      <c r="C19" s="31">
        <v>0.97499999999999998</v>
      </c>
    </row>
    <row r="20" spans="2:11" ht="8" customHeight="1" x14ac:dyDescent="0.45"/>
    <row r="21" spans="2:11" ht="22.05" customHeight="1" x14ac:dyDescent="0.5">
      <c r="B21" s="7" t="s">
        <v>145</v>
      </c>
      <c r="C21" s="8"/>
      <c r="D21" s="8"/>
      <c r="E21" s="8"/>
      <c r="F21" s="8"/>
      <c r="G21" s="8"/>
      <c r="H21" s="8"/>
      <c r="I21" s="8"/>
      <c r="J21" s="8"/>
      <c r="K21" s="8"/>
    </row>
    <row r="22" spans="2:11" ht="18" customHeight="1" x14ac:dyDescent="0.45">
      <c r="B22" s="13" t="s">
        <v>146</v>
      </c>
    </row>
    <row r="23" spans="2:11" ht="30" customHeight="1" x14ac:dyDescent="0.45">
      <c r="B23" s="23" t="s">
        <v>147</v>
      </c>
      <c r="C23" s="24" t="s">
        <v>148</v>
      </c>
      <c r="D23" s="24" t="s">
        <v>65</v>
      </c>
      <c r="E23" s="24" t="s">
        <v>149</v>
      </c>
      <c r="F23" s="24" t="s">
        <v>63</v>
      </c>
      <c r="G23" s="24" t="s">
        <v>150</v>
      </c>
      <c r="H23" s="24" t="s">
        <v>151</v>
      </c>
      <c r="I23" s="23" t="s">
        <v>152</v>
      </c>
    </row>
    <row r="24" spans="2:11" x14ac:dyDescent="0.45">
      <c r="B24" s="33" t="s">
        <v>153</v>
      </c>
      <c r="C24" s="34">
        <f>Prior_DN</f>
        <v>1</v>
      </c>
      <c r="D24" s="35" cm="1">
        <f t="array" ref="D24">_xll.VoseLLH(I24)</f>
        <v>-16.024226692388673</v>
      </c>
      <c r="E24" s="35">
        <f>EXP(D24-MAX(D$24:D$25))</f>
        <v>0.42651173460987779</v>
      </c>
      <c r="F24" s="36">
        <f>C24*E24/SUMPRODUCT(C$24:C$25,E$24:E$25)</f>
        <v>0.29898929273548536</v>
      </c>
      <c r="G24" s="37" cm="1">
        <f t="array" ref="G24">_xll.VoseProb(X_Dens,I24,FALSE)</f>
        <v>0.38413752998847228</v>
      </c>
      <c r="H24" s="37" cm="1">
        <f t="array" ref="H24">_xll.VoseProb(X_Cum,I24,TRUE)</f>
        <v>0.53689454630563715</v>
      </c>
      <c r="I24" s="38" t="str">
        <f t="array" ref="I24">_xll.VoseNormalFitObject($C$9:$C$19)</f>
        <v>VoseNormal(2.303818181818182,1.038533215486833)</v>
      </c>
      <c r="K24" s="32" t="s">
        <v>154</v>
      </c>
    </row>
    <row r="25" spans="2:11" x14ac:dyDescent="0.45">
      <c r="B25" s="33" t="s">
        <v>155</v>
      </c>
      <c r="C25" s="34">
        <f>Prior_DL</f>
        <v>1</v>
      </c>
      <c r="D25" s="35" cm="1">
        <f t="array" ref="D25">_xll.VoseLLH(I25)</f>
        <v>-15.17211129369923</v>
      </c>
      <c r="E25" s="35">
        <f>EXP(D25-MAX(D$24:D$25))</f>
        <v>1</v>
      </c>
      <c r="F25" s="36">
        <f>C25*E25/SUMPRODUCT(C$24:C$25,E$24:E$25)</f>
        <v>0.70101070726451453</v>
      </c>
      <c r="G25" s="37" cm="1">
        <f t="array" ref="G25">_xll.VoseProb(X_Dens,I25,FALSE)</f>
        <v>0.36537484740629772</v>
      </c>
      <c r="H25" s="37" cm="1">
        <f t="array" ref="H25">_xll.VoseProb(X_Cum,I25,TRUE)</f>
        <v>0.62324503579189094</v>
      </c>
      <c r="I25" s="38" t="str">
        <f t="array" ref="I25">_xll.VoseLognormalFitObject($C$9:$C$19)</f>
        <v>VoseLognormal(2.310093723692592,1.129968217176274)</v>
      </c>
      <c r="K25" s="32" t="s">
        <v>156</v>
      </c>
    </row>
    <row r="26" spans="2:11" x14ac:dyDescent="0.45">
      <c r="B26" s="39" t="s">
        <v>157</v>
      </c>
      <c r="C26" s="40"/>
      <c r="D26" s="40"/>
      <c r="E26" s="40"/>
      <c r="F26" s="41">
        <f>SUM(F24:F25)</f>
        <v>0.99999999999999989</v>
      </c>
      <c r="G26" s="40"/>
      <c r="H26" s="40"/>
      <c r="I26" s="40"/>
      <c r="K26" s="32" t="s">
        <v>158</v>
      </c>
    </row>
    <row r="27" spans="2:11" ht="8" customHeight="1" x14ac:dyDescent="0.45"/>
    <row r="28" spans="2:11" ht="22.05" customHeight="1" x14ac:dyDescent="0.5">
      <c r="B28" s="7" t="s">
        <v>159</v>
      </c>
      <c r="C28" s="8"/>
      <c r="D28" s="8"/>
      <c r="E28" s="8"/>
      <c r="F28" s="8"/>
      <c r="G28" s="8"/>
      <c r="H28" s="8"/>
      <c r="I28" s="8"/>
      <c r="J28" s="8"/>
      <c r="K28" s="8"/>
    </row>
    <row r="29" spans="2:11" ht="18" customHeight="1" x14ac:dyDescent="0.45">
      <c r="B29" s="13" t="s">
        <v>160</v>
      </c>
    </row>
    <row r="30" spans="2:11" ht="18" customHeight="1" x14ac:dyDescent="0.45">
      <c r="B30" s="23"/>
      <c r="C30" s="5"/>
      <c r="D30" s="5"/>
      <c r="E30" s="5"/>
      <c r="F30" s="5"/>
      <c r="G30" s="24" t="s">
        <v>161</v>
      </c>
      <c r="H30" s="24" t="s">
        <v>162</v>
      </c>
      <c r="I30" s="5"/>
    </row>
    <row r="31" spans="2:11" x14ac:dyDescent="0.45">
      <c r="B31" s="25" t="s">
        <v>163</v>
      </c>
      <c r="C31" s="28"/>
      <c r="D31" s="28"/>
      <c r="E31" s="28"/>
      <c r="F31" s="28"/>
      <c r="G31" s="42">
        <f>X_Dens</f>
        <v>2.2999999999999998</v>
      </c>
      <c r="H31" s="42">
        <f>X_Cum</f>
        <v>2.4</v>
      </c>
      <c r="I31" s="28"/>
    </row>
    <row r="32" spans="2:11" x14ac:dyDescent="0.45">
      <c r="B32" s="25" t="s">
        <v>164</v>
      </c>
      <c r="C32" s="28"/>
      <c r="D32" s="28"/>
      <c r="E32" s="28"/>
      <c r="F32" s="28"/>
      <c r="G32" s="43" cm="1">
        <f t="array" ref="G32">_xll.VoseBMAProb(X_Dens,DistObjs,DistPriors,FALSE)</f>
        <v>0.37098468860136247</v>
      </c>
      <c r="H32" s="43" cm="1">
        <f t="array" ref="H32">_xll.VoseBMAProb(X_Cum,DistObjs,DistPriors,TRUE)</f>
        <v>0.59742716401303286</v>
      </c>
      <c r="I32" s="28"/>
      <c r="K32" s="32" t="s">
        <v>165</v>
      </c>
    </row>
    <row r="33" spans="2:11" x14ac:dyDescent="0.45">
      <c r="B33" s="25" t="s">
        <v>166</v>
      </c>
      <c r="C33" s="28"/>
      <c r="D33" s="28"/>
      <c r="E33" s="28"/>
      <c r="F33" s="28"/>
      <c r="G33" s="43" cm="1">
        <f t="array" aca="1" ref="G33" ca="1">_xll.VoseProb(X_Dens,BMA_Obj,FALSE)</f>
        <v>0.37098468860136247</v>
      </c>
      <c r="H33" s="43" cm="1">
        <f t="array" aca="1" ref="H33" ca="1">_xll.VoseProb(X_Cum,BMA_Obj,TRUE)</f>
        <v>0.59742716401303286</v>
      </c>
      <c r="I33" s="28"/>
      <c r="K33" s="32" t="s">
        <v>167</v>
      </c>
    </row>
    <row r="34" spans="2:11" x14ac:dyDescent="0.45">
      <c r="B34" s="25" t="s">
        <v>168</v>
      </c>
      <c r="C34" s="28"/>
      <c r="D34" s="28"/>
      <c r="E34" s="28"/>
      <c r="F34" s="28"/>
      <c r="G34" s="43">
        <f>SUMPRODUCT(F24:F25,G24:G25)</f>
        <v>0.37098468860136247</v>
      </c>
      <c r="H34" s="43">
        <f>SUMPRODUCT(F24:F25,H24:H25)</f>
        <v>0.59742716401303286</v>
      </c>
      <c r="I34" s="28"/>
      <c r="K34" s="32" t="s">
        <v>169</v>
      </c>
    </row>
    <row r="35" spans="2:11" x14ac:dyDescent="0.45">
      <c r="B35" s="25" t="s">
        <v>170</v>
      </c>
      <c r="C35" s="28"/>
      <c r="D35" s="28"/>
      <c r="E35" s="28"/>
      <c r="F35" s="28"/>
      <c r="G35" s="43" cm="1">
        <f t="array" ref="G35">_xll.VoseBMAProb10(X_Dens,DistObjs,DistPriors,FALSE)</f>
        <v>-0.43064401435573574</v>
      </c>
      <c r="H35" s="43" cm="1">
        <f t="array" ref="H35">_xll.VoseBMAProb10(X_Cum,DistObjs,DistPriors,TRUE)</f>
        <v>-0.22371503463988612</v>
      </c>
      <c r="I35" s="28"/>
      <c r="K35" s="32" t="s">
        <v>171</v>
      </c>
    </row>
    <row r="36" spans="2:11" x14ac:dyDescent="0.45">
      <c r="B36" s="25" t="s">
        <v>172</v>
      </c>
      <c r="C36" s="28"/>
      <c r="D36" s="28"/>
      <c r="E36" s="28"/>
      <c r="F36" s="28"/>
      <c r="G36" s="28"/>
      <c r="H36" s="28"/>
      <c r="I36" s="38" t="str">
        <f t="array" aca="1" ref="I36" ca="1">_xll.VoseBMAObject(DistObjs,DistPriors)</f>
        <v>VoseBMA('[GU-20 Bayesian model averaging.xlsx]Distribution'!I24:I25,'[GU-20 Bayesian model averaging.xlsx]Distribution'!C24:C25)</v>
      </c>
      <c r="K36" s="32" t="s">
        <v>173</v>
      </c>
    </row>
    <row r="37" spans="2:11" ht="8" customHeight="1" x14ac:dyDescent="0.45"/>
    <row r="38" spans="2:11" ht="22.05" customHeight="1" x14ac:dyDescent="0.5">
      <c r="B38" s="7" t="s">
        <v>174</v>
      </c>
      <c r="C38" s="8"/>
      <c r="D38" s="8"/>
      <c r="E38" s="8"/>
      <c r="F38" s="8"/>
      <c r="G38" s="8"/>
      <c r="H38" s="8"/>
      <c r="I38" s="8"/>
      <c r="J38" s="8"/>
      <c r="K38" s="8"/>
    </row>
    <row r="39" spans="2:11" ht="18" customHeight="1" x14ac:dyDescent="0.45">
      <c r="B39" s="13" t="s">
        <v>175</v>
      </c>
    </row>
    <row r="40" spans="2:11" x14ac:dyDescent="0.45">
      <c r="B40" s="25" t="s">
        <v>176</v>
      </c>
      <c r="C40" s="28"/>
      <c r="D40" s="28"/>
      <c r="E40" s="28"/>
      <c r="F40" s="44" cm="1">
        <f t="array" aca="1" ref="F40" ca="1">_xll.VoseDiscrete({1;2},F24:F25)</f>
        <v>2</v>
      </c>
      <c r="G40" s="28"/>
      <c r="H40" s="28"/>
      <c r="I40" s="28"/>
      <c r="K40" s="32" t="s">
        <v>177</v>
      </c>
    </row>
    <row r="41" spans="2:11" x14ac:dyDescent="0.45">
      <c r="B41" s="25" t="s">
        <v>178</v>
      </c>
      <c r="C41" s="28"/>
      <c r="D41" s="28"/>
      <c r="E41" s="28"/>
      <c r="F41" s="45" cm="1">
        <f t="array" aca="1" ref="F41" ca="1">_xll.VoseSimulate(INDEX(DistObjs,F40))</f>
        <v>2.1227809499050787</v>
      </c>
      <c r="G41" s="28"/>
      <c r="H41" s="28"/>
      <c r="I41" s="28"/>
      <c r="K41" s="32" t="s">
        <v>179</v>
      </c>
    </row>
    <row r="42" spans="2:11" x14ac:dyDescent="0.45">
      <c r="B42" s="25" t="s">
        <v>180</v>
      </c>
      <c r="C42" s="28"/>
      <c r="D42" s="28"/>
      <c r="E42" s="28"/>
      <c r="F42" s="45" cm="1">
        <f t="array" aca="1" ref="F42" ca="1">_xll.VoseSimulate(I24)</f>
        <v>2.6119802897719246</v>
      </c>
      <c r="G42" s="28"/>
      <c r="H42" s="28"/>
      <c r="I42" s="28"/>
      <c r="K42" s="32"/>
    </row>
    <row r="43" spans="2:11" x14ac:dyDescent="0.45">
      <c r="B43" s="25" t="s">
        <v>181</v>
      </c>
      <c r="C43" s="28"/>
      <c r="D43" s="28"/>
      <c r="E43" s="28"/>
      <c r="F43" s="45" cm="1">
        <f t="array" aca="1" ref="F43" ca="1">_xll.VoseSimulate(I25)</f>
        <v>1.2700168475229612</v>
      </c>
      <c r="G43" s="28"/>
      <c r="H43" s="28"/>
      <c r="I43" s="28"/>
      <c r="K43" s="32"/>
    </row>
    <row r="44" spans="2:11" x14ac:dyDescent="0.45">
      <c r="B44" s="46" t="s">
        <v>182</v>
      </c>
      <c r="C44" s="28"/>
      <c r="D44" s="28"/>
      <c r="E44" s="28"/>
      <c r="F44" s="45" cm="1">
        <f t="array" aca="1" ref="F44" ca="1">_xll.VoseBMA(DistObjs,DistPriors)</f>
        <v>1.1854637757833979</v>
      </c>
      <c r="G44" s="28"/>
      <c r="H44" s="28"/>
      <c r="I44" s="28"/>
      <c r="K44" s="32" t="s">
        <v>183</v>
      </c>
    </row>
    <row r="45" spans="2:11" x14ac:dyDescent="0.45">
      <c r="B45" s="46" t="s">
        <v>184</v>
      </c>
      <c r="C45" s="28"/>
      <c r="D45" s="28"/>
      <c r="E45" s="28"/>
      <c r="F45" s="45" cm="1">
        <f t="array" aca="1" ref="F45" ca="1">_xll.VoseSimulate(BMA_Obj)</f>
        <v>4.2360969676372049</v>
      </c>
      <c r="G45" s="28"/>
      <c r="H45" s="28"/>
      <c r="I45" s="28"/>
      <c r="K45" s="32" t="s">
        <v>185</v>
      </c>
    </row>
    <row r="46" spans="2:11" ht="8" customHeight="1" x14ac:dyDescent="0.45"/>
    <row r="47" spans="2:11" ht="22.05" customHeight="1" x14ac:dyDescent="0.5">
      <c r="B47" s="7" t="s">
        <v>186</v>
      </c>
      <c r="C47" s="8"/>
      <c r="D47" s="8"/>
      <c r="E47" s="8"/>
      <c r="F47" s="8"/>
      <c r="G47" s="8"/>
      <c r="H47" s="8"/>
      <c r="I47" s="8"/>
      <c r="J47" s="8"/>
      <c r="K47" s="8"/>
    </row>
    <row r="48" spans="2:11" ht="18" customHeight="1" x14ac:dyDescent="0.45">
      <c r="B48" s="13" t="s">
        <v>187</v>
      </c>
    </row>
    <row r="49" spans="2:11" ht="18" customHeight="1" x14ac:dyDescent="0.45">
      <c r="B49" s="47" t="s">
        <v>188</v>
      </c>
      <c r="C49" s="5"/>
      <c r="D49" s="47" t="s">
        <v>110</v>
      </c>
      <c r="E49" s="5"/>
      <c r="F49" s="48" t="s">
        <v>143</v>
      </c>
      <c r="G49" s="5"/>
      <c r="H49" s="5"/>
      <c r="I49" s="47" t="s">
        <v>189</v>
      </c>
      <c r="J49" s="5"/>
      <c r="K49" s="5"/>
    </row>
    <row r="50" spans="2:11" x14ac:dyDescent="0.45">
      <c r="B50" s="25" t="s">
        <v>190</v>
      </c>
      <c r="C50" s="28"/>
      <c r="D50" s="26" t="s">
        <v>133</v>
      </c>
      <c r="E50" s="28"/>
      <c r="F50" s="49" cm="1">
        <f t="array" aca="1" ref="F50" ca="1">_xll.VoseOutput("BMA distribution","value")+F41</f>
        <v>2.1227809499050787</v>
      </c>
      <c r="G50" s="28"/>
      <c r="H50" s="28"/>
      <c r="I50" s="26"/>
      <c r="J50" s="28"/>
      <c r="K50" s="28"/>
    </row>
    <row r="51" spans="2:11" x14ac:dyDescent="0.45">
      <c r="B51" s="25" t="s">
        <v>191</v>
      </c>
      <c r="C51" s="28"/>
      <c r="D51" s="26" t="s">
        <v>133</v>
      </c>
      <c r="E51" s="28"/>
      <c r="F51" s="49" cm="1">
        <f t="array" aca="1" ref="F51" ca="1">_xll.VoseOutput("Normal fit","value")+F42</f>
        <v>2.6119802897719246</v>
      </c>
      <c r="G51" s="28"/>
      <c r="H51" s="28"/>
      <c r="I51" s="26"/>
      <c r="J51" s="28"/>
      <c r="K51" s="28"/>
    </row>
    <row r="52" spans="2:11" x14ac:dyDescent="0.45">
      <c r="B52" s="25" t="s">
        <v>192</v>
      </c>
      <c r="C52" s="28"/>
      <c r="D52" s="26" t="s">
        <v>133</v>
      </c>
      <c r="E52" s="28"/>
      <c r="F52" s="49" cm="1">
        <f t="array" aca="1" ref="F52" ca="1">_xll.VoseOutput("Lognormal fit","value")+F43</f>
        <v>1.2700168475229612</v>
      </c>
      <c r="G52" s="28"/>
      <c r="H52" s="28"/>
      <c r="I52" s="26"/>
      <c r="J52" s="28"/>
      <c r="K52" s="28"/>
    </row>
    <row r="53" spans="2:11" ht="8" customHeight="1" x14ac:dyDescent="0.45"/>
  </sheetData>
  <hyperlinks>
    <hyperlink ref="B4" location="'Inputs'!A1" display="◂  Inputs" xr:uid="{00000000-0004-0000-0200-000000000000}"/>
    <hyperlink ref="K4" location="'Copula'!A1" display="Next:  Copula  ▸" xr:uid="{00000000-0004-0000-0200-000001000000}"/>
  </hyperlinks>
  <printOptions horizontalCentered="1"/>
  <pageMargins left="0.4" right="0.4" top="0.5" bottom="0.6" header="0.25" footer="0.25"/>
  <pageSetup paperSize="9" scale="6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AA0BA"/>
    <pageSetUpPr fitToPage="1"/>
  </sheetPr>
  <dimension ref="A1:K88"/>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2" customWidth="1"/>
    <col min="3" max="3" width="11" customWidth="1"/>
    <col min="4" max="5" width="12" customWidth="1"/>
    <col min="6" max="6" width="11" customWidth="1"/>
    <col min="7" max="8" width="12" customWidth="1"/>
    <col min="9" max="9" width="44" customWidth="1"/>
    <col min="10" max="10" width="2" customWidth="1"/>
    <col min="11" max="11" width="8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193</v>
      </c>
      <c r="C3" s="1"/>
      <c r="D3" s="1"/>
      <c r="E3" s="1"/>
      <c r="F3" s="1"/>
      <c r="G3" s="1"/>
      <c r="H3" s="1"/>
      <c r="I3" s="1"/>
      <c r="J3" s="1"/>
      <c r="K3" s="1"/>
    </row>
    <row r="4" spans="1:11" ht="20" customHeight="1" x14ac:dyDescent="0.45">
      <c r="A4" s="5"/>
      <c r="B4" s="22" t="s">
        <v>194</v>
      </c>
      <c r="C4" s="5"/>
      <c r="D4" s="5"/>
      <c r="E4" s="5"/>
      <c r="F4" s="5"/>
      <c r="G4" s="5"/>
      <c r="H4" s="5"/>
      <c r="I4" s="5"/>
      <c r="J4" s="5"/>
      <c r="K4" s="6" t="s">
        <v>195</v>
      </c>
    </row>
    <row r="5" spans="1:11" ht="8" customHeight="1" x14ac:dyDescent="0.45"/>
    <row r="6" spans="1:11" ht="22.05" customHeight="1" x14ac:dyDescent="0.5">
      <c r="B6" s="7" t="s">
        <v>140</v>
      </c>
      <c r="C6" s="8"/>
      <c r="D6" s="8"/>
      <c r="E6" s="8"/>
      <c r="F6" s="8"/>
      <c r="G6" s="8"/>
      <c r="H6" s="8"/>
    </row>
    <row r="7" spans="1:11" ht="18" customHeight="1" x14ac:dyDescent="0.45">
      <c r="B7" s="13" t="s">
        <v>196</v>
      </c>
    </row>
    <row r="8" spans="1:11" ht="18" customHeight="1" x14ac:dyDescent="0.45">
      <c r="B8" s="23" t="s">
        <v>142</v>
      </c>
      <c r="C8" s="24" t="s">
        <v>197</v>
      </c>
      <c r="D8" s="24" t="s">
        <v>198</v>
      </c>
      <c r="E8" s="24" t="s">
        <v>199</v>
      </c>
      <c r="F8" s="24" t="s">
        <v>200</v>
      </c>
      <c r="G8" s="24" t="s">
        <v>201</v>
      </c>
      <c r="H8" s="24" t="s">
        <v>202</v>
      </c>
    </row>
    <row r="9" spans="1:11" x14ac:dyDescent="0.45">
      <c r="B9" s="25">
        <v>1</v>
      </c>
      <c r="C9" s="50">
        <v>99.174000000000007</v>
      </c>
      <c r="D9" s="30">
        <v>6.593</v>
      </c>
      <c r="E9" s="30">
        <v>1.4179999999999999</v>
      </c>
      <c r="F9" s="34">
        <f t="shared" ref="F9:F31" si="0">RANK(C9,C$9:C$31,1)</f>
        <v>14</v>
      </c>
      <c r="G9" s="34">
        <f t="shared" ref="G9:G31" si="1">RANK(D9,D$9:D$31,1)</f>
        <v>14</v>
      </c>
      <c r="H9" s="34">
        <f t="shared" ref="H9:H31" si="2">RANK(E9,E$9:E$31,1)</f>
        <v>6</v>
      </c>
      <c r="I9" s="32" t="s">
        <v>203</v>
      </c>
    </row>
    <row r="10" spans="1:11" x14ac:dyDescent="0.45">
      <c r="B10" s="25">
        <v>2</v>
      </c>
      <c r="C10" s="50">
        <v>98.215000000000003</v>
      </c>
      <c r="D10" s="30">
        <v>5.7140000000000004</v>
      </c>
      <c r="E10" s="30">
        <v>1.758</v>
      </c>
      <c r="F10" s="34">
        <f t="shared" si="0"/>
        <v>11</v>
      </c>
      <c r="G10" s="34">
        <f t="shared" si="1"/>
        <v>13</v>
      </c>
      <c r="H10" s="34">
        <f t="shared" si="2"/>
        <v>9</v>
      </c>
    </row>
    <row r="11" spans="1:11" x14ac:dyDescent="0.45">
      <c r="B11" s="25">
        <v>3</v>
      </c>
      <c r="C11" s="50">
        <v>96.344999999999999</v>
      </c>
      <c r="D11" s="30">
        <v>2.6909999999999998</v>
      </c>
      <c r="E11" s="30">
        <v>3.3540000000000001</v>
      </c>
      <c r="F11" s="34">
        <f t="shared" si="0"/>
        <v>10</v>
      </c>
      <c r="G11" s="34">
        <f t="shared" si="1"/>
        <v>5</v>
      </c>
      <c r="H11" s="34">
        <f t="shared" si="2"/>
        <v>20</v>
      </c>
    </row>
    <row r="12" spans="1:11" x14ac:dyDescent="0.45">
      <c r="B12" s="25">
        <v>4</v>
      </c>
      <c r="C12" s="50">
        <v>99.058000000000007</v>
      </c>
      <c r="D12" s="30">
        <v>6.6319999999999997</v>
      </c>
      <c r="E12" s="30">
        <v>1.627</v>
      </c>
      <c r="F12" s="34">
        <f t="shared" si="0"/>
        <v>13</v>
      </c>
      <c r="G12" s="34">
        <f t="shared" si="1"/>
        <v>15</v>
      </c>
      <c r="H12" s="34">
        <f t="shared" si="2"/>
        <v>8</v>
      </c>
    </row>
    <row r="13" spans="1:11" x14ac:dyDescent="0.45">
      <c r="B13" s="25">
        <v>5</v>
      </c>
      <c r="C13" s="50">
        <v>110.712</v>
      </c>
      <c r="D13" s="30">
        <v>9.35</v>
      </c>
      <c r="E13" s="30">
        <v>3.363</v>
      </c>
      <c r="F13" s="34">
        <f t="shared" si="0"/>
        <v>22</v>
      </c>
      <c r="G13" s="34">
        <f t="shared" si="1"/>
        <v>22</v>
      </c>
      <c r="H13" s="34">
        <f t="shared" si="2"/>
        <v>21</v>
      </c>
    </row>
    <row r="14" spans="1:11" x14ac:dyDescent="0.45">
      <c r="B14" s="25">
        <v>6</v>
      </c>
      <c r="C14" s="50">
        <v>109.881</v>
      </c>
      <c r="D14" s="30">
        <v>4.2510000000000003</v>
      </c>
      <c r="E14" s="30">
        <v>3.347</v>
      </c>
      <c r="F14" s="34">
        <f t="shared" si="0"/>
        <v>21</v>
      </c>
      <c r="G14" s="34">
        <f t="shared" si="1"/>
        <v>10</v>
      </c>
      <c r="H14" s="34">
        <f t="shared" si="2"/>
        <v>18</v>
      </c>
    </row>
    <row r="15" spans="1:11" x14ac:dyDescent="0.45">
      <c r="B15" s="25">
        <v>7</v>
      </c>
      <c r="C15" s="50">
        <v>93.863</v>
      </c>
      <c r="D15" s="30">
        <v>1.3089999999999999</v>
      </c>
      <c r="E15" s="30">
        <v>2.258</v>
      </c>
      <c r="F15" s="34">
        <f t="shared" si="0"/>
        <v>5</v>
      </c>
      <c r="G15" s="34">
        <f t="shared" si="1"/>
        <v>2</v>
      </c>
      <c r="H15" s="34">
        <f t="shared" si="2"/>
        <v>12</v>
      </c>
    </row>
    <row r="16" spans="1:11" x14ac:dyDescent="0.45">
      <c r="B16" s="25">
        <v>8</v>
      </c>
      <c r="C16" s="50">
        <v>94.358999999999995</v>
      </c>
      <c r="D16" s="30">
        <v>3.4020000000000001</v>
      </c>
      <c r="E16" s="30">
        <v>0.51700000000000002</v>
      </c>
      <c r="F16" s="34">
        <f t="shared" si="0"/>
        <v>6</v>
      </c>
      <c r="G16" s="34">
        <f t="shared" si="1"/>
        <v>8</v>
      </c>
      <c r="H16" s="34">
        <f t="shared" si="2"/>
        <v>1</v>
      </c>
    </row>
    <row r="17" spans="2:8" x14ac:dyDescent="0.45">
      <c r="B17" s="25">
        <v>9</v>
      </c>
      <c r="C17" s="50">
        <v>103.321</v>
      </c>
      <c r="D17" s="30">
        <v>6.9980000000000002</v>
      </c>
      <c r="E17" s="30">
        <v>4.1130000000000004</v>
      </c>
      <c r="F17" s="34">
        <f t="shared" si="0"/>
        <v>16</v>
      </c>
      <c r="G17" s="34">
        <f t="shared" si="1"/>
        <v>19</v>
      </c>
      <c r="H17" s="34">
        <f t="shared" si="2"/>
        <v>22</v>
      </c>
    </row>
    <row r="18" spans="2:8" x14ac:dyDescent="0.45">
      <c r="B18" s="25">
        <v>10</v>
      </c>
      <c r="C18" s="50">
        <v>106.01300000000001</v>
      </c>
      <c r="D18" s="30">
        <v>7.9050000000000002</v>
      </c>
      <c r="E18" s="30">
        <v>3.0150000000000001</v>
      </c>
      <c r="F18" s="34">
        <f t="shared" si="0"/>
        <v>19</v>
      </c>
      <c r="G18" s="34">
        <f t="shared" si="1"/>
        <v>21</v>
      </c>
      <c r="H18" s="34">
        <f t="shared" si="2"/>
        <v>16</v>
      </c>
    </row>
    <row r="19" spans="2:8" x14ac:dyDescent="0.45">
      <c r="B19" s="25">
        <v>11</v>
      </c>
      <c r="C19" s="50">
        <v>81.801000000000002</v>
      </c>
      <c r="D19" s="30">
        <v>2.3769999999999998</v>
      </c>
      <c r="E19" s="30">
        <v>1.0309999999999999</v>
      </c>
      <c r="F19" s="34">
        <f t="shared" si="0"/>
        <v>1</v>
      </c>
      <c r="G19" s="34">
        <f t="shared" si="1"/>
        <v>4</v>
      </c>
      <c r="H19" s="34">
        <f t="shared" si="2"/>
        <v>2</v>
      </c>
    </row>
    <row r="20" spans="2:8" x14ac:dyDescent="0.45">
      <c r="B20" s="25">
        <v>12</v>
      </c>
      <c r="C20" s="50">
        <v>95.457999999999998</v>
      </c>
      <c r="D20" s="30">
        <v>2.9340000000000002</v>
      </c>
      <c r="E20" s="30">
        <v>1.335</v>
      </c>
      <c r="F20" s="34">
        <f t="shared" si="0"/>
        <v>8</v>
      </c>
      <c r="G20" s="34">
        <f t="shared" si="1"/>
        <v>7</v>
      </c>
      <c r="H20" s="34">
        <f t="shared" si="2"/>
        <v>4</v>
      </c>
    </row>
    <row r="21" spans="2:8" x14ac:dyDescent="0.45">
      <c r="B21" s="25">
        <v>13</v>
      </c>
      <c r="C21" s="50">
        <v>89.197999999999993</v>
      </c>
      <c r="D21" s="30">
        <v>1.385</v>
      </c>
      <c r="E21" s="30">
        <v>1.395</v>
      </c>
      <c r="F21" s="34">
        <f t="shared" si="0"/>
        <v>2</v>
      </c>
      <c r="G21" s="34">
        <f t="shared" si="1"/>
        <v>3</v>
      </c>
      <c r="H21" s="34">
        <f t="shared" si="2"/>
        <v>5</v>
      </c>
    </row>
    <row r="22" spans="2:8" x14ac:dyDescent="0.45">
      <c r="B22" s="25">
        <v>14</v>
      </c>
      <c r="C22" s="50">
        <v>95.856999999999999</v>
      </c>
      <c r="D22" s="30">
        <v>3.9489999999999998</v>
      </c>
      <c r="E22" s="30">
        <v>2.6739999999999999</v>
      </c>
      <c r="F22" s="34">
        <f t="shared" si="0"/>
        <v>9</v>
      </c>
      <c r="G22" s="34">
        <f t="shared" si="1"/>
        <v>9</v>
      </c>
      <c r="H22" s="34">
        <f t="shared" si="2"/>
        <v>14</v>
      </c>
    </row>
    <row r="23" spans="2:8" x14ac:dyDescent="0.45">
      <c r="B23" s="25">
        <v>15</v>
      </c>
      <c r="C23" s="50">
        <v>125.434</v>
      </c>
      <c r="D23" s="30">
        <v>22.890999999999998</v>
      </c>
      <c r="E23" s="30">
        <v>4.8959999999999999</v>
      </c>
      <c r="F23" s="34">
        <f t="shared" si="0"/>
        <v>23</v>
      </c>
      <c r="G23" s="34">
        <f t="shared" si="1"/>
        <v>23</v>
      </c>
      <c r="H23" s="34">
        <f t="shared" si="2"/>
        <v>23</v>
      </c>
    </row>
    <row r="24" spans="2:8" x14ac:dyDescent="0.45">
      <c r="B24" s="25">
        <v>16</v>
      </c>
      <c r="C24" s="50">
        <v>106.863</v>
      </c>
      <c r="D24" s="30">
        <v>7.6289999999999996</v>
      </c>
      <c r="E24" s="30">
        <v>3.351</v>
      </c>
      <c r="F24" s="34">
        <f t="shared" si="0"/>
        <v>20</v>
      </c>
      <c r="G24" s="34">
        <f t="shared" si="1"/>
        <v>20</v>
      </c>
      <c r="H24" s="34">
        <f t="shared" si="2"/>
        <v>19</v>
      </c>
    </row>
    <row r="25" spans="2:8" x14ac:dyDescent="0.45">
      <c r="B25" s="25">
        <v>17</v>
      </c>
      <c r="C25" s="50">
        <v>98.394999999999996</v>
      </c>
      <c r="D25" s="30">
        <v>6.6929999999999996</v>
      </c>
      <c r="E25" s="30">
        <v>1.04</v>
      </c>
      <c r="F25" s="34">
        <f t="shared" si="0"/>
        <v>12</v>
      </c>
      <c r="G25" s="34">
        <f t="shared" si="1"/>
        <v>17</v>
      </c>
      <c r="H25" s="34">
        <f t="shared" si="2"/>
        <v>3</v>
      </c>
    </row>
    <row r="26" spans="2:8" x14ac:dyDescent="0.45">
      <c r="B26" s="25">
        <v>18</v>
      </c>
      <c r="C26" s="50">
        <v>104.051</v>
      </c>
      <c r="D26" s="30">
        <v>6.976</v>
      </c>
      <c r="E26" s="30">
        <v>2.976</v>
      </c>
      <c r="F26" s="34">
        <f t="shared" si="0"/>
        <v>17</v>
      </c>
      <c r="G26" s="34">
        <f t="shared" si="1"/>
        <v>18</v>
      </c>
      <c r="H26" s="34">
        <f t="shared" si="2"/>
        <v>15</v>
      </c>
    </row>
    <row r="27" spans="2:8" x14ac:dyDescent="0.45">
      <c r="B27" s="25">
        <v>19</v>
      </c>
      <c r="C27" s="50">
        <v>102.255</v>
      </c>
      <c r="D27" s="30">
        <v>4.3769999999999998</v>
      </c>
      <c r="E27" s="30">
        <v>2.2389999999999999</v>
      </c>
      <c r="F27" s="34">
        <f t="shared" si="0"/>
        <v>15</v>
      </c>
      <c r="G27" s="34">
        <f t="shared" si="1"/>
        <v>12</v>
      </c>
      <c r="H27" s="34">
        <f t="shared" si="2"/>
        <v>11</v>
      </c>
    </row>
    <row r="28" spans="2:8" x14ac:dyDescent="0.45">
      <c r="B28" s="25">
        <v>20</v>
      </c>
      <c r="C28" s="50">
        <v>95.394000000000005</v>
      </c>
      <c r="D28" s="30">
        <v>0.67700000000000005</v>
      </c>
      <c r="E28" s="30">
        <v>2.2999999999999998</v>
      </c>
      <c r="F28" s="34">
        <f t="shared" si="0"/>
        <v>7</v>
      </c>
      <c r="G28" s="34">
        <f t="shared" si="1"/>
        <v>1</v>
      </c>
      <c r="H28" s="34">
        <f t="shared" si="2"/>
        <v>13</v>
      </c>
    </row>
    <row r="29" spans="2:8" x14ac:dyDescent="0.45">
      <c r="B29" s="25">
        <v>21</v>
      </c>
      <c r="C29" s="50">
        <v>91.194000000000003</v>
      </c>
      <c r="D29" s="30">
        <v>2.75</v>
      </c>
      <c r="E29" s="30">
        <v>1.946</v>
      </c>
      <c r="F29" s="34">
        <f t="shared" si="0"/>
        <v>3</v>
      </c>
      <c r="G29" s="34">
        <f t="shared" si="1"/>
        <v>6</v>
      </c>
      <c r="H29" s="34">
        <f t="shared" si="2"/>
        <v>10</v>
      </c>
    </row>
    <row r="30" spans="2:8" x14ac:dyDescent="0.45">
      <c r="B30" s="25">
        <v>22</v>
      </c>
      <c r="C30" s="50">
        <v>104.545</v>
      </c>
      <c r="D30" s="30">
        <v>4.3090000000000002</v>
      </c>
      <c r="E30" s="30">
        <v>3.1379999999999999</v>
      </c>
      <c r="F30" s="34">
        <f t="shared" si="0"/>
        <v>18</v>
      </c>
      <c r="G30" s="34">
        <f t="shared" si="1"/>
        <v>11</v>
      </c>
      <c r="H30" s="34">
        <f t="shared" si="2"/>
        <v>17</v>
      </c>
    </row>
    <row r="31" spans="2:8" x14ac:dyDescent="0.45">
      <c r="B31" s="25">
        <v>23</v>
      </c>
      <c r="C31" s="50">
        <v>93.207999999999998</v>
      </c>
      <c r="D31" s="30">
        <v>6.6669999999999998</v>
      </c>
      <c r="E31" s="30">
        <v>1.5680000000000001</v>
      </c>
      <c r="F31" s="34">
        <f t="shared" si="0"/>
        <v>4</v>
      </c>
      <c r="G31" s="34">
        <f t="shared" si="1"/>
        <v>16</v>
      </c>
      <c r="H31" s="34">
        <f t="shared" si="2"/>
        <v>7</v>
      </c>
    </row>
    <row r="32" spans="2:8" ht="8" customHeight="1" x14ac:dyDescent="0.45"/>
    <row r="33" spans="2:11" ht="22.05" customHeight="1" x14ac:dyDescent="0.5">
      <c r="B33" s="7" t="s">
        <v>204</v>
      </c>
      <c r="C33" s="8"/>
      <c r="D33" s="8"/>
      <c r="E33" s="8"/>
      <c r="F33" s="8"/>
      <c r="G33" s="8"/>
      <c r="H33" s="8"/>
      <c r="I33" s="8"/>
    </row>
    <row r="34" spans="2:11" ht="18" customHeight="1" x14ac:dyDescent="0.45">
      <c r="B34" s="13" t="s">
        <v>205</v>
      </c>
    </row>
    <row r="35" spans="2:11" x14ac:dyDescent="0.45">
      <c r="B35" s="25" t="s">
        <v>206</v>
      </c>
      <c r="C35" s="28"/>
      <c r="D35" s="28"/>
      <c r="E35" s="28"/>
      <c r="F35" s="35">
        <f>CORREL(F9:F31,G9:G31)</f>
        <v>0.77075098814229248</v>
      </c>
      <c r="G35" s="28"/>
      <c r="H35" s="28"/>
      <c r="I35" s="28"/>
      <c r="K35" s="32" t="s">
        <v>207</v>
      </c>
    </row>
    <row r="36" spans="2:11" x14ac:dyDescent="0.45">
      <c r="B36" s="25" t="s">
        <v>208</v>
      </c>
      <c r="C36" s="28"/>
      <c r="D36" s="28"/>
      <c r="E36" s="28"/>
      <c r="F36" s="35">
        <f>CORREL(F9:F31,H9:H31)</f>
        <v>0.71837944664031628</v>
      </c>
      <c r="G36" s="28"/>
      <c r="H36" s="28"/>
      <c r="I36" s="28"/>
    </row>
    <row r="37" spans="2:11" x14ac:dyDescent="0.45">
      <c r="B37" s="25" t="s">
        <v>209</v>
      </c>
      <c r="C37" s="28"/>
      <c r="D37" s="28"/>
      <c r="E37" s="28"/>
      <c r="F37" s="35">
        <f>CORREL(G9:G31,H9:H31)</f>
        <v>0.44268774703557318</v>
      </c>
      <c r="G37" s="28"/>
      <c r="H37" s="28"/>
      <c r="I37" s="28"/>
    </row>
    <row r="38" spans="2:11" ht="8" customHeight="1" x14ac:dyDescent="0.45"/>
    <row r="39" spans="2:11" ht="22.05" customHeight="1" x14ac:dyDescent="0.5">
      <c r="B39" s="7" t="s">
        <v>210</v>
      </c>
      <c r="C39" s="8"/>
      <c r="D39" s="8"/>
      <c r="E39" s="8"/>
      <c r="F39" s="8"/>
      <c r="G39" s="8"/>
      <c r="H39" s="8"/>
      <c r="I39" s="8"/>
      <c r="J39" s="8"/>
      <c r="K39" s="8"/>
    </row>
    <row r="40" spans="2:11" ht="18" customHeight="1" x14ac:dyDescent="0.45">
      <c r="B40" s="13" t="s">
        <v>211</v>
      </c>
    </row>
    <row r="41" spans="2:11" ht="30" customHeight="1" x14ac:dyDescent="0.45">
      <c r="B41" s="23" t="s">
        <v>147</v>
      </c>
      <c r="C41" s="24" t="s">
        <v>148</v>
      </c>
      <c r="D41" s="24" t="s">
        <v>65</v>
      </c>
      <c r="E41" s="24" t="s">
        <v>149</v>
      </c>
      <c r="F41" s="24" t="s">
        <v>63</v>
      </c>
      <c r="G41" s="5"/>
      <c r="H41" s="5"/>
      <c r="I41" s="23" t="s">
        <v>152</v>
      </c>
    </row>
    <row r="42" spans="2:11" x14ac:dyDescent="0.45">
      <c r="B42" s="33" t="s">
        <v>212</v>
      </c>
      <c r="C42" s="34">
        <f>Prior_Frank</f>
        <v>1</v>
      </c>
      <c r="D42" s="35" cm="1">
        <f t="array" aca="1" ref="D42" ca="1">_xll.VoseLLH(I42)</f>
        <v>13.334360875100593</v>
      </c>
      <c r="E42" s="35">
        <f ca="1">EXP(D42-MAX(D$42:D$46))</f>
        <v>1.330694102897157E-3</v>
      </c>
      <c r="F42" s="36">
        <f ca="1">C42*E42/SUMPRODUCT(C$42:C$46,E$42:E$46)</f>
        <v>2.6016153369172674E-4</v>
      </c>
      <c r="G42" s="28"/>
      <c r="H42" s="28"/>
      <c r="I42" s="38" t="str">
        <f t="array" aca="1" ref="I42" ca="1">_xll.VoseCopulaMultiFrankFitObject($C$9:$E$31)</f>
        <v>VoseCopulaMultiFrank(5.77270293177805)</v>
      </c>
      <c r="K42" s="32" t="s">
        <v>154</v>
      </c>
    </row>
    <row r="43" spans="2:11" x14ac:dyDescent="0.45">
      <c r="B43" s="33" t="s">
        <v>213</v>
      </c>
      <c r="C43" s="34">
        <f>Prior_Gumbel</f>
        <v>1</v>
      </c>
      <c r="D43" s="35" cm="1">
        <f t="array" aca="1" ref="D43" ca="1">_xll.VoseLLH(I43)</f>
        <v>17.798705679464604</v>
      </c>
      <c r="E43" s="35">
        <f ca="1">EXP(D43-MAX(D$42:D$46))</f>
        <v>0.11558954284662371</v>
      </c>
      <c r="F43" s="36">
        <f ca="1">C43*E43/SUMPRODUCT(C$42:C$46,E$42:E$46)</f>
        <v>2.2598696935855662E-2</v>
      </c>
      <c r="G43" s="28"/>
      <c r="H43" s="28"/>
      <c r="I43" s="38" t="str">
        <f t="array" aca="1" ref="I43" ca="1">_xll.VoseCopulaMultiGumbelFitObject($C$9:$E$31)</f>
        <v>VoseCopulaMultiGumbel(2.0079365079365)</v>
      </c>
      <c r="K43" s="32" t="s">
        <v>214</v>
      </c>
    </row>
    <row r="44" spans="2:11" x14ac:dyDescent="0.45">
      <c r="B44" s="33" t="s">
        <v>215</v>
      </c>
      <c r="C44" s="34">
        <f>Prior_Clayton</f>
        <v>1</v>
      </c>
      <c r="D44" s="35" cm="1">
        <f t="array" aca="1" ref="D44" ca="1">_xll.VoseLLH(I44)</f>
        <v>18.534190193169678</v>
      </c>
      <c r="E44" s="35">
        <f ca="1">EXP(D44-MAX(D$42:D$46))</f>
        <v>0.24117673525812616</v>
      </c>
      <c r="F44" s="36">
        <f ca="1">C44*E44/SUMPRODUCT(C$42:C$46,E$42:E$46)</f>
        <v>4.7152015778014533E-2</v>
      </c>
      <c r="G44" s="28"/>
      <c r="H44" s="28"/>
      <c r="I44" s="38" t="str">
        <f t="array" aca="1" ref="I44" ca="1">_xll.VoseCopulaMultiClaytonFitObject($C$9:$E$31)</f>
        <v>VoseCopulaMultiClayton(-2.01587301587301)</v>
      </c>
    </row>
    <row r="45" spans="2:11" x14ac:dyDescent="0.45">
      <c r="B45" s="33" t="s">
        <v>153</v>
      </c>
      <c r="C45" s="34">
        <f>Prior_CN</f>
        <v>2</v>
      </c>
      <c r="D45" s="35" cm="1">
        <f t="array" aca="1" ref="D45" ca="1">_xll.VoseLLH(I45)</f>
        <v>19.956415466104492</v>
      </c>
      <c r="E45" s="35">
        <f ca="1">EXP(D45-MAX(D$42:D$46))</f>
        <v>1</v>
      </c>
      <c r="F45" s="36">
        <f ca="1">C45*E45/SUMPRODUCT(C$42:C$46,E$42:E$46)</f>
        <v>0.39101628710206038</v>
      </c>
      <c r="G45" s="28"/>
      <c r="H45" s="28"/>
      <c r="I45" s="38" t="str">
        <f t="array" aca="1" ref="I45" ca="1">_xll.VoseCopulaMultiNormalFitObject($C$9:$E$31)</f>
        <v>VoseCopulaMultiNormal({1,0.813843478968937,0.782580379905084;0.813843478968937,1,0.574544724163116;0.782580379905084,0.574544724163116,1})</v>
      </c>
    </row>
    <row r="46" spans="2:11" x14ac:dyDescent="0.45">
      <c r="B46" s="33" t="s">
        <v>216</v>
      </c>
      <c r="C46" s="34">
        <f>Prior_CT</f>
        <v>3</v>
      </c>
      <c r="D46" s="35" cm="1">
        <f t="array" aca="1" ref="D46" ca="1">_xll.VoseLLH(I46)</f>
        <v>19.87186632141097</v>
      </c>
      <c r="E46" s="35">
        <f ca="1">EXP(D46-MAX(D$42:D$46))</f>
        <v>0.91892649390620518</v>
      </c>
      <c r="F46" s="36">
        <f ca="1">C46*E46/SUMPRODUCT(C$42:C$46,E$42:E$46)</f>
        <v>0.53897283865037771</v>
      </c>
      <c r="G46" s="28"/>
      <c r="H46" s="28"/>
      <c r="I46" s="38" t="str">
        <f t="array" aca="1" ref="I46" ca="1">_xll.VoseCopulaMultiTFitObject($C$9:$E$31)</f>
        <v>VoseCopulaMultiT(40,{1,0.813843478968937,0.782580379905084;0.813843478968937,1,0.574544724163116;0.782580379905084,0.574544724163116,1})</v>
      </c>
      <c r="K46" s="32" t="s">
        <v>217</v>
      </c>
    </row>
    <row r="47" spans="2:11" x14ac:dyDescent="0.45">
      <c r="B47" s="39" t="s">
        <v>157</v>
      </c>
      <c r="C47" s="40"/>
      <c r="D47" s="40"/>
      <c r="E47" s="40"/>
      <c r="F47" s="41">
        <f ca="1">SUM(F42:F46)</f>
        <v>1</v>
      </c>
      <c r="G47" s="40"/>
      <c r="H47" s="40"/>
      <c r="I47" s="40"/>
      <c r="K47" s="32" t="s">
        <v>158</v>
      </c>
    </row>
    <row r="48" spans="2:11" ht="8" customHeight="1" x14ac:dyDescent="0.45"/>
    <row r="49" spans="2:11" ht="22.05" customHeight="1" x14ac:dyDescent="0.5">
      <c r="B49" s="7" t="s">
        <v>218</v>
      </c>
      <c r="C49" s="8"/>
      <c r="D49" s="8"/>
      <c r="E49" s="8"/>
      <c r="F49" s="8"/>
      <c r="G49" s="8"/>
      <c r="H49" s="8"/>
      <c r="I49" s="8"/>
      <c r="J49" s="8"/>
      <c r="K49" s="8"/>
    </row>
    <row r="50" spans="2:11" ht="18" customHeight="1" x14ac:dyDescent="0.45">
      <c r="B50" s="13" t="s">
        <v>219</v>
      </c>
    </row>
    <row r="51" spans="2:11" ht="18" customHeight="1" x14ac:dyDescent="0.45">
      <c r="B51" s="23"/>
      <c r="C51" s="24" t="s">
        <v>220</v>
      </c>
      <c r="D51" s="24" t="s">
        <v>221</v>
      </c>
      <c r="E51" s="24" t="s">
        <v>222</v>
      </c>
      <c r="F51" s="5"/>
      <c r="G51" s="5"/>
      <c r="H51" s="5"/>
      <c r="I51" s="23"/>
    </row>
    <row r="52" spans="2:11" x14ac:dyDescent="0.45">
      <c r="B52" s="25" t="s">
        <v>223</v>
      </c>
      <c r="C52" s="44" cm="1">
        <f t="array" aca="1" ref="C52" ca="1">_xll.VoseDiscrete({1;2;3;4;5},F42:F46)</f>
        <v>5</v>
      </c>
      <c r="D52" s="28"/>
      <c r="E52" s="28"/>
      <c r="F52" s="28"/>
      <c r="G52" s="28"/>
      <c r="H52" s="28"/>
      <c r="I52" s="28"/>
      <c r="K52" s="32" t="s">
        <v>224</v>
      </c>
    </row>
    <row r="53" spans="2:11" x14ac:dyDescent="0.45">
      <c r="B53" s="33" t="s">
        <v>225</v>
      </c>
      <c r="C53" s="45">
        <f t="array" aca="1" ref="C53:E53" ca="1">_xll.VoseCopulaSimulate(INDEX(CopObjs,C52))</f>
        <v>0.43861503812302138</v>
      </c>
      <c r="D53" s="45">
        <f ca="1"/>
        <v>0.69025744888549445</v>
      </c>
      <c r="E53" s="45">
        <f ca="1"/>
        <v>0.12684453558886088</v>
      </c>
      <c r="F53" s="28"/>
      <c r="G53" s="28"/>
      <c r="H53" s="28"/>
      <c r="I53" s="28"/>
      <c r="K53" s="32" t="s">
        <v>226</v>
      </c>
    </row>
    <row r="54" spans="2:11" x14ac:dyDescent="0.45">
      <c r="B54" s="25" t="s">
        <v>227</v>
      </c>
      <c r="C54" s="28"/>
      <c r="D54" s="28"/>
      <c r="E54" s="28"/>
      <c r="F54" s="28"/>
      <c r="G54" s="28"/>
      <c r="H54" s="28"/>
      <c r="I54" s="38" t="str">
        <f t="array" aca="1" ref="I54" ca="1">_xll.VoseCopulaBMAObject(CopObjs,CopPriors)</f>
        <v>VoseCopulaBMA('[GU-20 Bayesian model averaging.xlsx]Copula'!I42:I46,'[GU-20 Bayesian model averaging.xlsx]Copula'!C42:C46)</v>
      </c>
      <c r="K54" s="32" t="s">
        <v>228</v>
      </c>
    </row>
    <row r="55" spans="2:11" x14ac:dyDescent="0.45">
      <c r="B55" s="46" t="s">
        <v>229</v>
      </c>
      <c r="C55" s="45">
        <f t="array" aca="1" ref="C55:E55" ca="1">_xll.VoseCopulaSimulate(CopBMA_Obj)</f>
        <v>0.13306098991061338</v>
      </c>
      <c r="D55" s="45">
        <f ca="1"/>
        <v>0.38062422814017244</v>
      </c>
      <c r="E55" s="45">
        <f ca="1"/>
        <v>0.19175549632002575</v>
      </c>
      <c r="F55" s="28"/>
      <c r="G55" s="28"/>
      <c r="H55" s="28"/>
      <c r="I55" s="28"/>
      <c r="K55" s="32" t="s">
        <v>230</v>
      </c>
    </row>
    <row r="56" spans="2:11" x14ac:dyDescent="0.45">
      <c r="B56" s="46" t="s">
        <v>231</v>
      </c>
      <c r="C56" s="45">
        <f t="array" aca="1" ref="C56:E56" ca="1">_xll.VoseCopulaBMA(CopObjs,CopPriors)</f>
        <v>0.97094377309911473</v>
      </c>
      <c r="D56" s="45">
        <f ca="1"/>
        <v>0.80686782246078081</v>
      </c>
      <c r="E56" s="45">
        <f ca="1"/>
        <v>0.95009620949968321</v>
      </c>
      <c r="F56" s="28"/>
      <c r="G56" s="28"/>
      <c r="H56" s="28"/>
      <c r="I56" s="28"/>
      <c r="K56" s="32" t="s">
        <v>232</v>
      </c>
    </row>
    <row r="57" spans="2:11" ht="8" customHeight="1" x14ac:dyDescent="0.45"/>
    <row r="58" spans="2:11" ht="22.05" customHeight="1" x14ac:dyDescent="0.5">
      <c r="B58" s="7" t="s">
        <v>233</v>
      </c>
      <c r="C58" s="8"/>
      <c r="D58" s="8"/>
      <c r="E58" s="8"/>
      <c r="F58" s="8"/>
      <c r="G58" s="8"/>
      <c r="H58" s="8"/>
      <c r="I58" s="8"/>
      <c r="J58" s="8"/>
      <c r="K58" s="8"/>
    </row>
    <row r="59" spans="2:11" ht="18" customHeight="1" x14ac:dyDescent="0.45">
      <c r="B59" s="13" t="s">
        <v>234</v>
      </c>
    </row>
    <row r="60" spans="2:11" ht="18" customHeight="1" x14ac:dyDescent="0.45">
      <c r="B60" s="23" t="s">
        <v>45</v>
      </c>
      <c r="C60" s="24" t="s">
        <v>220</v>
      </c>
      <c r="D60" s="24" t="s">
        <v>221</v>
      </c>
      <c r="E60" s="24" t="s">
        <v>222</v>
      </c>
      <c r="F60" s="5"/>
      <c r="G60" s="5"/>
      <c r="H60" s="5"/>
      <c r="I60" s="5"/>
    </row>
    <row r="61" spans="2:11" x14ac:dyDescent="0.45">
      <c r="B61" s="25" t="s">
        <v>212</v>
      </c>
      <c r="C61" s="45">
        <f t="array" aca="1" ref="C61:E61" ca="1">_xll.VoseCopulaSimulate(I42)</f>
        <v>0.5016449671676273</v>
      </c>
      <c r="D61" s="45">
        <f ca="1"/>
        <v>0.57170299161484539</v>
      </c>
      <c r="E61" s="45">
        <f ca="1"/>
        <v>0.22447099691222552</v>
      </c>
      <c r="F61" s="28"/>
      <c r="G61" s="28"/>
      <c r="H61" s="28"/>
      <c r="I61" s="28"/>
      <c r="K61" s="32" t="s">
        <v>235</v>
      </c>
    </row>
    <row r="62" spans="2:11" x14ac:dyDescent="0.45">
      <c r="B62" s="25" t="s">
        <v>213</v>
      </c>
      <c r="C62" s="45">
        <f t="array" aca="1" ref="C62:E62" ca="1">_xll.VoseCopulaSimulate(I43)</f>
        <v>0.62659893662902622</v>
      </c>
      <c r="D62" s="45">
        <f ca="1"/>
        <v>0.73597249157952926</v>
      </c>
      <c r="E62" s="45">
        <f ca="1"/>
        <v>0.58447460927613493</v>
      </c>
      <c r="F62" s="28"/>
      <c r="G62" s="28"/>
      <c r="H62" s="28"/>
      <c r="I62" s="28"/>
    </row>
    <row r="63" spans="2:11" x14ac:dyDescent="0.45">
      <c r="B63" s="25" t="s">
        <v>215</v>
      </c>
      <c r="C63" s="45">
        <f t="array" aca="1" ref="C63:E63" ca="1">_xll.VoseCopulaSimulate(I44)</f>
        <v>0.70115205494763821</v>
      </c>
      <c r="D63" s="45">
        <f ca="1"/>
        <v>0.29906580628899537</v>
      </c>
      <c r="E63" s="45">
        <f ca="1"/>
        <v>0.71877154278765754</v>
      </c>
      <c r="F63" s="28"/>
      <c r="G63" s="28"/>
      <c r="H63" s="28"/>
      <c r="I63" s="28"/>
    </row>
    <row r="64" spans="2:11" x14ac:dyDescent="0.45">
      <c r="B64" s="25" t="s">
        <v>153</v>
      </c>
      <c r="C64" s="45">
        <f t="array" aca="1" ref="C64:E64" ca="1">_xll.VoseCopulaSimulate(I45)</f>
        <v>0.58061009709545275</v>
      </c>
      <c r="D64" s="45">
        <f ca="1"/>
        <v>0.56791597496113622</v>
      </c>
      <c r="E64" s="45">
        <f ca="1"/>
        <v>0.56302901972425057</v>
      </c>
      <c r="F64" s="28"/>
      <c r="G64" s="28"/>
      <c r="H64" s="28"/>
      <c r="I64" s="28"/>
    </row>
    <row r="65" spans="2:11" x14ac:dyDescent="0.45">
      <c r="B65" s="25" t="s">
        <v>216</v>
      </c>
      <c r="C65" s="45">
        <f t="array" aca="1" ref="C65:E65" ca="1">_xll.VoseCopulaSimulate(I46)</f>
        <v>2.3985939692563574E-2</v>
      </c>
      <c r="D65" s="45">
        <f ca="1"/>
        <v>1.5013953798894475E-2</v>
      </c>
      <c r="E65" s="45">
        <f ca="1"/>
        <v>4.9029975083349497E-2</v>
      </c>
      <c r="F65" s="28"/>
      <c r="G65" s="28"/>
      <c r="H65" s="28"/>
      <c r="I65" s="28"/>
    </row>
    <row r="66" spans="2:11" ht="8" customHeight="1" x14ac:dyDescent="0.45"/>
    <row r="67" spans="2:11" ht="22.05" customHeight="1" x14ac:dyDescent="0.5">
      <c r="B67" s="7" t="s">
        <v>236</v>
      </c>
      <c r="C67" s="8"/>
      <c r="D67" s="8"/>
      <c r="E67" s="8"/>
      <c r="F67" s="8"/>
      <c r="G67" s="8"/>
      <c r="H67" s="8"/>
      <c r="I67" s="8"/>
      <c r="J67" s="8"/>
      <c r="K67" s="8"/>
    </row>
    <row r="68" spans="2:11" ht="18" customHeight="1" x14ac:dyDescent="0.45">
      <c r="B68" s="13" t="s">
        <v>187</v>
      </c>
    </row>
    <row r="69" spans="2:11" ht="18" customHeight="1" x14ac:dyDescent="0.45">
      <c r="B69" s="47" t="s">
        <v>188</v>
      </c>
      <c r="C69" s="5"/>
      <c r="D69" s="47" t="s">
        <v>110</v>
      </c>
      <c r="E69" s="5"/>
      <c r="F69" s="48" t="s">
        <v>143</v>
      </c>
      <c r="G69" s="5"/>
      <c r="H69" s="5"/>
      <c r="I69" s="47" t="s">
        <v>189</v>
      </c>
      <c r="J69" s="5"/>
      <c r="K69" s="5"/>
    </row>
    <row r="70" spans="2:11" x14ac:dyDescent="0.45">
      <c r="B70" s="25" t="s">
        <v>237</v>
      </c>
      <c r="C70" s="28"/>
      <c r="D70" s="26" t="s">
        <v>238</v>
      </c>
      <c r="E70" s="28"/>
      <c r="F70" s="49" cm="1">
        <f t="array" aca="1" ref="F70" ca="1">_xll.VoseOutput("BMA copula U1","probability")+C53</f>
        <v>0.43861503812302138</v>
      </c>
      <c r="G70" s="28"/>
      <c r="H70" s="28"/>
      <c r="I70" s="26"/>
      <c r="J70" s="28"/>
      <c r="K70" s="28"/>
    </row>
    <row r="71" spans="2:11" x14ac:dyDescent="0.45">
      <c r="B71" s="25" t="s">
        <v>239</v>
      </c>
      <c r="C71" s="28"/>
      <c r="D71" s="26" t="s">
        <v>238</v>
      </c>
      <c r="E71" s="28"/>
      <c r="F71" s="49" cm="1">
        <f t="array" aca="1" ref="F71" ca="1">_xll.VoseOutput("BMA copula U2","probability")+D53</f>
        <v>0.69025744888549445</v>
      </c>
      <c r="G71" s="28"/>
      <c r="H71" s="28"/>
      <c r="I71" s="26"/>
      <c r="J71" s="28"/>
      <c r="K71" s="28"/>
    </row>
    <row r="72" spans="2:11" x14ac:dyDescent="0.45">
      <c r="B72" s="25" t="s">
        <v>240</v>
      </c>
      <c r="C72" s="28"/>
      <c r="D72" s="26" t="s">
        <v>238</v>
      </c>
      <c r="E72" s="28"/>
      <c r="F72" s="49" cm="1">
        <f t="array" aca="1" ref="F72" ca="1">_xll.VoseOutput("BMA copula U3","probability")+E53</f>
        <v>0.12684453558886088</v>
      </c>
      <c r="G72" s="28"/>
      <c r="H72" s="28"/>
      <c r="I72" s="26"/>
      <c r="J72" s="28"/>
      <c r="K72" s="28"/>
    </row>
    <row r="73" spans="2:11" x14ac:dyDescent="0.45">
      <c r="B73" s="25" t="s">
        <v>241</v>
      </c>
      <c r="C73" s="28"/>
      <c r="D73" s="26" t="s">
        <v>238</v>
      </c>
      <c r="E73" s="28"/>
      <c r="F73" s="49" cm="1">
        <f t="array" aca="1" ref="F73" ca="1">_xll.VoseOutput("Frank copula U1","probability")+C61</f>
        <v>0.5016449671676273</v>
      </c>
      <c r="G73" s="28"/>
      <c r="H73" s="28"/>
      <c r="I73" s="26"/>
      <c r="J73" s="28"/>
      <c r="K73" s="28"/>
    </row>
    <row r="74" spans="2:11" x14ac:dyDescent="0.45">
      <c r="B74" s="25" t="s">
        <v>242</v>
      </c>
      <c r="C74" s="28"/>
      <c r="D74" s="26" t="s">
        <v>238</v>
      </c>
      <c r="E74" s="28"/>
      <c r="F74" s="49" cm="1">
        <f t="array" aca="1" ref="F74" ca="1">_xll.VoseOutput("Frank copula U2","probability")+D61</f>
        <v>0.57170299161484539</v>
      </c>
      <c r="G74" s="28"/>
      <c r="H74" s="28"/>
      <c r="I74" s="26"/>
      <c r="J74" s="28"/>
      <c r="K74" s="28"/>
    </row>
    <row r="75" spans="2:11" x14ac:dyDescent="0.45">
      <c r="B75" s="25" t="s">
        <v>243</v>
      </c>
      <c r="C75" s="28"/>
      <c r="D75" s="26" t="s">
        <v>238</v>
      </c>
      <c r="E75" s="28"/>
      <c r="F75" s="49" cm="1">
        <f t="array" aca="1" ref="F75" ca="1">_xll.VoseOutput("Frank copula U3","probability")+E61</f>
        <v>0.22447099691222552</v>
      </c>
      <c r="G75" s="28"/>
      <c r="H75" s="28"/>
      <c r="I75" s="26"/>
      <c r="J75" s="28"/>
      <c r="K75" s="28"/>
    </row>
    <row r="76" spans="2:11" x14ac:dyDescent="0.45">
      <c r="B76" s="25" t="s">
        <v>244</v>
      </c>
      <c r="C76" s="28"/>
      <c r="D76" s="26" t="s">
        <v>238</v>
      </c>
      <c r="E76" s="28"/>
      <c r="F76" s="49" cm="1">
        <f t="array" aca="1" ref="F76" ca="1">_xll.VoseOutput("Gumbel copula U1","probability")+C62</f>
        <v>0.62659893662902622</v>
      </c>
      <c r="G76" s="28"/>
      <c r="H76" s="28"/>
      <c r="I76" s="26"/>
      <c r="J76" s="28"/>
      <c r="K76" s="28"/>
    </row>
    <row r="77" spans="2:11" x14ac:dyDescent="0.45">
      <c r="B77" s="25" t="s">
        <v>245</v>
      </c>
      <c r="C77" s="28"/>
      <c r="D77" s="26" t="s">
        <v>238</v>
      </c>
      <c r="E77" s="28"/>
      <c r="F77" s="49" cm="1">
        <f t="array" aca="1" ref="F77" ca="1">_xll.VoseOutput("Gumbel copula U2","probability")+D62</f>
        <v>0.73597249157952926</v>
      </c>
      <c r="G77" s="28"/>
      <c r="H77" s="28"/>
      <c r="I77" s="26"/>
      <c r="J77" s="28"/>
      <c r="K77" s="28"/>
    </row>
    <row r="78" spans="2:11" x14ac:dyDescent="0.45">
      <c r="B78" s="25" t="s">
        <v>246</v>
      </c>
      <c r="C78" s="28"/>
      <c r="D78" s="26" t="s">
        <v>238</v>
      </c>
      <c r="E78" s="28"/>
      <c r="F78" s="49" cm="1">
        <f t="array" aca="1" ref="F78" ca="1">_xll.VoseOutput("Gumbel copula U3","probability")+E62</f>
        <v>0.58447460927613493</v>
      </c>
      <c r="G78" s="28"/>
      <c r="H78" s="28"/>
      <c r="I78" s="26"/>
      <c r="J78" s="28"/>
      <c r="K78" s="28"/>
    </row>
    <row r="79" spans="2:11" x14ac:dyDescent="0.45">
      <c r="B79" s="25" t="s">
        <v>247</v>
      </c>
      <c r="C79" s="28"/>
      <c r="D79" s="26" t="s">
        <v>238</v>
      </c>
      <c r="E79" s="28"/>
      <c r="F79" s="49" cm="1">
        <f t="array" aca="1" ref="F79" ca="1">_xll.VoseOutput("Clayton copula U1","probability")+C63</f>
        <v>0.70115205494763821</v>
      </c>
      <c r="G79" s="28"/>
      <c r="H79" s="28"/>
      <c r="I79" s="26"/>
      <c r="J79" s="28"/>
      <c r="K79" s="28"/>
    </row>
    <row r="80" spans="2:11" x14ac:dyDescent="0.45">
      <c r="B80" s="25" t="s">
        <v>248</v>
      </c>
      <c r="C80" s="28"/>
      <c r="D80" s="26" t="s">
        <v>238</v>
      </c>
      <c r="E80" s="28"/>
      <c r="F80" s="49" cm="1">
        <f t="array" aca="1" ref="F80" ca="1">_xll.VoseOutput("Clayton copula U2","probability")+D63</f>
        <v>0.29906580628899537</v>
      </c>
      <c r="G80" s="28"/>
      <c r="H80" s="28"/>
      <c r="I80" s="26"/>
      <c r="J80" s="28"/>
      <c r="K80" s="28"/>
    </row>
    <row r="81" spans="2:11" x14ac:dyDescent="0.45">
      <c r="B81" s="25" t="s">
        <v>249</v>
      </c>
      <c r="C81" s="28"/>
      <c r="D81" s="26" t="s">
        <v>238</v>
      </c>
      <c r="E81" s="28"/>
      <c r="F81" s="49" cm="1">
        <f t="array" aca="1" ref="F81" ca="1">_xll.VoseOutput("Clayton copula U3","probability")+E63</f>
        <v>0.71877154278765754</v>
      </c>
      <c r="G81" s="28"/>
      <c r="H81" s="28"/>
      <c r="I81" s="26"/>
      <c r="J81" s="28"/>
      <c r="K81" s="28"/>
    </row>
    <row r="82" spans="2:11" x14ac:dyDescent="0.45">
      <c r="B82" s="25" t="s">
        <v>250</v>
      </c>
      <c r="C82" s="28"/>
      <c r="D82" s="26" t="s">
        <v>238</v>
      </c>
      <c r="E82" s="28"/>
      <c r="F82" s="49" cm="1">
        <f t="array" aca="1" ref="F82" ca="1">_xll.VoseOutput("Normal copula U1","probability")+C64</f>
        <v>0.58061009709545275</v>
      </c>
      <c r="G82" s="28"/>
      <c r="H82" s="28"/>
      <c r="I82" s="26"/>
      <c r="J82" s="28"/>
      <c r="K82" s="28"/>
    </row>
    <row r="83" spans="2:11" x14ac:dyDescent="0.45">
      <c r="B83" s="25" t="s">
        <v>251</v>
      </c>
      <c r="C83" s="28"/>
      <c r="D83" s="26" t="s">
        <v>238</v>
      </c>
      <c r="E83" s="28"/>
      <c r="F83" s="49" cm="1">
        <f t="array" aca="1" ref="F83" ca="1">_xll.VoseOutput("Normal copula U2","probability")+D64</f>
        <v>0.56791597496113622</v>
      </c>
      <c r="G83" s="28"/>
      <c r="H83" s="28"/>
      <c r="I83" s="26"/>
      <c r="J83" s="28"/>
      <c r="K83" s="28"/>
    </row>
    <row r="84" spans="2:11" x14ac:dyDescent="0.45">
      <c r="B84" s="25" t="s">
        <v>252</v>
      </c>
      <c r="C84" s="28"/>
      <c r="D84" s="26" t="s">
        <v>238</v>
      </c>
      <c r="E84" s="28"/>
      <c r="F84" s="49" cm="1">
        <f t="array" aca="1" ref="F84" ca="1">_xll.VoseOutput("Normal copula U3","probability")+E64</f>
        <v>0.56302901972425057</v>
      </c>
      <c r="G84" s="28"/>
      <c r="H84" s="28"/>
      <c r="I84" s="26"/>
      <c r="J84" s="28"/>
      <c r="K84" s="28"/>
    </row>
    <row r="85" spans="2:11" x14ac:dyDescent="0.45">
      <c r="B85" s="25" t="s">
        <v>253</v>
      </c>
      <c r="C85" s="28"/>
      <c r="D85" s="26" t="s">
        <v>238</v>
      </c>
      <c r="E85" s="28"/>
      <c r="F85" s="49" cm="1">
        <f t="array" aca="1" ref="F85" ca="1">_xll.VoseOutput("Student t copula U1","probability")+C65</f>
        <v>2.3985939692563574E-2</v>
      </c>
      <c r="G85" s="28"/>
      <c r="H85" s="28"/>
      <c r="I85" s="26"/>
      <c r="J85" s="28"/>
      <c r="K85" s="28"/>
    </row>
    <row r="86" spans="2:11" x14ac:dyDescent="0.45">
      <c r="B86" s="25" t="s">
        <v>254</v>
      </c>
      <c r="C86" s="28"/>
      <c r="D86" s="26" t="s">
        <v>238</v>
      </c>
      <c r="E86" s="28"/>
      <c r="F86" s="49" cm="1">
        <f t="array" aca="1" ref="F86" ca="1">_xll.VoseOutput("Student t copula U2","probability")+D65</f>
        <v>1.5013953798894475E-2</v>
      </c>
      <c r="G86" s="28"/>
      <c r="H86" s="28"/>
      <c r="I86" s="26"/>
      <c r="J86" s="28"/>
      <c r="K86" s="28"/>
    </row>
    <row r="87" spans="2:11" x14ac:dyDescent="0.45">
      <c r="B87" s="25" t="s">
        <v>255</v>
      </c>
      <c r="C87" s="28"/>
      <c r="D87" s="26" t="s">
        <v>238</v>
      </c>
      <c r="E87" s="28"/>
      <c r="F87" s="49" cm="1">
        <f t="array" aca="1" ref="F87" ca="1">_xll.VoseOutput("Student t copula U3","probability")+E65</f>
        <v>4.9029975083349497E-2</v>
      </c>
      <c r="G87" s="28"/>
      <c r="H87" s="28"/>
      <c r="I87" s="26"/>
      <c r="J87" s="28"/>
      <c r="K87" s="28"/>
    </row>
    <row r="88" spans="2:11" ht="8" customHeight="1" x14ac:dyDescent="0.45"/>
  </sheetData>
  <hyperlinks>
    <hyperlink ref="B4" location="'Distribution'!A1" display="◂  Distribution" xr:uid="{00000000-0004-0000-0300-000000000000}"/>
    <hyperlink ref="K4" location="'Time series'!A1" display="Next:  Time series  ▸" xr:uid="{00000000-0004-0000-0300-000001000000}"/>
  </hyperlinks>
  <printOptions horizontalCentered="1"/>
  <pageMargins left="0.4" right="0.4" top="0.5" bottom="0.6" header="0.25" footer="0.25"/>
  <pageSetup paperSize="9" scale="60"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8AA0BA"/>
    <pageSetUpPr fitToPage="1"/>
  </sheetPr>
  <dimension ref="A1:K100"/>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2" customWidth="1"/>
    <col min="3" max="3" width="11" customWidth="1"/>
    <col min="4" max="5" width="12" customWidth="1"/>
    <col min="6" max="6" width="11" customWidth="1"/>
    <col min="7" max="8" width="12" customWidth="1"/>
    <col min="9" max="9" width="44" customWidth="1"/>
    <col min="10" max="10" width="2" customWidth="1"/>
    <col min="11" max="11" width="8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256</v>
      </c>
      <c r="C3" s="1"/>
      <c r="D3" s="1"/>
      <c r="E3" s="1"/>
      <c r="F3" s="1"/>
      <c r="G3" s="1"/>
      <c r="H3" s="1"/>
      <c r="I3" s="1"/>
      <c r="J3" s="1"/>
      <c r="K3" s="1"/>
    </row>
    <row r="4" spans="1:11" ht="20" customHeight="1" x14ac:dyDescent="0.45">
      <c r="A4" s="5"/>
      <c r="B4" s="22" t="s">
        <v>257</v>
      </c>
      <c r="C4" s="5"/>
      <c r="D4" s="5"/>
      <c r="E4" s="5"/>
      <c r="F4" s="5"/>
      <c r="G4" s="5"/>
      <c r="H4" s="5"/>
      <c r="I4" s="5"/>
      <c r="J4" s="5"/>
      <c r="K4" s="6" t="s">
        <v>258</v>
      </c>
    </row>
    <row r="5" spans="1:11" ht="8" customHeight="1" x14ac:dyDescent="0.45"/>
    <row r="6" spans="1:11" ht="22.05" customHeight="1" x14ac:dyDescent="0.5">
      <c r="B6" s="7" t="s">
        <v>140</v>
      </c>
      <c r="C6" s="8"/>
      <c r="D6" s="8"/>
    </row>
    <row r="7" spans="1:11" ht="18" customHeight="1" x14ac:dyDescent="0.45">
      <c r="B7" s="13" t="s">
        <v>259</v>
      </c>
    </row>
    <row r="8" spans="1:11" ht="18" customHeight="1" x14ac:dyDescent="0.45">
      <c r="B8" s="23" t="s">
        <v>260</v>
      </c>
      <c r="C8" s="24" t="s">
        <v>143</v>
      </c>
      <c r="D8" s="24" t="s">
        <v>261</v>
      </c>
    </row>
    <row r="9" spans="1:11" x14ac:dyDescent="0.45">
      <c r="B9" s="25">
        <v>1</v>
      </c>
      <c r="C9" s="30">
        <v>111.961</v>
      </c>
      <c r="D9" s="28"/>
      <c r="F9" s="32" t="s">
        <v>262</v>
      </c>
    </row>
    <row r="10" spans="1:11" x14ac:dyDescent="0.45">
      <c r="B10" s="25">
        <v>2</v>
      </c>
      <c r="C10" s="30">
        <v>96.954999999999998</v>
      </c>
      <c r="D10" s="51">
        <f t="shared" ref="D10:D52" si="0">LN(C10/C9)</f>
        <v>-0.14390364303412687</v>
      </c>
      <c r="F10" s="32" t="s">
        <v>263</v>
      </c>
    </row>
    <row r="11" spans="1:11" x14ac:dyDescent="0.45">
      <c r="B11" s="25">
        <v>3</v>
      </c>
      <c r="C11" s="30">
        <v>105.794</v>
      </c>
      <c r="D11" s="51">
        <f t="shared" si="0"/>
        <v>8.7246853706453631E-2</v>
      </c>
    </row>
    <row r="12" spans="1:11" x14ac:dyDescent="0.45">
      <c r="B12" s="25">
        <v>4</v>
      </c>
      <c r="C12" s="30">
        <v>103.739</v>
      </c>
      <c r="D12" s="51">
        <f t="shared" si="0"/>
        <v>-1.9615677647564528E-2</v>
      </c>
    </row>
    <row r="13" spans="1:11" x14ac:dyDescent="0.45">
      <c r="B13" s="25">
        <v>5</v>
      </c>
      <c r="C13" s="30">
        <v>92.17</v>
      </c>
      <c r="D13" s="51">
        <f t="shared" si="0"/>
        <v>-0.11824343138789746</v>
      </c>
    </row>
    <row r="14" spans="1:11" x14ac:dyDescent="0.45">
      <c r="B14" s="25">
        <v>6</v>
      </c>
      <c r="C14" s="30">
        <v>110.83199999999999</v>
      </c>
      <c r="D14" s="51">
        <f t="shared" si="0"/>
        <v>0.18438084327467627</v>
      </c>
    </row>
    <row r="15" spans="1:11" x14ac:dyDescent="0.45">
      <c r="B15" s="25">
        <v>7</v>
      </c>
      <c r="C15" s="30">
        <v>106.333</v>
      </c>
      <c r="D15" s="51">
        <f t="shared" si="0"/>
        <v>-4.1439861964666001E-2</v>
      </c>
    </row>
    <row r="16" spans="1:11" x14ac:dyDescent="0.45">
      <c r="B16" s="25">
        <v>8</v>
      </c>
      <c r="C16" s="30">
        <v>85.287999999999997</v>
      </c>
      <c r="D16" s="51">
        <f t="shared" si="0"/>
        <v>-0.22054191466740916</v>
      </c>
    </row>
    <row r="17" spans="2:4" x14ac:dyDescent="0.45">
      <c r="B17" s="25">
        <v>9</v>
      </c>
      <c r="C17" s="30">
        <v>97.960999999999999</v>
      </c>
      <c r="D17" s="51">
        <f t="shared" si="0"/>
        <v>0.13853567563195388</v>
      </c>
    </row>
    <row r="18" spans="2:4" x14ac:dyDescent="0.45">
      <c r="B18" s="25">
        <v>10</v>
      </c>
      <c r="C18" s="30">
        <v>114.58</v>
      </c>
      <c r="D18" s="51">
        <f t="shared" si="0"/>
        <v>0.15670382870030405</v>
      </c>
    </row>
    <row r="19" spans="2:4" x14ac:dyDescent="0.45">
      <c r="B19" s="25">
        <v>11</v>
      </c>
      <c r="C19" s="30">
        <v>119.925</v>
      </c>
      <c r="D19" s="51">
        <f t="shared" si="0"/>
        <v>4.5593278407695899E-2</v>
      </c>
    </row>
    <row r="20" spans="2:4" x14ac:dyDescent="0.45">
      <c r="B20" s="25">
        <v>12</v>
      </c>
      <c r="C20" s="30">
        <v>115.372</v>
      </c>
      <c r="D20" s="51">
        <f t="shared" si="0"/>
        <v>-3.8704857070020832E-2</v>
      </c>
    </row>
    <row r="21" spans="2:4" x14ac:dyDescent="0.45">
      <c r="B21" s="25">
        <v>13</v>
      </c>
      <c r="C21" s="30">
        <v>124.497</v>
      </c>
      <c r="D21" s="51">
        <f t="shared" si="0"/>
        <v>7.6119928910790807E-2</v>
      </c>
    </row>
    <row r="22" spans="2:4" x14ac:dyDescent="0.45">
      <c r="B22" s="25">
        <v>14</v>
      </c>
      <c r="C22" s="30">
        <v>110.779</v>
      </c>
      <c r="D22" s="51">
        <f t="shared" si="0"/>
        <v>-0.11674439356484492</v>
      </c>
    </row>
    <row r="23" spans="2:4" x14ac:dyDescent="0.45">
      <c r="B23" s="25">
        <v>15</v>
      </c>
      <c r="C23" s="30">
        <v>114.154</v>
      </c>
      <c r="D23" s="51">
        <f t="shared" si="0"/>
        <v>3.0011188309723075E-2</v>
      </c>
    </row>
    <row r="24" spans="2:4" x14ac:dyDescent="0.45">
      <c r="B24" s="25">
        <v>16</v>
      </c>
      <c r="C24" s="30">
        <v>120.58199999999999</v>
      </c>
      <c r="D24" s="51">
        <f t="shared" si="0"/>
        <v>5.4781605448519462E-2</v>
      </c>
    </row>
    <row r="25" spans="2:4" x14ac:dyDescent="0.45">
      <c r="B25" s="25">
        <v>17</v>
      </c>
      <c r="C25" s="30">
        <v>96.052999999999997</v>
      </c>
      <c r="D25" s="51">
        <f t="shared" si="0"/>
        <v>-0.22742989696306132</v>
      </c>
    </row>
    <row r="26" spans="2:4" x14ac:dyDescent="0.45">
      <c r="B26" s="25">
        <v>18</v>
      </c>
      <c r="C26" s="30">
        <v>81.013000000000005</v>
      </c>
      <c r="D26" s="51">
        <f t="shared" si="0"/>
        <v>-0.17029048683739087</v>
      </c>
    </row>
    <row r="27" spans="2:4" x14ac:dyDescent="0.45">
      <c r="B27" s="25">
        <v>19</v>
      </c>
      <c r="C27" s="30">
        <v>69.094999999999999</v>
      </c>
      <c r="D27" s="51">
        <f t="shared" si="0"/>
        <v>-0.15912726636639499</v>
      </c>
    </row>
    <row r="28" spans="2:4" x14ac:dyDescent="0.45">
      <c r="B28" s="25">
        <v>20</v>
      </c>
      <c r="C28" s="30">
        <v>69.248000000000005</v>
      </c>
      <c r="D28" s="51">
        <f t="shared" si="0"/>
        <v>2.2118945285137578E-3</v>
      </c>
    </row>
    <row r="29" spans="2:4" x14ac:dyDescent="0.45">
      <c r="B29" s="25">
        <v>21</v>
      </c>
      <c r="C29" s="30">
        <v>81.926000000000002</v>
      </c>
      <c r="D29" s="51">
        <f t="shared" si="0"/>
        <v>0.16812213701265794</v>
      </c>
    </row>
    <row r="30" spans="2:4" x14ac:dyDescent="0.45">
      <c r="B30" s="25">
        <v>22</v>
      </c>
      <c r="C30" s="30">
        <v>71.025000000000006</v>
      </c>
      <c r="D30" s="51">
        <f t="shared" si="0"/>
        <v>-0.14278447305636791</v>
      </c>
    </row>
    <row r="31" spans="2:4" x14ac:dyDescent="0.45">
      <c r="B31" s="25">
        <v>23</v>
      </c>
      <c r="C31" s="30">
        <v>74.247</v>
      </c>
      <c r="D31" s="51">
        <f t="shared" si="0"/>
        <v>4.4365445085887953E-2</v>
      </c>
    </row>
    <row r="32" spans="2:4" x14ac:dyDescent="0.45">
      <c r="B32" s="25">
        <v>24</v>
      </c>
      <c r="C32" s="30">
        <v>77.632000000000005</v>
      </c>
      <c r="D32" s="51">
        <f t="shared" si="0"/>
        <v>4.4582340495445377E-2</v>
      </c>
    </row>
    <row r="33" spans="2:4" x14ac:dyDescent="0.45">
      <c r="B33" s="25">
        <v>25</v>
      </c>
      <c r="C33" s="30">
        <v>83.363</v>
      </c>
      <c r="D33" s="51">
        <f t="shared" si="0"/>
        <v>7.1224852519587045E-2</v>
      </c>
    </row>
    <row r="34" spans="2:4" x14ac:dyDescent="0.45">
      <c r="B34" s="25">
        <v>26</v>
      </c>
      <c r="C34" s="30">
        <v>89.974000000000004</v>
      </c>
      <c r="D34" s="51">
        <f t="shared" si="0"/>
        <v>7.631617386377075E-2</v>
      </c>
    </row>
    <row r="35" spans="2:4" x14ac:dyDescent="0.45">
      <c r="B35" s="25">
        <v>27</v>
      </c>
      <c r="C35" s="30">
        <v>95.932000000000002</v>
      </c>
      <c r="D35" s="51">
        <f t="shared" si="0"/>
        <v>6.4118867442976166E-2</v>
      </c>
    </row>
    <row r="36" spans="2:4" x14ac:dyDescent="0.45">
      <c r="B36" s="25">
        <v>28</v>
      </c>
      <c r="C36" s="30">
        <v>79.182000000000002</v>
      </c>
      <c r="D36" s="51">
        <f t="shared" si="0"/>
        <v>-0.19189060688517154</v>
      </c>
    </row>
    <row r="37" spans="2:4" x14ac:dyDescent="0.45">
      <c r="B37" s="25">
        <v>29</v>
      </c>
      <c r="C37" s="30">
        <v>78.997</v>
      </c>
      <c r="D37" s="51">
        <f t="shared" si="0"/>
        <v>-2.3391232003268092E-3</v>
      </c>
    </row>
    <row r="38" spans="2:4" x14ac:dyDescent="0.45">
      <c r="B38" s="25">
        <v>30</v>
      </c>
      <c r="C38" s="30">
        <v>78.753</v>
      </c>
      <c r="D38" s="51">
        <f t="shared" si="0"/>
        <v>-3.0935048441881477E-3</v>
      </c>
    </row>
    <row r="39" spans="2:4" x14ac:dyDescent="0.45">
      <c r="B39" s="25">
        <v>31</v>
      </c>
      <c r="C39" s="30">
        <v>97.134</v>
      </c>
      <c r="D39" s="51">
        <f t="shared" si="0"/>
        <v>0.20977509626919133</v>
      </c>
    </row>
    <row r="40" spans="2:4" x14ac:dyDescent="0.45">
      <c r="B40" s="25">
        <v>32</v>
      </c>
      <c r="C40" s="30">
        <v>87.632999999999996</v>
      </c>
      <c r="D40" s="51">
        <f t="shared" si="0"/>
        <v>-0.10293382915458527</v>
      </c>
    </row>
    <row r="41" spans="2:4" x14ac:dyDescent="0.45">
      <c r="B41" s="25">
        <v>33</v>
      </c>
      <c r="C41" s="30">
        <v>92.465000000000003</v>
      </c>
      <c r="D41" s="51">
        <f t="shared" si="0"/>
        <v>5.3672555204001403E-2</v>
      </c>
    </row>
    <row r="42" spans="2:4" x14ac:dyDescent="0.45">
      <c r="B42" s="25">
        <v>34</v>
      </c>
      <c r="C42" s="30">
        <v>90.813999999999993</v>
      </c>
      <c r="D42" s="51">
        <f t="shared" si="0"/>
        <v>-1.8016735792854795E-2</v>
      </c>
    </row>
    <row r="43" spans="2:4" x14ac:dyDescent="0.45">
      <c r="B43" s="25">
        <v>35</v>
      </c>
      <c r="C43" s="30">
        <v>87.108000000000004</v>
      </c>
      <c r="D43" s="51">
        <f t="shared" si="0"/>
        <v>-4.1664730653281211E-2</v>
      </c>
    </row>
    <row r="44" spans="2:4" x14ac:dyDescent="0.45">
      <c r="B44" s="25">
        <v>36</v>
      </c>
      <c r="C44" s="30">
        <v>85.95</v>
      </c>
      <c r="D44" s="51">
        <f t="shared" si="0"/>
        <v>-1.3382996261845678E-2</v>
      </c>
    </row>
    <row r="45" spans="2:4" x14ac:dyDescent="0.45">
      <c r="B45" s="25">
        <v>37</v>
      </c>
      <c r="C45" s="30">
        <v>101.71899999999999</v>
      </c>
      <c r="D45" s="51">
        <f t="shared" si="0"/>
        <v>0.16844837776836083</v>
      </c>
    </row>
    <row r="46" spans="2:4" x14ac:dyDescent="0.45">
      <c r="B46" s="25">
        <v>38</v>
      </c>
      <c r="C46" s="30">
        <v>92.751999999999995</v>
      </c>
      <c r="D46" s="51">
        <f t="shared" si="0"/>
        <v>-9.2284844999842186E-2</v>
      </c>
    </row>
    <row r="47" spans="2:4" x14ac:dyDescent="0.45">
      <c r="B47" s="25">
        <v>39</v>
      </c>
      <c r="C47" s="30">
        <v>81.046999999999997</v>
      </c>
      <c r="D47" s="51">
        <f t="shared" si="0"/>
        <v>-0.13490003128950631</v>
      </c>
    </row>
    <row r="48" spans="2:4" x14ac:dyDescent="0.45">
      <c r="B48" s="25">
        <v>40</v>
      </c>
      <c r="C48" s="30">
        <v>79.701999999999998</v>
      </c>
      <c r="D48" s="51">
        <f t="shared" si="0"/>
        <v>-1.6734553723667247E-2</v>
      </c>
    </row>
    <row r="49" spans="2:11" x14ac:dyDescent="0.45">
      <c r="B49" s="25">
        <v>41</v>
      </c>
      <c r="C49" s="30">
        <v>95.347999999999999</v>
      </c>
      <c r="D49" s="51">
        <f t="shared" si="0"/>
        <v>0.17923867688827969</v>
      </c>
    </row>
    <row r="50" spans="2:11" x14ac:dyDescent="0.45">
      <c r="B50" s="25">
        <v>42</v>
      </c>
      <c r="C50" s="30">
        <v>104.349</v>
      </c>
      <c r="D50" s="51">
        <f t="shared" si="0"/>
        <v>9.0207693871123359E-2</v>
      </c>
    </row>
    <row r="51" spans="2:11" x14ac:dyDescent="0.45">
      <c r="B51" s="25">
        <v>43</v>
      </c>
      <c r="C51" s="30">
        <v>104.352</v>
      </c>
      <c r="D51" s="51">
        <f t="shared" si="0"/>
        <v>2.8749263302044981E-5</v>
      </c>
    </row>
    <row r="52" spans="2:11" x14ac:dyDescent="0.45">
      <c r="B52" s="25">
        <v>44</v>
      </c>
      <c r="C52" s="30">
        <v>105.251</v>
      </c>
      <c r="D52" s="51">
        <f t="shared" si="0"/>
        <v>8.5781740980946028E-3</v>
      </c>
    </row>
    <row r="53" spans="2:11" ht="8" customHeight="1" x14ac:dyDescent="0.45"/>
    <row r="54" spans="2:11" ht="22.05" customHeight="1" x14ac:dyDescent="0.5">
      <c r="B54" s="7" t="s">
        <v>145</v>
      </c>
      <c r="C54" s="8"/>
      <c r="D54" s="8"/>
      <c r="E54" s="8"/>
      <c r="F54" s="8"/>
      <c r="G54" s="8"/>
      <c r="H54" s="8"/>
      <c r="I54" s="8"/>
      <c r="J54" s="8"/>
      <c r="K54" s="8"/>
    </row>
    <row r="55" spans="2:11" ht="18" customHeight="1" x14ac:dyDescent="0.45">
      <c r="B55" s="13" t="s">
        <v>264</v>
      </c>
    </row>
    <row r="56" spans="2:11" ht="30" customHeight="1" x14ac:dyDescent="0.45">
      <c r="B56" s="23" t="s">
        <v>147</v>
      </c>
      <c r="C56" s="24" t="s">
        <v>148</v>
      </c>
      <c r="D56" s="24" t="s">
        <v>65</v>
      </c>
      <c r="E56" s="24" t="s">
        <v>149</v>
      </c>
      <c r="F56" s="24" t="s">
        <v>63</v>
      </c>
      <c r="G56" s="5"/>
      <c r="H56" s="5"/>
      <c r="I56" s="23" t="s">
        <v>152</v>
      </c>
    </row>
    <row r="57" spans="2:11" x14ac:dyDescent="0.45">
      <c r="B57" s="33" t="s">
        <v>127</v>
      </c>
      <c r="C57" s="34">
        <f>Prior_AR1</f>
        <v>1</v>
      </c>
      <c r="D57" s="35" cm="1">
        <f t="array" aca="1" ref="D57" ca="1">_xll.VoseLLH(I57)</f>
        <v>33.045077579160349</v>
      </c>
      <c r="E57" s="35">
        <f ca="1">EXP(D57-MAX(D$57:D$59))</f>
        <v>0.96026264799381089</v>
      </c>
      <c r="F57" s="36">
        <f ca="1">C57*E57/SUMPRODUCT(C$57:C$59,E$57:E$59)</f>
        <v>0.34716827124979643</v>
      </c>
      <c r="G57" s="28"/>
      <c r="H57" s="28"/>
      <c r="I57" s="38" t="str">
        <f t="array" aca="1" ref="I57" ca="1">_xll.VoseTimeAR1FitObject($C$9:$C$52,FALSE,FALSE)</f>
        <v>VoseTimeAR1(-0.00143727029450476,0.115541928674016,-0.0709218876622136,0.0085781740980946,FALSE,105.251)</v>
      </c>
      <c r="K57" s="32" t="s">
        <v>154</v>
      </c>
    </row>
    <row r="58" spans="2:11" x14ac:dyDescent="0.45">
      <c r="B58" s="33" t="s">
        <v>128</v>
      </c>
      <c r="C58" s="34">
        <f>Prior_GBM</f>
        <v>2</v>
      </c>
      <c r="D58" s="35" cm="1">
        <f t="array" aca="1" ref="D58" ca="1">_xll.VoseLLH(I58)</f>
        <v>32.176464258269711</v>
      </c>
      <c r="E58" s="35">
        <f ca="1">EXP(D58-MAX(D$57:D$59))</f>
        <v>0.40286177692342234</v>
      </c>
      <c r="F58" s="36">
        <f ca="1">C58*E58/SUMPRODUCT(C$57:C$59,E$57:E$59)</f>
        <v>0.2912970257446213</v>
      </c>
      <c r="G58" s="28"/>
      <c r="H58" s="28"/>
      <c r="I58" s="38" t="str">
        <f t="array" aca="1" ref="I58" ca="1">_xll.VoseTimeGBMFitObject($C$9:$C$52,,,FALSE,FALSE)</f>
        <v>VoseTimeGBM(-0.00143727029450476,0.115833612485758,105.251,,FALSE)</v>
      </c>
      <c r="K58" s="32" t="s">
        <v>214</v>
      </c>
    </row>
    <row r="59" spans="2:11" x14ac:dyDescent="0.45">
      <c r="B59" s="33" t="s">
        <v>129</v>
      </c>
      <c r="C59" s="34">
        <f>Prior_MA1</f>
        <v>1</v>
      </c>
      <c r="D59" s="35" cm="1">
        <f t="array" aca="1" ref="D59" ca="1">_xll.VoseLLH(I59)</f>
        <v>33.085626019439758</v>
      </c>
      <c r="E59" s="35">
        <f ca="1">EXP(D59-MAX(D$57:D$59))</f>
        <v>1</v>
      </c>
      <c r="F59" s="36">
        <f ca="1">C59*E59/SUMPRODUCT(C$57:C$59,E$57:E$59)</f>
        <v>0.36153470300558227</v>
      </c>
      <c r="G59" s="28"/>
      <c r="H59" s="28"/>
      <c r="I59" s="38" t="str">
        <f t="array" aca="1" ref="I59" ca="1">_xll.VoseTimeMA1FitObject($C$9:$C$52,FALSE,FALSE)</f>
        <v>VoseTimeMA1(-0.00143727029450476,0.112099132235364,-0.105805214491773,0.101755589949926,FALSE,105.251)</v>
      </c>
      <c r="K59" s="32" t="s">
        <v>265</v>
      </c>
    </row>
    <row r="60" spans="2:11" x14ac:dyDescent="0.45">
      <c r="B60" s="39" t="s">
        <v>157</v>
      </c>
      <c r="C60" s="40"/>
      <c r="D60" s="40"/>
      <c r="E60" s="40"/>
      <c r="F60" s="41">
        <f ca="1">SUM(F57:F59)</f>
        <v>1</v>
      </c>
      <c r="G60" s="40"/>
      <c r="H60" s="40"/>
      <c r="I60" s="40"/>
      <c r="K60" s="32" t="s">
        <v>158</v>
      </c>
    </row>
    <row r="61" spans="2:11" ht="8" customHeight="1" x14ac:dyDescent="0.45"/>
    <row r="62" spans="2:11" ht="22.05" customHeight="1" x14ac:dyDescent="0.5">
      <c r="B62" s="7" t="s">
        <v>266</v>
      </c>
      <c r="C62" s="8"/>
      <c r="D62" s="8"/>
      <c r="E62" s="8"/>
      <c r="F62" s="8"/>
      <c r="G62" s="8"/>
      <c r="H62" s="8"/>
      <c r="I62" s="8"/>
      <c r="J62" s="8"/>
      <c r="K62" s="8"/>
    </row>
    <row r="63" spans="2:11" ht="18" customHeight="1" x14ac:dyDescent="0.45">
      <c r="B63" s="13" t="s">
        <v>267</v>
      </c>
    </row>
    <row r="64" spans="2:11" x14ac:dyDescent="0.45">
      <c r="B64" s="25" t="s">
        <v>268</v>
      </c>
      <c r="C64" s="44" cm="1">
        <f t="array" aca="1" ref="C64" ca="1">_xll.VoseDiscrete({1;2;3},F57:F59)</f>
        <v>3</v>
      </c>
      <c r="D64" s="28"/>
      <c r="E64" s="28"/>
      <c r="F64" s="28"/>
      <c r="G64" s="28"/>
      <c r="H64" s="28"/>
      <c r="I64" s="28"/>
      <c r="K64" s="32" t="s">
        <v>269</v>
      </c>
    </row>
    <row r="65" spans="2:11" ht="30" customHeight="1" x14ac:dyDescent="0.45">
      <c r="B65" s="23" t="s">
        <v>270</v>
      </c>
      <c r="C65" s="24" t="s">
        <v>271</v>
      </c>
      <c r="D65" s="24" t="s">
        <v>272</v>
      </c>
      <c r="E65" s="24" t="s">
        <v>273</v>
      </c>
      <c r="F65" s="24" t="s">
        <v>188</v>
      </c>
      <c r="G65" s="5"/>
      <c r="H65" s="5"/>
      <c r="I65" s="5"/>
    </row>
    <row r="66" spans="2:11" x14ac:dyDescent="0.45">
      <c r="B66" s="25">
        <v>1</v>
      </c>
      <c r="C66" s="52">
        <f t="array" aca="1" ref="C66:C90" ca="1">_xll.VoseTimeSimulate(INDEX(TSObjs,C64))</f>
        <v>110.87212022381577</v>
      </c>
      <c r="D66" s="52">
        <f t="array" aca="1" ref="D66:D90" ca="1">_xll.VoseTimeSimulate(TSBMA_Obj)</f>
        <v>101.51369674404626</v>
      </c>
      <c r="E66" s="52">
        <f t="array" aca="1" ref="E66:E90" ca="1">_xll.VoseTimeBMA(TSObjs,TSPriors)</f>
        <v>93.898922715903112</v>
      </c>
      <c r="F66" s="53" cm="1">
        <f t="array" aca="1" ref="F66" ca="1">_xll.VoseOutput("Forecast, period 1","value","BMA forecast",1)+C66</f>
        <v>110.87212022381577</v>
      </c>
      <c r="G66" s="28"/>
      <c r="H66" s="28"/>
      <c r="I66" s="28"/>
      <c r="K66" s="32" t="s">
        <v>274</v>
      </c>
    </row>
    <row r="67" spans="2:11" x14ac:dyDescent="0.45">
      <c r="B67" s="25">
        <v>2</v>
      </c>
      <c r="C67" s="52">
        <f ca="1"/>
        <v>123.41148330837373</v>
      </c>
      <c r="D67" s="52">
        <f ca="1"/>
        <v>121.64550587660483</v>
      </c>
      <c r="E67" s="52">
        <f ca="1"/>
        <v>83.846760868077979</v>
      </c>
      <c r="F67" s="53" cm="1">
        <f t="array" aca="1" ref="F67" ca="1">_xll.VoseOutput("Forecast, period 2","value","BMA forecast",2)+C67</f>
        <v>123.41148330837373</v>
      </c>
      <c r="G67" s="28"/>
      <c r="H67" s="28"/>
      <c r="I67" s="28"/>
      <c r="K67" s="32" t="s">
        <v>275</v>
      </c>
    </row>
    <row r="68" spans="2:11" x14ac:dyDescent="0.45">
      <c r="B68" s="25">
        <v>3</v>
      </c>
      <c r="C68" s="52">
        <f ca="1"/>
        <v>122.10057240850506</v>
      </c>
      <c r="D68" s="52">
        <f ca="1"/>
        <v>129.50713259053805</v>
      </c>
      <c r="E68" s="52">
        <f ca="1"/>
        <v>83.350997398731622</v>
      </c>
      <c r="F68" s="53" cm="1">
        <f t="array" aca="1" ref="F68" ca="1">_xll.VoseOutput("Forecast, period 3","value","BMA forecast",3)+C68</f>
        <v>122.10057240850506</v>
      </c>
      <c r="G68" s="28"/>
      <c r="H68" s="28"/>
      <c r="I68" s="28"/>
      <c r="K68" s="32" t="s">
        <v>276</v>
      </c>
    </row>
    <row r="69" spans="2:11" x14ac:dyDescent="0.45">
      <c r="B69" s="25">
        <v>4</v>
      </c>
      <c r="C69" s="52">
        <f ca="1"/>
        <v>132.94754185475639</v>
      </c>
      <c r="D69" s="52">
        <f ca="1"/>
        <v>132.17680473134752</v>
      </c>
      <c r="E69" s="52">
        <f ca="1"/>
        <v>99.522672459628168</v>
      </c>
      <c r="F69" s="53" cm="1">
        <f t="array" aca="1" ref="F69" ca="1">_xll.VoseOutput("Forecast, period 4","value","BMA forecast",4)+C69</f>
        <v>132.94754185475639</v>
      </c>
      <c r="G69" s="28"/>
      <c r="H69" s="28"/>
      <c r="I69" s="28"/>
      <c r="K69" s="32" t="s">
        <v>277</v>
      </c>
    </row>
    <row r="70" spans="2:11" x14ac:dyDescent="0.45">
      <c r="B70" s="25">
        <v>5</v>
      </c>
      <c r="C70" s="52">
        <f ca="1"/>
        <v>137.71295823738467</v>
      </c>
      <c r="D70" s="52">
        <f ca="1"/>
        <v>143.46817170244222</v>
      </c>
      <c r="E70" s="52">
        <f ca="1"/>
        <v>109.22440511436569</v>
      </c>
      <c r="F70" s="53" cm="1">
        <f t="array" aca="1" ref="F70" ca="1">_xll.VoseOutput("Forecast, period 5","value","BMA forecast",5)+C70</f>
        <v>137.71295823738467</v>
      </c>
      <c r="G70" s="28"/>
      <c r="H70" s="28"/>
      <c r="I70" s="28"/>
    </row>
    <row r="71" spans="2:11" x14ac:dyDescent="0.45">
      <c r="B71" s="25">
        <v>6</v>
      </c>
      <c r="C71" s="52">
        <f ca="1"/>
        <v>166.15785258139184</v>
      </c>
      <c r="D71" s="52">
        <f ca="1"/>
        <v>129.70644593739357</v>
      </c>
      <c r="E71" s="52">
        <f ca="1"/>
        <v>106.12310199584979</v>
      </c>
      <c r="F71" s="53" cm="1">
        <f t="array" aca="1" ref="F71" ca="1">_xll.VoseOutput("Forecast, period 6","value","BMA forecast",6)+C71</f>
        <v>166.15785258139184</v>
      </c>
      <c r="G71" s="28"/>
      <c r="H71" s="28"/>
      <c r="I71" s="28"/>
    </row>
    <row r="72" spans="2:11" x14ac:dyDescent="0.45">
      <c r="B72" s="25">
        <v>7</v>
      </c>
      <c r="C72" s="52">
        <f ca="1"/>
        <v>163.08104380138221</v>
      </c>
      <c r="D72" s="52">
        <f ca="1"/>
        <v>117.32977804584776</v>
      </c>
      <c r="E72" s="52">
        <f ca="1"/>
        <v>88.358408590674642</v>
      </c>
      <c r="F72" s="53" cm="1">
        <f t="array" aca="1" ref="F72" ca="1">_xll.VoseOutput("Forecast, period 7","value","BMA forecast",7)+C72</f>
        <v>163.08104380138221</v>
      </c>
      <c r="G72" s="28"/>
      <c r="H72" s="28"/>
      <c r="I72" s="28"/>
    </row>
    <row r="73" spans="2:11" x14ac:dyDescent="0.45">
      <c r="B73" s="25">
        <v>8</v>
      </c>
      <c r="C73" s="52">
        <f ca="1"/>
        <v>144.00676972176038</v>
      </c>
      <c r="D73" s="52">
        <f ca="1"/>
        <v>111.75821226005671</v>
      </c>
      <c r="E73" s="52">
        <f ca="1"/>
        <v>85.69527652909477</v>
      </c>
      <c r="F73" s="53" cm="1">
        <f t="array" aca="1" ref="F73" ca="1">_xll.VoseOutput("Forecast, period 8","value","BMA forecast",8)+C73</f>
        <v>144.00676972176038</v>
      </c>
      <c r="G73" s="28"/>
      <c r="H73" s="28"/>
      <c r="I73" s="28"/>
    </row>
    <row r="74" spans="2:11" x14ac:dyDescent="0.45">
      <c r="B74" s="25">
        <v>9</v>
      </c>
      <c r="C74" s="52">
        <f ca="1"/>
        <v>152.69497283035585</v>
      </c>
      <c r="D74" s="52">
        <f ca="1"/>
        <v>132.04601949829154</v>
      </c>
      <c r="E74" s="52">
        <f ca="1"/>
        <v>84.876198378107432</v>
      </c>
      <c r="F74" s="53" cm="1">
        <f t="array" aca="1" ref="F74" ca="1">_xll.VoseOutput("Forecast, period 9","value","BMA forecast",9)+C74</f>
        <v>152.69497283035585</v>
      </c>
      <c r="G74" s="28"/>
      <c r="H74" s="28"/>
      <c r="I74" s="28"/>
    </row>
    <row r="75" spans="2:11" x14ac:dyDescent="0.45">
      <c r="B75" s="25">
        <v>10</v>
      </c>
      <c r="C75" s="52">
        <f ca="1"/>
        <v>166.25258992268263</v>
      </c>
      <c r="D75" s="52">
        <f ca="1"/>
        <v>109.26941037383399</v>
      </c>
      <c r="E75" s="52">
        <f ca="1"/>
        <v>91.520631623766448</v>
      </c>
      <c r="F75" s="53" cm="1">
        <f t="array" aca="1" ref="F75" ca="1">_xll.VoseOutput("Forecast, period 10","value","BMA forecast",10)+C75</f>
        <v>166.25258992268263</v>
      </c>
      <c r="G75" s="28"/>
      <c r="H75" s="28"/>
      <c r="I75" s="28"/>
    </row>
    <row r="76" spans="2:11" x14ac:dyDescent="0.45">
      <c r="B76" s="25">
        <v>11</v>
      </c>
      <c r="C76" s="52">
        <f ca="1"/>
        <v>172.41433295860051</v>
      </c>
      <c r="D76" s="52">
        <f ca="1"/>
        <v>87.58074700186971</v>
      </c>
      <c r="E76" s="52">
        <f ca="1"/>
        <v>80.398604128270762</v>
      </c>
      <c r="F76" s="53" cm="1">
        <f t="array" aca="1" ref="F76" ca="1">_xll.VoseOutput("Forecast, period 11","value","BMA forecast",11)+C76</f>
        <v>172.41433295860051</v>
      </c>
      <c r="G76" s="28"/>
      <c r="H76" s="28"/>
      <c r="I76" s="28"/>
    </row>
    <row r="77" spans="2:11" x14ac:dyDescent="0.45">
      <c r="B77" s="25">
        <v>12</v>
      </c>
      <c r="C77" s="52">
        <f ca="1"/>
        <v>189.32114896747208</v>
      </c>
      <c r="D77" s="52">
        <f ca="1"/>
        <v>91.406331160972954</v>
      </c>
      <c r="E77" s="52">
        <f ca="1"/>
        <v>89.105453213092659</v>
      </c>
      <c r="F77" s="53" cm="1">
        <f t="array" aca="1" ref="F77" ca="1">_xll.VoseOutput("Forecast, period 12","value","BMA forecast",12)+C77</f>
        <v>189.32114896747208</v>
      </c>
      <c r="G77" s="28"/>
      <c r="H77" s="28"/>
      <c r="I77" s="28"/>
    </row>
    <row r="78" spans="2:11" x14ac:dyDescent="0.45">
      <c r="B78" s="25">
        <v>13</v>
      </c>
      <c r="C78" s="52">
        <f ca="1"/>
        <v>169.58934030002132</v>
      </c>
      <c r="D78" s="52">
        <f ca="1"/>
        <v>80.574359533758525</v>
      </c>
      <c r="E78" s="52">
        <f ca="1"/>
        <v>96.196921311979153</v>
      </c>
      <c r="F78" s="53" cm="1">
        <f t="array" aca="1" ref="F78" ca="1">_xll.VoseOutput("Forecast, period 13","value","BMA forecast",13)+C78</f>
        <v>169.58934030002132</v>
      </c>
      <c r="G78" s="28"/>
      <c r="H78" s="28"/>
      <c r="I78" s="28"/>
    </row>
    <row r="79" spans="2:11" x14ac:dyDescent="0.45">
      <c r="B79" s="25">
        <v>14</v>
      </c>
      <c r="C79" s="52">
        <f ca="1"/>
        <v>154.90487872805045</v>
      </c>
      <c r="D79" s="52">
        <f ca="1"/>
        <v>79.671700980089298</v>
      </c>
      <c r="E79" s="52">
        <f ca="1"/>
        <v>98.154467063419489</v>
      </c>
      <c r="F79" s="53" cm="1">
        <f t="array" aca="1" ref="F79" ca="1">_xll.VoseOutput("Forecast, period 14","value","BMA forecast",14)+C79</f>
        <v>154.90487872805045</v>
      </c>
      <c r="G79" s="28"/>
      <c r="H79" s="28"/>
      <c r="I79" s="28"/>
    </row>
    <row r="80" spans="2:11" x14ac:dyDescent="0.45">
      <c r="B80" s="25">
        <v>15</v>
      </c>
      <c r="C80" s="52">
        <f ca="1"/>
        <v>126.72783627359108</v>
      </c>
      <c r="D80" s="52">
        <f ca="1"/>
        <v>79.179104724479657</v>
      </c>
      <c r="E80" s="52">
        <f ca="1"/>
        <v>89.984609007181774</v>
      </c>
      <c r="F80" s="53" cm="1">
        <f t="array" aca="1" ref="F80" ca="1">_xll.VoseOutput("Forecast, period 15","value","BMA forecast",15)+C80</f>
        <v>126.72783627359108</v>
      </c>
      <c r="G80" s="28"/>
      <c r="H80" s="28"/>
      <c r="I80" s="28"/>
    </row>
    <row r="81" spans="2:11" x14ac:dyDescent="0.45">
      <c r="B81" s="25">
        <v>16</v>
      </c>
      <c r="C81" s="52">
        <f ca="1"/>
        <v>156.24985706662434</v>
      </c>
      <c r="D81" s="52">
        <f ca="1"/>
        <v>78.840825718279334</v>
      </c>
      <c r="E81" s="52">
        <f ca="1"/>
        <v>89.065276192419702</v>
      </c>
      <c r="F81" s="53" cm="1">
        <f t="array" aca="1" ref="F81" ca="1">_xll.VoseOutput("Forecast, period 16","value","BMA forecast",16)+C81</f>
        <v>156.24985706662434</v>
      </c>
      <c r="G81" s="28"/>
      <c r="H81" s="28"/>
      <c r="I81" s="28"/>
    </row>
    <row r="82" spans="2:11" x14ac:dyDescent="0.45">
      <c r="B82" s="25">
        <v>17</v>
      </c>
      <c r="C82" s="52">
        <f ca="1"/>
        <v>178.36833618362647</v>
      </c>
      <c r="D82" s="52">
        <f ca="1"/>
        <v>71.130665177013</v>
      </c>
      <c r="E82" s="52">
        <f ca="1"/>
        <v>84.575170553786975</v>
      </c>
      <c r="F82" s="53" cm="1">
        <f t="array" aca="1" ref="F82" ca="1">_xll.VoseOutput("Forecast, period 17","value","BMA forecast",17)+C82</f>
        <v>178.36833618362647</v>
      </c>
      <c r="G82" s="28"/>
      <c r="H82" s="28"/>
      <c r="I82" s="28"/>
    </row>
    <row r="83" spans="2:11" x14ac:dyDescent="0.45">
      <c r="B83" s="25">
        <v>18</v>
      </c>
      <c r="C83" s="52">
        <f ca="1"/>
        <v>152.46458757028429</v>
      </c>
      <c r="D83" s="52">
        <f ca="1"/>
        <v>71.413182007242355</v>
      </c>
      <c r="E83" s="52">
        <f ca="1"/>
        <v>77.358384800681648</v>
      </c>
      <c r="F83" s="53" cm="1">
        <f t="array" aca="1" ref="F83" ca="1">_xll.VoseOutput("Forecast, period 18","value","BMA forecast",18)+C83</f>
        <v>152.46458757028429</v>
      </c>
      <c r="G83" s="28"/>
      <c r="H83" s="28"/>
      <c r="I83" s="28"/>
    </row>
    <row r="84" spans="2:11" x14ac:dyDescent="0.45">
      <c r="B84" s="25">
        <v>19</v>
      </c>
      <c r="C84" s="52">
        <f ca="1"/>
        <v>131.46854132315281</v>
      </c>
      <c r="D84" s="52">
        <f ca="1"/>
        <v>65.89439416254227</v>
      </c>
      <c r="E84" s="52">
        <f ca="1"/>
        <v>87.413975637153925</v>
      </c>
      <c r="F84" s="53" cm="1">
        <f t="array" aca="1" ref="F84" ca="1">_xll.VoseOutput("Forecast, period 19","value","BMA forecast",19)+C84</f>
        <v>131.46854132315281</v>
      </c>
      <c r="G84" s="28"/>
      <c r="H84" s="28"/>
      <c r="I84" s="28"/>
    </row>
    <row r="85" spans="2:11" x14ac:dyDescent="0.45">
      <c r="B85" s="25">
        <v>20</v>
      </c>
      <c r="C85" s="52">
        <f ca="1"/>
        <v>128.00169783755544</v>
      </c>
      <c r="D85" s="52">
        <f ca="1"/>
        <v>68.420177776867689</v>
      </c>
      <c r="E85" s="52">
        <f ca="1"/>
        <v>86.568067293539428</v>
      </c>
      <c r="F85" s="53" cm="1">
        <f t="array" aca="1" ref="F85" ca="1">_xll.VoseOutput("Forecast, period 20","value","BMA forecast",20)+C85</f>
        <v>128.00169783755544</v>
      </c>
      <c r="G85" s="28"/>
      <c r="H85" s="28"/>
      <c r="I85" s="28"/>
    </row>
    <row r="86" spans="2:11" x14ac:dyDescent="0.45">
      <c r="B86" s="25">
        <v>21</v>
      </c>
      <c r="C86" s="52">
        <f ca="1"/>
        <v>152.6882643375283</v>
      </c>
      <c r="D86" s="52">
        <f ca="1"/>
        <v>61.97745835606711</v>
      </c>
      <c r="E86" s="52">
        <f ca="1"/>
        <v>89.691107222568832</v>
      </c>
      <c r="F86" s="53" cm="1">
        <f t="array" aca="1" ref="F86" ca="1">_xll.VoseOutput("Forecast, period 21","value","BMA forecast",21)+C86</f>
        <v>152.6882643375283</v>
      </c>
      <c r="G86" s="28"/>
      <c r="H86" s="28"/>
      <c r="I86" s="28"/>
    </row>
    <row r="87" spans="2:11" x14ac:dyDescent="0.45">
      <c r="B87" s="25">
        <v>22</v>
      </c>
      <c r="C87" s="52">
        <f ca="1"/>
        <v>140.41536246393346</v>
      </c>
      <c r="D87" s="52">
        <f ca="1"/>
        <v>74.810834270000257</v>
      </c>
      <c r="E87" s="52">
        <f ca="1"/>
        <v>82.526207359374851</v>
      </c>
      <c r="F87" s="53" cm="1">
        <f t="array" aca="1" ref="F87" ca="1">_xll.VoseOutput("Forecast, period 22","value","BMA forecast",22)+C87</f>
        <v>140.41536246393346</v>
      </c>
      <c r="G87" s="28"/>
      <c r="H87" s="28"/>
      <c r="I87" s="28"/>
    </row>
    <row r="88" spans="2:11" x14ac:dyDescent="0.45">
      <c r="B88" s="25">
        <v>23</v>
      </c>
      <c r="C88" s="52">
        <f ca="1"/>
        <v>127.81143824172568</v>
      </c>
      <c r="D88" s="52">
        <f ca="1"/>
        <v>81.617354934388899</v>
      </c>
      <c r="E88" s="52">
        <f ca="1"/>
        <v>98.819880315449041</v>
      </c>
      <c r="F88" s="53" cm="1">
        <f t="array" aca="1" ref="F88" ca="1">_xll.VoseOutput("Forecast, period 23","value","BMA forecast",23)+C88</f>
        <v>127.81143824172568</v>
      </c>
      <c r="G88" s="28"/>
      <c r="H88" s="28"/>
      <c r="I88" s="28"/>
    </row>
    <row r="89" spans="2:11" x14ac:dyDescent="0.45">
      <c r="B89" s="25">
        <v>24</v>
      </c>
      <c r="C89" s="52">
        <f ca="1"/>
        <v>127.26236626661762</v>
      </c>
      <c r="D89" s="52">
        <f ca="1"/>
        <v>87.212782679908784</v>
      </c>
      <c r="E89" s="52">
        <f ca="1"/>
        <v>101.56014855690786</v>
      </c>
      <c r="F89" s="53" cm="1">
        <f t="array" aca="1" ref="F89" ca="1">_xll.VoseOutput("Forecast, period 24","value","BMA forecast",24)+C89</f>
        <v>127.26236626661762</v>
      </c>
      <c r="G89" s="28"/>
      <c r="H89" s="28"/>
      <c r="I89" s="28"/>
    </row>
    <row r="90" spans="2:11" x14ac:dyDescent="0.45">
      <c r="B90" s="25">
        <v>25</v>
      </c>
      <c r="C90" s="52">
        <f ca="1"/>
        <v>133.8087525654426</v>
      </c>
      <c r="D90" s="52">
        <f ca="1"/>
        <v>94.490118270366636</v>
      </c>
      <c r="E90" s="52">
        <f ca="1"/>
        <v>101.74353580894295</v>
      </c>
      <c r="F90" s="53" cm="1">
        <f t="array" aca="1" ref="F90" ca="1">_xll.VoseOutput("Forecast, period 25","value","BMA forecast",25)+C90</f>
        <v>133.8087525654426</v>
      </c>
      <c r="G90" s="28"/>
      <c r="H90" s="28"/>
      <c r="I90" s="28"/>
    </row>
    <row r="91" spans="2:11" x14ac:dyDescent="0.45">
      <c r="B91" s="25" t="s">
        <v>278</v>
      </c>
      <c r="C91" s="28"/>
      <c r="D91" s="28"/>
      <c r="E91" s="28"/>
      <c r="F91" s="28"/>
      <c r="G91" s="28"/>
      <c r="H91" s="28"/>
      <c r="I91" s="38" t="str">
        <f t="array" aca="1" ref="I91" ca="1">_xll.VoseTimeBMAObject(TSObjs,TSPriors)</f>
        <v>VoseTimeBMA('[GU-20 Bayesian model averaging.xlsx]Time series'!I57:I59,'[GU-20 Bayesian model averaging.xlsx]Time series'!C57:C59)</v>
      </c>
    </row>
    <row r="92" spans="2:11" ht="8" customHeight="1" x14ac:dyDescent="0.45"/>
    <row r="93" spans="2:11" ht="22.05" customHeight="1" x14ac:dyDescent="0.5">
      <c r="B93" s="7" t="s">
        <v>279</v>
      </c>
      <c r="C93" s="8"/>
      <c r="D93" s="8"/>
      <c r="E93" s="8"/>
      <c r="F93" s="8"/>
      <c r="G93" s="8"/>
      <c r="H93" s="8"/>
      <c r="I93" s="8"/>
      <c r="J93" s="8"/>
      <c r="K93" s="8"/>
    </row>
    <row r="94" spans="2:11" ht="18" customHeight="1" x14ac:dyDescent="0.45">
      <c r="B94" s="13" t="s">
        <v>280</v>
      </c>
    </row>
    <row r="95" spans="2:11" x14ac:dyDescent="0.45">
      <c r="B95" s="25" t="s">
        <v>281</v>
      </c>
      <c r="C95" s="28"/>
      <c r="D95" s="28"/>
      <c r="E95" s="28"/>
      <c r="F95" s="54" t="str">
        <f>IF(AND(MIN(DistPriors)&gt;=0,SUM(DistPriors)&gt;0),"OK","CHECK")</f>
        <v>OK</v>
      </c>
      <c r="G95" s="28"/>
      <c r="H95" s="28"/>
      <c r="I95" s="28"/>
      <c r="J95" s="28"/>
      <c r="K95" s="28"/>
    </row>
    <row r="96" spans="2:11" x14ac:dyDescent="0.45">
      <c r="B96" s="25" t="s">
        <v>282</v>
      </c>
      <c r="C96" s="28"/>
      <c r="D96" s="28"/>
      <c r="E96" s="28"/>
      <c r="F96" s="54" t="str">
        <f>IF(AND(MIN(CopPriors)&gt;=0,SUM(CopPriors)&gt;0),"OK","CHECK")</f>
        <v>OK</v>
      </c>
      <c r="G96" s="28"/>
      <c r="H96" s="28"/>
      <c r="I96" s="28"/>
      <c r="J96" s="28"/>
      <c r="K96" s="28"/>
    </row>
    <row r="97" spans="2:11" x14ac:dyDescent="0.45">
      <c r="B97" s="25" t="s">
        <v>283</v>
      </c>
      <c r="C97" s="28"/>
      <c r="D97" s="28"/>
      <c r="E97" s="28"/>
      <c r="F97" s="54" t="str">
        <f>IF(AND(MIN(TSPriors)&gt;=0,SUM(TSPriors)&gt;0),"OK","CHECK")</f>
        <v>OK</v>
      </c>
      <c r="G97" s="28"/>
      <c r="H97" s="28"/>
      <c r="I97" s="28"/>
      <c r="J97" s="28"/>
      <c r="K97" s="28"/>
    </row>
    <row r="98" spans="2:11" x14ac:dyDescent="0.45">
      <c r="B98" s="25" t="s">
        <v>284</v>
      </c>
      <c r="C98" s="28"/>
      <c r="D98" s="28"/>
      <c r="E98" s="28"/>
      <c r="F98" s="54" t="str">
        <f>IF(ABS(BMA_Dens-Mix_Dens)&lt;=0.000001*ABS(Mix_Dens),"OK","CHECK")</f>
        <v>OK</v>
      </c>
      <c r="G98" s="28"/>
      <c r="H98" s="28"/>
      <c r="I98" s="28"/>
      <c r="J98" s="28"/>
      <c r="K98" s="28"/>
    </row>
    <row r="99" spans="2:11" x14ac:dyDescent="0.45">
      <c r="B99" s="25" t="s">
        <v>285</v>
      </c>
      <c r="C99" s="28"/>
      <c r="D99" s="28"/>
      <c r="E99" s="28"/>
      <c r="F99" s="54" t="str">
        <f>IF(ABS(BMA_Cum-Mix_Cum)&lt;=0.000001,"OK","CHECK")</f>
        <v>OK</v>
      </c>
      <c r="G99" s="28"/>
      <c r="H99" s="28"/>
      <c r="I99" s="28"/>
      <c r="J99" s="28"/>
      <c r="K99" s="28"/>
    </row>
    <row r="100" spans="2:11" ht="14" customHeight="1" x14ac:dyDescent="0.45"/>
  </sheetData>
  <conditionalFormatting sqref="F95:F99">
    <cfRule type="expression" dxfId="4" priority="1">
      <formula>F95="CHECK"</formula>
    </cfRule>
  </conditionalFormatting>
  <hyperlinks>
    <hyperlink ref="B4" location="'Copula'!A1" display="◂  Copula" xr:uid="{00000000-0004-0000-0400-000000000000}"/>
    <hyperlink ref="K4" location="'Results'!A1" display="Next:  Results  ▸" xr:uid="{00000000-0004-0000-0400-000001000000}"/>
  </hyperlinks>
  <printOptions horizontalCentered="1"/>
  <pageMargins left="0.4" right="0.4" top="0.5" bottom="0.6" header="0.25" footer="0.25"/>
  <pageSetup paperSize="9" scale="60" fitToHeight="0" orientation="landscape" r:id="rId1"/>
  <headerFooter>
    <oddFooter>&amp;L&amp;K3F5876&amp;8&amp;F · &amp;A&amp;R&amp;K3F5876&amp;8Page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15803D"/>
    <outlinePr summaryBelow="0"/>
    <pageSetUpPr fitToPage="1"/>
  </sheetPr>
  <dimension ref="A1:R13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19"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286</v>
      </c>
      <c r="C3" s="1"/>
      <c r="D3" s="1"/>
      <c r="E3" s="1"/>
      <c r="F3" s="1"/>
      <c r="G3" s="1"/>
      <c r="H3" s="1"/>
      <c r="I3" s="1"/>
      <c r="J3" s="1"/>
      <c r="K3" s="1"/>
      <c r="L3" s="1"/>
      <c r="M3" s="1"/>
      <c r="N3" s="1"/>
      <c r="O3" s="1"/>
      <c r="P3" s="1"/>
      <c r="Q3" s="1"/>
      <c r="R3" s="1"/>
    </row>
    <row r="4" spans="1:18" ht="20" customHeight="1" x14ac:dyDescent="0.45">
      <c r="A4" s="5"/>
      <c r="B4" s="22" t="s">
        <v>287</v>
      </c>
      <c r="C4" s="5"/>
      <c r="D4" s="5"/>
      <c r="E4" s="5"/>
      <c r="F4" s="5"/>
      <c r="G4" s="5"/>
      <c r="H4" s="5"/>
      <c r="I4" s="5"/>
      <c r="J4" s="5"/>
      <c r="K4" s="5"/>
      <c r="L4" s="5"/>
      <c r="M4" s="5"/>
      <c r="N4" s="5"/>
      <c r="O4" s="5"/>
      <c r="P4" s="5"/>
      <c r="Q4" s="5"/>
      <c r="R4" s="5"/>
    </row>
    <row r="5" spans="1:18" ht="8" customHeight="1" x14ac:dyDescent="0.45"/>
    <row r="6" spans="1:18" ht="26" customHeight="1" x14ac:dyDescent="0.45">
      <c r="B6" s="55" t="str" cm="1">
        <f t="array" aca="1" ref="B6" ca="1">IF(ISNUMBER(_xll.VoseSimMean(Dist_BMA)),"✔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6"/>
      <c r="D6" s="56"/>
      <c r="E6" s="56"/>
      <c r="F6" s="56"/>
      <c r="G6" s="56"/>
    </row>
    <row r="7" spans="1:18" x14ac:dyDescent="0.45">
      <c r="B7" s="3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288</v>
      </c>
      <c r="C9" s="8"/>
      <c r="D9" s="8"/>
      <c r="E9" s="8"/>
      <c r="F9" s="8"/>
      <c r="G9" s="8"/>
      <c r="I9" s="57" t="s">
        <v>289</v>
      </c>
      <c r="J9" s="8"/>
      <c r="K9" s="8"/>
      <c r="L9" s="8"/>
      <c r="M9" s="8"/>
      <c r="N9" s="8"/>
      <c r="O9" s="8"/>
      <c r="P9" s="8"/>
      <c r="Q9" s="8"/>
      <c r="R9" s="8"/>
    </row>
    <row r="10" spans="1:18" ht="18" customHeight="1" x14ac:dyDescent="0.45">
      <c r="B10" s="13" t="s">
        <v>290</v>
      </c>
    </row>
    <row r="11" spans="1:18" ht="30" customHeight="1" x14ac:dyDescent="0.45">
      <c r="B11" s="23" t="s">
        <v>291</v>
      </c>
      <c r="C11" s="24" t="s">
        <v>63</v>
      </c>
      <c r="D11" s="24" t="s">
        <v>292</v>
      </c>
      <c r="E11" s="24" t="s">
        <v>293</v>
      </c>
      <c r="F11" s="24" t="s">
        <v>294</v>
      </c>
      <c r="G11" s="24" t="s">
        <v>295</v>
      </c>
    </row>
    <row r="12" spans="1:18" x14ac:dyDescent="0.45">
      <c r="B12" s="25" t="s">
        <v>296</v>
      </c>
      <c r="C12" s="36">
        <f>W_DN</f>
        <v>0.29898929273548536</v>
      </c>
      <c r="D12" s="58" cm="1">
        <f t="array" aca="1" ref="D12" ca="1">_xll.VoseSimMean(Dist_Normal)</f>
        <v>2.3240761185010941</v>
      </c>
      <c r="E12" s="58" cm="1">
        <f t="array" aca="1" ref="E12" ca="1">_xll.VoseSimPercentile(Dist_Normal,0.05)</f>
        <v>0.6381976759307213</v>
      </c>
      <c r="F12" s="58" cm="1">
        <f t="array" aca="1" ref="F12" ca="1">_xll.VoseSimPercentile(Dist_Normal,0.95)</f>
        <v>4.0073792377094524</v>
      </c>
      <c r="G12" s="59" cm="1">
        <f t="array" aca="1" ref="G12" ca="1">_xll.VoseSimProbability(Dist_Normal,0)</f>
        <v>1.1298870112988701E-2</v>
      </c>
    </row>
    <row r="13" spans="1:18" x14ac:dyDescent="0.45">
      <c r="B13" s="25" t="s">
        <v>297</v>
      </c>
      <c r="C13" s="36">
        <f>W_DL</f>
        <v>0.70101070726451453</v>
      </c>
      <c r="D13" s="58" cm="1">
        <f t="array" aca="1" ref="D13" ca="1">_xll.VoseSimMean(Dist_Lognormal)</f>
        <v>2.3327533028417955</v>
      </c>
      <c r="E13" s="58" cm="1">
        <f t="array" aca="1" ref="E13" ca="1">_xll.VoseSimPercentile(Dist_Lognormal,0.05)</f>
        <v>0.97248355136308773</v>
      </c>
      <c r="F13" s="58" cm="1">
        <f t="array" aca="1" ref="F13" ca="1">_xll.VoseSimPercentile(Dist_Lognormal,0.95)</f>
        <v>4.4863269708179008</v>
      </c>
      <c r="G13" s="59" cm="1">
        <f t="array" aca="1" ref="G13" ca="1">_xll.VoseSimProbability(Dist_Lognormal,0)</f>
        <v>0</v>
      </c>
    </row>
    <row r="14" spans="1:18" x14ac:dyDescent="0.45">
      <c r="B14" s="33" t="s">
        <v>190</v>
      </c>
      <c r="C14" s="28"/>
      <c r="D14" s="58" cm="1">
        <f t="array" aca="1" ref="D14" ca="1">_xll.VoseSimMean(Dist_BMA)</f>
        <v>2.2964827189857364</v>
      </c>
      <c r="E14" s="58" cm="1">
        <f t="array" aca="1" ref="E14" ca="1">_xll.VoseSimPercentile(Dist_BMA,0.05)</f>
        <v>0.87129030072228841</v>
      </c>
      <c r="F14" s="58" cm="1">
        <f t="array" aca="1" ref="F14" ca="1">_xll.VoseSimPercentile(Dist_BMA,0.95)</f>
        <v>4.270654669373819</v>
      </c>
      <c r="G14" s="59" cm="1">
        <f t="array" aca="1" ref="G14" ca="1">_xll.VoseSimProbability(Dist_BMA,0)</f>
        <v>4.5995400459954002E-3</v>
      </c>
    </row>
    <row r="15" spans="1:18" x14ac:dyDescent="0.45">
      <c r="B15" s="25" t="s">
        <v>298</v>
      </c>
      <c r="C15" s="28"/>
      <c r="D15" s="60">
        <f>BMA_Dens</f>
        <v>0.37098468860136247</v>
      </c>
      <c r="E15" s="60">
        <f>BMA_Cum</f>
        <v>0.59742716401303286</v>
      </c>
      <c r="F15" s="28"/>
      <c r="G15" s="28"/>
    </row>
    <row r="16" spans="1:18" ht="8" customHeight="1" x14ac:dyDescent="0.45"/>
    <row r="17" spans="2:18" ht="22.05" customHeight="1" x14ac:dyDescent="0.5">
      <c r="B17" s="7" t="s">
        <v>299</v>
      </c>
      <c r="C17" s="8"/>
      <c r="D17" s="8"/>
      <c r="E17" s="8"/>
      <c r="F17" s="8"/>
      <c r="G17" s="8"/>
    </row>
    <row r="18" spans="2:18" ht="18" customHeight="1" x14ac:dyDescent="0.45">
      <c r="B18" s="13" t="s">
        <v>300</v>
      </c>
    </row>
    <row r="19" spans="2:18" ht="30" customHeight="1" x14ac:dyDescent="0.45">
      <c r="B19" s="23" t="s">
        <v>45</v>
      </c>
      <c r="C19" s="24" t="s">
        <v>65</v>
      </c>
      <c r="D19" s="24" t="s">
        <v>63</v>
      </c>
      <c r="E19" s="24" t="s">
        <v>301</v>
      </c>
      <c r="F19" s="24" t="s">
        <v>302</v>
      </c>
      <c r="G19" s="24" t="s">
        <v>303</v>
      </c>
    </row>
    <row r="20" spans="2:18" x14ac:dyDescent="0.45">
      <c r="B20" s="33" t="s">
        <v>76</v>
      </c>
      <c r="C20" s="28"/>
      <c r="D20" s="28"/>
      <c r="E20" s="61">
        <f>DataRho_1</f>
        <v>0.77075098814229248</v>
      </c>
      <c r="F20" s="61">
        <f>DataRho_2</f>
        <v>0.71837944664031628</v>
      </c>
      <c r="G20" s="61">
        <f>DataRho_3</f>
        <v>0.44268774703557318</v>
      </c>
    </row>
    <row r="21" spans="2:18" x14ac:dyDescent="0.45">
      <c r="B21" s="25" t="s">
        <v>212</v>
      </c>
      <c r="C21" s="42">
        <f ca="1">LLH_Frank</f>
        <v>13.334360875100593</v>
      </c>
      <c r="D21" s="36">
        <f ca="1">W_Frank</f>
        <v>2.6016153369172674E-4</v>
      </c>
      <c r="E21" s="62" cm="1">
        <f t="array" aca="1" ref="E21" ca="1">_xll.VoseSimCorrelation(Copula!$F$73,Copula!$F$74,0)</f>
        <v>0.68291154230511542</v>
      </c>
      <c r="F21" s="62" cm="1">
        <f t="array" aca="1" ref="F21" ca="1">_xll.VoseSimCorrelation(Copula!$F$73,Copula!$F$75,0)</f>
        <v>0.69664778286647788</v>
      </c>
      <c r="G21" s="62" cm="1">
        <f t="array" aca="1" ref="G21" ca="1">_xll.VoseSimCorrelation(Copula!$F$74,Copula!$F$75,0)</f>
        <v>0.69212180634921805</v>
      </c>
    </row>
    <row r="22" spans="2:18" x14ac:dyDescent="0.45">
      <c r="B22" s="25" t="s">
        <v>213</v>
      </c>
      <c r="C22" s="42">
        <f ca="1">LLH_Gumbel</f>
        <v>17.798705679464604</v>
      </c>
      <c r="D22" s="36">
        <f ca="1">W_Gumbel</f>
        <v>2.2598696935855662E-2</v>
      </c>
      <c r="E22" s="62" cm="1">
        <f t="array" aca="1" ref="E22" ca="1">_xll.VoseSimCorrelation(Copula!$F$76,Copula!$F$77,0)</f>
        <v>0.69240167278801668</v>
      </c>
      <c r="F22" s="62" cm="1">
        <f t="array" aca="1" ref="F22" ca="1">_xll.VoseSimCorrelation(Copula!$F$76,Copula!$F$78,0)</f>
        <v>0.69925447920854478</v>
      </c>
      <c r="G22" s="62" cm="1">
        <f t="array" aca="1" ref="G22" ca="1">_xll.VoseSimCorrelation(Copula!$F$77,Copula!$F$78,0)</f>
        <v>0.69385336067053349</v>
      </c>
    </row>
    <row r="23" spans="2:18" x14ac:dyDescent="0.45">
      <c r="B23" s="25" t="s">
        <v>215</v>
      </c>
      <c r="C23" s="42">
        <f ca="1">LLH_Clayton</f>
        <v>18.534190193169678</v>
      </c>
      <c r="D23" s="36">
        <f ca="1">W_Clayton</f>
        <v>4.7152015778014533E-2</v>
      </c>
      <c r="E23" s="62" cm="1">
        <f t="array" aca="1" ref="E23" ca="1">_xll.VoseSimCorrelation(Copula!$F$79,Copula!$F$80,0)</f>
        <v>0.68557612921576128</v>
      </c>
      <c r="F23" s="62" cm="1">
        <f t="array" aca="1" ref="F23" ca="1">_xll.VoseSimCorrelation(Copula!$F$79,Copula!$F$81,0)</f>
        <v>0.68801251974412525</v>
      </c>
      <c r="G23" s="62" cm="1">
        <f t="array" aca="1" ref="G23" ca="1">_xll.VoseSimCorrelation(Copula!$F$80,Copula!$F$81,0)</f>
        <v>0.69668029344680282</v>
      </c>
    </row>
    <row r="24" spans="2:18" x14ac:dyDescent="0.45">
      <c r="B24" s="25" t="s">
        <v>153</v>
      </c>
      <c r="C24" s="42">
        <f ca="1">LLH_CN</f>
        <v>19.956415466104492</v>
      </c>
      <c r="D24" s="36">
        <f ca="1">W_CN</f>
        <v>0.39101628710206038</v>
      </c>
      <c r="E24" s="62" cm="1">
        <f t="array" aca="1" ref="E24" ca="1">_xll.VoseSimCorrelation(Copula!$F$82,Copula!$F$83,0)</f>
        <v>0.80518200357582004</v>
      </c>
      <c r="F24" s="62" cm="1">
        <f t="array" aca="1" ref="F24" ca="1">_xll.VoseSimCorrelation(Copula!$F$82,Copula!$F$84,0)</f>
        <v>0.7762377615103776</v>
      </c>
      <c r="G24" s="62" cm="1">
        <f t="array" aca="1" ref="G24" ca="1">_xll.VoseSimCorrelation(Copula!$F$83,Copula!$F$84,0)</f>
        <v>0.56290535853705359</v>
      </c>
    </row>
    <row r="25" spans="2:18" x14ac:dyDescent="0.45">
      <c r="B25" s="25" t="s">
        <v>216</v>
      </c>
      <c r="C25" s="42">
        <f ca="1">LLH_CT</f>
        <v>19.87186632141097</v>
      </c>
      <c r="D25" s="36">
        <f ca="1">W_CT</f>
        <v>0.53897283865037771</v>
      </c>
      <c r="E25" s="62" cm="1">
        <f t="array" aca="1" ref="E25" ca="1">_xll.VoseSimCorrelation(Copula!$F$85,Copula!$F$86,0)</f>
        <v>0.79000553164005527</v>
      </c>
      <c r="F25" s="62" cm="1">
        <f t="array" aca="1" ref="F25" ca="1">_xll.VoseSimCorrelation(Copula!$F$85,Copula!$F$87,0)</f>
        <v>0.76265770233057706</v>
      </c>
      <c r="G25" s="62" cm="1">
        <f t="array" aca="1" ref="G25" ca="1">_xll.VoseSimCorrelation(Copula!$F$86,Copula!$F$87,0)</f>
        <v>0.54583818803838191</v>
      </c>
    </row>
    <row r="26" spans="2:18" x14ac:dyDescent="0.45">
      <c r="B26" s="33" t="s">
        <v>304</v>
      </c>
      <c r="C26" s="28"/>
      <c r="D26" s="28"/>
      <c r="E26" s="62" cm="1">
        <f t="array" aca="1" ref="E26" ca="1">_xll.VoseSimCorrelation(Copula!$F$70,Copula!$F$71,0)</f>
        <v>0.78784335348643364</v>
      </c>
      <c r="F26" s="62" cm="1">
        <f t="array" aca="1" ref="F26" ca="1">_xll.VoseSimCorrelation(Copula!$F$70,Copula!$F$72,0)</f>
        <v>0.76042668941626701</v>
      </c>
      <c r="G26" s="62" cm="1">
        <f t="array" aca="1" ref="G26" ca="1">_xll.VoseSimCorrelation(Copula!$F$71,Copula!$F$72,0)</f>
        <v>0.56293093516930937</v>
      </c>
    </row>
    <row r="27" spans="2:18" ht="8" customHeight="1" x14ac:dyDescent="0.45"/>
    <row r="28" spans="2:18" ht="22.05" customHeight="1" x14ac:dyDescent="0.5">
      <c r="B28" s="7" t="s">
        <v>305</v>
      </c>
      <c r="C28" s="8"/>
      <c r="D28" s="8"/>
      <c r="E28" s="8"/>
      <c r="F28" s="8"/>
      <c r="G28" s="8"/>
      <c r="I28" s="57" t="s">
        <v>306</v>
      </c>
      <c r="J28" s="8"/>
      <c r="K28" s="8"/>
      <c r="L28" s="8"/>
      <c r="M28" s="8"/>
      <c r="N28" s="8"/>
      <c r="O28" s="8"/>
      <c r="P28" s="8"/>
      <c r="Q28" s="8"/>
      <c r="R28" s="8"/>
    </row>
    <row r="29" spans="2:18" ht="18" customHeight="1" x14ac:dyDescent="0.45">
      <c r="B29" s="13" t="s">
        <v>307</v>
      </c>
    </row>
    <row r="30" spans="2:18" ht="30" customHeight="1" x14ac:dyDescent="0.45">
      <c r="B30" s="23" t="s">
        <v>47</v>
      </c>
      <c r="C30" s="24" t="s">
        <v>148</v>
      </c>
      <c r="D30" s="24" t="s">
        <v>65</v>
      </c>
      <c r="E30" s="24" t="s">
        <v>63</v>
      </c>
      <c r="F30" s="5"/>
      <c r="G30" s="5"/>
    </row>
    <row r="31" spans="2:18" x14ac:dyDescent="0.45">
      <c r="B31" s="25" t="s">
        <v>127</v>
      </c>
      <c r="C31" s="34">
        <f>Prior_AR1</f>
        <v>1</v>
      </c>
      <c r="D31" s="42">
        <f ca="1">LLH_AR1</f>
        <v>33.045077579160349</v>
      </c>
      <c r="E31" s="36">
        <f ca="1">W_AR1</f>
        <v>0.34716827124979643</v>
      </c>
      <c r="F31" s="28"/>
      <c r="G31" s="28"/>
    </row>
    <row r="32" spans="2:18" x14ac:dyDescent="0.45">
      <c r="B32" s="25" t="s">
        <v>128</v>
      </c>
      <c r="C32" s="34">
        <f>Prior_GBM</f>
        <v>2</v>
      </c>
      <c r="D32" s="42">
        <f ca="1">LLH_GBM</f>
        <v>32.176464258269711</v>
      </c>
      <c r="E32" s="36">
        <f ca="1">W_GBM</f>
        <v>0.2912970257446213</v>
      </c>
      <c r="F32" s="28"/>
      <c r="G32" s="28"/>
    </row>
    <row r="33" spans="2:7" x14ac:dyDescent="0.45">
      <c r="B33" s="25" t="s">
        <v>129</v>
      </c>
      <c r="C33" s="34">
        <f>Prior_MA1</f>
        <v>1</v>
      </c>
      <c r="D33" s="42">
        <f ca="1">LLH_MA1</f>
        <v>33.085626019439758</v>
      </c>
      <c r="E33" s="36">
        <f ca="1">W_MA1</f>
        <v>0.36153470300558227</v>
      </c>
      <c r="F33" s="28"/>
      <c r="G33" s="28"/>
    </row>
    <row r="34" spans="2:7" ht="8" customHeight="1" x14ac:dyDescent="0.45"/>
    <row r="44" spans="2:7" ht="22.05" customHeight="1" x14ac:dyDescent="0.5">
      <c r="B44" s="7" t="s">
        <v>308</v>
      </c>
      <c r="C44" s="8"/>
      <c r="D44" s="8"/>
      <c r="E44" s="8"/>
      <c r="F44" s="8"/>
      <c r="G44" s="8"/>
    </row>
    <row r="45" spans="2:7" ht="45" customHeight="1" x14ac:dyDescent="0.45">
      <c r="B45" s="66" t="s">
        <v>309</v>
      </c>
      <c r="C45" s="67"/>
      <c r="D45" s="67"/>
      <c r="E45" s="67"/>
      <c r="F45" s="67"/>
      <c r="G45" s="67"/>
    </row>
    <row r="46" spans="2:7" ht="45" customHeight="1" x14ac:dyDescent="0.45">
      <c r="B46" s="66" t="s">
        <v>310</v>
      </c>
      <c r="C46" s="67"/>
      <c r="D46" s="67"/>
      <c r="E46" s="67"/>
      <c r="F46" s="67"/>
      <c r="G46" s="67"/>
    </row>
    <row r="47" spans="2:7" ht="32" customHeight="1" x14ac:dyDescent="0.45">
      <c r="B47" s="66" t="s">
        <v>311</v>
      </c>
      <c r="C47" s="67"/>
      <c r="D47" s="67"/>
      <c r="E47" s="67"/>
      <c r="F47" s="67"/>
      <c r="G47" s="67"/>
    </row>
    <row r="48" spans="2:7" ht="45" customHeight="1" x14ac:dyDescent="0.45">
      <c r="B48" s="66" t="s">
        <v>312</v>
      </c>
      <c r="C48" s="67"/>
      <c r="D48" s="67"/>
      <c r="E48" s="67"/>
      <c r="F48" s="67"/>
      <c r="G48" s="67"/>
    </row>
    <row r="49" spans="2:7" ht="32" customHeight="1" x14ac:dyDescent="0.45">
      <c r="B49" s="66" t="s">
        <v>313</v>
      </c>
      <c r="C49" s="67"/>
      <c r="D49" s="67"/>
      <c r="E49" s="67"/>
      <c r="F49" s="67"/>
      <c r="G49" s="67"/>
    </row>
    <row r="50" spans="2:7" ht="45" customHeight="1" x14ac:dyDescent="0.45">
      <c r="B50" s="66" t="s">
        <v>314</v>
      </c>
      <c r="C50" s="67"/>
      <c r="D50" s="67"/>
      <c r="E50" s="67"/>
      <c r="F50" s="67"/>
      <c r="G50" s="67"/>
    </row>
    <row r="51" spans="2:7" ht="14" customHeight="1" x14ac:dyDescent="0.45"/>
    <row r="52" spans="2:7" ht="14" customHeight="1" x14ac:dyDescent="0.45"/>
    <row r="53" spans="2:7" ht="22.05" customHeight="1" x14ac:dyDescent="0.5">
      <c r="B53" s="7" t="s">
        <v>315</v>
      </c>
      <c r="C53" s="8"/>
      <c r="D53" s="8"/>
      <c r="E53" s="8"/>
      <c r="F53" s="8"/>
      <c r="G53" s="8"/>
    </row>
    <row r="54" spans="2:7" ht="18" customHeight="1" x14ac:dyDescent="0.45">
      <c r="B54" s="13" t="s">
        <v>316</v>
      </c>
    </row>
    <row r="55" spans="2:7" ht="28.05" hidden="1" customHeight="1" outlineLevel="1" x14ac:dyDescent="0.45">
      <c r="B55" s="24" t="s">
        <v>317</v>
      </c>
      <c r="C55" s="24" t="s">
        <v>318</v>
      </c>
      <c r="D55" s="24" t="s">
        <v>319</v>
      </c>
      <c r="E55" s="24" t="s">
        <v>320</v>
      </c>
      <c r="F55" s="24" t="s">
        <v>321</v>
      </c>
      <c r="G55" s="5"/>
    </row>
    <row r="56" spans="2:7" hidden="1" outlineLevel="1" x14ac:dyDescent="0.45">
      <c r="B56" s="63">
        <v>0.01</v>
      </c>
      <c r="C56" s="63">
        <f t="shared" ref="C56:C87" si="0">1-B56</f>
        <v>0.99</v>
      </c>
      <c r="D56" s="64" cm="1">
        <f t="array" aca="1" ref="D56" ca="1">IF(ISNUMBER(_xll.VoseSimPercentile(Dist_Normal,$B56)),_xll.VoseSimPercentile(Dist_Normal,$B56),NA())</f>
        <v>-3.927699034142762E-2</v>
      </c>
      <c r="E56" s="64" cm="1">
        <f t="array" aca="1" ref="E56" ca="1">IF(ISNUMBER(_xll.VoseSimPercentile(Dist_Lognormal,$B56)),_xll.VoseSimPercentile(Dist_Lognormal,$B56),NA())</f>
        <v>0.71407112899740521</v>
      </c>
      <c r="F56" s="64" cm="1">
        <f t="array" aca="1" ref="F56" ca="1">IF(ISNUMBER(_xll.VoseSimPercentile(Dist_BMA,$B56)),_xll.VoseSimPercentile(Dist_BMA,$B56),NA())</f>
        <v>0.37548677002890707</v>
      </c>
    </row>
    <row r="57" spans="2:7" hidden="1" outlineLevel="1" x14ac:dyDescent="0.45">
      <c r="B57" s="63">
        <v>0.03</v>
      </c>
      <c r="C57" s="63">
        <f t="shared" si="0"/>
        <v>0.97</v>
      </c>
      <c r="D57" s="64" cm="1">
        <f t="array" aca="1" ref="D57" ca="1">IF(ISNUMBER(_xll.VoseSimPercentile(Dist_Normal,$B57)),_xll.VoseSimPercentile(Dist_Normal,$B57),NA())</f>
        <v>0.37260760484096211</v>
      </c>
      <c r="E57" s="64" cm="1">
        <f t="array" aca="1" ref="E57" ca="1">IF(ISNUMBER(_xll.VoseSimPercentile(Dist_Lognormal,$B57)),_xll.VoseSimPercentile(Dist_Lognormal,$B57),NA())</f>
        <v>0.86877034100861628</v>
      </c>
      <c r="F57" s="64" cm="1">
        <f t="array" aca="1" ref="F57" ca="1">IF(ISNUMBER(_xll.VoseSimPercentile(Dist_BMA,$B57)),_xll.VoseSimPercentile(Dist_BMA,$B57),NA())</f>
        <v>0.735024837166249</v>
      </c>
    </row>
    <row r="58" spans="2:7" hidden="1" outlineLevel="1" x14ac:dyDescent="0.45">
      <c r="B58" s="63">
        <v>0.05</v>
      </c>
      <c r="C58" s="63">
        <f t="shared" si="0"/>
        <v>0.95</v>
      </c>
      <c r="D58" s="64" cm="1">
        <f t="array" aca="1" ref="D58" ca="1">IF(ISNUMBER(_xll.VoseSimPercentile(Dist_Normal,$B58)),_xll.VoseSimPercentile(Dist_Normal,$B58),NA())</f>
        <v>0.6381976759307213</v>
      </c>
      <c r="E58" s="64" cm="1">
        <f t="array" aca="1" ref="E58" ca="1">IF(ISNUMBER(_xll.VoseSimPercentile(Dist_Lognormal,$B58)),_xll.VoseSimPercentile(Dist_Lognormal,$B58),NA())</f>
        <v>0.97248355136308773</v>
      </c>
      <c r="F58" s="64" cm="1">
        <f t="array" aca="1" ref="F58" ca="1">IF(ISNUMBER(_xll.VoseSimPercentile(Dist_BMA,$B58)),_xll.VoseSimPercentile(Dist_BMA,$B58),NA())</f>
        <v>0.87129030072228841</v>
      </c>
    </row>
    <row r="59" spans="2:7" hidden="1" outlineLevel="1" x14ac:dyDescent="0.45">
      <c r="B59" s="63">
        <v>7.0000000000000007E-2</v>
      </c>
      <c r="C59" s="63">
        <f t="shared" si="0"/>
        <v>0.92999999999999994</v>
      </c>
      <c r="D59" s="64" cm="1">
        <f t="array" aca="1" ref="D59" ca="1">IF(ISNUMBER(_xll.VoseSimPercentile(Dist_Normal,$B59)),_xll.VoseSimPercentile(Dist_Normal,$B59),NA())</f>
        <v>0.80702787093787332</v>
      </c>
      <c r="E59" s="64" cm="1">
        <f t="array" aca="1" ref="E59" ca="1">IF(ISNUMBER(_xll.VoseSimPercentile(Dist_Lognormal,$B59)),_xll.VoseSimPercentile(Dist_Lognormal,$B59),NA())</f>
        <v>1.0461212776343534</v>
      </c>
      <c r="F59" s="64" cm="1">
        <f t="array" aca="1" ref="F59" ca="1">IF(ISNUMBER(_xll.VoseSimPercentile(Dist_BMA,$B59)),_xll.VoseSimPercentile(Dist_BMA,$B59),NA())</f>
        <v>0.97343923138321542</v>
      </c>
    </row>
    <row r="60" spans="2:7" hidden="1" outlineLevel="1" x14ac:dyDescent="0.45">
      <c r="B60" s="63">
        <v>0.09</v>
      </c>
      <c r="C60" s="63">
        <f t="shared" si="0"/>
        <v>0.91</v>
      </c>
      <c r="D60" s="64" cm="1">
        <f t="array" aca="1" ref="D60" ca="1">IF(ISNUMBER(_xll.VoseSimPercentile(Dist_Normal,$B60)),_xll.VoseSimPercentile(Dist_Normal,$B60),NA())</f>
        <v>0.9456531747872281</v>
      </c>
      <c r="E60" s="64" cm="1">
        <f t="array" aca="1" ref="E60" ca="1">IF(ISNUMBER(_xll.VoseSimPercentile(Dist_Lognormal,$B60)),_xll.VoseSimPercentile(Dist_Lognormal,$B60),NA())</f>
        <v>1.1187067461117819</v>
      </c>
      <c r="F60" s="64" cm="1">
        <f t="array" aca="1" ref="F60" ca="1">IF(ISNUMBER(_xll.VoseSimPercentile(Dist_BMA,$B60)),_xll.VoseSimPercentile(Dist_BMA,$B60),NA())</f>
        <v>1.0571015385687437</v>
      </c>
    </row>
    <row r="61" spans="2:7" hidden="1" outlineLevel="1" x14ac:dyDescent="0.45">
      <c r="B61" s="63">
        <v>0.11</v>
      </c>
      <c r="C61" s="63">
        <f t="shared" si="0"/>
        <v>0.89</v>
      </c>
      <c r="D61" s="64" cm="1">
        <f t="array" aca="1" ref="D61" ca="1">IF(ISNUMBER(_xll.VoseSimPercentile(Dist_Normal,$B61)),_xll.VoseSimPercentile(Dist_Normal,$B61),NA())</f>
        <v>1.0653443930770756</v>
      </c>
      <c r="E61" s="64" cm="1">
        <f t="array" aca="1" ref="E61" ca="1">IF(ISNUMBER(_xll.VoseSimPercentile(Dist_Lognormal,$B61)),_xll.VoseSimPercentile(Dist_Lognormal,$B61),NA())</f>
        <v>1.1791043341015019</v>
      </c>
      <c r="F61" s="64" cm="1">
        <f t="array" aca="1" ref="F61" ca="1">IF(ISNUMBER(_xll.VoseSimPercentile(Dist_BMA,$B61)),_xll.VoseSimPercentile(Dist_BMA,$B61),NA())</f>
        <v>1.1396768372566395</v>
      </c>
    </row>
    <row r="62" spans="2:7" hidden="1" outlineLevel="1" x14ac:dyDescent="0.45">
      <c r="B62" s="63">
        <v>0.13</v>
      </c>
      <c r="C62" s="63">
        <f t="shared" si="0"/>
        <v>0.87</v>
      </c>
      <c r="D62" s="64" cm="1">
        <f t="array" aca="1" ref="D62" ca="1">IF(ISNUMBER(_xll.VoseSimPercentile(Dist_Normal,$B62)),_xll.VoseSimPercentile(Dist_Normal,$B62),NA())</f>
        <v>1.1673708258533875</v>
      </c>
      <c r="E62" s="64" cm="1">
        <f t="array" aca="1" ref="E62" ca="1">IF(ISNUMBER(_xll.VoseSimPercentile(Dist_Lognormal,$B62)),_xll.VoseSimPercentile(Dist_Lognormal,$B62),NA())</f>
        <v>1.2318352191494377</v>
      </c>
      <c r="F62" s="64" cm="1">
        <f t="array" aca="1" ref="F62" ca="1">IF(ISNUMBER(_xll.VoseSimPercentile(Dist_BMA,$B62)),_xll.VoseSimPercentile(Dist_BMA,$B62),NA())</f>
        <v>1.2114555994137433</v>
      </c>
    </row>
    <row r="63" spans="2:7" hidden="1" outlineLevel="1" x14ac:dyDescent="0.45">
      <c r="B63" s="63">
        <v>0.15</v>
      </c>
      <c r="C63" s="63">
        <f t="shared" si="0"/>
        <v>0.85</v>
      </c>
      <c r="D63" s="64" cm="1">
        <f t="array" aca="1" ref="D63" ca="1">IF(ISNUMBER(_xll.VoseSimPercentile(Dist_Normal,$B63)),_xll.VoseSimPercentile(Dist_Normal,$B63),NA())</f>
        <v>1.2632508496482029</v>
      </c>
      <c r="E63" s="64" cm="1">
        <f t="array" aca="1" ref="E63" ca="1">IF(ISNUMBER(_xll.VoseSimPercentile(Dist_Lognormal,$B63)),_xll.VoseSimPercentile(Dist_Lognormal,$B63),NA())</f>
        <v>1.2819553860281263</v>
      </c>
      <c r="F63" s="64" cm="1">
        <f t="array" aca="1" ref="F63" ca="1">IF(ISNUMBER(_xll.VoseSimPercentile(Dist_BMA,$B63)),_xll.VoseSimPercentile(Dist_BMA,$B63),NA())</f>
        <v>1.2694650729964772</v>
      </c>
    </row>
    <row r="64" spans="2:7" hidden="1" outlineLevel="1" x14ac:dyDescent="0.45">
      <c r="B64" s="63">
        <v>0.17</v>
      </c>
      <c r="C64" s="63">
        <f t="shared" si="0"/>
        <v>0.83</v>
      </c>
      <c r="D64" s="64" cm="1">
        <f t="array" aca="1" ref="D64" ca="1">IF(ISNUMBER(_xll.VoseSimPercentile(Dist_Normal,$B64)),_xll.VoseSimPercentile(Dist_Normal,$B64),NA())</f>
        <v>1.3388103325143612</v>
      </c>
      <c r="E64" s="64" cm="1">
        <f t="array" aca="1" ref="E64" ca="1">IF(ISNUMBER(_xll.VoseSimPercentile(Dist_Lognormal,$B64)),_xll.VoseSimPercentile(Dist_Lognormal,$B64),NA())</f>
        <v>1.3327552873696911</v>
      </c>
      <c r="F64" s="64" cm="1">
        <f t="array" aca="1" ref="F64" ca="1">IF(ISNUMBER(_xll.VoseSimPercentile(Dist_BMA,$B64)),_xll.VoseSimPercentile(Dist_BMA,$B64),NA())</f>
        <v>1.3291424966024614</v>
      </c>
    </row>
    <row r="65" spans="2:6" hidden="1" outlineLevel="1" x14ac:dyDescent="0.45">
      <c r="B65" s="63">
        <v>0.19</v>
      </c>
      <c r="C65" s="63">
        <f t="shared" si="0"/>
        <v>0.81</v>
      </c>
      <c r="D65" s="64" cm="1">
        <f t="array" aca="1" ref="D65" ca="1">IF(ISNUMBER(_xll.VoseSimPercentile(Dist_Normal,$B65)),_xll.VoseSimPercentile(Dist_Normal,$B65),NA())</f>
        <v>1.4180731471233456</v>
      </c>
      <c r="E65" s="64" cm="1">
        <f t="array" aca="1" ref="E65" ca="1">IF(ISNUMBER(_xll.VoseSimPercentile(Dist_Lognormal,$B65)),_xll.VoseSimPercentile(Dist_Lognormal,$B65),NA())</f>
        <v>1.3749956029012345</v>
      </c>
      <c r="F65" s="64" cm="1">
        <f t="array" aca="1" ref="F65" ca="1">IF(ISNUMBER(_xll.VoseSimPercentile(Dist_BMA,$B65)),_xll.VoseSimPercentile(Dist_BMA,$B65),NA())</f>
        <v>1.3835748441012066</v>
      </c>
    </row>
    <row r="66" spans="2:6" hidden="1" outlineLevel="1" x14ac:dyDescent="0.45">
      <c r="B66" s="63">
        <v>0.21</v>
      </c>
      <c r="C66" s="63">
        <f t="shared" si="0"/>
        <v>0.79</v>
      </c>
      <c r="D66" s="64" cm="1">
        <f t="array" aca="1" ref="D66" ca="1">IF(ISNUMBER(_xll.VoseSimPercentile(Dist_Normal,$B66)),_xll.VoseSimPercentile(Dist_Normal,$B66),NA())</f>
        <v>1.484026507605622</v>
      </c>
      <c r="E66" s="64" cm="1">
        <f t="array" aca="1" ref="E66" ca="1">IF(ISNUMBER(_xll.VoseSimPercentile(Dist_Lognormal,$B66)),_xll.VoseSimPercentile(Dist_Lognormal,$B66),NA())</f>
        <v>1.423217033073114</v>
      </c>
      <c r="F66" s="64" cm="1">
        <f t="array" aca="1" ref="F66" ca="1">IF(ISNUMBER(_xll.VoseSimPercentile(Dist_BMA,$B66)),_xll.VoseSimPercentile(Dist_BMA,$B66),NA())</f>
        <v>1.4305595636327368</v>
      </c>
    </row>
    <row r="67" spans="2:6" hidden="1" outlineLevel="1" x14ac:dyDescent="0.45">
      <c r="B67" s="63">
        <v>0.23</v>
      </c>
      <c r="C67" s="63">
        <f t="shared" si="0"/>
        <v>0.77</v>
      </c>
      <c r="D67" s="64" cm="1">
        <f t="array" aca="1" ref="D67" ca="1">IF(ISNUMBER(_xll.VoseSimPercentile(Dist_Normal,$B67)),_xll.VoseSimPercentile(Dist_Normal,$B67),NA())</f>
        <v>1.5603846233613785</v>
      </c>
      <c r="E67" s="64" cm="1">
        <f t="array" aca="1" ref="E67" ca="1">IF(ISNUMBER(_xll.VoseSimPercentile(Dist_Lognormal,$B67)),_xll.VoseSimPercentile(Dist_Lognormal,$B67),NA())</f>
        <v>1.4737058647587196</v>
      </c>
      <c r="F67" s="64" cm="1">
        <f t="array" aca="1" ref="F67" ca="1">IF(ISNUMBER(_xll.VoseSimPercentile(Dist_BMA,$B67)),_xll.VoseSimPercentile(Dist_BMA,$B67),NA())</f>
        <v>1.4804986406651601</v>
      </c>
    </row>
    <row r="68" spans="2:6" hidden="1" outlineLevel="1" x14ac:dyDescent="0.45">
      <c r="B68" s="63">
        <v>0.25</v>
      </c>
      <c r="C68" s="63">
        <f t="shared" si="0"/>
        <v>0.75</v>
      </c>
      <c r="D68" s="64" cm="1">
        <f t="array" aca="1" ref="D68" ca="1">IF(ISNUMBER(_xll.VoseSimPercentile(Dist_Normal,$B68)),_xll.VoseSimPercentile(Dist_Normal,$B68),NA())</f>
        <v>1.6293831038985307</v>
      </c>
      <c r="E68" s="64" cm="1">
        <f t="array" aca="1" ref="E68" ca="1">IF(ISNUMBER(_xll.VoseSimPercentile(Dist_Lognormal,$B68)),_xll.VoseSimPercentile(Dist_Lognormal,$B68),NA())</f>
        <v>1.5203378450424512</v>
      </c>
      <c r="F68" s="64" cm="1">
        <f t="array" aca="1" ref="F68" ca="1">IF(ISNUMBER(_xll.VoseSimPercentile(Dist_BMA,$B68)),_xll.VoseSimPercentile(Dist_BMA,$B68),NA())</f>
        <v>1.5273439874389478</v>
      </c>
    </row>
    <row r="69" spans="2:6" hidden="1" outlineLevel="1" x14ac:dyDescent="0.45">
      <c r="B69" s="63">
        <v>0.27</v>
      </c>
      <c r="C69" s="63">
        <f t="shared" si="0"/>
        <v>0.73</v>
      </c>
      <c r="D69" s="64" cm="1">
        <f t="array" aca="1" ref="D69" ca="1">IF(ISNUMBER(_xll.VoseSimPercentile(Dist_Normal,$B69)),_xll.VoseSimPercentile(Dist_Normal,$B69),NA())</f>
        <v>1.6928839515399874</v>
      </c>
      <c r="E69" s="64" cm="1">
        <f t="array" aca="1" ref="E69" ca="1">IF(ISNUMBER(_xll.VoseSimPercentile(Dist_Lognormal,$B69)),_xll.VoseSimPercentile(Dist_Lognormal,$B69),NA())</f>
        <v>1.5658039549274962</v>
      </c>
      <c r="F69" s="64" cm="1">
        <f t="array" aca="1" ref="F69" ca="1">IF(ISNUMBER(_xll.VoseSimPercentile(Dist_BMA,$B69)),_xll.VoseSimPercentile(Dist_BMA,$B69),NA())</f>
        <v>1.5807155043368253</v>
      </c>
    </row>
    <row r="70" spans="2:6" hidden="1" outlineLevel="1" x14ac:dyDescent="0.45">
      <c r="B70" s="63">
        <v>0.28999999999999998</v>
      </c>
      <c r="C70" s="63">
        <f t="shared" si="0"/>
        <v>0.71</v>
      </c>
      <c r="D70" s="64" cm="1">
        <f t="array" aca="1" ref="D70" ca="1">IF(ISNUMBER(_xll.VoseSimPercentile(Dist_Normal,$B70)),_xll.VoseSimPercentile(Dist_Normal,$B70),NA())</f>
        <v>1.7532867558017213</v>
      </c>
      <c r="E70" s="64" cm="1">
        <f t="array" aca="1" ref="E70" ca="1">IF(ISNUMBER(_xll.VoseSimPercentile(Dist_Lognormal,$B70)),_xll.VoseSimPercentile(Dist_Lognormal,$B70),NA())</f>
        <v>1.613194941238284</v>
      </c>
      <c r="F70" s="64" cm="1">
        <f t="array" aca="1" ref="F70" ca="1">IF(ISNUMBER(_xll.VoseSimPercentile(Dist_BMA,$B70)),_xll.VoseSimPercentile(Dist_BMA,$B70),NA())</f>
        <v>1.6224666621260748</v>
      </c>
    </row>
    <row r="71" spans="2:6" hidden="1" outlineLevel="1" x14ac:dyDescent="0.45">
      <c r="B71" s="63">
        <v>0.31</v>
      </c>
      <c r="C71" s="63">
        <f t="shared" si="0"/>
        <v>0.69</v>
      </c>
      <c r="D71" s="64" cm="1">
        <f t="array" aca="1" ref="D71" ca="1">IF(ISNUMBER(_xll.VoseSimPercentile(Dist_Normal,$B71)),_xll.VoseSimPercentile(Dist_Normal,$B71),NA())</f>
        <v>1.8152374143806205</v>
      </c>
      <c r="E71" s="64" cm="1">
        <f t="array" aca="1" ref="E71" ca="1">IF(ISNUMBER(_xll.VoseSimPercentile(Dist_Lognormal,$B71)),_xll.VoseSimPercentile(Dist_Lognormal,$B71),NA())</f>
        <v>1.6593132776414123</v>
      </c>
      <c r="F71" s="64" cm="1">
        <f t="array" aca="1" ref="F71" ca="1">IF(ISNUMBER(_xll.VoseSimPercentile(Dist_BMA,$B71)),_xll.VoseSimPercentile(Dist_BMA,$B71),NA())</f>
        <v>1.6658045368001417</v>
      </c>
    </row>
    <row r="72" spans="2:6" hidden="1" outlineLevel="1" x14ac:dyDescent="0.45">
      <c r="B72" s="63">
        <v>0.33</v>
      </c>
      <c r="C72" s="63">
        <f t="shared" si="0"/>
        <v>0.66999999999999993</v>
      </c>
      <c r="D72" s="64" cm="1">
        <f t="array" aca="1" ref="D72" ca="1">IF(ISNUMBER(_xll.VoseSimPercentile(Dist_Normal,$B72)),_xll.VoseSimPercentile(Dist_Normal,$B72),NA())</f>
        <v>1.8728342973838441</v>
      </c>
      <c r="E72" s="64" cm="1">
        <f t="array" aca="1" ref="E72" ca="1">IF(ISNUMBER(_xll.VoseSimPercentile(Dist_Lognormal,$B72)),_xll.VoseSimPercentile(Dist_Lognormal,$B72),NA())</f>
        <v>1.7037262333574934</v>
      </c>
      <c r="F72" s="64" cm="1">
        <f t="array" aca="1" ref="F72" ca="1">IF(ISNUMBER(_xll.VoseSimPercentile(Dist_BMA,$B72)),_xll.VoseSimPercentile(Dist_BMA,$B72),NA())</f>
        <v>1.7121696460972091</v>
      </c>
    </row>
    <row r="73" spans="2:6" hidden="1" outlineLevel="1" x14ac:dyDescent="0.45">
      <c r="B73" s="63">
        <v>0.35</v>
      </c>
      <c r="C73" s="63">
        <f t="shared" si="0"/>
        <v>0.65</v>
      </c>
      <c r="D73" s="64" cm="1">
        <f t="array" aca="1" ref="D73" ca="1">IF(ISNUMBER(_xll.VoseSimPercentile(Dist_Normal,$B73)),_xll.VoseSimPercentile(Dist_Normal,$B73),NA())</f>
        <v>1.9296315571963778</v>
      </c>
      <c r="E73" s="64" cm="1">
        <f t="array" aca="1" ref="E73" ca="1">IF(ISNUMBER(_xll.VoseSimPercentile(Dist_Lognormal,$B73)),_xll.VoseSimPercentile(Dist_Lognormal,$B73),NA())</f>
        <v>1.746233822927084</v>
      </c>
      <c r="F73" s="64" cm="1">
        <f t="array" aca="1" ref="F73" ca="1">IF(ISNUMBER(_xll.VoseSimPercentile(Dist_BMA,$B73)),_xll.VoseSimPercentile(Dist_BMA,$B73),NA())</f>
        <v>1.757622954521507</v>
      </c>
    </row>
    <row r="74" spans="2:6" hidden="1" outlineLevel="1" x14ac:dyDescent="0.45">
      <c r="B74" s="63">
        <v>0.37</v>
      </c>
      <c r="C74" s="63">
        <f t="shared" si="0"/>
        <v>0.63</v>
      </c>
      <c r="D74" s="64" cm="1">
        <f t="array" aca="1" ref="D74" ca="1">IF(ISNUMBER(_xll.VoseSimPercentile(Dist_Normal,$B74)),_xll.VoseSimPercentile(Dist_Normal,$B74),NA())</f>
        <v>1.9860394140168793</v>
      </c>
      <c r="E74" s="64" cm="1">
        <f t="array" aca="1" ref="E74" ca="1">IF(ISNUMBER(_xll.VoseSimPercentile(Dist_Lognormal,$B74)),_xll.VoseSimPercentile(Dist_Lognormal,$B74),NA())</f>
        <v>1.7929705796745321</v>
      </c>
      <c r="F74" s="64" cm="1">
        <f t="array" aca="1" ref="F74" ca="1">IF(ISNUMBER(_xll.VoseSimPercentile(Dist_BMA,$B74)),_xll.VoseSimPercentile(Dist_BMA,$B74),NA())</f>
        <v>1.8032030805374104</v>
      </c>
    </row>
    <row r="75" spans="2:6" hidden="1" outlineLevel="1" x14ac:dyDescent="0.45">
      <c r="B75" s="63">
        <v>0.39</v>
      </c>
      <c r="C75" s="63">
        <f t="shared" si="0"/>
        <v>0.61</v>
      </c>
      <c r="D75" s="64" cm="1">
        <f t="array" aca="1" ref="D75" ca="1">IF(ISNUMBER(_xll.VoseSimPercentile(Dist_Normal,$B75)),_xll.VoseSimPercentile(Dist_Normal,$B75),NA())</f>
        <v>2.0434708190198814</v>
      </c>
      <c r="E75" s="64" cm="1">
        <f t="array" aca="1" ref="E75" ca="1">IF(ISNUMBER(_xll.VoseSimPercentile(Dist_Lognormal,$B75)),_xll.VoseSimPercentile(Dist_Lognormal,$B75),NA())</f>
        <v>1.8416584742358428</v>
      </c>
      <c r="F75" s="64" cm="1">
        <f t="array" aca="1" ref="F75" ca="1">IF(ISNUMBER(_xll.VoseSimPercentile(Dist_BMA,$B75)),_xll.VoseSimPercentile(Dist_BMA,$B75),NA())</f>
        <v>1.8483543259735464</v>
      </c>
    </row>
    <row r="76" spans="2:6" hidden="1" outlineLevel="1" x14ac:dyDescent="0.45">
      <c r="B76" s="63">
        <v>0.41</v>
      </c>
      <c r="C76" s="63">
        <f t="shared" si="0"/>
        <v>0.59000000000000008</v>
      </c>
      <c r="D76" s="64" cm="1">
        <f t="array" aca="1" ref="D76" ca="1">IF(ISNUMBER(_xll.VoseSimPercentile(Dist_Normal,$B76)),_xll.VoseSimPercentile(Dist_Normal,$B76),NA())</f>
        <v>2.0998870281457762</v>
      </c>
      <c r="E76" s="64" cm="1">
        <f t="array" aca="1" ref="E76" ca="1">IF(ISNUMBER(_xll.VoseSimPercentile(Dist_Lognormal,$B76)),_xll.VoseSimPercentile(Dist_Lognormal,$B76),NA())</f>
        <v>1.8806167983266122</v>
      </c>
      <c r="F76" s="64" cm="1">
        <f t="array" aca="1" ref="F76" ca="1">IF(ISNUMBER(_xll.VoseSimPercentile(Dist_BMA,$B76)),_xll.VoseSimPercentile(Dist_BMA,$B76),NA())</f>
        <v>1.8969642614998743</v>
      </c>
    </row>
    <row r="77" spans="2:6" hidden="1" outlineLevel="1" x14ac:dyDescent="0.45">
      <c r="B77" s="63">
        <v>0.43</v>
      </c>
      <c r="C77" s="63">
        <f t="shared" si="0"/>
        <v>0.57000000000000006</v>
      </c>
      <c r="D77" s="64" cm="1">
        <f t="array" aca="1" ref="D77" ca="1">IF(ISNUMBER(_xll.VoseSimPercentile(Dist_Normal,$B77)),_xll.VoseSimPercentile(Dist_Normal,$B77),NA())</f>
        <v>2.1479371887300438</v>
      </c>
      <c r="E77" s="64" cm="1">
        <f t="array" aca="1" ref="E77" ca="1">IF(ISNUMBER(_xll.VoseSimPercentile(Dist_Lognormal,$B77)),_xll.VoseSimPercentile(Dist_Lognormal,$B77),NA())</f>
        <v>1.9253281689636275</v>
      </c>
      <c r="F77" s="64" cm="1">
        <f t="array" aca="1" ref="F77" ca="1">IF(ISNUMBER(_xll.VoseSimPercentile(Dist_BMA,$B77)),_xll.VoseSimPercentile(Dist_BMA,$B77),NA())</f>
        <v>1.9465576542593443</v>
      </c>
    </row>
    <row r="78" spans="2:6" hidden="1" outlineLevel="1" x14ac:dyDescent="0.45">
      <c r="B78" s="63">
        <v>0.45</v>
      </c>
      <c r="C78" s="63">
        <f t="shared" si="0"/>
        <v>0.55000000000000004</v>
      </c>
      <c r="D78" s="64" cm="1">
        <f t="array" aca="1" ref="D78" ca="1">IF(ISNUMBER(_xll.VoseSimPercentile(Dist_Normal,$B78)),_xll.VoseSimPercentile(Dist_Normal,$B78),NA())</f>
        <v>2.2011052155995352</v>
      </c>
      <c r="E78" s="64" cm="1">
        <f t="array" aca="1" ref="E78" ca="1">IF(ISNUMBER(_xll.VoseSimPercentile(Dist_Lognormal,$B78)),_xll.VoseSimPercentile(Dist_Lognormal,$B78),NA())</f>
        <v>1.9707546212223142</v>
      </c>
      <c r="F78" s="64" cm="1">
        <f t="array" aca="1" ref="F78" ca="1">IF(ISNUMBER(_xll.VoseSimPercentile(Dist_BMA,$B78)),_xll.VoseSimPercentile(Dist_BMA,$B78),NA())</f>
        <v>1.991019153317418</v>
      </c>
    </row>
    <row r="79" spans="2:6" hidden="1" outlineLevel="1" x14ac:dyDescent="0.45">
      <c r="B79" s="63">
        <v>0.47</v>
      </c>
      <c r="C79" s="63">
        <f t="shared" si="0"/>
        <v>0.53</v>
      </c>
      <c r="D79" s="64" cm="1">
        <f t="array" aca="1" ref="D79" ca="1">IF(ISNUMBER(_xll.VoseSimPercentile(Dist_Normal,$B79)),_xll.VoseSimPercentile(Dist_Normal,$B79),NA())</f>
        <v>2.2499372658731396</v>
      </c>
      <c r="E79" s="64" cm="1">
        <f t="array" aca="1" ref="E79" ca="1">IF(ISNUMBER(_xll.VoseSimPercentile(Dist_Lognormal,$B79)),_xll.VoseSimPercentile(Dist_Lognormal,$B79),NA())</f>
        <v>2.0218299861373668</v>
      </c>
      <c r="F79" s="64" cm="1">
        <f t="array" aca="1" ref="F79" ca="1">IF(ISNUMBER(_xll.VoseSimPercentile(Dist_BMA,$B79)),_xll.VoseSimPercentile(Dist_BMA,$B79),NA())</f>
        <v>2.0408508416585684</v>
      </c>
    </row>
    <row r="80" spans="2:6" hidden="1" outlineLevel="1" x14ac:dyDescent="0.45">
      <c r="B80" s="63">
        <v>0.49</v>
      </c>
      <c r="C80" s="63">
        <f t="shared" si="0"/>
        <v>0.51</v>
      </c>
      <c r="D80" s="64" cm="1">
        <f t="array" aca="1" ref="D80" ca="1">IF(ISNUMBER(_xll.VoseSimPercentile(Dist_Normal,$B80)),_xll.VoseSimPercentile(Dist_Normal,$B80),NA())</f>
        <v>2.2982617431703432</v>
      </c>
      <c r="E80" s="64" cm="1">
        <f t="array" aca="1" ref="E80" ca="1">IF(ISNUMBER(_xll.VoseSimPercentile(Dist_Lognormal,$B80)),_xll.VoseSimPercentile(Dist_Lognormal,$B80),NA())</f>
        <v>2.0665233038730424</v>
      </c>
      <c r="F80" s="64" cm="1">
        <f t="array" aca="1" ref="F80" ca="1">IF(ISNUMBER(_xll.VoseSimPercentile(Dist_BMA,$B80)),_xll.VoseSimPercentile(Dist_BMA,$B80),NA())</f>
        <v>2.0908437552468531</v>
      </c>
    </row>
    <row r="81" spans="2:6" hidden="1" outlineLevel="1" x14ac:dyDescent="0.45">
      <c r="B81" s="63">
        <v>0.51</v>
      </c>
      <c r="C81" s="63">
        <f t="shared" si="0"/>
        <v>0.49</v>
      </c>
      <c r="D81" s="64" cm="1">
        <f t="array" aca="1" ref="D81" ca="1">IF(ISNUMBER(_xll.VoseSimPercentile(Dist_Normal,$B81)),_xll.VoseSimPercentile(Dist_Normal,$B81),NA())</f>
        <v>2.3493403292527892</v>
      </c>
      <c r="E81" s="64" cm="1">
        <f t="array" aca="1" ref="E81" ca="1">IF(ISNUMBER(_xll.VoseSimPercentile(Dist_Lognormal,$B81)),_xll.VoseSimPercentile(Dist_Lognormal,$B81),NA())</f>
        <v>2.1131642757779714</v>
      </c>
      <c r="F81" s="64" cm="1">
        <f t="array" aca="1" ref="F81" ca="1">IF(ISNUMBER(_xll.VoseSimPercentile(Dist_BMA,$B81)),_xll.VoseSimPercentile(Dist_BMA,$B81),NA())</f>
        <v>2.1381186081582784</v>
      </c>
    </row>
    <row r="82" spans="2:6" hidden="1" outlineLevel="1" x14ac:dyDescent="0.45">
      <c r="B82" s="63">
        <v>0.53</v>
      </c>
      <c r="C82" s="63">
        <f t="shared" si="0"/>
        <v>0.47</v>
      </c>
      <c r="D82" s="64" cm="1">
        <f t="array" aca="1" ref="D82" ca="1">IF(ISNUMBER(_xll.VoseSimPercentile(Dist_Normal,$B82)),_xll.VoseSimPercentile(Dist_Normal,$B82),NA())</f>
        <v>2.4036378317290139</v>
      </c>
      <c r="E82" s="64" cm="1">
        <f t="array" aca="1" ref="E82" ca="1">IF(ISNUMBER(_xll.VoseSimPercentile(Dist_Lognormal,$B82)),_xll.VoseSimPercentile(Dist_Lognormal,$B82),NA())</f>
        <v>2.1628201334295887</v>
      </c>
      <c r="F82" s="64" cm="1">
        <f t="array" aca="1" ref="F82" ca="1">IF(ISNUMBER(_xll.VoseSimPercentile(Dist_BMA,$B82)),_xll.VoseSimPercentile(Dist_BMA,$B82),NA())</f>
        <v>2.1924060402505359</v>
      </c>
    </row>
    <row r="83" spans="2:6" hidden="1" outlineLevel="1" x14ac:dyDescent="0.45">
      <c r="B83" s="63">
        <v>0.55000000000000004</v>
      </c>
      <c r="C83" s="63">
        <f t="shared" si="0"/>
        <v>0.44999999999999996</v>
      </c>
      <c r="D83" s="64" cm="1">
        <f t="array" aca="1" ref="D83" ca="1">IF(ISNUMBER(_xll.VoseSimPercentile(Dist_Normal,$B83)),_xll.VoseSimPercentile(Dist_Normal,$B83),NA())</f>
        <v>2.4541080895523923</v>
      </c>
      <c r="E83" s="64" cm="1">
        <f t="array" aca="1" ref="E83" ca="1">IF(ISNUMBER(_xll.VoseSimPercentile(Dist_Lognormal,$B83)),_xll.VoseSimPercentile(Dist_Lognormal,$B83),NA())</f>
        <v>2.2149785661313226</v>
      </c>
      <c r="F83" s="64" cm="1">
        <f t="array" aca="1" ref="F83" ca="1">IF(ISNUMBER(_xll.VoseSimPercentile(Dist_BMA,$B83)),_xll.VoseSimPercentile(Dist_BMA,$B83),NA())</f>
        <v>2.2442431264928682</v>
      </c>
    </row>
    <row r="84" spans="2:6" hidden="1" outlineLevel="1" x14ac:dyDescent="0.45">
      <c r="B84" s="63">
        <v>0.56999999999999995</v>
      </c>
      <c r="C84" s="63">
        <f t="shared" si="0"/>
        <v>0.43000000000000005</v>
      </c>
      <c r="D84" s="64" cm="1">
        <f t="array" aca="1" ref="D84" ca="1">IF(ISNUMBER(_xll.VoseSimPercentile(Dist_Normal,$B84)),_xll.VoseSimPercentile(Dist_Normal,$B84),NA())</f>
        <v>2.5015381826280763</v>
      </c>
      <c r="E84" s="64" cm="1">
        <f t="array" aca="1" ref="E84" ca="1">IF(ISNUMBER(_xll.VoseSimPercentile(Dist_Lognormal,$B84)),_xll.VoseSimPercentile(Dist_Lognormal,$B84),NA())</f>
        <v>2.270736069255272</v>
      </c>
      <c r="F84" s="64" cm="1">
        <f t="array" aca="1" ref="F84" ca="1">IF(ISNUMBER(_xll.VoseSimPercentile(Dist_BMA,$B84)),_xll.VoseSimPercentile(Dist_BMA,$B84),NA())</f>
        <v>2.3025863898239307</v>
      </c>
    </row>
    <row r="85" spans="2:6" hidden="1" outlineLevel="1" x14ac:dyDescent="0.45">
      <c r="B85" s="63">
        <v>0.59</v>
      </c>
      <c r="C85" s="63">
        <f t="shared" si="0"/>
        <v>0.41000000000000003</v>
      </c>
      <c r="D85" s="64" cm="1">
        <f t="array" aca="1" ref="D85" ca="1">IF(ISNUMBER(_xll.VoseSimPercentile(Dist_Normal,$B85)),_xll.VoseSimPercentile(Dist_Normal,$B85),NA())</f>
        <v>2.5525927660219789</v>
      </c>
      <c r="E85" s="64" cm="1">
        <f t="array" aca="1" ref="E85" ca="1">IF(ISNUMBER(_xll.VoseSimPercentile(Dist_Lognormal,$B85)),_xll.VoseSimPercentile(Dist_Lognormal,$B85),NA())</f>
        <v>2.3262870861897587</v>
      </c>
      <c r="F85" s="64" cm="1">
        <f t="array" aca="1" ref="F85" ca="1">IF(ISNUMBER(_xll.VoseSimPercentile(Dist_BMA,$B85)),_xll.VoseSimPercentile(Dist_BMA,$B85),NA())</f>
        <v>2.3603804441284231</v>
      </c>
    </row>
    <row r="86" spans="2:6" hidden="1" outlineLevel="1" x14ac:dyDescent="0.45">
      <c r="B86" s="63">
        <v>0.61</v>
      </c>
      <c r="C86" s="63">
        <f t="shared" si="0"/>
        <v>0.39</v>
      </c>
      <c r="D86" s="64" cm="1">
        <f t="array" aca="1" ref="D86" ca="1">IF(ISNUMBER(_xll.VoseSimPercentile(Dist_Normal,$B86)),_xll.VoseSimPercentile(Dist_Normal,$B86),NA())</f>
        <v>2.6059099831487496</v>
      </c>
      <c r="E86" s="64" cm="1">
        <f t="array" aca="1" ref="E86" ca="1">IF(ISNUMBER(_xll.VoseSimPercentile(Dist_Lognormal,$B86)),_xll.VoseSimPercentile(Dist_Lognormal,$B86),NA())</f>
        <v>2.3755284973153716</v>
      </c>
      <c r="F86" s="64" cm="1">
        <f t="array" aca="1" ref="F86" ca="1">IF(ISNUMBER(_xll.VoseSimPercentile(Dist_BMA,$B86)),_xll.VoseSimPercentile(Dist_BMA,$B86),NA())</f>
        <v>2.4153593102065938</v>
      </c>
    </row>
    <row r="87" spans="2:6" hidden="1" outlineLevel="1" x14ac:dyDescent="0.45">
      <c r="B87" s="63">
        <v>0.63</v>
      </c>
      <c r="C87" s="63">
        <f t="shared" si="0"/>
        <v>0.37</v>
      </c>
      <c r="D87" s="64" cm="1">
        <f t="array" aca="1" ref="D87" ca="1">IF(ISNUMBER(_xll.VoseSimPercentile(Dist_Normal,$B87)),_xll.VoseSimPercentile(Dist_Normal,$B87),NA())</f>
        <v>2.6631349408390412</v>
      </c>
      <c r="E87" s="64" cm="1">
        <f t="array" aca="1" ref="E87" ca="1">IF(ISNUMBER(_xll.VoseSimPercentile(Dist_Lognormal,$B87)),_xll.VoseSimPercentile(Dist_Lognormal,$B87),NA())</f>
        <v>2.4342622178268041</v>
      </c>
      <c r="F87" s="64" cm="1">
        <f t="array" aca="1" ref="F87" ca="1">IF(ISNUMBER(_xll.VoseSimPercentile(Dist_BMA,$B87)),_xll.VoseSimPercentile(Dist_BMA,$B87),NA())</f>
        <v>2.480221799626233</v>
      </c>
    </row>
    <row r="88" spans="2:6" hidden="1" outlineLevel="1" x14ac:dyDescent="0.45">
      <c r="B88" s="63">
        <v>0.65</v>
      </c>
      <c r="C88" s="63">
        <f t="shared" ref="C88:C105" si="1">1-B88</f>
        <v>0.35</v>
      </c>
      <c r="D88" s="64" cm="1">
        <f t="array" aca="1" ref="D88" ca="1">IF(ISNUMBER(_xll.VoseSimPercentile(Dist_Normal,$B88)),_xll.VoseSimPercentile(Dist_Normal,$B88),NA())</f>
        <v>2.7142279815883672</v>
      </c>
      <c r="E88" s="64" cm="1">
        <f t="array" aca="1" ref="E88" ca="1">IF(ISNUMBER(_xll.VoseSimPercentile(Dist_Lognormal,$B88)),_xll.VoseSimPercentile(Dist_Lognormal,$B88),NA())</f>
        <v>2.4970924204851919</v>
      </c>
      <c r="F88" s="64" cm="1">
        <f t="array" aca="1" ref="F88" ca="1">IF(ISNUMBER(_xll.VoseSimPercentile(Dist_BMA,$B88)),_xll.VoseSimPercentile(Dist_BMA,$B88),NA())</f>
        <v>2.5459468365709044</v>
      </c>
    </row>
    <row r="89" spans="2:6" hidden="1" outlineLevel="1" x14ac:dyDescent="0.45">
      <c r="B89" s="63">
        <v>0.67</v>
      </c>
      <c r="C89" s="63">
        <f t="shared" si="1"/>
        <v>0.32999999999999996</v>
      </c>
      <c r="D89" s="64" cm="1">
        <f t="array" aca="1" ref="D89" ca="1">IF(ISNUMBER(_xll.VoseSimPercentile(Dist_Normal,$B89)),_xll.VoseSimPercentile(Dist_Normal,$B89),NA())</f>
        <v>2.7638014287092201</v>
      </c>
      <c r="E89" s="64" cm="1">
        <f t="array" aca="1" ref="E89" ca="1">IF(ISNUMBER(_xll.VoseSimPercentile(Dist_Lognormal,$B89)),_xll.VoseSimPercentile(Dist_Lognormal,$B89),NA())</f>
        <v>2.5568355660030528</v>
      </c>
      <c r="F89" s="64" cm="1">
        <f t="array" aca="1" ref="F89" ca="1">IF(ISNUMBER(_xll.VoseSimPercentile(Dist_BMA,$B89)),_xll.VoseSimPercentile(Dist_BMA,$B89),NA())</f>
        <v>2.609613900523879</v>
      </c>
    </row>
    <row r="90" spans="2:6" hidden="1" outlineLevel="1" x14ac:dyDescent="0.45">
      <c r="B90" s="63">
        <v>0.69</v>
      </c>
      <c r="C90" s="63">
        <f t="shared" si="1"/>
        <v>0.31000000000000005</v>
      </c>
      <c r="D90" s="64" cm="1">
        <f t="array" aca="1" ref="D90" ca="1">IF(ISNUMBER(_xll.VoseSimPercentile(Dist_Normal,$B90)),_xll.VoseSimPercentile(Dist_Normal,$B90),NA())</f>
        <v>2.8233747093487223</v>
      </c>
      <c r="E90" s="64" cm="1">
        <f t="array" aca="1" ref="E90" ca="1">IF(ISNUMBER(_xll.VoseSimPercentile(Dist_Lognormal,$B90)),_xll.VoseSimPercentile(Dist_Lognormal,$B90),NA())</f>
        <v>2.6188190238270814</v>
      </c>
      <c r="F90" s="64" cm="1">
        <f t="array" aca="1" ref="F90" ca="1">IF(ISNUMBER(_xll.VoseSimPercentile(Dist_BMA,$B90)),_xll.VoseSimPercentile(Dist_BMA,$B90),NA())</f>
        <v>2.6767954787192889</v>
      </c>
    </row>
    <row r="91" spans="2:6" hidden="1" outlineLevel="1" x14ac:dyDescent="0.45">
      <c r="B91" s="63">
        <v>0.71</v>
      </c>
      <c r="C91" s="63">
        <f t="shared" si="1"/>
        <v>0.29000000000000004</v>
      </c>
      <c r="D91" s="64" cm="1">
        <f t="array" aca="1" ref="D91" ca="1">IF(ISNUMBER(_xll.VoseSimPercentile(Dist_Normal,$B91)),_xll.VoseSimPercentile(Dist_Normal,$B91),NA())</f>
        <v>2.8799468023703403</v>
      </c>
      <c r="E91" s="64" cm="1">
        <f t="array" aca="1" ref="E91" ca="1">IF(ISNUMBER(_xll.VoseSimPercentile(Dist_Lognormal,$B91)),_xll.VoseSimPercentile(Dist_Lognormal,$B91),NA())</f>
        <v>2.6904338127869467</v>
      </c>
      <c r="F91" s="64" cm="1">
        <f t="array" aca="1" ref="F91" ca="1">IF(ISNUMBER(_xll.VoseSimPercentile(Dist_BMA,$B91)),_xll.VoseSimPercentile(Dist_BMA,$B91),NA())</f>
        <v>2.7469225881835757</v>
      </c>
    </row>
    <row r="92" spans="2:6" hidden="1" outlineLevel="1" x14ac:dyDescent="0.45">
      <c r="B92" s="63">
        <v>0.73</v>
      </c>
      <c r="C92" s="63">
        <f t="shared" si="1"/>
        <v>0.27</v>
      </c>
      <c r="D92" s="64" cm="1">
        <f t="array" aca="1" ref="D92" ca="1">IF(ISNUMBER(_xll.VoseSimPercentile(Dist_Normal,$B92)),_xll.VoseSimPercentile(Dist_Normal,$B92),NA())</f>
        <v>2.9423318449187681</v>
      </c>
      <c r="E92" s="64" cm="1">
        <f t="array" aca="1" ref="E92" ca="1">IF(ISNUMBER(_xll.VoseSimPercentile(Dist_Lognormal,$B92)),_xll.VoseSimPercentile(Dist_Lognormal,$B92),NA())</f>
        <v>2.7819148853512816</v>
      </c>
      <c r="F92" s="64" cm="1">
        <f t="array" aca="1" ref="F92" ca="1">IF(ISNUMBER(_xll.VoseSimPercentile(Dist_BMA,$B92)),_xll.VoseSimPercentile(Dist_BMA,$B92),NA())</f>
        <v>2.8232423613503208</v>
      </c>
    </row>
    <row r="93" spans="2:6" hidden="1" outlineLevel="1" x14ac:dyDescent="0.45">
      <c r="B93" s="63">
        <v>0.75</v>
      </c>
      <c r="C93" s="63">
        <f t="shared" si="1"/>
        <v>0.25</v>
      </c>
      <c r="D93" s="64" cm="1">
        <f t="array" aca="1" ref="D93" ca="1">IF(ISNUMBER(_xll.VoseSimPercentile(Dist_Normal,$B93)),_xll.VoseSimPercentile(Dist_Normal,$B93),NA())</f>
        <v>3.0128327611108889</v>
      </c>
      <c r="E93" s="64" cm="1">
        <f t="array" aca="1" ref="E93" ca="1">IF(ISNUMBER(_xll.VoseSimPercentile(Dist_Lognormal,$B93)),_xll.VoseSimPercentile(Dist_Lognormal,$B93),NA())</f>
        <v>2.8798788947949565</v>
      </c>
      <c r="F93" s="64" cm="1">
        <f t="array" aca="1" ref="F93" ca="1">IF(ISNUMBER(_xll.VoseSimPercentile(Dist_BMA,$B93)),_xll.VoseSimPercentile(Dist_BMA,$B93),NA())</f>
        <v>2.903837401826356</v>
      </c>
    </row>
    <row r="94" spans="2:6" hidden="1" outlineLevel="1" x14ac:dyDescent="0.45">
      <c r="B94" s="63">
        <v>0.77</v>
      </c>
      <c r="C94" s="63">
        <f t="shared" si="1"/>
        <v>0.22999999999999998</v>
      </c>
      <c r="D94" s="64" cm="1">
        <f t="array" aca="1" ref="D94" ca="1">IF(ISNUMBER(_xll.VoseSimPercentile(Dist_Normal,$B94)),_xll.VoseSimPercentile(Dist_Normal,$B94),NA())</f>
        <v>3.0800469985339092</v>
      </c>
      <c r="E94" s="64" cm="1">
        <f t="array" aca="1" ref="E94" ca="1">IF(ISNUMBER(_xll.VoseSimPercentile(Dist_Lognormal,$B94)),_xll.VoseSimPercentile(Dist_Lognormal,$B94),NA())</f>
        <v>2.9648392415363656</v>
      </c>
      <c r="F94" s="64" cm="1">
        <f t="array" aca="1" ref="F94" ca="1">IF(ISNUMBER(_xll.VoseSimPercentile(Dist_BMA,$B94)),_xll.VoseSimPercentile(Dist_BMA,$B94),NA())</f>
        <v>2.9826770166078296</v>
      </c>
    </row>
    <row r="95" spans="2:6" hidden="1" outlineLevel="1" x14ac:dyDescent="0.45">
      <c r="B95" s="63">
        <v>0.79</v>
      </c>
      <c r="C95" s="63">
        <f t="shared" si="1"/>
        <v>0.20999999999999996</v>
      </c>
      <c r="D95" s="64" cm="1">
        <f t="array" aca="1" ref="D95" ca="1">IF(ISNUMBER(_xll.VoseSimPercentile(Dist_Normal,$B95)),_xll.VoseSimPercentile(Dist_Normal,$B95),NA())</f>
        <v>3.1472317662874718</v>
      </c>
      <c r="E95" s="64" cm="1">
        <f t="array" aca="1" ref="E95" ca="1">IF(ISNUMBER(_xll.VoseSimPercentile(Dist_Lognormal,$B95)),_xll.VoseSimPercentile(Dist_Lognormal,$B95),NA())</f>
        <v>3.0639285708154458</v>
      </c>
      <c r="F95" s="64" cm="1">
        <f t="array" aca="1" ref="F95" ca="1">IF(ISNUMBER(_xll.VoseSimPercentile(Dist_BMA,$B95)),_xll.VoseSimPercentile(Dist_BMA,$B95),NA())</f>
        <v>3.0726257541490383</v>
      </c>
    </row>
    <row r="96" spans="2:6" hidden="1" outlineLevel="1" x14ac:dyDescent="0.45">
      <c r="B96" s="63">
        <v>0.81</v>
      </c>
      <c r="C96" s="63">
        <f t="shared" si="1"/>
        <v>0.18999999999999995</v>
      </c>
      <c r="D96" s="64" cm="1">
        <f t="array" aca="1" ref="D96" ca="1">IF(ISNUMBER(_xll.VoseSimPercentile(Dist_Normal,$B96)),_xll.VoseSimPercentile(Dist_Normal,$B96),NA())</f>
        <v>3.2308999244885697</v>
      </c>
      <c r="E96" s="64" cm="1">
        <f t="array" aca="1" ref="E96" ca="1">IF(ISNUMBER(_xll.VoseSimPercentile(Dist_Lognormal,$B96)),_xll.VoseSimPercentile(Dist_Lognormal,$B96),NA())</f>
        <v>3.1791859097202981</v>
      </c>
      <c r="F96" s="64" cm="1">
        <f t="array" aca="1" ref="F96" ca="1">IF(ISNUMBER(_xll.VoseSimPercentile(Dist_BMA,$B96)),_xll.VoseSimPercentile(Dist_BMA,$B96),NA())</f>
        <v>3.1566423340623286</v>
      </c>
    </row>
    <row r="97" spans="2:7" hidden="1" outlineLevel="1" x14ac:dyDescent="0.45">
      <c r="B97" s="63">
        <v>0.83</v>
      </c>
      <c r="C97" s="63">
        <f t="shared" si="1"/>
        <v>0.17000000000000004</v>
      </c>
      <c r="D97" s="64" cm="1">
        <f t="array" aca="1" ref="D97" ca="1">IF(ISNUMBER(_xll.VoseSimPercentile(Dist_Normal,$B97)),_xll.VoseSimPercentile(Dist_Normal,$B97),NA())</f>
        <v>3.3099367121713579</v>
      </c>
      <c r="E97" s="64" cm="1">
        <f t="array" aca="1" ref="E97" ca="1">IF(ISNUMBER(_xll.VoseSimPercentile(Dist_Lognormal,$B97)),_xll.VoseSimPercentile(Dist_Lognormal,$B97),NA())</f>
        <v>3.2950747686347888</v>
      </c>
      <c r="F97" s="64" cm="1">
        <f t="array" aca="1" ref="F97" ca="1">IF(ISNUMBER(_xll.VoseSimPercentile(Dist_BMA,$B97)),_xll.VoseSimPercentile(Dist_BMA,$B97),NA())</f>
        <v>3.2557754749711196</v>
      </c>
    </row>
    <row r="98" spans="2:7" hidden="1" outlineLevel="1" x14ac:dyDescent="0.45">
      <c r="B98" s="63">
        <v>0.85</v>
      </c>
      <c r="C98" s="63">
        <f t="shared" si="1"/>
        <v>0.15000000000000002</v>
      </c>
      <c r="D98" s="64" cm="1">
        <f t="array" aca="1" ref="D98" ca="1">IF(ISNUMBER(_xll.VoseSimPercentile(Dist_Normal,$B98)),_xll.VoseSimPercentile(Dist_Normal,$B98),NA())</f>
        <v>3.3908321657123324</v>
      </c>
      <c r="E98" s="64" cm="1">
        <f t="array" aca="1" ref="E98" ca="1">IF(ISNUMBER(_xll.VoseSimPercentile(Dist_Lognormal,$B98)),_xll.VoseSimPercentile(Dist_Lognormal,$B98),NA())</f>
        <v>3.422010315341272</v>
      </c>
      <c r="F98" s="64" cm="1">
        <f t="array" aca="1" ref="F98" ca="1">IF(ISNUMBER(_xll.VoseSimPercentile(Dist_BMA,$B98)),_xll.VoseSimPercentile(Dist_BMA,$B98),NA())</f>
        <v>3.3549968056204751</v>
      </c>
    </row>
    <row r="99" spans="2:7" hidden="1" outlineLevel="1" x14ac:dyDescent="0.45">
      <c r="B99" s="63">
        <v>0.87</v>
      </c>
      <c r="C99" s="63">
        <f t="shared" si="1"/>
        <v>0.13</v>
      </c>
      <c r="D99" s="64" cm="1">
        <f t="array" aca="1" ref="D99" ca="1">IF(ISNUMBER(_xll.VoseSimPercentile(Dist_Normal,$B99)),_xll.VoseSimPercentile(Dist_Normal,$B99),NA())</f>
        <v>3.4793628576674793</v>
      </c>
      <c r="E99" s="64" cm="1">
        <f t="array" aca="1" ref="E99" ca="1">IF(ISNUMBER(_xll.VoseSimPercentile(Dist_Lognormal,$B99)),_xll.VoseSimPercentile(Dist_Lognormal,$B99),NA())</f>
        <v>3.5478318105880597</v>
      </c>
      <c r="F99" s="64" cm="1">
        <f t="array" aca="1" ref="F99" ca="1">IF(ISNUMBER(_xll.VoseSimPercentile(Dist_BMA,$B99)),_xll.VoseSimPercentile(Dist_BMA,$B99),NA())</f>
        <v>3.470791251919076</v>
      </c>
    </row>
    <row r="100" spans="2:7" hidden="1" outlineLevel="1" x14ac:dyDescent="0.45">
      <c r="B100" s="63">
        <v>0.89</v>
      </c>
      <c r="C100" s="63">
        <f t="shared" si="1"/>
        <v>0.10999999999999999</v>
      </c>
      <c r="D100" s="64" cm="1">
        <f t="array" aca="1" ref="D100" ca="1">IF(ISNUMBER(_xll.VoseSimPercentile(Dist_Normal,$B100)),_xll.VoseSimPercentile(Dist_Normal,$B100),NA())</f>
        <v>3.5853296225038864</v>
      </c>
      <c r="E100" s="64" cm="1">
        <f t="array" aca="1" ref="E100" ca="1">IF(ISNUMBER(_xll.VoseSimPercentile(Dist_Lognormal,$B100)),_xll.VoseSimPercentile(Dist_Lognormal,$B100),NA())</f>
        <v>3.701409279370055</v>
      </c>
      <c r="F100" s="64" cm="1">
        <f t="array" aca="1" ref="F100" ca="1">IF(ISNUMBER(_xll.VoseSimPercentile(Dist_BMA,$B100)),_xll.VoseSimPercentile(Dist_BMA,$B100),NA())</f>
        <v>3.6055100558315925</v>
      </c>
    </row>
    <row r="101" spans="2:7" hidden="1" outlineLevel="1" x14ac:dyDescent="0.45">
      <c r="B101" s="63">
        <v>0.91</v>
      </c>
      <c r="C101" s="63">
        <f t="shared" si="1"/>
        <v>8.9999999999999969E-2</v>
      </c>
      <c r="D101" s="64" cm="1">
        <f t="array" aca="1" ref="D101" ca="1">IF(ISNUMBER(_xll.VoseSimPercentile(Dist_Normal,$B101)),_xll.VoseSimPercentile(Dist_Normal,$B101),NA())</f>
        <v>3.7065098560771235</v>
      </c>
      <c r="E101" s="64" cm="1">
        <f t="array" aca="1" ref="E101" ca="1">IF(ISNUMBER(_xll.VoseSimPercentile(Dist_Lognormal,$B101)),_xll.VoseSimPercentile(Dist_Lognormal,$B101),NA())</f>
        <v>3.8996579849277881</v>
      </c>
      <c r="F101" s="64" cm="1">
        <f t="array" aca="1" ref="F101" ca="1">IF(ISNUMBER(_xll.VoseSimPercentile(Dist_BMA,$B101)),_xll.VoseSimPercentile(Dist_BMA,$B101),NA())</f>
        <v>3.7714922327123466</v>
      </c>
    </row>
    <row r="102" spans="2:7" hidden="1" outlineLevel="1" x14ac:dyDescent="0.45">
      <c r="B102" s="63">
        <v>0.93</v>
      </c>
      <c r="C102" s="63">
        <f t="shared" si="1"/>
        <v>6.9999999999999951E-2</v>
      </c>
      <c r="D102" s="64" cm="1">
        <f t="array" aca="1" ref="D102" ca="1">IF(ISNUMBER(_xll.VoseSimPercentile(Dist_Normal,$B102)),_xll.VoseSimPercentile(Dist_Normal,$B102),NA())</f>
        <v>3.8481097519953362</v>
      </c>
      <c r="E102" s="64" cm="1">
        <f t="array" aca="1" ref="E102" ca="1">IF(ISNUMBER(_xll.VoseSimPercentile(Dist_Lognormal,$B102)),_xll.VoseSimPercentile(Dist_Lognormal,$B102),NA())</f>
        <v>4.1666973391298043</v>
      </c>
      <c r="F102" s="64" cm="1">
        <f t="array" aca="1" ref="F102" ca="1">IF(ISNUMBER(_xll.VoseSimPercentile(Dist_BMA,$B102)),_xll.VoseSimPercentile(Dist_BMA,$B102),NA())</f>
        <v>3.9747242369570195</v>
      </c>
    </row>
    <row r="103" spans="2:7" hidden="1" outlineLevel="1" x14ac:dyDescent="0.45">
      <c r="B103" s="63">
        <v>0.95</v>
      </c>
      <c r="C103" s="63">
        <f t="shared" si="1"/>
        <v>5.0000000000000044E-2</v>
      </c>
      <c r="D103" s="64" cm="1">
        <f t="array" aca="1" ref="D103" ca="1">IF(ISNUMBER(_xll.VoseSimPercentile(Dist_Normal,$B103)),_xll.VoseSimPercentile(Dist_Normal,$B103),NA())</f>
        <v>4.0073792377094524</v>
      </c>
      <c r="E103" s="64" cm="1">
        <f t="array" aca="1" ref="E103" ca="1">IF(ISNUMBER(_xll.VoseSimPercentile(Dist_Lognormal,$B103)),_xll.VoseSimPercentile(Dist_Lognormal,$B103),NA())</f>
        <v>4.4863269708179008</v>
      </c>
      <c r="F103" s="64" cm="1">
        <f t="array" aca="1" ref="F103" ca="1">IF(ISNUMBER(_xll.VoseSimPercentile(Dist_BMA,$B103)),_xll.VoseSimPercentile(Dist_BMA,$B103),NA())</f>
        <v>4.270654669373819</v>
      </c>
    </row>
    <row r="104" spans="2:7" hidden="1" outlineLevel="1" x14ac:dyDescent="0.45">
      <c r="B104" s="63">
        <v>0.97</v>
      </c>
      <c r="C104" s="63">
        <f t="shared" si="1"/>
        <v>3.0000000000000027E-2</v>
      </c>
      <c r="D104" s="64" cm="1">
        <f t="array" aca="1" ref="D104" ca="1">IF(ISNUMBER(_xll.VoseSimPercentile(Dist_Normal,$B104)),_xll.VoseSimPercentile(Dist_Normal,$B104),NA())</f>
        <v>4.2660190260548703</v>
      </c>
      <c r="E104" s="64" cm="1">
        <f t="array" aca="1" ref="E104" ca="1">IF(ISNUMBER(_xll.VoseSimPercentile(Dist_Lognormal,$B104)),_xll.VoseSimPercentile(Dist_Lognormal,$B104),NA())</f>
        <v>4.9891944384561704</v>
      </c>
      <c r="F104" s="64" cm="1">
        <f t="array" aca="1" ref="F104" ca="1">IF(ISNUMBER(_xll.VoseSimPercentile(Dist_BMA,$B104)),_xll.VoseSimPercentile(Dist_BMA,$B104),NA())</f>
        <v>4.6985887552669121</v>
      </c>
    </row>
    <row r="105" spans="2:7" hidden="1" outlineLevel="1" x14ac:dyDescent="0.45">
      <c r="B105" s="63">
        <v>0.99</v>
      </c>
      <c r="C105" s="63">
        <f t="shared" si="1"/>
        <v>1.0000000000000009E-2</v>
      </c>
      <c r="D105" s="64" cm="1">
        <f t="array" aca="1" ref="D105" ca="1">IF(ISNUMBER(_xll.VoseSimPercentile(Dist_Normal,$B105)),_xll.VoseSimPercentile(Dist_Normal,$B105),NA())</f>
        <v>4.7267490064342592</v>
      </c>
      <c r="E105" s="64" cm="1">
        <f t="array" aca="1" ref="E105" ca="1">IF(ISNUMBER(_xll.VoseSimPercentile(Dist_Lognormal,$B105)),_xll.VoseSimPercentile(Dist_Lognormal,$B105),NA())</f>
        <v>6.1993976201433316</v>
      </c>
      <c r="F105" s="64" cm="1">
        <f t="array" aca="1" ref="F105" ca="1">IF(ISNUMBER(_xll.VoseSimPercentile(Dist_BMA,$B105)),_xll.VoseSimPercentile(Dist_BMA,$B105),NA())</f>
        <v>5.7509026660978764</v>
      </c>
    </row>
    <row r="106" spans="2:7" hidden="1" outlineLevel="1" x14ac:dyDescent="0.45"/>
    <row r="107" spans="2:7" ht="28.05" hidden="1" customHeight="1" outlineLevel="1" x14ac:dyDescent="0.45">
      <c r="B107" s="23" t="s">
        <v>260</v>
      </c>
      <c r="C107" s="24" t="s">
        <v>322</v>
      </c>
      <c r="D107" s="24" t="s">
        <v>323</v>
      </c>
      <c r="E107" s="24" t="s">
        <v>324</v>
      </c>
      <c r="F107" s="24" t="s">
        <v>292</v>
      </c>
      <c r="G107" s="24" t="s">
        <v>325</v>
      </c>
    </row>
    <row r="108" spans="2:7" hidden="1" outlineLevel="1" x14ac:dyDescent="0.45">
      <c r="B108" s="65" t="s">
        <v>326</v>
      </c>
      <c r="C108" s="64" cm="1">
        <f t="array" aca="1" ref="C108" ca="1">IF(ISNUMBER(_xll.VoseSimPercentile(Fc_1,0.1)),_xll.VoseSimPercentile(Fc_1,0.1),NA())</f>
        <v>90.849351001719725</v>
      </c>
      <c r="D108" s="64" cm="1">
        <f t="array" aca="1" ref="D108" ca="1">IF(ISNUMBER(_xll.VoseSimPercentile(Fc_1,0.5)),_xll.VoseSimPercentile(Fc_1,0.5),NA())</f>
        <v>105.22022128768013</v>
      </c>
      <c r="E108" s="64" cm="1">
        <f t="array" aca="1" ref="E108" ca="1">IF(ISNUMBER(_xll.VoseSimPercentile(Fc_1,0.9)),_xll.VoseSimPercentile(Fc_1,0.9),NA())</f>
        <v>121.8863624077089</v>
      </c>
      <c r="F108" s="64" cm="1">
        <f t="array" aca="1" ref="F108" ca="1">IF(ISNUMBER(_xll.VoseSimMean(Fc_1)),_xll.VoseSimMean(Fc_1),NA())</f>
        <v>105.89734162587014</v>
      </c>
      <c r="G108" s="64">
        <f t="shared" ref="G108:G132" si="2">TS_Last</f>
        <v>105.251</v>
      </c>
    </row>
    <row r="109" spans="2:7" hidden="1" outlineLevel="1" x14ac:dyDescent="0.45">
      <c r="B109" s="65" t="s">
        <v>327</v>
      </c>
      <c r="C109" s="64" cm="1">
        <f t="array" aca="1" ref="C109" ca="1">IF(ISNUMBER(_xll.VoseSimPercentile(Fc_2,0.1)),_xll.VoseSimPercentile(Fc_2,0.1),NA())</f>
        <v>85.97482353442193</v>
      </c>
      <c r="D109" s="64" cm="1">
        <f t="array" aca="1" ref="D109" ca="1">IF(ISNUMBER(_xll.VoseSimPercentile(Fc_2,0.5)),_xll.VoseSimPercentile(Fc_2,0.5),NA())</f>
        <v>104.79158529421407</v>
      </c>
      <c r="E109" s="64" cm="1">
        <f t="array" aca="1" ref="E109" ca="1">IF(ISNUMBER(_xll.VoseSimPercentile(Fc_2,0.9)),_xll.VoseSimPercentile(Fc_2,0.9),NA())</f>
        <v>128.34244341964592</v>
      </c>
      <c r="F109" s="64" cm="1">
        <f t="array" aca="1" ref="F109" ca="1">IF(ISNUMBER(_xll.VoseSimMean(Fc_2)),_xll.VoseSimMean(Fc_2),NA())</f>
        <v>106.26896915122359</v>
      </c>
      <c r="G109" s="64">
        <f t="shared" si="2"/>
        <v>105.251</v>
      </c>
    </row>
    <row r="110" spans="2:7" hidden="1" outlineLevel="1" x14ac:dyDescent="0.45">
      <c r="B110" s="65" t="s">
        <v>328</v>
      </c>
      <c r="C110" s="64" cm="1">
        <f t="array" aca="1" ref="C110" ca="1">IF(ISNUMBER(_xll.VoseSimPercentile(Fc_3,0.1)),_xll.VoseSimPercentile(Fc_3,0.1),NA())</f>
        <v>82.094536503459594</v>
      </c>
      <c r="D110" s="64" cm="1">
        <f t="array" aca="1" ref="D110" ca="1">IF(ISNUMBER(_xll.VoseSimPercentile(Fc_3,0.5)),_xll.VoseSimPercentile(Fc_3,0.5),NA())</f>
        <v>104.75605125334465</v>
      </c>
      <c r="E110" s="64" cm="1">
        <f t="array" aca="1" ref="E110" ca="1">IF(ISNUMBER(_xll.VoseSimPercentile(Fc_3,0.9)),_xll.VoseSimPercentile(Fc_3,0.9),NA())</f>
        <v>133.77388410998464</v>
      </c>
      <c r="F110" s="64" cm="1">
        <f t="array" aca="1" ref="F110" ca="1">IF(ISNUMBER(_xll.VoseSimMean(Fc_3)),_xll.VoseSimMean(Fc_3),NA())</f>
        <v>106.77762132739508</v>
      </c>
      <c r="G110" s="64">
        <f t="shared" si="2"/>
        <v>105.251</v>
      </c>
    </row>
    <row r="111" spans="2:7" hidden="1" outlineLevel="1" x14ac:dyDescent="0.45">
      <c r="B111" s="65" t="s">
        <v>329</v>
      </c>
      <c r="C111" s="64" cm="1">
        <f t="array" aca="1" ref="C111" ca="1">IF(ISNUMBER(_xll.VoseSimPercentile(Fc_4,0.1)),_xll.VoseSimPercentile(Fc_4,0.1),NA())</f>
        <v>79.723013130448848</v>
      </c>
      <c r="D111" s="64" cm="1">
        <f t="array" aca="1" ref="D111" ca="1">IF(ISNUMBER(_xll.VoseSimPercentile(Fc_4,0.5)),_xll.VoseSimPercentile(Fc_4,0.5),NA())</f>
        <v>104.83854703078963</v>
      </c>
      <c r="E111" s="64" cm="1">
        <f t="array" aca="1" ref="E111" ca="1">IF(ISNUMBER(_xll.VoseSimPercentile(Fc_4,0.9)),_xll.VoseSimPercentile(Fc_4,0.9),NA())</f>
        <v>138.68900196579438</v>
      </c>
      <c r="F111" s="64" cm="1">
        <f t="array" aca="1" ref="F111" ca="1">IF(ISNUMBER(_xll.VoseSimMean(Fc_4)),_xll.VoseSimMean(Fc_4),NA())</f>
        <v>107.40188527603631</v>
      </c>
      <c r="G111" s="64">
        <f t="shared" si="2"/>
        <v>105.251</v>
      </c>
    </row>
    <row r="112" spans="2:7" hidden="1" outlineLevel="1" x14ac:dyDescent="0.45">
      <c r="B112" s="65" t="s">
        <v>330</v>
      </c>
      <c r="C112" s="64" cm="1">
        <f t="array" aca="1" ref="C112" ca="1">IF(ISNUMBER(_xll.VoseSimPercentile(Fc_5,0.1)),_xll.VoseSimPercentile(Fc_5,0.1),NA())</f>
        <v>76.961996043589409</v>
      </c>
      <c r="D112" s="64" cm="1">
        <f t="array" aca="1" ref="D112" ca="1">IF(ISNUMBER(_xll.VoseSimPercentile(Fc_5,0.5)),_xll.VoseSimPercentile(Fc_5,0.5),NA())</f>
        <v>104.69705877652062</v>
      </c>
      <c r="E112" s="64" cm="1">
        <f t="array" aca="1" ref="E112" ca="1">IF(ISNUMBER(_xll.VoseSimPercentile(Fc_5,0.9)),_xll.VoseSimPercentile(Fc_5,0.9),NA())</f>
        <v>142.60507973664988</v>
      </c>
      <c r="F112" s="64" cm="1">
        <f t="array" aca="1" ref="F112" ca="1">IF(ISNUMBER(_xll.VoseSimMean(Fc_5)),_xll.VoseSimMean(Fc_5),NA())</f>
        <v>107.77577895303961</v>
      </c>
      <c r="G112" s="64">
        <f t="shared" si="2"/>
        <v>105.251</v>
      </c>
    </row>
    <row r="113" spans="2:7" hidden="1" outlineLevel="1" x14ac:dyDescent="0.45">
      <c r="B113" s="65" t="s">
        <v>331</v>
      </c>
      <c r="C113" s="64" cm="1">
        <f t="array" aca="1" ref="C113" ca="1">IF(ISNUMBER(_xll.VoseSimPercentile(Fc_6,0.1)),_xll.VoseSimPercentile(Fc_6,0.1),NA())</f>
        <v>74.383546087511235</v>
      </c>
      <c r="D113" s="64" cm="1">
        <f t="array" aca="1" ref="D113" ca="1">IF(ISNUMBER(_xll.VoseSimPercentile(Fc_6,0.5)),_xll.VoseSimPercentile(Fc_6,0.5),NA())</f>
        <v>104.46668497375209</v>
      </c>
      <c r="E113" s="64" cm="1">
        <f t="array" aca="1" ref="E113" ca="1">IF(ISNUMBER(_xll.VoseSimPercentile(Fc_6,0.9)),_xll.VoseSimPercentile(Fc_6,0.9),NA())</f>
        <v>145.96197806536134</v>
      </c>
      <c r="F113" s="64" cm="1">
        <f t="array" aca="1" ref="F113" ca="1">IF(ISNUMBER(_xll.VoseSimMean(Fc_6)),_xll.VoseSimMean(Fc_6),NA())</f>
        <v>108.12274842243393</v>
      </c>
      <c r="G113" s="64">
        <f t="shared" si="2"/>
        <v>105.251</v>
      </c>
    </row>
    <row r="114" spans="2:7" hidden="1" outlineLevel="1" x14ac:dyDescent="0.45">
      <c r="B114" s="65" t="s">
        <v>332</v>
      </c>
      <c r="C114" s="64" cm="1">
        <f t="array" aca="1" ref="C114" ca="1">IF(ISNUMBER(_xll.VoseSimPercentile(Fc_7,0.1)),_xll.VoseSimPercentile(Fc_7,0.1),NA())</f>
        <v>72.420935845575713</v>
      </c>
      <c r="D114" s="64" cm="1">
        <f t="array" aca="1" ref="D114" ca="1">IF(ISNUMBER(_xll.VoseSimPercentile(Fc_7,0.5)),_xll.VoseSimPercentile(Fc_7,0.5),NA())</f>
        <v>104.19283780019832</v>
      </c>
      <c r="E114" s="64" cm="1">
        <f t="array" aca="1" ref="E114" ca="1">IF(ISNUMBER(_xll.VoseSimPercentile(Fc_7,0.9)),_xll.VoseSimPercentile(Fc_7,0.9),NA())</f>
        <v>149.6677526177381</v>
      </c>
      <c r="F114" s="64" cm="1">
        <f t="array" aca="1" ref="F114" ca="1">IF(ISNUMBER(_xll.VoseSimMean(Fc_7)),_xll.VoseSimMean(Fc_7),NA())</f>
        <v>108.51891083836465</v>
      </c>
      <c r="G114" s="64">
        <f t="shared" si="2"/>
        <v>105.251</v>
      </c>
    </row>
    <row r="115" spans="2:7" hidden="1" outlineLevel="1" x14ac:dyDescent="0.45">
      <c r="B115" s="65" t="s">
        <v>333</v>
      </c>
      <c r="C115" s="64" cm="1">
        <f t="array" aca="1" ref="C115" ca="1">IF(ISNUMBER(_xll.VoseSimPercentile(Fc_8,0.1)),_xll.VoseSimPercentile(Fc_8,0.1),NA())</f>
        <v>70.818867168166534</v>
      </c>
      <c r="D115" s="64" cm="1">
        <f t="array" aca="1" ref="D115" ca="1">IF(ISNUMBER(_xll.VoseSimPercentile(Fc_8,0.5)),_xll.VoseSimPercentile(Fc_8,0.5),NA())</f>
        <v>104.0127318805915</v>
      </c>
      <c r="E115" s="64" cm="1">
        <f t="array" aca="1" ref="E115" ca="1">IF(ISNUMBER(_xll.VoseSimPercentile(Fc_8,0.9)),_xll.VoseSimPercentile(Fc_8,0.9),NA())</f>
        <v>153.16918248599916</v>
      </c>
      <c r="F115" s="64" cm="1">
        <f t="array" aca="1" ref="F115" ca="1">IF(ISNUMBER(_xll.VoseSimMean(Fc_8)),_xll.VoseSimMean(Fc_8),NA())</f>
        <v>109.07813589908973</v>
      </c>
      <c r="G115" s="64">
        <f t="shared" si="2"/>
        <v>105.251</v>
      </c>
    </row>
    <row r="116" spans="2:7" hidden="1" outlineLevel="1" x14ac:dyDescent="0.45">
      <c r="B116" s="65" t="s">
        <v>334</v>
      </c>
      <c r="C116" s="64" cm="1">
        <f t="array" aca="1" ref="C116" ca="1">IF(ISNUMBER(_xll.VoseSimPercentile(Fc_9,0.1)),_xll.VoseSimPercentile(Fc_9,0.1),NA())</f>
        <v>69.33175191862243</v>
      </c>
      <c r="D116" s="64" cm="1">
        <f t="array" aca="1" ref="D116" ca="1">IF(ISNUMBER(_xll.VoseSimPercentile(Fc_9,0.5)),_xll.VoseSimPercentile(Fc_9,0.5),NA())</f>
        <v>103.87134867279298</v>
      </c>
      <c r="E116" s="64" cm="1">
        <f t="array" aca="1" ref="E116" ca="1">IF(ISNUMBER(_xll.VoseSimPercentile(Fc_9,0.9)),_xll.VoseSimPercentile(Fc_9,0.9),NA())</f>
        <v>156.5022723164877</v>
      </c>
      <c r="F116" s="64" cm="1">
        <f t="array" aca="1" ref="F116" ca="1">IF(ISNUMBER(_xll.VoseSimMean(Fc_9)),_xll.VoseSimMean(Fc_9),NA())</f>
        <v>109.44565443969984</v>
      </c>
      <c r="G116" s="64">
        <f t="shared" si="2"/>
        <v>105.251</v>
      </c>
    </row>
    <row r="117" spans="2:7" hidden="1" outlineLevel="1" x14ac:dyDescent="0.45">
      <c r="B117" s="65" t="s">
        <v>335</v>
      </c>
      <c r="C117" s="64" cm="1">
        <f t="array" aca="1" ref="C117" ca="1">IF(ISNUMBER(_xll.VoseSimPercentile(Fc_10,0.1)),_xll.VoseSimPercentile(Fc_10,0.1),NA())</f>
        <v>67.714956733927522</v>
      </c>
      <c r="D117" s="64" cm="1">
        <f t="array" aca="1" ref="D117" ca="1">IF(ISNUMBER(_xll.VoseSimPercentile(Fc_10,0.5)),_xll.VoseSimPercentile(Fc_10,0.5),NA())</f>
        <v>103.82945289979818</v>
      </c>
      <c r="E117" s="64" cm="1">
        <f t="array" aca="1" ref="E117" ca="1">IF(ISNUMBER(_xll.VoseSimPercentile(Fc_10,0.9)),_xll.VoseSimPercentile(Fc_10,0.9),NA())</f>
        <v>160.47552266706754</v>
      </c>
      <c r="F117" s="64" cm="1">
        <f t="array" aca="1" ref="F117" ca="1">IF(ISNUMBER(_xll.VoseSimMean(Fc_10)),_xll.VoseSimMean(Fc_10),NA())</f>
        <v>110.25554048372706</v>
      </c>
      <c r="G117" s="64">
        <f t="shared" si="2"/>
        <v>105.251</v>
      </c>
    </row>
    <row r="118" spans="2:7" hidden="1" outlineLevel="1" x14ac:dyDescent="0.45">
      <c r="B118" s="65" t="s">
        <v>336</v>
      </c>
      <c r="C118" s="64" cm="1">
        <f t="array" aca="1" ref="C118" ca="1">IF(ISNUMBER(_xll.VoseSimPercentile(Fc_11,0.1)),_xll.VoseSimPercentile(Fc_11,0.1),NA())</f>
        <v>65.973209088818265</v>
      </c>
      <c r="D118" s="64" cm="1">
        <f t="array" aca="1" ref="D118" ca="1">IF(ISNUMBER(_xll.VoseSimPercentile(Fc_11,0.5)),_xll.VoseSimPercentile(Fc_11,0.5),NA())</f>
        <v>103.92756327095769</v>
      </c>
      <c r="E118" s="64" cm="1">
        <f t="array" aca="1" ref="E118" ca="1">IF(ISNUMBER(_xll.VoseSimPercentile(Fc_11,0.9)),_xll.VoseSimPercentile(Fc_11,0.9),NA())</f>
        <v>164.17678913547377</v>
      </c>
      <c r="F118" s="64" cm="1">
        <f t="array" aca="1" ref="F118" ca="1">IF(ISNUMBER(_xll.VoseSimMean(Fc_11)),_xll.VoseSimMean(Fc_11),NA())</f>
        <v>110.75525833088528</v>
      </c>
      <c r="G118" s="64">
        <f t="shared" si="2"/>
        <v>105.251</v>
      </c>
    </row>
    <row r="119" spans="2:7" hidden="1" outlineLevel="1" x14ac:dyDescent="0.45">
      <c r="B119" s="65" t="s">
        <v>337</v>
      </c>
      <c r="C119" s="64" cm="1">
        <f t="array" aca="1" ref="C119" ca="1">IF(ISNUMBER(_xll.VoseSimPercentile(Fc_12,0.1)),_xll.VoseSimPercentile(Fc_12,0.1),NA())</f>
        <v>64.283527799788772</v>
      </c>
      <c r="D119" s="64" cm="1">
        <f t="array" aca="1" ref="D119" ca="1">IF(ISNUMBER(_xll.VoseSimPercentile(Fc_12,0.5)),_xll.VoseSimPercentile(Fc_12,0.5),NA())</f>
        <v>103.60908080753113</v>
      </c>
      <c r="E119" s="64" cm="1">
        <f t="array" aca="1" ref="E119" ca="1">IF(ISNUMBER(_xll.VoseSimPercentile(Fc_12,0.9)),_xll.VoseSimPercentile(Fc_12,0.9),NA())</f>
        <v>167.57296304794093</v>
      </c>
      <c r="F119" s="64" cm="1">
        <f t="array" aca="1" ref="F119" ca="1">IF(ISNUMBER(_xll.VoseSimMean(Fc_12)),_xll.VoseSimMean(Fc_12),NA())</f>
        <v>111.33503872575976</v>
      </c>
      <c r="G119" s="64">
        <f t="shared" si="2"/>
        <v>105.251</v>
      </c>
    </row>
    <row r="120" spans="2:7" hidden="1" outlineLevel="1" x14ac:dyDescent="0.45">
      <c r="B120" s="65" t="s">
        <v>338</v>
      </c>
      <c r="C120" s="64" cm="1">
        <f t="array" aca="1" ref="C120" ca="1">IF(ISNUMBER(_xll.VoseSimPercentile(Fc_13,0.1)),_xll.VoseSimPercentile(Fc_13,0.1),NA())</f>
        <v>63.199548315289114</v>
      </c>
      <c r="D120" s="64" cm="1">
        <f t="array" aca="1" ref="D120" ca="1">IF(ISNUMBER(_xll.VoseSimPercentile(Fc_13,0.5)),_xll.VoseSimPercentile(Fc_13,0.5),NA())</f>
        <v>103.76952346064535</v>
      </c>
      <c r="E120" s="64" cm="1">
        <f t="array" aca="1" ref="E120" ca="1">IF(ISNUMBER(_xll.VoseSimPercentile(Fc_13,0.9)),_xll.VoseSimPercentile(Fc_13,0.9),NA())</f>
        <v>172.20921252755517</v>
      </c>
      <c r="F120" s="64" cm="1">
        <f t="array" aca="1" ref="F120" ca="1">IF(ISNUMBER(_xll.VoseSimMean(Fc_13)),_xll.VoseSimMean(Fc_13),NA())</f>
        <v>112.00615987352477</v>
      </c>
      <c r="G120" s="64">
        <f t="shared" si="2"/>
        <v>105.251</v>
      </c>
    </row>
    <row r="121" spans="2:7" hidden="1" outlineLevel="1" x14ac:dyDescent="0.45">
      <c r="B121" s="65" t="s">
        <v>339</v>
      </c>
      <c r="C121" s="64" cm="1">
        <f t="array" aca="1" ref="C121" ca="1">IF(ISNUMBER(_xll.VoseSimPercentile(Fc_14,0.1)),_xll.VoseSimPercentile(Fc_14,0.1),NA())</f>
        <v>61.858424523869765</v>
      </c>
      <c r="D121" s="64" cm="1">
        <f t="array" aca="1" ref="D121" ca="1">IF(ISNUMBER(_xll.VoseSimPercentile(Fc_14,0.5)),_xll.VoseSimPercentile(Fc_14,0.5),NA())</f>
        <v>103.66794815784513</v>
      </c>
      <c r="E121" s="64" cm="1">
        <f t="array" aca="1" ref="E121" ca="1">IF(ISNUMBER(_xll.VoseSimPercentile(Fc_14,0.9)),_xll.VoseSimPercentile(Fc_14,0.9),NA())</f>
        <v>174.01108830043145</v>
      </c>
      <c r="F121" s="64" cm="1">
        <f t="array" aca="1" ref="F121" ca="1">IF(ISNUMBER(_xll.VoseSimMean(Fc_14)),_xll.VoseSimMean(Fc_14),NA())</f>
        <v>112.46873480289074</v>
      </c>
      <c r="G121" s="64">
        <f t="shared" si="2"/>
        <v>105.251</v>
      </c>
    </row>
    <row r="122" spans="2:7" hidden="1" outlineLevel="1" x14ac:dyDescent="0.45">
      <c r="B122" s="65" t="s">
        <v>340</v>
      </c>
      <c r="C122" s="64" cm="1">
        <f t="array" aca="1" ref="C122" ca="1">IF(ISNUMBER(_xll.VoseSimPercentile(Fc_15,0.1)),_xll.VoseSimPercentile(Fc_15,0.1),NA())</f>
        <v>60.603224001354178</v>
      </c>
      <c r="D122" s="64" cm="1">
        <f t="array" aca="1" ref="D122" ca="1">IF(ISNUMBER(_xll.VoseSimPercentile(Fc_15,0.5)),_xll.VoseSimPercentile(Fc_15,0.5),NA())</f>
        <v>103.72607170598565</v>
      </c>
      <c r="E122" s="64" cm="1">
        <f t="array" aca="1" ref="E122" ca="1">IF(ISNUMBER(_xll.VoseSimPercentile(Fc_15,0.9)),_xll.VoseSimPercentile(Fc_15,0.9),NA())</f>
        <v>177.46144583845398</v>
      </c>
      <c r="F122" s="64" cm="1">
        <f t="array" aca="1" ref="F122" ca="1">IF(ISNUMBER(_xll.VoseSimMean(Fc_15)),_xll.VoseSimMean(Fc_15),NA())</f>
        <v>112.74797108224043</v>
      </c>
      <c r="G122" s="64">
        <f t="shared" si="2"/>
        <v>105.251</v>
      </c>
    </row>
    <row r="123" spans="2:7" hidden="1" outlineLevel="1" x14ac:dyDescent="0.45">
      <c r="B123" s="65" t="s">
        <v>341</v>
      </c>
      <c r="C123" s="64" cm="1">
        <f t="array" aca="1" ref="C123" ca="1">IF(ISNUMBER(_xll.VoseSimPercentile(Fc_16,0.1)),_xll.VoseSimPercentile(Fc_16,0.1),NA())</f>
        <v>59.276366857640113</v>
      </c>
      <c r="D123" s="64" cm="1">
        <f t="array" aca="1" ref="D123" ca="1">IF(ISNUMBER(_xll.VoseSimPercentile(Fc_16,0.5)),_xll.VoseSimPercentile(Fc_16,0.5),NA())</f>
        <v>103.42026784816174</v>
      </c>
      <c r="E123" s="64" cm="1">
        <f t="array" aca="1" ref="E123" ca="1">IF(ISNUMBER(_xll.VoseSimPercentile(Fc_16,0.9)),_xll.VoseSimPercentile(Fc_16,0.9),NA())</f>
        <v>179.83637100238315</v>
      </c>
      <c r="F123" s="64" cm="1">
        <f t="array" aca="1" ref="F123" ca="1">IF(ISNUMBER(_xll.VoseSimMean(Fc_16)),_xll.VoseSimMean(Fc_16),NA())</f>
        <v>113.03254432448199</v>
      </c>
      <c r="G123" s="64">
        <f t="shared" si="2"/>
        <v>105.251</v>
      </c>
    </row>
    <row r="124" spans="2:7" hidden="1" outlineLevel="1" x14ac:dyDescent="0.45">
      <c r="B124" s="65" t="s">
        <v>342</v>
      </c>
      <c r="C124" s="64" cm="1">
        <f t="array" aca="1" ref="C124" ca="1">IF(ISNUMBER(_xll.VoseSimPercentile(Fc_17,0.1)),_xll.VoseSimPercentile(Fc_17,0.1),NA())</f>
        <v>57.613540419308897</v>
      </c>
      <c r="D124" s="64" cm="1">
        <f t="array" aca="1" ref="D124" ca="1">IF(ISNUMBER(_xll.VoseSimPercentile(Fc_17,0.5)),_xll.VoseSimPercentile(Fc_17,0.5),NA())</f>
        <v>103.2733216827764</v>
      </c>
      <c r="E124" s="64" cm="1">
        <f t="array" aca="1" ref="E124" ca="1">IF(ISNUMBER(_xll.VoseSimPercentile(Fc_17,0.9)),_xll.VoseSimPercentile(Fc_17,0.9),NA())</f>
        <v>181.23223515575089</v>
      </c>
      <c r="F124" s="64" cm="1">
        <f t="array" aca="1" ref="F124" ca="1">IF(ISNUMBER(_xll.VoseSimMean(Fc_17)),_xll.VoseSimMean(Fc_17),NA())</f>
        <v>113.38809944089891</v>
      </c>
      <c r="G124" s="64">
        <f t="shared" si="2"/>
        <v>105.251</v>
      </c>
    </row>
    <row r="125" spans="2:7" hidden="1" outlineLevel="1" x14ac:dyDescent="0.45">
      <c r="B125" s="65" t="s">
        <v>343</v>
      </c>
      <c r="C125" s="64" cm="1">
        <f t="array" aca="1" ref="C125" ca="1">IF(ISNUMBER(_xll.VoseSimPercentile(Fc_18,0.1)),_xll.VoseSimPercentile(Fc_18,0.1),NA())</f>
        <v>56.979784841429911</v>
      </c>
      <c r="D125" s="64" cm="1">
        <f t="array" aca="1" ref="D125" ca="1">IF(ISNUMBER(_xll.VoseSimPercentile(Fc_18,0.5)),_xll.VoseSimPercentile(Fc_18,0.5),NA())</f>
        <v>103.05462982494404</v>
      </c>
      <c r="E125" s="64" cm="1">
        <f t="array" aca="1" ref="E125" ca="1">IF(ISNUMBER(_xll.VoseSimPercentile(Fc_18,0.9)),_xll.VoseSimPercentile(Fc_18,0.9),NA())</f>
        <v>184.07365143617019</v>
      </c>
      <c r="F125" s="64" cm="1">
        <f t="array" aca="1" ref="F125" ca="1">IF(ISNUMBER(_xll.VoseSimMean(Fc_18)),_xll.VoseSimMean(Fc_18),NA())</f>
        <v>113.94184625406064</v>
      </c>
      <c r="G125" s="64">
        <f t="shared" si="2"/>
        <v>105.251</v>
      </c>
    </row>
    <row r="126" spans="2:7" hidden="1" outlineLevel="1" x14ac:dyDescent="0.45">
      <c r="B126" s="65" t="s">
        <v>344</v>
      </c>
      <c r="C126" s="64" cm="1">
        <f t="array" aca="1" ref="C126" ca="1">IF(ISNUMBER(_xll.VoseSimPercentile(Fc_19,0.1)),_xll.VoseSimPercentile(Fc_19,0.1),NA())</f>
        <v>55.919259303877283</v>
      </c>
      <c r="D126" s="64" cm="1">
        <f t="array" aca="1" ref="D126" ca="1">IF(ISNUMBER(_xll.VoseSimPercentile(Fc_19,0.5)),_xll.VoseSimPercentile(Fc_19,0.5),NA())</f>
        <v>102.98207426946692</v>
      </c>
      <c r="E126" s="64" cm="1">
        <f t="array" aca="1" ref="E126" ca="1">IF(ISNUMBER(_xll.VoseSimPercentile(Fc_19,0.9)),_xll.VoseSimPercentile(Fc_19,0.9),NA())</f>
        <v>186.55841208526732</v>
      </c>
      <c r="F126" s="64" cm="1">
        <f t="array" aca="1" ref="F126" ca="1">IF(ISNUMBER(_xll.VoseSimMean(Fc_19)),_xll.VoseSimMean(Fc_19),NA())</f>
        <v>114.52016107712224</v>
      </c>
      <c r="G126" s="64">
        <f t="shared" si="2"/>
        <v>105.251</v>
      </c>
    </row>
    <row r="127" spans="2:7" hidden="1" outlineLevel="1" x14ac:dyDescent="0.45">
      <c r="B127" s="65" t="s">
        <v>345</v>
      </c>
      <c r="C127" s="64" cm="1">
        <f t="array" aca="1" ref="C127" ca="1">IF(ISNUMBER(_xll.VoseSimPercentile(Fc_20,0.1)),_xll.VoseSimPercentile(Fc_20,0.1),NA())</f>
        <v>54.633759689651747</v>
      </c>
      <c r="D127" s="64" cm="1">
        <f t="array" aca="1" ref="D127" ca="1">IF(ISNUMBER(_xll.VoseSimPercentile(Fc_20,0.5)),_xll.VoseSimPercentile(Fc_20,0.5),NA())</f>
        <v>103.14405723276826</v>
      </c>
      <c r="E127" s="64" cm="1">
        <f t="array" aca="1" ref="E127" ca="1">IF(ISNUMBER(_xll.VoseSimPercentile(Fc_20,0.9)),_xll.VoseSimPercentile(Fc_20,0.9),NA())</f>
        <v>188.27919919239307</v>
      </c>
      <c r="F127" s="64" cm="1">
        <f t="array" aca="1" ref="F127" ca="1">IF(ISNUMBER(_xll.VoseSimMean(Fc_20)),_xll.VoseSimMean(Fc_20),NA())</f>
        <v>114.89312720554537</v>
      </c>
      <c r="G127" s="64">
        <f t="shared" si="2"/>
        <v>105.251</v>
      </c>
    </row>
    <row r="128" spans="2:7" hidden="1" outlineLevel="1" x14ac:dyDescent="0.45">
      <c r="B128" s="65" t="s">
        <v>346</v>
      </c>
      <c r="C128" s="64" cm="1">
        <f t="array" aca="1" ref="C128" ca="1">IF(ISNUMBER(_xll.VoseSimPercentile(Fc_21,0.1)),_xll.VoseSimPercentile(Fc_21,0.1),NA())</f>
        <v>53.91803249553692</v>
      </c>
      <c r="D128" s="64" cm="1">
        <f t="array" aca="1" ref="D128" ca="1">IF(ISNUMBER(_xll.VoseSimPercentile(Fc_21,0.5)),_xll.VoseSimPercentile(Fc_21,0.5),NA())</f>
        <v>102.89550226214797</v>
      </c>
      <c r="E128" s="64" cm="1">
        <f t="array" aca="1" ref="E128" ca="1">IF(ISNUMBER(_xll.VoseSimPercentile(Fc_21,0.9)),_xll.VoseSimPercentile(Fc_21,0.9),NA())</f>
        <v>192.09757572539488</v>
      </c>
      <c r="F128" s="64" cm="1">
        <f t="array" aca="1" ref="F128" ca="1">IF(ISNUMBER(_xll.VoseSimMean(Fc_21)),_xll.VoseSimMean(Fc_21),NA())</f>
        <v>115.42614916165113</v>
      </c>
      <c r="G128" s="64">
        <f t="shared" si="2"/>
        <v>105.251</v>
      </c>
    </row>
    <row r="129" spans="2:7" hidden="1" outlineLevel="1" x14ac:dyDescent="0.45">
      <c r="B129" s="65" t="s">
        <v>347</v>
      </c>
      <c r="C129" s="64" cm="1">
        <f t="array" aca="1" ref="C129" ca="1">IF(ISNUMBER(_xll.VoseSimPercentile(Fc_22,0.1)),_xll.VoseSimPercentile(Fc_22,0.1),NA())</f>
        <v>53.225021065835392</v>
      </c>
      <c r="D129" s="64" cm="1">
        <f t="array" aca="1" ref="D129" ca="1">IF(ISNUMBER(_xll.VoseSimPercentile(Fc_22,0.5)),_xll.VoseSimPercentile(Fc_22,0.5),NA())</f>
        <v>102.23260141312217</v>
      </c>
      <c r="E129" s="64" cm="1">
        <f t="array" aca="1" ref="E129" ca="1">IF(ISNUMBER(_xll.VoseSimPercentile(Fc_22,0.9)),_xll.VoseSimPercentile(Fc_22,0.9),NA())</f>
        <v>194.09069634542661</v>
      </c>
      <c r="F129" s="64" cm="1">
        <f t="array" aca="1" ref="F129" ca="1">IF(ISNUMBER(_xll.VoseSimMean(Fc_22)),_xll.VoseSimMean(Fc_22),NA())</f>
        <v>116.08363572362327</v>
      </c>
      <c r="G129" s="64">
        <f t="shared" si="2"/>
        <v>105.251</v>
      </c>
    </row>
    <row r="130" spans="2:7" hidden="1" outlineLevel="1" x14ac:dyDescent="0.45">
      <c r="B130" s="65" t="s">
        <v>348</v>
      </c>
      <c r="C130" s="64" cm="1">
        <f t="array" aca="1" ref="C130" ca="1">IF(ISNUMBER(_xll.VoseSimPercentile(Fc_23,0.1)),_xll.VoseSimPercentile(Fc_23,0.1),NA())</f>
        <v>52.732080217992859</v>
      </c>
      <c r="D130" s="64" cm="1">
        <f t="array" aca="1" ref="D130" ca="1">IF(ISNUMBER(_xll.VoseSimPercentile(Fc_23,0.5)),_xll.VoseSimPercentile(Fc_23,0.5),NA())</f>
        <v>102.33645737681151</v>
      </c>
      <c r="E130" s="64" cm="1">
        <f t="array" aca="1" ref="E130" ca="1">IF(ISNUMBER(_xll.VoseSimPercentile(Fc_23,0.9)),_xll.VoseSimPercentile(Fc_23,0.9),NA())</f>
        <v>197.08125007212436</v>
      </c>
      <c r="F130" s="64" cm="1">
        <f t="array" aca="1" ref="F130" ca="1">IF(ISNUMBER(_xll.VoseSimMean(Fc_23)),_xll.VoseSimMean(Fc_23),NA())</f>
        <v>116.64852555840167</v>
      </c>
      <c r="G130" s="64">
        <f t="shared" si="2"/>
        <v>105.251</v>
      </c>
    </row>
    <row r="131" spans="2:7" hidden="1" outlineLevel="1" x14ac:dyDescent="0.45">
      <c r="B131" s="65" t="s">
        <v>349</v>
      </c>
      <c r="C131" s="64" cm="1">
        <f t="array" aca="1" ref="C131" ca="1">IF(ISNUMBER(_xll.VoseSimPercentile(Fc_24,0.1)),_xll.VoseSimPercentile(Fc_24,0.1),NA())</f>
        <v>51.926214103557975</v>
      </c>
      <c r="D131" s="64" cm="1">
        <f t="array" aca="1" ref="D131" ca="1">IF(ISNUMBER(_xll.VoseSimPercentile(Fc_24,0.5)),_xll.VoseSimPercentile(Fc_24,0.5),NA())</f>
        <v>102.3656016625179</v>
      </c>
      <c r="E131" s="64" cm="1">
        <f t="array" aca="1" ref="E131" ca="1">IF(ISNUMBER(_xll.VoseSimPercentile(Fc_24,0.9)),_xll.VoseSimPercentile(Fc_24,0.9),NA())</f>
        <v>199.90785783405659</v>
      </c>
      <c r="F131" s="64" cm="1">
        <f t="array" aca="1" ref="F131" ca="1">IF(ISNUMBER(_xll.VoseSimMean(Fc_24)),_xll.VoseSimMean(Fc_24),NA())</f>
        <v>117.21999282034196</v>
      </c>
      <c r="G131" s="64">
        <f t="shared" si="2"/>
        <v>105.251</v>
      </c>
    </row>
    <row r="132" spans="2:7" hidden="1" outlineLevel="1" x14ac:dyDescent="0.45">
      <c r="B132" s="65" t="s">
        <v>350</v>
      </c>
      <c r="C132" s="64" cm="1">
        <f t="array" aca="1" ref="C132" ca="1">IF(ISNUMBER(_xll.VoseSimPercentile(Fc_25,0.1)),_xll.VoseSimPercentile(Fc_25,0.1),NA())</f>
        <v>51.357298743053526</v>
      </c>
      <c r="D132" s="64" cm="1">
        <f t="array" aca="1" ref="D132" ca="1">IF(ISNUMBER(_xll.VoseSimPercentile(Fc_25,0.5)),_xll.VoseSimPercentile(Fc_25,0.5),NA())</f>
        <v>101.99683817403714</v>
      </c>
      <c r="E132" s="64" cm="1">
        <f t="array" aca="1" ref="E132" ca="1">IF(ISNUMBER(_xll.VoseSimPercentile(Fc_25,0.9)),_xll.VoseSimPercentile(Fc_25,0.9),NA())</f>
        <v>201.25044251955183</v>
      </c>
      <c r="F132" s="64" cm="1">
        <f t="array" aca="1" ref="F132" ca="1">IF(ISNUMBER(_xll.VoseSimMean(Fc_25)),_xll.VoseSimMean(Fc_25),NA())</f>
        <v>117.58942909516792</v>
      </c>
      <c r="G132" s="64">
        <f t="shared" si="2"/>
        <v>105.251</v>
      </c>
    </row>
  </sheetData>
  <mergeCells count="6">
    <mergeCell ref="B47:G47"/>
    <mergeCell ref="B46:G46"/>
    <mergeCell ref="B45:G45"/>
    <mergeCell ref="B49:G49"/>
    <mergeCell ref="B50:G50"/>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8:F132">
    <cfRule type="expression" dxfId="1" priority="4">
      <formula>ISNA(C108)</formula>
    </cfRule>
  </conditionalFormatting>
  <conditionalFormatting sqref="D56:F105">
    <cfRule type="expression" dxfId="0" priority="3">
      <formula>ISNA(D56)</formula>
    </cfRule>
  </conditionalFormatting>
  <hyperlinks>
    <hyperlink ref="B4" location="'Time series'!A1" display="◂  Time series"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6417-4B25-4DAD-AB85-89104D7732FF}">
  <dimension ref="A1:B1"/>
  <sheetViews>
    <sheetView workbookViewId="0"/>
  </sheetViews>
  <sheetFormatPr defaultRowHeight="14.25" x14ac:dyDescent="0.45"/>
  <sheetData>
    <row r="1" spans="1:2" x14ac:dyDescent="0.45">
      <c r="A1" s="70" t="s">
        <v>351</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AC6BB-93E0-4FAC-A65E-3740FB1F3605}">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310C-CC0A-47F3-BC4A-4702F24A97BB}">
  <dimension ref="B3:B462"/>
  <sheetViews>
    <sheetView workbookViewId="0"/>
  </sheetViews>
  <sheetFormatPr defaultRowHeight="14.25" x14ac:dyDescent="0.45"/>
  <sheetData>
    <row r="3" spans="2:2" x14ac:dyDescent="0.45">
      <c r="B3">
        <v>183</v>
      </c>
    </row>
    <row r="4" spans="2:2" x14ac:dyDescent="0.45">
      <c r="B4">
        <v>193</v>
      </c>
    </row>
    <row r="5" spans="2:2" x14ac:dyDescent="0.45">
      <c r="B5">
        <v>211</v>
      </c>
    </row>
    <row r="6" spans="2:2" x14ac:dyDescent="0.45">
      <c r="B6">
        <v>219</v>
      </c>
    </row>
    <row r="7" spans="2:2" x14ac:dyDescent="0.45">
      <c r="B7">
        <v>184</v>
      </c>
    </row>
    <row r="8" spans="2:2" x14ac:dyDescent="0.45">
      <c r="B8">
        <v>210</v>
      </c>
    </row>
    <row r="9" spans="2:2" x14ac:dyDescent="0.45">
      <c r="B9">
        <v>201</v>
      </c>
    </row>
    <row r="10" spans="2:2" x14ac:dyDescent="0.45">
      <c r="B10">
        <v>193</v>
      </c>
    </row>
    <row r="11" spans="2:2" x14ac:dyDescent="0.45">
      <c r="B11">
        <v>188</v>
      </c>
    </row>
    <row r="12" spans="2:2" x14ac:dyDescent="0.45">
      <c r="B12">
        <v>218</v>
      </c>
    </row>
    <row r="13" spans="2:2" x14ac:dyDescent="0.45">
      <c r="B13">
        <v>203</v>
      </c>
    </row>
    <row r="14" spans="2:2" x14ac:dyDescent="0.45">
      <c r="B14">
        <v>199</v>
      </c>
    </row>
    <row r="15" spans="2:2" x14ac:dyDescent="0.45">
      <c r="B15">
        <v>175</v>
      </c>
    </row>
    <row r="16" spans="2:2" x14ac:dyDescent="0.45">
      <c r="B16">
        <v>202</v>
      </c>
    </row>
    <row r="17" spans="2:2" x14ac:dyDescent="0.45">
      <c r="B17">
        <v>202</v>
      </c>
    </row>
    <row r="18" spans="2:2" x14ac:dyDescent="0.45">
      <c r="B18">
        <v>189</v>
      </c>
    </row>
    <row r="19" spans="2:2" x14ac:dyDescent="0.45">
      <c r="B19">
        <v>199</v>
      </c>
    </row>
    <row r="20" spans="2:2" x14ac:dyDescent="0.45">
      <c r="B20">
        <v>200</v>
      </c>
    </row>
    <row r="21" spans="2:2" x14ac:dyDescent="0.45">
      <c r="B21">
        <v>224</v>
      </c>
    </row>
    <row r="22" spans="2:2" x14ac:dyDescent="0.45">
      <c r="B22">
        <v>207</v>
      </c>
    </row>
    <row r="23" spans="2:2" x14ac:dyDescent="0.45">
      <c r="B23">
        <v>185</v>
      </c>
    </row>
    <row r="24" spans="2:2" x14ac:dyDescent="0.45">
      <c r="B24">
        <v>217</v>
      </c>
    </row>
    <row r="25" spans="2:2" x14ac:dyDescent="0.45">
      <c r="B25">
        <v>204</v>
      </c>
    </row>
    <row r="26" spans="2:2" x14ac:dyDescent="0.45">
      <c r="B26">
        <v>184</v>
      </c>
    </row>
    <row r="27" spans="2:2" x14ac:dyDescent="0.45">
      <c r="B27">
        <v>193</v>
      </c>
    </row>
    <row r="28" spans="2:2" x14ac:dyDescent="0.45">
      <c r="B28">
        <v>207</v>
      </c>
    </row>
    <row r="29" spans="2:2" x14ac:dyDescent="0.45">
      <c r="B29">
        <v>177</v>
      </c>
    </row>
    <row r="30" spans="2:2" x14ac:dyDescent="0.45">
      <c r="B30">
        <v>220</v>
      </c>
    </row>
    <row r="31" spans="2:2" x14ac:dyDescent="0.45">
      <c r="B31">
        <v>196</v>
      </c>
    </row>
    <row r="32" spans="2:2" x14ac:dyDescent="0.45">
      <c r="B32">
        <v>217</v>
      </c>
    </row>
    <row r="33" spans="2:2" x14ac:dyDescent="0.45">
      <c r="B33">
        <v>208</v>
      </c>
    </row>
    <row r="34" spans="2:2" x14ac:dyDescent="0.45">
      <c r="B34">
        <v>193</v>
      </c>
    </row>
    <row r="35" spans="2:2" x14ac:dyDescent="0.45">
      <c r="B35">
        <v>188</v>
      </c>
    </row>
    <row r="36" spans="2:2" x14ac:dyDescent="0.45">
      <c r="B36">
        <v>196</v>
      </c>
    </row>
    <row r="37" spans="2:2" x14ac:dyDescent="0.45">
      <c r="B37">
        <v>219</v>
      </c>
    </row>
    <row r="38" spans="2:2" x14ac:dyDescent="0.45">
      <c r="B38">
        <v>194</v>
      </c>
    </row>
    <row r="39" spans="2:2" x14ac:dyDescent="0.45">
      <c r="B39">
        <v>198</v>
      </c>
    </row>
    <row r="40" spans="2:2" x14ac:dyDescent="0.45">
      <c r="B40">
        <v>184</v>
      </c>
    </row>
    <row r="41" spans="2:2" x14ac:dyDescent="0.45">
      <c r="B41">
        <v>218</v>
      </c>
    </row>
    <row r="42" spans="2:2" x14ac:dyDescent="0.45">
      <c r="B42">
        <v>202</v>
      </c>
    </row>
    <row r="43" spans="2:2" x14ac:dyDescent="0.45">
      <c r="B43">
        <v>197</v>
      </c>
    </row>
    <row r="44" spans="2:2" x14ac:dyDescent="0.45">
      <c r="B44">
        <v>185</v>
      </c>
    </row>
    <row r="45" spans="2:2" x14ac:dyDescent="0.45">
      <c r="B45">
        <v>190</v>
      </c>
    </row>
    <row r="46" spans="2:2" x14ac:dyDescent="0.45">
      <c r="B46">
        <v>209</v>
      </c>
    </row>
    <row r="47" spans="2:2" x14ac:dyDescent="0.45">
      <c r="B47">
        <v>192</v>
      </c>
    </row>
    <row r="48" spans="2:2" x14ac:dyDescent="0.45">
      <c r="B48">
        <v>214</v>
      </c>
    </row>
    <row r="49" spans="2:2" x14ac:dyDescent="0.45">
      <c r="B49">
        <v>201</v>
      </c>
    </row>
    <row r="50" spans="2:2" x14ac:dyDescent="0.45">
      <c r="B50">
        <v>199</v>
      </c>
    </row>
    <row r="51" spans="2:2" x14ac:dyDescent="0.45">
      <c r="B51">
        <v>196</v>
      </c>
    </row>
    <row r="52" spans="2:2" x14ac:dyDescent="0.45">
      <c r="B52">
        <v>217</v>
      </c>
    </row>
    <row r="53" spans="2:2" x14ac:dyDescent="0.45">
      <c r="B53">
        <v>191</v>
      </c>
    </row>
    <row r="54" spans="2:2" x14ac:dyDescent="0.45">
      <c r="B54">
        <v>195</v>
      </c>
    </row>
    <row r="55" spans="2:2" x14ac:dyDescent="0.45">
      <c r="B55">
        <v>203</v>
      </c>
    </row>
    <row r="56" spans="2:2" x14ac:dyDescent="0.45">
      <c r="B56">
        <v>200</v>
      </c>
    </row>
    <row r="57" spans="2:2" x14ac:dyDescent="0.45">
      <c r="B57">
        <v>209</v>
      </c>
    </row>
    <row r="58" spans="2:2" x14ac:dyDescent="0.45">
      <c r="B58">
        <v>191</v>
      </c>
    </row>
    <row r="59" spans="2:2" x14ac:dyDescent="0.45">
      <c r="B59">
        <v>196</v>
      </c>
    </row>
    <row r="60" spans="2:2" x14ac:dyDescent="0.45">
      <c r="B60">
        <v>201</v>
      </c>
    </row>
    <row r="61" spans="2:2" x14ac:dyDescent="0.45">
      <c r="B61">
        <v>209</v>
      </c>
    </row>
    <row r="62" spans="2:2" x14ac:dyDescent="0.45">
      <c r="B62">
        <v>205</v>
      </c>
    </row>
    <row r="63" spans="2:2" x14ac:dyDescent="0.45">
      <c r="B63">
        <v>227</v>
      </c>
    </row>
    <row r="64" spans="2:2" x14ac:dyDescent="0.45">
      <c r="B64">
        <v>195</v>
      </c>
    </row>
    <row r="65" spans="2:2" x14ac:dyDescent="0.45">
      <c r="B65">
        <v>219</v>
      </c>
    </row>
    <row r="66" spans="2:2" x14ac:dyDescent="0.45">
      <c r="B66">
        <v>193</v>
      </c>
    </row>
    <row r="67" spans="2:2" x14ac:dyDescent="0.45">
      <c r="B67">
        <v>179</v>
      </c>
    </row>
    <row r="68" spans="2:2" x14ac:dyDescent="0.45">
      <c r="B68">
        <v>219</v>
      </c>
    </row>
    <row r="69" spans="2:2" x14ac:dyDescent="0.45">
      <c r="B69">
        <v>158</v>
      </c>
    </row>
    <row r="70" spans="2:2" x14ac:dyDescent="0.45">
      <c r="B70">
        <v>178</v>
      </c>
    </row>
    <row r="71" spans="2:2" x14ac:dyDescent="0.45">
      <c r="B71">
        <v>234</v>
      </c>
    </row>
    <row r="72" spans="2:2" x14ac:dyDescent="0.45">
      <c r="B72">
        <v>198</v>
      </c>
    </row>
    <row r="73" spans="2:2" x14ac:dyDescent="0.45">
      <c r="B73">
        <v>220</v>
      </c>
    </row>
    <row r="74" spans="2:2" x14ac:dyDescent="0.45">
      <c r="B74">
        <v>204</v>
      </c>
    </row>
    <row r="75" spans="2:2" x14ac:dyDescent="0.45">
      <c r="B75">
        <v>200</v>
      </c>
    </row>
    <row r="76" spans="2:2" x14ac:dyDescent="0.45">
      <c r="B76">
        <v>185</v>
      </c>
    </row>
    <row r="77" spans="2:2" x14ac:dyDescent="0.45">
      <c r="B77">
        <v>196</v>
      </c>
    </row>
    <row r="78" spans="2:2" x14ac:dyDescent="0.45">
      <c r="B78">
        <v>206</v>
      </c>
    </row>
    <row r="79" spans="2:2" x14ac:dyDescent="0.45">
      <c r="B79">
        <v>202</v>
      </c>
    </row>
    <row r="80" spans="2:2" x14ac:dyDescent="0.45">
      <c r="B80">
        <v>195</v>
      </c>
    </row>
    <row r="81" spans="2:2" x14ac:dyDescent="0.45">
      <c r="B81">
        <v>197</v>
      </c>
    </row>
    <row r="82" spans="2:2" x14ac:dyDescent="0.45">
      <c r="B82">
        <v>195</v>
      </c>
    </row>
    <row r="83" spans="2:2" x14ac:dyDescent="0.45">
      <c r="B83">
        <v>201</v>
      </c>
    </row>
    <row r="84" spans="2:2" x14ac:dyDescent="0.45">
      <c r="B84">
        <v>214</v>
      </c>
    </row>
    <row r="85" spans="2:2" x14ac:dyDescent="0.45">
      <c r="B85">
        <v>184</v>
      </c>
    </row>
    <row r="86" spans="2:2" x14ac:dyDescent="0.45">
      <c r="B86">
        <v>182</v>
      </c>
    </row>
    <row r="87" spans="2:2" x14ac:dyDescent="0.45">
      <c r="B87">
        <v>218</v>
      </c>
    </row>
    <row r="88" spans="2:2" x14ac:dyDescent="0.45">
      <c r="B88">
        <v>192</v>
      </c>
    </row>
    <row r="89" spans="2:2" x14ac:dyDescent="0.45">
      <c r="B89">
        <v>183</v>
      </c>
    </row>
    <row r="90" spans="2:2" x14ac:dyDescent="0.45">
      <c r="B90">
        <v>199</v>
      </c>
    </row>
    <row r="91" spans="2:2" x14ac:dyDescent="0.45">
      <c r="B91">
        <v>222</v>
      </c>
    </row>
    <row r="92" spans="2:2" x14ac:dyDescent="0.45">
      <c r="B92">
        <v>205</v>
      </c>
    </row>
    <row r="93" spans="2:2" x14ac:dyDescent="0.45">
      <c r="B93">
        <v>203</v>
      </c>
    </row>
    <row r="94" spans="2:2" x14ac:dyDescent="0.45">
      <c r="B94">
        <v>217</v>
      </c>
    </row>
    <row r="95" spans="2:2" x14ac:dyDescent="0.45">
      <c r="B95">
        <v>193</v>
      </c>
    </row>
    <row r="96" spans="2:2" x14ac:dyDescent="0.45">
      <c r="B96">
        <v>221</v>
      </c>
    </row>
    <row r="97" spans="2:2" x14ac:dyDescent="0.45">
      <c r="B97">
        <v>212</v>
      </c>
    </row>
    <row r="98" spans="2:2" x14ac:dyDescent="0.45">
      <c r="B98">
        <v>204</v>
      </c>
    </row>
    <row r="99" spans="2:2" x14ac:dyDescent="0.45">
      <c r="B99">
        <v>201</v>
      </c>
    </row>
    <row r="100" spans="2:2" x14ac:dyDescent="0.45">
      <c r="B100">
        <v>202</v>
      </c>
    </row>
    <row r="101" spans="2:2" x14ac:dyDescent="0.45">
      <c r="B101">
        <v>168</v>
      </c>
    </row>
    <row r="102" spans="2:2" x14ac:dyDescent="0.45">
      <c r="B102">
        <v>179</v>
      </c>
    </row>
    <row r="103" spans="2:2" x14ac:dyDescent="0.45">
      <c r="B103">
        <v>213</v>
      </c>
    </row>
    <row r="104" spans="2:2" x14ac:dyDescent="0.45">
      <c r="B104">
        <v>219</v>
      </c>
    </row>
    <row r="105" spans="2:2" x14ac:dyDescent="0.45">
      <c r="B105">
        <v>216</v>
      </c>
    </row>
    <row r="106" spans="2:2" x14ac:dyDescent="0.45">
      <c r="B106">
        <v>170</v>
      </c>
    </row>
    <row r="107" spans="2:2" x14ac:dyDescent="0.45">
      <c r="B107">
        <v>224</v>
      </c>
    </row>
    <row r="108" spans="2:2" x14ac:dyDescent="0.45">
      <c r="B108">
        <v>209</v>
      </c>
    </row>
    <row r="109" spans="2:2" x14ac:dyDescent="0.45">
      <c r="B109">
        <v>183</v>
      </c>
    </row>
    <row r="110" spans="2:2" x14ac:dyDescent="0.45">
      <c r="B110">
        <v>196</v>
      </c>
    </row>
    <row r="111" spans="2:2" x14ac:dyDescent="0.45">
      <c r="B111">
        <v>178</v>
      </c>
    </row>
    <row r="112" spans="2:2" x14ac:dyDescent="0.45">
      <c r="B112">
        <v>192</v>
      </c>
    </row>
    <row r="113" spans="2:2" x14ac:dyDescent="0.45">
      <c r="B113">
        <v>192</v>
      </c>
    </row>
    <row r="114" spans="2:2" x14ac:dyDescent="0.45">
      <c r="B114">
        <v>227</v>
      </c>
    </row>
    <row r="115" spans="2:2" x14ac:dyDescent="0.45">
      <c r="B115">
        <v>206</v>
      </c>
    </row>
    <row r="116" spans="2:2" x14ac:dyDescent="0.45">
      <c r="B116">
        <v>229</v>
      </c>
    </row>
    <row r="117" spans="2:2" x14ac:dyDescent="0.45">
      <c r="B117">
        <v>182</v>
      </c>
    </row>
    <row r="118" spans="2:2" x14ac:dyDescent="0.45">
      <c r="B118">
        <v>195</v>
      </c>
    </row>
    <row r="119" spans="2:2" x14ac:dyDescent="0.45">
      <c r="B119">
        <v>197</v>
      </c>
    </row>
    <row r="120" spans="2:2" x14ac:dyDescent="0.45">
      <c r="B120">
        <v>184</v>
      </c>
    </row>
    <row r="121" spans="2:2" x14ac:dyDescent="0.45">
      <c r="B121">
        <v>208</v>
      </c>
    </row>
    <row r="122" spans="2:2" x14ac:dyDescent="0.45">
      <c r="B122">
        <v>180</v>
      </c>
    </row>
    <row r="123" spans="2:2" x14ac:dyDescent="0.45">
      <c r="B123">
        <v>215</v>
      </c>
    </row>
    <row r="124" spans="2:2" x14ac:dyDescent="0.45">
      <c r="B124">
        <v>196</v>
      </c>
    </row>
    <row r="125" spans="2:2" x14ac:dyDescent="0.45">
      <c r="B125">
        <v>196</v>
      </c>
    </row>
    <row r="126" spans="2:2" x14ac:dyDescent="0.45">
      <c r="B126">
        <v>194</v>
      </c>
    </row>
    <row r="127" spans="2:2" x14ac:dyDescent="0.45">
      <c r="B127">
        <v>217</v>
      </c>
    </row>
    <row r="128" spans="2:2" x14ac:dyDescent="0.45">
      <c r="B128">
        <v>167</v>
      </c>
    </row>
    <row r="129" spans="2:2" x14ac:dyDescent="0.45">
      <c r="B129">
        <v>203</v>
      </c>
    </row>
    <row r="130" spans="2:2" x14ac:dyDescent="0.45">
      <c r="B130">
        <v>196</v>
      </c>
    </row>
    <row r="131" spans="2:2" x14ac:dyDescent="0.45">
      <c r="B131">
        <v>210</v>
      </c>
    </row>
    <row r="132" spans="2:2" x14ac:dyDescent="0.45">
      <c r="B132">
        <v>206</v>
      </c>
    </row>
    <row r="133" spans="2:2" x14ac:dyDescent="0.45">
      <c r="B133">
        <v>208</v>
      </c>
    </row>
    <row r="134" spans="2:2" x14ac:dyDescent="0.45">
      <c r="B134">
        <v>187</v>
      </c>
    </row>
    <row r="135" spans="2:2" x14ac:dyDescent="0.45">
      <c r="B135">
        <v>210</v>
      </c>
    </row>
    <row r="136" spans="2:2" x14ac:dyDescent="0.45">
      <c r="B136">
        <v>196</v>
      </c>
    </row>
    <row r="137" spans="2:2" x14ac:dyDescent="0.45">
      <c r="B137">
        <v>200</v>
      </c>
    </row>
    <row r="138" spans="2:2" x14ac:dyDescent="0.45">
      <c r="B138">
        <v>183</v>
      </c>
    </row>
    <row r="139" spans="2:2" x14ac:dyDescent="0.45">
      <c r="B139">
        <v>218</v>
      </c>
    </row>
    <row r="140" spans="2:2" x14ac:dyDescent="0.45">
      <c r="B140">
        <v>188</v>
      </c>
    </row>
    <row r="141" spans="2:2" x14ac:dyDescent="0.45">
      <c r="B141">
        <v>206</v>
      </c>
    </row>
    <row r="142" spans="2:2" x14ac:dyDescent="0.45">
      <c r="B142">
        <v>204</v>
      </c>
    </row>
    <row r="143" spans="2:2" x14ac:dyDescent="0.45">
      <c r="B143">
        <v>211</v>
      </c>
    </row>
    <row r="144" spans="2:2" x14ac:dyDescent="0.45">
      <c r="B144">
        <v>205</v>
      </c>
    </row>
    <row r="145" spans="2:2" x14ac:dyDescent="0.45">
      <c r="B145">
        <v>199</v>
      </c>
    </row>
    <row r="146" spans="2:2" x14ac:dyDescent="0.45">
      <c r="B146">
        <v>191</v>
      </c>
    </row>
    <row r="147" spans="2:2" x14ac:dyDescent="0.45">
      <c r="B147">
        <v>211</v>
      </c>
    </row>
    <row r="148" spans="2:2" x14ac:dyDescent="0.45">
      <c r="B148">
        <v>210</v>
      </c>
    </row>
    <row r="149" spans="2:2" x14ac:dyDescent="0.45">
      <c r="B149">
        <v>203</v>
      </c>
    </row>
    <row r="150" spans="2:2" x14ac:dyDescent="0.45">
      <c r="B150">
        <v>179</v>
      </c>
    </row>
    <row r="151" spans="2:2" x14ac:dyDescent="0.45">
      <c r="B151">
        <v>196</v>
      </c>
    </row>
    <row r="152" spans="2:2" x14ac:dyDescent="0.45">
      <c r="B152">
        <v>195</v>
      </c>
    </row>
    <row r="153" spans="2:2" x14ac:dyDescent="0.45">
      <c r="B153">
        <v>189</v>
      </c>
    </row>
    <row r="154" spans="2:2" x14ac:dyDescent="0.45">
      <c r="B154">
        <v>214</v>
      </c>
    </row>
    <row r="155" spans="2:2" x14ac:dyDescent="0.45">
      <c r="B155">
        <v>222</v>
      </c>
    </row>
    <row r="156" spans="2:2" x14ac:dyDescent="0.45">
      <c r="B156">
        <v>202</v>
      </c>
    </row>
    <row r="157" spans="2:2" x14ac:dyDescent="0.45">
      <c r="B157">
        <v>199</v>
      </c>
    </row>
    <row r="158" spans="2:2" x14ac:dyDescent="0.45">
      <c r="B158">
        <v>201</v>
      </c>
    </row>
    <row r="159" spans="2:2" x14ac:dyDescent="0.45">
      <c r="B159">
        <v>192</v>
      </c>
    </row>
    <row r="160" spans="2:2" x14ac:dyDescent="0.45">
      <c r="B160">
        <v>210</v>
      </c>
    </row>
    <row r="161" spans="2:2" x14ac:dyDescent="0.45">
      <c r="B161">
        <v>195</v>
      </c>
    </row>
    <row r="162" spans="2:2" x14ac:dyDescent="0.45">
      <c r="B162">
        <v>176</v>
      </c>
    </row>
    <row r="163" spans="2:2" x14ac:dyDescent="0.45">
      <c r="B163">
        <v>209</v>
      </c>
    </row>
    <row r="164" spans="2:2" x14ac:dyDescent="0.45">
      <c r="B164">
        <v>203</v>
      </c>
    </row>
    <row r="165" spans="2:2" x14ac:dyDescent="0.45">
      <c r="B165">
        <v>202</v>
      </c>
    </row>
    <row r="166" spans="2:2" x14ac:dyDescent="0.45">
      <c r="B166">
        <v>214</v>
      </c>
    </row>
    <row r="167" spans="2:2" x14ac:dyDescent="0.45">
      <c r="B167">
        <v>215</v>
      </c>
    </row>
    <row r="168" spans="2:2" x14ac:dyDescent="0.45">
      <c r="B168">
        <v>192</v>
      </c>
    </row>
    <row r="169" spans="2:2" x14ac:dyDescent="0.45">
      <c r="B169">
        <v>195</v>
      </c>
    </row>
    <row r="170" spans="2:2" x14ac:dyDescent="0.45">
      <c r="B170">
        <v>200</v>
      </c>
    </row>
    <row r="171" spans="2:2" x14ac:dyDescent="0.45">
      <c r="B171">
        <v>165</v>
      </c>
    </row>
    <row r="172" spans="2:2" x14ac:dyDescent="0.45">
      <c r="B172">
        <v>205</v>
      </c>
    </row>
    <row r="173" spans="2:2" x14ac:dyDescent="0.45">
      <c r="B173">
        <v>211</v>
      </c>
    </row>
    <row r="174" spans="2:2" x14ac:dyDescent="0.45">
      <c r="B174">
        <v>210</v>
      </c>
    </row>
    <row r="175" spans="2:2" x14ac:dyDescent="0.45">
      <c r="B175">
        <v>194</v>
      </c>
    </row>
    <row r="176" spans="2:2" x14ac:dyDescent="0.45">
      <c r="B176">
        <v>184</v>
      </c>
    </row>
    <row r="177" spans="2:2" x14ac:dyDescent="0.45">
      <c r="B177">
        <v>182</v>
      </c>
    </row>
    <row r="178" spans="2:2" x14ac:dyDescent="0.45">
      <c r="B178">
        <v>221</v>
      </c>
    </row>
    <row r="179" spans="2:2" x14ac:dyDescent="0.45">
      <c r="B179">
        <v>209</v>
      </c>
    </row>
    <row r="180" spans="2:2" x14ac:dyDescent="0.45">
      <c r="B180">
        <v>211</v>
      </c>
    </row>
    <row r="181" spans="2:2" x14ac:dyDescent="0.45">
      <c r="B181">
        <v>195</v>
      </c>
    </row>
    <row r="182" spans="2:2" x14ac:dyDescent="0.45">
      <c r="B182">
        <v>183</v>
      </c>
    </row>
    <row r="183" spans="2:2" x14ac:dyDescent="0.45">
      <c r="B183">
        <v>6</v>
      </c>
    </row>
    <row r="184" spans="2:2" x14ac:dyDescent="0.45">
      <c r="B184">
        <v>124</v>
      </c>
    </row>
    <row r="185" spans="2:2" x14ac:dyDescent="0.45">
      <c r="B185">
        <v>888</v>
      </c>
    </row>
    <row r="186" spans="2:2" x14ac:dyDescent="0.45">
      <c r="B186">
        <v>661</v>
      </c>
    </row>
    <row r="187" spans="2:2" x14ac:dyDescent="0.45">
      <c r="B187">
        <v>240</v>
      </c>
    </row>
    <row r="188" spans="2:2" x14ac:dyDescent="0.45">
      <c r="B188">
        <v>53</v>
      </c>
    </row>
    <row r="189" spans="2:2" x14ac:dyDescent="0.45">
      <c r="B189">
        <v>19</v>
      </c>
    </row>
    <row r="190" spans="2:2" x14ac:dyDescent="0.45">
      <c r="B190">
        <v>4</v>
      </c>
    </row>
    <row r="191" spans="2:2" x14ac:dyDescent="0.45">
      <c r="B191">
        <v>1</v>
      </c>
    </row>
    <row r="192" spans="2:2" x14ac:dyDescent="0.45">
      <c r="B192">
        <v>4</v>
      </c>
    </row>
    <row r="193" spans="2:2" x14ac:dyDescent="0.45">
      <c r="B193">
        <v>9</v>
      </c>
    </row>
    <row r="194" spans="2:2" x14ac:dyDescent="0.45">
      <c r="B194">
        <v>71</v>
      </c>
    </row>
    <row r="195" spans="2:2" x14ac:dyDescent="0.45">
      <c r="B195">
        <v>171</v>
      </c>
    </row>
    <row r="196" spans="2:2" x14ac:dyDescent="0.45">
      <c r="B196">
        <v>334</v>
      </c>
    </row>
    <row r="197" spans="2:2" x14ac:dyDescent="0.45">
      <c r="B197">
        <v>480</v>
      </c>
    </row>
    <row r="198" spans="2:2" x14ac:dyDescent="0.45">
      <c r="B198">
        <v>441</v>
      </c>
    </row>
    <row r="199" spans="2:2" x14ac:dyDescent="0.45">
      <c r="B199">
        <v>306</v>
      </c>
    </row>
    <row r="200" spans="2:2" x14ac:dyDescent="0.45">
      <c r="B200">
        <v>140</v>
      </c>
    </row>
    <row r="201" spans="2:2" x14ac:dyDescent="0.45">
      <c r="B201">
        <v>42</v>
      </c>
    </row>
    <row r="202" spans="2:2" x14ac:dyDescent="0.45">
      <c r="B202">
        <v>6</v>
      </c>
    </row>
    <row r="203" spans="2:2" x14ac:dyDescent="0.45">
      <c r="B203">
        <v>318</v>
      </c>
    </row>
    <row r="204" spans="2:2" x14ac:dyDescent="0.45">
      <c r="B204">
        <v>852</v>
      </c>
    </row>
    <row r="205" spans="2:2" x14ac:dyDescent="0.45">
      <c r="B205">
        <v>485</v>
      </c>
    </row>
    <row r="206" spans="2:2" x14ac:dyDescent="0.45">
      <c r="B206">
        <v>200</v>
      </c>
    </row>
    <row r="207" spans="2:2" x14ac:dyDescent="0.45">
      <c r="B207">
        <v>87</v>
      </c>
    </row>
    <row r="208" spans="2:2" x14ac:dyDescent="0.45">
      <c r="B208">
        <v>37</v>
      </c>
    </row>
    <row r="209" spans="2:2" x14ac:dyDescent="0.45">
      <c r="B209">
        <v>14</v>
      </c>
    </row>
    <row r="210" spans="2:2" x14ac:dyDescent="0.45">
      <c r="B210">
        <v>1</v>
      </c>
    </row>
    <row r="211" spans="2:2" x14ac:dyDescent="0.45">
      <c r="B211">
        <v>4</v>
      </c>
    </row>
    <row r="212" spans="2:2" x14ac:dyDescent="0.45">
      <c r="B212">
        <v>2</v>
      </c>
    </row>
    <row r="213" spans="2:2" x14ac:dyDescent="0.45">
      <c r="B213">
        <v>7</v>
      </c>
    </row>
    <row r="214" spans="2:2" x14ac:dyDescent="0.45">
      <c r="B214">
        <v>56</v>
      </c>
    </row>
    <row r="215" spans="2:2" x14ac:dyDescent="0.45">
      <c r="B215">
        <v>228</v>
      </c>
    </row>
    <row r="216" spans="2:2" x14ac:dyDescent="0.45">
      <c r="B216">
        <v>431</v>
      </c>
    </row>
    <row r="217" spans="2:2" x14ac:dyDescent="0.45">
      <c r="B217">
        <v>558</v>
      </c>
    </row>
    <row r="218" spans="2:2" x14ac:dyDescent="0.45">
      <c r="B218">
        <v>387</v>
      </c>
    </row>
    <row r="219" spans="2:2" x14ac:dyDescent="0.45">
      <c r="B219">
        <v>216</v>
      </c>
    </row>
    <row r="220" spans="2:2" x14ac:dyDescent="0.45">
      <c r="B220">
        <v>80</v>
      </c>
    </row>
    <row r="221" spans="2:2" x14ac:dyDescent="0.45">
      <c r="B221">
        <v>27</v>
      </c>
    </row>
    <row r="222" spans="2:2" x14ac:dyDescent="0.45">
      <c r="B222">
        <v>10</v>
      </c>
    </row>
    <row r="223" spans="2:2" x14ac:dyDescent="0.45">
      <c r="B223">
        <v>29</v>
      </c>
    </row>
    <row r="224" spans="2:2" x14ac:dyDescent="0.45">
      <c r="B224">
        <v>144</v>
      </c>
    </row>
    <row r="225" spans="2:2" x14ac:dyDescent="0.45">
      <c r="B225">
        <v>388</v>
      </c>
    </row>
    <row r="226" spans="2:2" x14ac:dyDescent="0.45">
      <c r="B226">
        <v>524</v>
      </c>
    </row>
    <row r="227" spans="2:2" x14ac:dyDescent="0.45">
      <c r="B227">
        <v>404</v>
      </c>
    </row>
    <row r="228" spans="2:2" x14ac:dyDescent="0.45">
      <c r="B228">
        <v>302</v>
      </c>
    </row>
    <row r="229" spans="2:2" x14ac:dyDescent="0.45">
      <c r="B229">
        <v>135</v>
      </c>
    </row>
    <row r="230" spans="2:2" x14ac:dyDescent="0.45">
      <c r="B230">
        <v>48</v>
      </c>
    </row>
    <row r="231" spans="2:2" x14ac:dyDescent="0.45">
      <c r="B231">
        <v>17</v>
      </c>
    </row>
    <row r="232" spans="2:2" x14ac:dyDescent="0.45">
      <c r="B232">
        <v>9</v>
      </c>
    </row>
    <row r="233" spans="2:2" x14ac:dyDescent="0.45">
      <c r="B233">
        <v>9</v>
      </c>
    </row>
    <row r="234" spans="2:2" x14ac:dyDescent="0.45">
      <c r="B234">
        <v>140</v>
      </c>
    </row>
    <row r="235" spans="2:2" x14ac:dyDescent="0.45">
      <c r="B235">
        <v>450</v>
      </c>
    </row>
    <row r="236" spans="2:2" x14ac:dyDescent="0.45">
      <c r="B236">
        <v>608</v>
      </c>
    </row>
    <row r="237" spans="2:2" x14ac:dyDescent="0.45">
      <c r="B237">
        <v>420</v>
      </c>
    </row>
    <row r="238" spans="2:2" x14ac:dyDescent="0.45">
      <c r="B238">
        <v>239</v>
      </c>
    </row>
    <row r="239" spans="2:2" x14ac:dyDescent="0.45">
      <c r="B239">
        <v>93</v>
      </c>
    </row>
    <row r="240" spans="2:2" x14ac:dyDescent="0.45">
      <c r="B240">
        <v>29</v>
      </c>
    </row>
    <row r="241" spans="2:2" x14ac:dyDescent="0.45">
      <c r="B241">
        <v>9</v>
      </c>
    </row>
    <row r="242" spans="2:2" x14ac:dyDescent="0.45">
      <c r="B242">
        <v>3</v>
      </c>
    </row>
    <row r="243" spans="2:2" x14ac:dyDescent="0.45">
      <c r="B243">
        <v>27</v>
      </c>
    </row>
    <row r="244" spans="2:2" x14ac:dyDescent="0.45">
      <c r="B244">
        <v>370</v>
      </c>
    </row>
    <row r="245" spans="2:2" x14ac:dyDescent="0.45">
      <c r="B245">
        <v>685</v>
      </c>
    </row>
    <row r="246" spans="2:2" x14ac:dyDescent="0.45">
      <c r="B246">
        <v>545</v>
      </c>
    </row>
    <row r="247" spans="2:2" x14ac:dyDescent="0.45">
      <c r="B247">
        <v>240</v>
      </c>
    </row>
    <row r="248" spans="2:2" x14ac:dyDescent="0.45">
      <c r="B248">
        <v>94</v>
      </c>
    </row>
    <row r="249" spans="2:2" x14ac:dyDescent="0.45">
      <c r="B249">
        <v>28</v>
      </c>
    </row>
    <row r="250" spans="2:2" x14ac:dyDescent="0.45">
      <c r="B250">
        <v>6</v>
      </c>
    </row>
    <row r="251" spans="2:2" x14ac:dyDescent="0.45">
      <c r="B251">
        <v>4</v>
      </c>
    </row>
    <row r="252" spans="2:2" x14ac:dyDescent="0.45">
      <c r="B252">
        <v>1</v>
      </c>
    </row>
    <row r="253" spans="2:2" x14ac:dyDescent="0.45">
      <c r="B253">
        <v>22</v>
      </c>
    </row>
    <row r="254" spans="2:2" x14ac:dyDescent="0.45">
      <c r="B254">
        <v>232</v>
      </c>
    </row>
    <row r="255" spans="2:2" x14ac:dyDescent="0.45">
      <c r="B255">
        <v>578</v>
      </c>
    </row>
    <row r="256" spans="2:2" x14ac:dyDescent="0.45">
      <c r="B256">
        <v>538</v>
      </c>
    </row>
    <row r="257" spans="2:2" x14ac:dyDescent="0.45">
      <c r="B257">
        <v>354</v>
      </c>
    </row>
    <row r="258" spans="2:2" x14ac:dyDescent="0.45">
      <c r="B258">
        <v>170</v>
      </c>
    </row>
    <row r="259" spans="2:2" x14ac:dyDescent="0.45">
      <c r="B259">
        <v>63</v>
      </c>
    </row>
    <row r="260" spans="2:2" x14ac:dyDescent="0.45">
      <c r="B260">
        <v>31</v>
      </c>
    </row>
    <row r="261" spans="2:2" x14ac:dyDescent="0.45">
      <c r="B261">
        <v>6</v>
      </c>
    </row>
    <row r="262" spans="2:2" x14ac:dyDescent="0.45">
      <c r="B262">
        <v>6</v>
      </c>
    </row>
    <row r="263" spans="2:2" x14ac:dyDescent="0.45">
      <c r="B263">
        <v>25</v>
      </c>
    </row>
    <row r="264" spans="2:2" x14ac:dyDescent="0.45">
      <c r="B264">
        <v>280</v>
      </c>
    </row>
    <row r="265" spans="2:2" x14ac:dyDescent="0.45">
      <c r="B265">
        <v>577</v>
      </c>
    </row>
    <row r="266" spans="2:2" x14ac:dyDescent="0.45">
      <c r="B266">
        <v>537</v>
      </c>
    </row>
    <row r="267" spans="2:2" x14ac:dyDescent="0.45">
      <c r="B267">
        <v>320</v>
      </c>
    </row>
    <row r="268" spans="2:2" x14ac:dyDescent="0.45">
      <c r="B268">
        <v>161</v>
      </c>
    </row>
    <row r="269" spans="2:2" x14ac:dyDescent="0.45">
      <c r="B269">
        <v>67</v>
      </c>
    </row>
    <row r="270" spans="2:2" x14ac:dyDescent="0.45">
      <c r="B270">
        <v>20</v>
      </c>
    </row>
    <row r="271" spans="2:2" x14ac:dyDescent="0.45">
      <c r="B271">
        <v>8</v>
      </c>
    </row>
    <row r="272" spans="2:2" x14ac:dyDescent="0.45">
      <c r="B272">
        <v>5</v>
      </c>
    </row>
    <row r="273" spans="2:2" x14ac:dyDescent="0.45">
      <c r="B273">
        <v>49</v>
      </c>
    </row>
    <row r="274" spans="2:2" x14ac:dyDescent="0.45">
      <c r="B274">
        <v>335</v>
      </c>
    </row>
    <row r="275" spans="2:2" x14ac:dyDescent="0.45">
      <c r="B275">
        <v>553</v>
      </c>
    </row>
    <row r="276" spans="2:2" x14ac:dyDescent="0.45">
      <c r="B276">
        <v>494</v>
      </c>
    </row>
    <row r="277" spans="2:2" x14ac:dyDescent="0.45">
      <c r="B277">
        <v>310</v>
      </c>
    </row>
    <row r="278" spans="2:2" x14ac:dyDescent="0.45">
      <c r="B278">
        <v>152</v>
      </c>
    </row>
    <row r="279" spans="2:2" x14ac:dyDescent="0.45">
      <c r="B279">
        <v>64</v>
      </c>
    </row>
    <row r="280" spans="2:2" x14ac:dyDescent="0.45">
      <c r="B280">
        <v>28</v>
      </c>
    </row>
    <row r="281" spans="2:2" x14ac:dyDescent="0.45">
      <c r="B281">
        <v>10</v>
      </c>
    </row>
    <row r="282" spans="2:2" x14ac:dyDescent="0.45">
      <c r="B282">
        <v>5</v>
      </c>
    </row>
    <row r="283" spans="2:2" x14ac:dyDescent="0.45">
      <c r="B283">
        <v>68</v>
      </c>
    </row>
    <row r="284" spans="2:2" x14ac:dyDescent="0.45">
      <c r="B284">
        <v>396</v>
      </c>
    </row>
    <row r="285" spans="2:2" x14ac:dyDescent="0.45">
      <c r="B285">
        <v>624</v>
      </c>
    </row>
    <row r="286" spans="2:2" x14ac:dyDescent="0.45">
      <c r="B286">
        <v>469</v>
      </c>
    </row>
    <row r="287" spans="2:2" x14ac:dyDescent="0.45">
      <c r="B287">
        <v>256</v>
      </c>
    </row>
    <row r="288" spans="2:2" x14ac:dyDescent="0.45">
      <c r="B288">
        <v>104</v>
      </c>
    </row>
    <row r="289" spans="2:2" x14ac:dyDescent="0.45">
      <c r="B289">
        <v>52</v>
      </c>
    </row>
    <row r="290" spans="2:2" x14ac:dyDescent="0.45">
      <c r="B290">
        <v>17</v>
      </c>
    </row>
    <row r="291" spans="2:2" x14ac:dyDescent="0.45">
      <c r="B291">
        <v>10</v>
      </c>
    </row>
    <row r="292" spans="2:2" x14ac:dyDescent="0.45">
      <c r="B292">
        <v>4</v>
      </c>
    </row>
    <row r="293" spans="2:2" x14ac:dyDescent="0.45">
      <c r="B293">
        <v>68</v>
      </c>
    </row>
    <row r="294" spans="2:2" x14ac:dyDescent="0.45">
      <c r="B294">
        <v>420</v>
      </c>
    </row>
    <row r="295" spans="2:2" x14ac:dyDescent="0.45">
      <c r="B295">
        <v>630</v>
      </c>
    </row>
    <row r="296" spans="2:2" x14ac:dyDescent="0.45">
      <c r="B296">
        <v>496</v>
      </c>
    </row>
    <row r="297" spans="2:2" x14ac:dyDescent="0.45">
      <c r="B297">
        <v>213</v>
      </c>
    </row>
    <row r="298" spans="2:2" x14ac:dyDescent="0.45">
      <c r="B298">
        <v>100</v>
      </c>
    </row>
    <row r="299" spans="2:2" x14ac:dyDescent="0.45">
      <c r="B299">
        <v>46</v>
      </c>
    </row>
    <row r="300" spans="2:2" x14ac:dyDescent="0.45">
      <c r="B300">
        <v>15</v>
      </c>
    </row>
    <row r="301" spans="2:2" x14ac:dyDescent="0.45">
      <c r="B301">
        <v>8</v>
      </c>
    </row>
    <row r="302" spans="2:2" x14ac:dyDescent="0.45">
      <c r="B302">
        <v>4</v>
      </c>
    </row>
    <row r="303" spans="2:2" x14ac:dyDescent="0.45">
      <c r="B303">
        <v>98</v>
      </c>
    </row>
    <row r="304" spans="2:2" x14ac:dyDescent="0.45">
      <c r="B304">
        <v>500</v>
      </c>
    </row>
    <row r="305" spans="2:2" x14ac:dyDescent="0.45">
      <c r="B305">
        <v>629</v>
      </c>
    </row>
    <row r="306" spans="2:2" x14ac:dyDescent="0.45">
      <c r="B306">
        <v>415</v>
      </c>
    </row>
    <row r="307" spans="2:2" x14ac:dyDescent="0.45">
      <c r="B307">
        <v>204</v>
      </c>
    </row>
    <row r="308" spans="2:2" x14ac:dyDescent="0.45">
      <c r="B308">
        <v>95</v>
      </c>
    </row>
    <row r="309" spans="2:2" x14ac:dyDescent="0.45">
      <c r="B309">
        <v>34</v>
      </c>
    </row>
    <row r="310" spans="2:2" x14ac:dyDescent="0.45">
      <c r="B310">
        <v>13</v>
      </c>
    </row>
    <row r="311" spans="2:2" x14ac:dyDescent="0.45">
      <c r="B311">
        <v>8</v>
      </c>
    </row>
    <row r="312" spans="2:2" x14ac:dyDescent="0.45">
      <c r="B312">
        <v>4</v>
      </c>
    </row>
    <row r="313" spans="2:2" x14ac:dyDescent="0.45">
      <c r="B313">
        <v>128</v>
      </c>
    </row>
    <row r="314" spans="2:2" x14ac:dyDescent="0.45">
      <c r="B314">
        <v>597</v>
      </c>
    </row>
    <row r="315" spans="2:2" x14ac:dyDescent="0.45">
      <c r="B315">
        <v>641</v>
      </c>
    </row>
    <row r="316" spans="2:2" x14ac:dyDescent="0.45">
      <c r="B316">
        <v>347</v>
      </c>
    </row>
    <row r="317" spans="2:2" x14ac:dyDescent="0.45">
      <c r="B317">
        <v>173</v>
      </c>
    </row>
    <row r="318" spans="2:2" x14ac:dyDescent="0.45">
      <c r="B318">
        <v>72</v>
      </c>
    </row>
    <row r="319" spans="2:2" x14ac:dyDescent="0.45">
      <c r="B319">
        <v>26</v>
      </c>
    </row>
    <row r="320" spans="2:2" x14ac:dyDescent="0.45">
      <c r="B320">
        <v>12</v>
      </c>
    </row>
    <row r="321" spans="2:2" x14ac:dyDescent="0.45">
      <c r="B321">
        <v>2</v>
      </c>
    </row>
    <row r="322" spans="2:2" x14ac:dyDescent="0.45">
      <c r="B322">
        <v>2</v>
      </c>
    </row>
    <row r="323" spans="2:2" x14ac:dyDescent="0.45">
      <c r="B323">
        <v>151</v>
      </c>
    </row>
    <row r="324" spans="2:2" x14ac:dyDescent="0.45">
      <c r="B324">
        <v>633</v>
      </c>
    </row>
    <row r="325" spans="2:2" x14ac:dyDescent="0.45">
      <c r="B325">
        <v>617</v>
      </c>
    </row>
    <row r="326" spans="2:2" x14ac:dyDescent="0.45">
      <c r="B326">
        <v>333</v>
      </c>
    </row>
    <row r="327" spans="2:2" x14ac:dyDescent="0.45">
      <c r="B327">
        <v>155</v>
      </c>
    </row>
    <row r="328" spans="2:2" x14ac:dyDescent="0.45">
      <c r="B328">
        <v>67</v>
      </c>
    </row>
    <row r="329" spans="2:2" x14ac:dyDescent="0.45">
      <c r="B329">
        <v>31</v>
      </c>
    </row>
    <row r="330" spans="2:2" x14ac:dyDescent="0.45">
      <c r="B330">
        <v>8</v>
      </c>
    </row>
    <row r="331" spans="2:2" x14ac:dyDescent="0.45">
      <c r="B331">
        <v>2</v>
      </c>
    </row>
    <row r="332" spans="2:2" x14ac:dyDescent="0.45">
      <c r="B332">
        <v>3</v>
      </c>
    </row>
    <row r="333" spans="2:2" x14ac:dyDescent="0.45">
      <c r="B333">
        <v>188</v>
      </c>
    </row>
    <row r="334" spans="2:2" x14ac:dyDescent="0.45">
      <c r="B334">
        <v>692</v>
      </c>
    </row>
    <row r="335" spans="2:2" x14ac:dyDescent="0.45">
      <c r="B335">
        <v>610</v>
      </c>
    </row>
    <row r="336" spans="2:2" x14ac:dyDescent="0.45">
      <c r="B336">
        <v>294</v>
      </c>
    </row>
    <row r="337" spans="2:2" x14ac:dyDescent="0.45">
      <c r="B337">
        <v>131</v>
      </c>
    </row>
    <row r="338" spans="2:2" x14ac:dyDescent="0.45">
      <c r="B338">
        <v>57</v>
      </c>
    </row>
    <row r="339" spans="2:2" x14ac:dyDescent="0.45">
      <c r="B339">
        <v>15</v>
      </c>
    </row>
    <row r="340" spans="2:2" x14ac:dyDescent="0.45">
      <c r="B340">
        <v>8</v>
      </c>
    </row>
    <row r="341" spans="2:2" x14ac:dyDescent="0.45">
      <c r="B341">
        <v>2</v>
      </c>
    </row>
    <row r="342" spans="2:2" x14ac:dyDescent="0.45">
      <c r="B342">
        <v>3</v>
      </c>
    </row>
    <row r="343" spans="2:2" x14ac:dyDescent="0.45">
      <c r="B343">
        <v>180</v>
      </c>
    </row>
    <row r="344" spans="2:2" x14ac:dyDescent="0.45">
      <c r="B344">
        <v>600</v>
      </c>
    </row>
    <row r="345" spans="2:2" x14ac:dyDescent="0.45">
      <c r="B345">
        <v>600</v>
      </c>
    </row>
    <row r="346" spans="2:2" x14ac:dyDescent="0.45">
      <c r="B346">
        <v>340</v>
      </c>
    </row>
    <row r="347" spans="2:2" x14ac:dyDescent="0.45">
      <c r="B347">
        <v>153</v>
      </c>
    </row>
    <row r="348" spans="2:2" x14ac:dyDescent="0.45">
      <c r="B348">
        <v>81</v>
      </c>
    </row>
    <row r="349" spans="2:2" x14ac:dyDescent="0.45">
      <c r="B349">
        <v>25</v>
      </c>
    </row>
    <row r="350" spans="2:2" x14ac:dyDescent="0.45">
      <c r="B350">
        <v>11</v>
      </c>
    </row>
    <row r="351" spans="2:2" x14ac:dyDescent="0.45">
      <c r="B351">
        <v>6</v>
      </c>
    </row>
    <row r="352" spans="2:2" x14ac:dyDescent="0.45">
      <c r="B352">
        <v>4</v>
      </c>
    </row>
    <row r="353" spans="2:2" x14ac:dyDescent="0.45">
      <c r="B353">
        <v>254</v>
      </c>
    </row>
    <row r="354" spans="2:2" x14ac:dyDescent="0.45">
      <c r="B354">
        <v>755</v>
      </c>
    </row>
    <row r="355" spans="2:2" x14ac:dyDescent="0.45">
      <c r="B355">
        <v>598</v>
      </c>
    </row>
    <row r="356" spans="2:2" x14ac:dyDescent="0.45">
      <c r="B356">
        <v>245</v>
      </c>
    </row>
    <row r="357" spans="2:2" x14ac:dyDescent="0.45">
      <c r="B357">
        <v>90</v>
      </c>
    </row>
    <row r="358" spans="2:2" x14ac:dyDescent="0.45">
      <c r="B358">
        <v>32</v>
      </c>
    </row>
    <row r="359" spans="2:2" x14ac:dyDescent="0.45">
      <c r="B359">
        <v>18</v>
      </c>
    </row>
    <row r="360" spans="2:2" x14ac:dyDescent="0.45">
      <c r="B360">
        <v>6</v>
      </c>
    </row>
    <row r="361" spans="2:2" x14ac:dyDescent="0.45">
      <c r="B361">
        <v>1</v>
      </c>
    </row>
    <row r="362" spans="2:2" x14ac:dyDescent="0.45">
      <c r="B362">
        <v>1</v>
      </c>
    </row>
    <row r="363" spans="2:2" x14ac:dyDescent="0.45">
      <c r="B363">
        <v>239</v>
      </c>
    </row>
    <row r="364" spans="2:2" x14ac:dyDescent="0.45">
      <c r="B364">
        <v>669</v>
      </c>
    </row>
    <row r="365" spans="2:2" x14ac:dyDescent="0.45">
      <c r="B365">
        <v>609</v>
      </c>
    </row>
    <row r="366" spans="2:2" x14ac:dyDescent="0.45">
      <c r="B366">
        <v>259</v>
      </c>
    </row>
    <row r="367" spans="2:2" x14ac:dyDescent="0.45">
      <c r="B367">
        <v>143</v>
      </c>
    </row>
    <row r="368" spans="2:2" x14ac:dyDescent="0.45">
      <c r="B368">
        <v>47</v>
      </c>
    </row>
    <row r="369" spans="2:2" x14ac:dyDescent="0.45">
      <c r="B369">
        <v>17</v>
      </c>
    </row>
    <row r="370" spans="2:2" x14ac:dyDescent="0.45">
      <c r="B370">
        <v>8</v>
      </c>
    </row>
    <row r="371" spans="2:2" x14ac:dyDescent="0.45">
      <c r="B371">
        <v>5</v>
      </c>
    </row>
    <row r="372" spans="2:2" x14ac:dyDescent="0.45">
      <c r="B372">
        <v>4</v>
      </c>
    </row>
    <row r="373" spans="2:2" x14ac:dyDescent="0.45">
      <c r="B373">
        <v>286</v>
      </c>
    </row>
    <row r="374" spans="2:2" x14ac:dyDescent="0.45">
      <c r="B374">
        <v>736</v>
      </c>
    </row>
    <row r="375" spans="2:2" x14ac:dyDescent="0.45">
      <c r="B375">
        <v>562</v>
      </c>
    </row>
    <row r="376" spans="2:2" x14ac:dyDescent="0.45">
      <c r="B376">
        <v>248</v>
      </c>
    </row>
    <row r="377" spans="2:2" x14ac:dyDescent="0.45">
      <c r="B377">
        <v>108</v>
      </c>
    </row>
    <row r="378" spans="2:2" x14ac:dyDescent="0.45">
      <c r="B378">
        <v>33</v>
      </c>
    </row>
    <row r="379" spans="2:2" x14ac:dyDescent="0.45">
      <c r="B379">
        <v>16</v>
      </c>
    </row>
    <row r="380" spans="2:2" x14ac:dyDescent="0.45">
      <c r="B380">
        <v>6</v>
      </c>
    </row>
    <row r="381" spans="2:2" x14ac:dyDescent="0.45">
      <c r="B381">
        <v>3</v>
      </c>
    </row>
    <row r="382" spans="2:2" x14ac:dyDescent="0.45">
      <c r="B382">
        <v>2</v>
      </c>
    </row>
    <row r="383" spans="2:2" x14ac:dyDescent="0.45">
      <c r="B383">
        <v>238</v>
      </c>
    </row>
    <row r="384" spans="2:2" x14ac:dyDescent="0.45">
      <c r="B384">
        <v>647</v>
      </c>
    </row>
    <row r="385" spans="2:2" x14ac:dyDescent="0.45">
      <c r="B385">
        <v>573</v>
      </c>
    </row>
    <row r="386" spans="2:2" x14ac:dyDescent="0.45">
      <c r="B386">
        <v>290</v>
      </c>
    </row>
    <row r="387" spans="2:2" x14ac:dyDescent="0.45">
      <c r="B387">
        <v>137</v>
      </c>
    </row>
    <row r="388" spans="2:2" x14ac:dyDescent="0.45">
      <c r="B388">
        <v>71</v>
      </c>
    </row>
    <row r="389" spans="2:2" x14ac:dyDescent="0.45">
      <c r="B389">
        <v>22</v>
      </c>
    </row>
    <row r="390" spans="2:2" x14ac:dyDescent="0.45">
      <c r="B390">
        <v>11</v>
      </c>
    </row>
    <row r="391" spans="2:2" x14ac:dyDescent="0.45">
      <c r="B391">
        <v>6</v>
      </c>
    </row>
    <row r="392" spans="2:2" x14ac:dyDescent="0.45">
      <c r="B392">
        <v>5</v>
      </c>
    </row>
    <row r="393" spans="2:2" x14ac:dyDescent="0.45">
      <c r="B393">
        <v>236</v>
      </c>
    </row>
    <row r="394" spans="2:2" x14ac:dyDescent="0.45">
      <c r="B394">
        <v>684</v>
      </c>
    </row>
    <row r="395" spans="2:2" x14ac:dyDescent="0.45">
      <c r="B395">
        <v>579</v>
      </c>
    </row>
    <row r="396" spans="2:2" x14ac:dyDescent="0.45">
      <c r="B396">
        <v>288</v>
      </c>
    </row>
    <row r="397" spans="2:2" x14ac:dyDescent="0.45">
      <c r="B397">
        <v>123</v>
      </c>
    </row>
    <row r="398" spans="2:2" x14ac:dyDescent="0.45">
      <c r="B398">
        <v>41</v>
      </c>
    </row>
    <row r="399" spans="2:2" x14ac:dyDescent="0.45">
      <c r="B399">
        <v>30</v>
      </c>
    </row>
    <row r="400" spans="2:2" x14ac:dyDescent="0.45">
      <c r="B400">
        <v>11</v>
      </c>
    </row>
    <row r="401" spans="2:2" x14ac:dyDescent="0.45">
      <c r="B401">
        <v>6</v>
      </c>
    </row>
    <row r="402" spans="2:2" x14ac:dyDescent="0.45">
      <c r="B402">
        <v>2</v>
      </c>
    </row>
    <row r="403" spans="2:2" x14ac:dyDescent="0.45">
      <c r="B403">
        <v>206</v>
      </c>
    </row>
    <row r="404" spans="2:2" x14ac:dyDescent="0.45">
      <c r="B404">
        <v>623</v>
      </c>
    </row>
    <row r="405" spans="2:2" x14ac:dyDescent="0.45">
      <c r="B405">
        <v>581</v>
      </c>
    </row>
    <row r="406" spans="2:2" x14ac:dyDescent="0.45">
      <c r="B406">
        <v>323</v>
      </c>
    </row>
    <row r="407" spans="2:2" x14ac:dyDescent="0.45">
      <c r="B407">
        <v>145</v>
      </c>
    </row>
    <row r="408" spans="2:2" x14ac:dyDescent="0.45">
      <c r="B408">
        <v>61</v>
      </c>
    </row>
    <row r="409" spans="2:2" x14ac:dyDescent="0.45">
      <c r="B409">
        <v>32</v>
      </c>
    </row>
    <row r="410" spans="2:2" x14ac:dyDescent="0.45">
      <c r="B410">
        <v>20</v>
      </c>
    </row>
    <row r="411" spans="2:2" x14ac:dyDescent="0.45">
      <c r="B411">
        <v>3</v>
      </c>
    </row>
    <row r="412" spans="2:2" x14ac:dyDescent="0.45">
      <c r="B412">
        <v>6</v>
      </c>
    </row>
    <row r="413" spans="2:2" x14ac:dyDescent="0.45">
      <c r="B413">
        <v>221</v>
      </c>
    </row>
    <row r="414" spans="2:2" x14ac:dyDescent="0.45">
      <c r="B414">
        <v>628</v>
      </c>
    </row>
    <row r="415" spans="2:2" x14ac:dyDescent="0.45">
      <c r="B415">
        <v>561</v>
      </c>
    </row>
    <row r="416" spans="2:2" x14ac:dyDescent="0.45">
      <c r="B416">
        <v>325</v>
      </c>
    </row>
    <row r="417" spans="2:2" x14ac:dyDescent="0.45">
      <c r="B417">
        <v>148</v>
      </c>
    </row>
    <row r="418" spans="2:2" x14ac:dyDescent="0.45">
      <c r="B418">
        <v>55</v>
      </c>
    </row>
    <row r="419" spans="2:2" x14ac:dyDescent="0.45">
      <c r="B419">
        <v>34</v>
      </c>
    </row>
    <row r="420" spans="2:2" x14ac:dyDescent="0.45">
      <c r="B420">
        <v>13</v>
      </c>
    </row>
    <row r="421" spans="2:2" x14ac:dyDescent="0.45">
      <c r="B421">
        <v>9</v>
      </c>
    </row>
    <row r="422" spans="2:2" x14ac:dyDescent="0.45">
      <c r="B422">
        <v>6</v>
      </c>
    </row>
    <row r="423" spans="2:2" x14ac:dyDescent="0.45">
      <c r="B423">
        <v>206</v>
      </c>
    </row>
    <row r="424" spans="2:2" x14ac:dyDescent="0.45">
      <c r="B424">
        <v>639</v>
      </c>
    </row>
    <row r="425" spans="2:2" x14ac:dyDescent="0.45">
      <c r="B425">
        <v>557</v>
      </c>
    </row>
    <row r="426" spans="2:2" x14ac:dyDescent="0.45">
      <c r="B426">
        <v>318</v>
      </c>
    </row>
    <row r="427" spans="2:2" x14ac:dyDescent="0.45">
      <c r="B427">
        <v>142</v>
      </c>
    </row>
    <row r="428" spans="2:2" x14ac:dyDescent="0.45">
      <c r="B428">
        <v>76</v>
      </c>
    </row>
    <row r="429" spans="2:2" x14ac:dyDescent="0.45">
      <c r="B429">
        <v>35</v>
      </c>
    </row>
    <row r="430" spans="2:2" x14ac:dyDescent="0.45">
      <c r="B430">
        <v>18</v>
      </c>
    </row>
    <row r="431" spans="2:2" x14ac:dyDescent="0.45">
      <c r="B431">
        <v>5</v>
      </c>
    </row>
    <row r="432" spans="2:2" x14ac:dyDescent="0.45">
      <c r="B432">
        <v>4</v>
      </c>
    </row>
    <row r="433" spans="2:2" x14ac:dyDescent="0.45">
      <c r="B433">
        <v>270</v>
      </c>
    </row>
    <row r="434" spans="2:2" x14ac:dyDescent="0.45">
      <c r="B434">
        <v>706</v>
      </c>
    </row>
    <row r="435" spans="2:2" x14ac:dyDescent="0.45">
      <c r="B435">
        <v>524</v>
      </c>
    </row>
    <row r="436" spans="2:2" x14ac:dyDescent="0.45">
      <c r="B436">
        <v>275</v>
      </c>
    </row>
    <row r="437" spans="2:2" x14ac:dyDescent="0.45">
      <c r="B437">
        <v>112</v>
      </c>
    </row>
    <row r="438" spans="2:2" x14ac:dyDescent="0.45">
      <c r="B438">
        <v>65</v>
      </c>
    </row>
    <row r="439" spans="2:2" x14ac:dyDescent="0.45">
      <c r="B439">
        <v>29</v>
      </c>
    </row>
    <row r="440" spans="2:2" x14ac:dyDescent="0.45">
      <c r="B440">
        <v>13</v>
      </c>
    </row>
    <row r="441" spans="2:2" x14ac:dyDescent="0.45">
      <c r="B441">
        <v>5</v>
      </c>
    </row>
    <row r="442" spans="2:2" x14ac:dyDescent="0.45">
      <c r="B442">
        <v>1</v>
      </c>
    </row>
    <row r="443" spans="2:2" x14ac:dyDescent="0.45">
      <c r="B443">
        <v>242</v>
      </c>
    </row>
    <row r="444" spans="2:2" x14ac:dyDescent="0.45">
      <c r="B444">
        <v>679</v>
      </c>
    </row>
    <row r="445" spans="2:2" x14ac:dyDescent="0.45">
      <c r="B445">
        <v>523</v>
      </c>
    </row>
    <row r="446" spans="2:2" x14ac:dyDescent="0.45">
      <c r="B446">
        <v>293</v>
      </c>
    </row>
    <row r="447" spans="2:2" x14ac:dyDescent="0.45">
      <c r="B447">
        <v>140</v>
      </c>
    </row>
    <row r="448" spans="2:2" x14ac:dyDescent="0.45">
      <c r="B448">
        <v>58</v>
      </c>
    </row>
    <row r="449" spans="2:2" x14ac:dyDescent="0.45">
      <c r="B449">
        <v>36</v>
      </c>
    </row>
    <row r="450" spans="2:2" x14ac:dyDescent="0.45">
      <c r="B450">
        <v>18</v>
      </c>
    </row>
    <row r="451" spans="2:2" x14ac:dyDescent="0.45">
      <c r="B451">
        <v>7</v>
      </c>
    </row>
    <row r="452" spans="2:2" x14ac:dyDescent="0.45">
      <c r="B452">
        <v>4</v>
      </c>
    </row>
    <row r="453" spans="2:2" x14ac:dyDescent="0.45">
      <c r="B453">
        <v>307</v>
      </c>
    </row>
    <row r="454" spans="2:2" x14ac:dyDescent="0.45">
      <c r="B454">
        <v>696</v>
      </c>
    </row>
    <row r="455" spans="2:2" x14ac:dyDescent="0.45">
      <c r="B455">
        <v>498</v>
      </c>
    </row>
    <row r="456" spans="2:2" x14ac:dyDescent="0.45">
      <c r="B456">
        <v>272</v>
      </c>
    </row>
    <row r="457" spans="2:2" x14ac:dyDescent="0.45">
      <c r="B457">
        <v>119</v>
      </c>
    </row>
    <row r="458" spans="2:2" x14ac:dyDescent="0.45">
      <c r="B458">
        <v>49</v>
      </c>
    </row>
    <row r="459" spans="2:2" x14ac:dyDescent="0.45">
      <c r="B459">
        <v>29</v>
      </c>
    </row>
    <row r="460" spans="2:2" x14ac:dyDescent="0.45">
      <c r="B460">
        <v>17</v>
      </c>
    </row>
    <row r="461" spans="2:2" x14ac:dyDescent="0.45">
      <c r="B461">
        <v>10</v>
      </c>
    </row>
    <row r="462" spans="2:2" x14ac:dyDescent="0.45">
      <c r="B46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984C4702-633B-4014-B264-B6897FACF7B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105</vt:i4>
      </vt:variant>
    </vt:vector>
  </HeadingPairs>
  <TitlesOfParts>
    <vt:vector size="114" baseType="lpstr">
      <vt:lpstr>About</vt:lpstr>
      <vt:lpstr>Inputs</vt:lpstr>
      <vt:lpstr>Distribution</vt:lpstr>
      <vt:lpstr>Copula</vt:lpstr>
      <vt:lpstr>Time series</vt:lpstr>
      <vt:lpstr>Results</vt:lpstr>
      <vt:lpstr>ModelRiskDSN</vt:lpstr>
      <vt:lpstr>ModelRiskSYS1</vt:lpstr>
      <vt:lpstr>ModelRiskCharts</vt:lpstr>
      <vt:lpstr>BMA_Cum</vt:lpstr>
      <vt:lpstr>BMA_Dens</vt:lpstr>
      <vt:lpstr>BMA_Obj</vt:lpstr>
      <vt:lpstr>Checks</vt:lpstr>
      <vt:lpstr>Clayton_U1</vt:lpstr>
      <vt:lpstr>Clayton_U2</vt:lpstr>
      <vt:lpstr>Clayton_U3</vt:lpstr>
      <vt:lpstr>CN_U1</vt:lpstr>
      <vt:lpstr>CN_U2</vt:lpstr>
      <vt:lpstr>CN_U3</vt:lpstr>
      <vt:lpstr>Cop_U1</vt:lpstr>
      <vt:lpstr>Cop_U2</vt:lpstr>
      <vt:lpstr>Cop_U3</vt:lpstr>
      <vt:lpstr>CopBMA_Obj</vt:lpstr>
      <vt:lpstr>CopObjs</vt:lpstr>
      <vt:lpstr>CopPriors</vt:lpstr>
      <vt:lpstr>CT_U1</vt:lpstr>
      <vt:lpstr>CT_U2</vt:lpstr>
      <vt:lpstr>CT_U3</vt:lpstr>
      <vt:lpstr>Data_Cop</vt:lpstr>
      <vt:lpstr>Data_Dist</vt:lpstr>
      <vt:lpstr>Data_TS</vt:lpstr>
      <vt:lpstr>DataRho_1</vt:lpstr>
      <vt:lpstr>DataRho_2</vt:lpstr>
      <vt:lpstr>DataRho_3</vt:lpstr>
      <vt:lpstr>Dist_BMA</vt:lpstr>
      <vt:lpstr>Dist_Lognormal</vt:lpstr>
      <vt:lpstr>Dist_Normal</vt:lpstr>
      <vt:lpstr>DistObjs</vt:lpstr>
      <vt:lpstr>DistPriors</vt:lpstr>
      <vt:lpstr>Fc_1</vt:lpstr>
      <vt:lpstr>Fc_10</vt:lpstr>
      <vt:lpstr>Fc_11</vt:lpstr>
      <vt:lpstr>Fc_12</vt:lpstr>
      <vt:lpstr>Fc_13</vt:lpstr>
      <vt:lpstr>Fc_14</vt:lpstr>
      <vt:lpstr>Fc_15</vt:lpstr>
      <vt:lpstr>Fc_16</vt:lpstr>
      <vt:lpstr>Fc_17</vt:lpstr>
      <vt:lpstr>Fc_18</vt:lpstr>
      <vt:lpstr>Fc_19</vt:lpstr>
      <vt:lpstr>Fc_2</vt:lpstr>
      <vt:lpstr>Fc_20</vt:lpstr>
      <vt:lpstr>Fc_21</vt:lpstr>
      <vt:lpstr>Fc_22</vt:lpstr>
      <vt:lpstr>Fc_23</vt:lpstr>
      <vt:lpstr>Fc_24</vt:lpstr>
      <vt:lpstr>Fc_25</vt:lpstr>
      <vt:lpstr>Fc_3</vt:lpstr>
      <vt:lpstr>Fc_4</vt:lpstr>
      <vt:lpstr>Fc_5</vt:lpstr>
      <vt:lpstr>Fc_6</vt:lpstr>
      <vt:lpstr>Fc_7</vt:lpstr>
      <vt:lpstr>Fc_8</vt:lpstr>
      <vt:lpstr>Fc_9</vt:lpstr>
      <vt:lpstr>Frank_U1</vt:lpstr>
      <vt:lpstr>Frank_U2</vt:lpstr>
      <vt:lpstr>Frank_U3</vt:lpstr>
      <vt:lpstr>Gumbel_U1</vt:lpstr>
      <vt:lpstr>Gumbel_U2</vt:lpstr>
      <vt:lpstr>Gumbel_U3</vt:lpstr>
      <vt:lpstr>LLH_AR1</vt:lpstr>
      <vt:lpstr>LLH_Clayton</vt:lpstr>
      <vt:lpstr>LLH_CN</vt:lpstr>
      <vt:lpstr>LLH_CT</vt:lpstr>
      <vt:lpstr>LLH_DL</vt:lpstr>
      <vt:lpstr>LLH_DN</vt:lpstr>
      <vt:lpstr>LLH_Frank</vt:lpstr>
      <vt:lpstr>LLH_GBM</vt:lpstr>
      <vt:lpstr>LLH_Gumbel</vt:lpstr>
      <vt:lpstr>LLH_MA1</vt:lpstr>
      <vt:lpstr>Mix_Cum</vt:lpstr>
      <vt:lpstr>Mix_Dens</vt:lpstr>
      <vt:lpstr>Copula!Print_Area</vt:lpstr>
      <vt:lpstr>Distribution!Print_Area</vt:lpstr>
      <vt:lpstr>Results!Print_Area</vt:lpstr>
      <vt:lpstr>'Time series'!Print_Area</vt:lpstr>
      <vt:lpstr>Inputs!Print_Titles</vt:lpstr>
      <vt:lpstr>Results!Print_Titles</vt:lpstr>
      <vt:lpstr>Prior_AR1</vt:lpstr>
      <vt:lpstr>Prior_Clayton</vt:lpstr>
      <vt:lpstr>Prior_CN</vt:lpstr>
      <vt:lpstr>Prior_CT</vt:lpstr>
      <vt:lpstr>Prior_DL</vt:lpstr>
      <vt:lpstr>Prior_DN</vt:lpstr>
      <vt:lpstr>Prior_Frank</vt:lpstr>
      <vt:lpstr>Prior_GBM</vt:lpstr>
      <vt:lpstr>Prior_Gumbel</vt:lpstr>
      <vt:lpstr>Prior_MA1</vt:lpstr>
      <vt:lpstr>TS_Last</vt:lpstr>
      <vt:lpstr>TSBMA_Obj</vt:lpstr>
      <vt:lpstr>TSObjs</vt:lpstr>
      <vt:lpstr>TSPriors</vt:lpstr>
      <vt:lpstr>W_AR1</vt:lpstr>
      <vt:lpstr>W_Clayton</vt:lpstr>
      <vt:lpstr>W_CN</vt:lpstr>
      <vt:lpstr>W_CT</vt:lpstr>
      <vt:lpstr>W_DL</vt:lpstr>
      <vt:lpstr>W_DN</vt:lpstr>
      <vt:lpstr>W_Frank</vt:lpstr>
      <vt:lpstr>W_GBM</vt:lpstr>
      <vt:lpstr>W_Gumbel</vt:lpstr>
      <vt:lpstr>W_MA1</vt:lpstr>
      <vt:lpstr>X_Cum</vt:lpstr>
      <vt:lpstr>X_Dens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GU-20 Bayesian Model Averaging</dc:title>
  <dc:subject>ModelRisk industry example library — General use</dc:subject>
  <dc:creator>Vose Software</dc:creator>
  <cp:keywords>ModelRisk; Monte Carlo; General use</cp:keywords>
  <dc:description>Bayesian model averaging of fitted distributions, copulas and time series: every candidate kept, weighted by its fit.</dc:description>
  <cp:lastModifiedBy>Timour Koupeev</cp:lastModifiedBy>
  <cp:lastPrinted>2026-10-07T15:58:32Z</cp:lastPrinted>
  <dcterms:created xsi:type="dcterms:W3CDTF">2026-10-07T15:55:12Z</dcterms:created>
  <dcterms:modified xsi:type="dcterms:W3CDTF">2026-10-07T15:58:34Z</dcterms:modified>
</cp:coreProperties>
</file>