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EBA56D64-4AE1-4156-BB8E-2A46F64ACEFA}"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Shares" sheetId="3" r:id="rId3"/>
    <sheet name="Results" sheetId="4" r:id="rId4"/>
    <sheet name="ModelRiskDSN" sheetId="5" state="hidden" r:id="rId5"/>
    <sheet name="ModelRiskSYS1" sheetId="6" state="hidden" r:id="rId6"/>
    <sheet name="ModelRiskCharts" sheetId="7" state="hidden" r:id="rId7"/>
  </sheets>
  <definedNames>
    <definedName name="Alpha_EDP">Shares!$D$12</definedName>
    <definedName name="Alpha_PSM">Shares!$D$11</definedName>
    <definedName name="Alpha_SDP">Shares!$D$9</definedName>
    <definedName name="Alpha_SMP">Shares!$D$10</definedName>
    <definedName name="Alpha3_SE">Shares!$D$25</definedName>
    <definedName name="Alpha3_SP">Shares!$D$26</definedName>
    <definedName name="Checks">Shares!$D$46:$D$46</definedName>
    <definedName name="Coal3">Shares!$D$42</definedName>
    <definedName name="Coal5">Shares!$D$41</definedName>
    <definedName name="Margin">Shares!$D$40</definedName>
    <definedName name="NotVoting">Shares!$C$13</definedName>
    <definedName name="_xlnm.Print_Area" localSheetId="3">Results!$A$1:$R$46</definedName>
    <definedName name="_xlnm.Print_Titles" localSheetId="1">Inputs!$1:$4</definedName>
    <definedName name="_xlnm.Print_Titles" localSheetId="3">Results!$1:$4</definedName>
    <definedName name="Said_EDP">Inputs!$D$15</definedName>
    <definedName name="Said_PSM">Inputs!$D$14</definedName>
    <definedName name="Said_SDP">Inputs!$D$12</definedName>
    <definedName name="Said_SMP">Inputs!$D$13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urveyed">Inputs!$D$11</definedName>
    <definedName name="Vote_EDP">Shares!$D$35</definedName>
    <definedName name="Vote_PSM">Shares!$D$34</definedName>
    <definedName name="Vote_SDP">Shares!$D$32</definedName>
    <definedName name="Vote_SMP">Shares!$D$33</definedName>
    <definedName name="Win_EDP">Shares!$D$39</definedName>
    <definedName name="Win_PSM">Shares!$D$38</definedName>
    <definedName name="Win_SDP">Shares!$D$36</definedName>
    <definedName name="Win_SMP">Shares!$D$37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1" i="4" l="1"/>
  <c r="C101" i="4"/>
  <c r="I100" i="4"/>
  <c r="C100" i="4"/>
  <c r="I99" i="4"/>
  <c r="C99" i="4"/>
  <c r="I98" i="4"/>
  <c r="C98" i="4"/>
  <c r="I97" i="4"/>
  <c r="C97" i="4"/>
  <c r="I96" i="4"/>
  <c r="C96" i="4"/>
  <c r="I95" i="4"/>
  <c r="C95" i="4"/>
  <c r="I94" i="4"/>
  <c r="C94" i="4"/>
  <c r="I93" i="4"/>
  <c r="C93" i="4"/>
  <c r="I92" i="4"/>
  <c r="C92" i="4"/>
  <c r="I91" i="4"/>
  <c r="C91" i="4"/>
  <c r="I90" i="4"/>
  <c r="C90" i="4"/>
  <c r="I89" i="4"/>
  <c r="C89" i="4"/>
  <c r="I88" i="4"/>
  <c r="C88" i="4"/>
  <c r="I87" i="4"/>
  <c r="C87" i="4"/>
  <c r="I86" i="4"/>
  <c r="C86" i="4"/>
  <c r="I85" i="4"/>
  <c r="C85" i="4"/>
  <c r="I84" i="4"/>
  <c r="C84" i="4"/>
  <c r="I83" i="4"/>
  <c r="C83" i="4"/>
  <c r="I82" i="4"/>
  <c r="C82" i="4"/>
  <c r="I81" i="4"/>
  <c r="C81" i="4"/>
  <c r="I80" i="4"/>
  <c r="C80" i="4"/>
  <c r="I79" i="4"/>
  <c r="C79" i="4"/>
  <c r="I78" i="4"/>
  <c r="C78" i="4"/>
  <c r="I77" i="4"/>
  <c r="C77" i="4"/>
  <c r="I76" i="4"/>
  <c r="C76" i="4"/>
  <c r="I75" i="4"/>
  <c r="C75" i="4"/>
  <c r="I74" i="4"/>
  <c r="C74" i="4"/>
  <c r="I73" i="4"/>
  <c r="C73" i="4"/>
  <c r="I72" i="4"/>
  <c r="C72" i="4"/>
  <c r="I71" i="4"/>
  <c r="C71" i="4"/>
  <c r="I70" i="4"/>
  <c r="C70" i="4"/>
  <c r="I69" i="4"/>
  <c r="C69" i="4"/>
  <c r="I68" i="4"/>
  <c r="C68" i="4"/>
  <c r="I67" i="4"/>
  <c r="C67" i="4"/>
  <c r="I66" i="4"/>
  <c r="C66" i="4"/>
  <c r="I65" i="4"/>
  <c r="C65" i="4"/>
  <c r="I64" i="4"/>
  <c r="C64" i="4"/>
  <c r="I63" i="4"/>
  <c r="C63" i="4"/>
  <c r="I62" i="4"/>
  <c r="C62" i="4"/>
  <c r="I61" i="4"/>
  <c r="C61" i="4"/>
  <c r="I60" i="4"/>
  <c r="C60" i="4"/>
  <c r="I59" i="4"/>
  <c r="C59" i="4"/>
  <c r="I58" i="4"/>
  <c r="C58" i="4"/>
  <c r="I57" i="4"/>
  <c r="C57" i="4"/>
  <c r="I56" i="4"/>
  <c r="C56" i="4"/>
  <c r="I55" i="4"/>
  <c r="C55" i="4"/>
  <c r="I54" i="4"/>
  <c r="C54" i="4"/>
  <c r="I53" i="4"/>
  <c r="C53" i="4"/>
  <c r="I52" i="4"/>
  <c r="C52" i="4"/>
  <c r="C15" i="4"/>
  <c r="C14" i="4"/>
  <c r="C13" i="4"/>
  <c r="C12" i="4"/>
  <c r="C26" i="3"/>
  <c r="D26" i="3" s="1"/>
  <c r="C25" i="3"/>
  <c r="D25" i="3"/>
  <c r="C12" i="3"/>
  <c r="D12" i="3"/>
  <c r="C11" i="3"/>
  <c r="D11" i="3"/>
  <c r="C10" i="3"/>
  <c r="D10" i="3" s="1"/>
  <c r="C9" i="3"/>
  <c r="F22" i="4"/>
  <c r="D9" i="3"/>
  <c r="F21" i="4" s="1"/>
  <c r="C13" i="3" l="1"/>
  <c r="C14" i="3" l="1"/>
  <c r="D15" i="4"/>
  <c r="D14" i="4"/>
  <c r="D12" i="4"/>
  <c r="D13" i="4"/>
  <c r="D46" i="3"/>
  <c r="B7" i="4" s="1"/>
  <c r="C27" i="3"/>
  <c r="D27" i="3" s="1"/>
  <c r="F25" i="3" s="1" a="1"/>
  <c r="D13" i="3"/>
  <c r="E13" i="3" l="1"/>
  <c r="E10" i="3"/>
  <c r="F9" i="3" a="1"/>
  <c r="D14" i="3"/>
  <c r="E11" i="3"/>
  <c r="E9" i="3"/>
  <c r="E12" i="3"/>
  <c r="F26" i="3"/>
  <c r="F25" i="3"/>
  <c r="F27" i="3"/>
  <c r="D42" i="3" l="1" a="1"/>
  <c r="D42" i="3" s="1"/>
  <c r="F13" i="3"/>
  <c r="F12" i="3"/>
  <c r="F9" i="3"/>
  <c r="F11" i="3"/>
  <c r="F10" i="3"/>
  <c r="E14" i="3"/>
  <c r="E22" i="4" a="1"/>
  <c r="E22" i="4" l="1"/>
  <c r="G10" i="3"/>
  <c r="H10" i="3"/>
  <c r="D37" i="3" s="1" a="1"/>
  <c r="D37" i="3" s="1"/>
  <c r="H11" i="3"/>
  <c r="D38" i="3" s="1" a="1"/>
  <c r="D38" i="3" s="1"/>
  <c r="G11" i="3"/>
  <c r="D34" i="3" s="1" a="1"/>
  <c r="D34" i="3" s="1"/>
  <c r="G9" i="3"/>
  <c r="F14" i="3"/>
  <c r="H9" i="3"/>
  <c r="H12" i="3"/>
  <c r="D39" i="3" s="1" a="1"/>
  <c r="D39" i="3" s="1"/>
  <c r="G12" i="3"/>
  <c r="D35" i="3" s="1" a="1"/>
  <c r="D35" i="3" s="1"/>
  <c r="G80" i="4" a="1"/>
  <c r="G70" i="4" a="1"/>
  <c r="G55" i="4" a="1"/>
  <c r="G61" i="4" a="1"/>
  <c r="G74" i="4" a="1"/>
  <c r="G101" i="4" a="1"/>
  <c r="G84" i="4" a="1"/>
  <c r="G52" i="4" a="1"/>
  <c r="G97" i="4" a="1"/>
  <c r="G99" i="4" a="1"/>
  <c r="G79" i="4" a="1"/>
  <c r="G65" i="4" a="1"/>
  <c r="G66" i="4" a="1"/>
  <c r="G72" i="4" a="1"/>
  <c r="G62" i="4" a="1"/>
  <c r="G64" i="4" a="1"/>
  <c r="G90" i="4" a="1"/>
  <c r="G58" i="4" a="1"/>
  <c r="G100" i="4" a="1"/>
  <c r="G56" i="4" a="1"/>
  <c r="G75" i="4" a="1"/>
  <c r="G71" i="4" a="1"/>
  <c r="G93" i="4" a="1"/>
  <c r="G85" i="4" a="1"/>
  <c r="G86" i="4" a="1"/>
  <c r="G54" i="4" a="1"/>
  <c r="G81" i="4" a="1"/>
  <c r="G96" i="4" a="1"/>
  <c r="E15" i="4" a="1"/>
  <c r="G67" i="4" a="1"/>
  <c r="G63" i="4" a="1"/>
  <c r="G53" i="4" a="1"/>
  <c r="G83" i="4" a="1"/>
  <c r="F15" i="4" a="1"/>
  <c r="G87" i="4" a="1"/>
  <c r="G82" i="4" a="1"/>
  <c r="G69" i="4" a="1"/>
  <c r="G77" i="4" a="1"/>
  <c r="G92" i="4" a="1"/>
  <c r="G68" i="4" a="1"/>
  <c r="G59" i="4" a="1"/>
  <c r="G98" i="4" a="1"/>
  <c r="G60" i="4" a="1"/>
  <c r="G94" i="4" a="1"/>
  <c r="G89" i="4" a="1"/>
  <c r="G95" i="4" a="1"/>
  <c r="G78" i="4" a="1"/>
  <c r="G57" i="4" a="1"/>
  <c r="G73" i="4" a="1"/>
  <c r="G88" i="4" a="1"/>
  <c r="G91" i="4" a="1"/>
  <c r="G76" i="4" a="1"/>
  <c r="B6" i="4" a="1"/>
  <c r="G13" i="4" a="1"/>
  <c r="G14" i="4" a="1"/>
  <c r="G15" i="4" a="1"/>
  <c r="F69" i="4" a="1"/>
  <c r="F95" i="4" a="1"/>
  <c r="F72" i="4" a="1"/>
  <c r="F63" i="4" a="1"/>
  <c r="F64" i="4" a="1"/>
  <c r="F101" i="4" a="1"/>
  <c r="F99" i="4" a="1"/>
  <c r="F61" i="4" a="1"/>
  <c r="F98" i="4" a="1"/>
  <c r="F100" i="4" a="1"/>
  <c r="F67" i="4" a="1"/>
  <c r="F94" i="4" a="1"/>
  <c r="F76" i="4" a="1"/>
  <c r="F58" i="4" a="1"/>
  <c r="F90" i="4" a="1"/>
  <c r="F86" i="4" a="1"/>
  <c r="F14" i="4" a="1"/>
  <c r="F52" i="4" a="1"/>
  <c r="F83" i="4" a="1"/>
  <c r="E14" i="4" a="1"/>
  <c r="F82" i="4" a="1"/>
  <c r="F89" i="4" a="1"/>
  <c r="F88" i="4" a="1"/>
  <c r="F81" i="4" a="1"/>
  <c r="F53" i="4" a="1"/>
  <c r="F79" i="4" a="1"/>
  <c r="F66" i="4" a="1"/>
  <c r="F78" i="4" a="1"/>
  <c r="F85" i="4" a="1"/>
  <c r="F73" i="4" a="1"/>
  <c r="F65" i="4" a="1"/>
  <c r="F91" i="4" a="1"/>
  <c r="F97" i="4" a="1"/>
  <c r="F87" i="4" a="1"/>
  <c r="F93" i="4" a="1"/>
  <c r="F75" i="4" a="1"/>
  <c r="F62" i="4" a="1"/>
  <c r="F74" i="4" a="1"/>
  <c r="F84" i="4" a="1"/>
  <c r="F92" i="4" a="1"/>
  <c r="F57" i="4" a="1"/>
  <c r="F59" i="4" a="1"/>
  <c r="F56" i="4" a="1"/>
  <c r="F68" i="4" a="1"/>
  <c r="F55" i="4" a="1"/>
  <c r="F60" i="4" a="1"/>
  <c r="F71" i="4" a="1"/>
  <c r="F54" i="4" a="1"/>
  <c r="F70" i="4" a="1"/>
  <c r="F77" i="4" a="1"/>
  <c r="F80" i="4" a="1"/>
  <c r="F96" i="4" a="1"/>
  <c r="F96" i="4" l="1"/>
  <c r="F80" i="4"/>
  <c r="F77" i="4"/>
  <c r="F70" i="4"/>
  <c r="F54" i="4"/>
  <c r="F71" i="4"/>
  <c r="F60" i="4"/>
  <c r="F55" i="4"/>
  <c r="F68" i="4"/>
  <c r="F56" i="4"/>
  <c r="F59" i="4"/>
  <c r="F57" i="4"/>
  <c r="F92" i="4"/>
  <c r="F84" i="4"/>
  <c r="F74" i="4"/>
  <c r="F62" i="4"/>
  <c r="F75" i="4"/>
  <c r="F93" i="4"/>
  <c r="F87" i="4"/>
  <c r="F97" i="4"/>
  <c r="F91" i="4"/>
  <c r="F65" i="4"/>
  <c r="F73" i="4"/>
  <c r="F85" i="4"/>
  <c r="F78" i="4"/>
  <c r="F66" i="4"/>
  <c r="F79" i="4"/>
  <c r="F53" i="4"/>
  <c r="F81" i="4"/>
  <c r="F88" i="4"/>
  <c r="F89" i="4"/>
  <c r="F82" i="4"/>
  <c r="E14" i="4"/>
  <c r="F83" i="4"/>
  <c r="F52" i="4"/>
  <c r="F14" i="4"/>
  <c r="F86" i="4"/>
  <c r="F90" i="4"/>
  <c r="F58" i="4"/>
  <c r="F76" i="4"/>
  <c r="F94" i="4"/>
  <c r="F67" i="4"/>
  <c r="F100" i="4"/>
  <c r="F98" i="4"/>
  <c r="F61" i="4"/>
  <c r="F99" i="4"/>
  <c r="F101" i="4"/>
  <c r="F64" i="4"/>
  <c r="F63" i="4"/>
  <c r="F72" i="4"/>
  <c r="F95" i="4"/>
  <c r="F69" i="4"/>
  <c r="G15" i="4"/>
  <c r="G14" i="4"/>
  <c r="G13" i="4"/>
  <c r="B6" i="4"/>
  <c r="G76" i="4"/>
  <c r="G91" i="4"/>
  <c r="G88" i="4"/>
  <c r="G73" i="4"/>
  <c r="G57" i="4"/>
  <c r="G78" i="4"/>
  <c r="G95" i="4"/>
  <c r="G89" i="4"/>
  <c r="G94" i="4"/>
  <c r="G60" i="4"/>
  <c r="G98" i="4"/>
  <c r="G59" i="4"/>
  <c r="G68" i="4"/>
  <c r="G92" i="4"/>
  <c r="G77" i="4"/>
  <c r="G69" i="4"/>
  <c r="G82" i="4"/>
  <c r="G87" i="4"/>
  <c r="F15" i="4"/>
  <c r="G83" i="4"/>
  <c r="G53" i="4"/>
  <c r="G63" i="4"/>
  <c r="G67" i="4"/>
  <c r="E15" i="4"/>
  <c r="G96" i="4"/>
  <c r="G81" i="4"/>
  <c r="G54" i="4"/>
  <c r="G86" i="4"/>
  <c r="G85" i="4"/>
  <c r="G93" i="4"/>
  <c r="G71" i="4"/>
  <c r="G75" i="4"/>
  <c r="G56" i="4"/>
  <c r="G100" i="4"/>
  <c r="G58" i="4"/>
  <c r="G90" i="4"/>
  <c r="G64" i="4"/>
  <c r="G62" i="4"/>
  <c r="G72" i="4"/>
  <c r="G66" i="4"/>
  <c r="G65" i="4"/>
  <c r="G79" i="4"/>
  <c r="G99" i="4"/>
  <c r="G97" i="4"/>
  <c r="G52" i="4"/>
  <c r="G84" i="4"/>
  <c r="G101" i="4"/>
  <c r="G74" i="4"/>
  <c r="G61" i="4"/>
  <c r="G55" i="4"/>
  <c r="G70" i="4"/>
  <c r="G80" i="4"/>
  <c r="H14" i="3"/>
  <c r="D36" i="3" a="1"/>
  <c r="D36" i="3" s="1"/>
  <c r="G18" i="3"/>
  <c r="D32" i="3" a="1"/>
  <c r="D32" i="3" s="1"/>
  <c r="G14" i="3"/>
  <c r="G19" i="3"/>
  <c r="D33" i="3" a="1"/>
  <c r="D33" i="3" s="1"/>
  <c r="D93" i="4" a="1"/>
  <c r="D65" i="4" a="1"/>
  <c r="D90" i="4" a="1"/>
  <c r="D56" i="4" a="1"/>
  <c r="D75" i="4" a="1"/>
  <c r="D54" i="4" a="1"/>
  <c r="D61" i="4" a="1"/>
  <c r="D63" i="4" a="1"/>
  <c r="F12" i="4" a="1"/>
  <c r="D52" i="4" a="1"/>
  <c r="D64" i="4" a="1"/>
  <c r="D60" i="4" a="1"/>
  <c r="D97" i="4" a="1"/>
  <c r="D71" i="4" a="1"/>
  <c r="D57" i="4" a="1"/>
  <c r="D86" i="4" a="1"/>
  <c r="D85" i="4" a="1"/>
  <c r="D95" i="4" a="1"/>
  <c r="D81" i="4" a="1"/>
  <c r="E12" i="4" a="1"/>
  <c r="D92" i="4" a="1"/>
  <c r="D91" i="4" a="1"/>
  <c r="D58" i="4" a="1"/>
  <c r="D74" i="4" a="1"/>
  <c r="D89" i="4" a="1"/>
  <c r="D55" i="4" a="1"/>
  <c r="D77" i="4" a="1"/>
  <c r="D80" i="4" a="1"/>
  <c r="D88" i="4" a="1"/>
  <c r="D87" i="4" a="1"/>
  <c r="D67" i="4" a="1"/>
  <c r="D66" i="4" a="1"/>
  <c r="D99" i="4" a="1"/>
  <c r="D53" i="4" a="1"/>
  <c r="D70" i="4" a="1"/>
  <c r="D73" i="4" a="1"/>
  <c r="D72" i="4" a="1"/>
  <c r="D84" i="4" a="1"/>
  <c r="D83" i="4" a="1"/>
  <c r="D78" i="4" a="1"/>
  <c r="D94" i="4" a="1"/>
  <c r="D100" i="4" a="1"/>
  <c r="D59" i="4" a="1"/>
  <c r="D96" i="4" a="1"/>
  <c r="D82" i="4" a="1"/>
  <c r="D101" i="4" a="1"/>
  <c r="D69" i="4" a="1"/>
  <c r="D68" i="4" a="1"/>
  <c r="D76" i="4" a="1"/>
  <c r="D79" i="4" a="1"/>
  <c r="D62" i="4" a="1"/>
  <c r="D98" i="4" a="1"/>
  <c r="G12" i="4" a="1"/>
  <c r="E70" i="4" a="1"/>
  <c r="E97" i="4" a="1"/>
  <c r="E99" i="4" a="1"/>
  <c r="E86" i="4" a="1"/>
  <c r="E80" i="4" a="1"/>
  <c r="E101" i="4" a="1"/>
  <c r="E71" i="4" a="1"/>
  <c r="E76" i="4" a="1"/>
  <c r="E78" i="4" a="1"/>
  <c r="E67" i="4" a="1"/>
  <c r="E59" i="4" a="1"/>
  <c r="E62" i="4" a="1"/>
  <c r="E95" i="4" a="1"/>
  <c r="E13" i="4" a="1"/>
  <c r="E100" i="4" a="1"/>
  <c r="E55" i="4" a="1"/>
  <c r="E85" i="4" a="1"/>
  <c r="E96" i="4" a="1"/>
  <c r="E64" i="4" a="1"/>
  <c r="E87" i="4" a="1"/>
  <c r="F13" i="4" a="1"/>
  <c r="E66" i="4" a="1"/>
  <c r="E77" i="4" a="1"/>
  <c r="E89" i="4" a="1"/>
  <c r="E92" i="4" a="1"/>
  <c r="E60" i="4" a="1"/>
  <c r="E83" i="4" a="1"/>
  <c r="E98" i="4" a="1"/>
  <c r="E58" i="4" a="1"/>
  <c r="E69" i="4" a="1"/>
  <c r="E81" i="4" a="1"/>
  <c r="E72" i="4" a="1"/>
  <c r="E82" i="4" a="1"/>
  <c r="E68" i="4" a="1"/>
  <c r="E74" i="4" a="1"/>
  <c r="E88" i="4" a="1"/>
  <c r="E56" i="4" a="1"/>
  <c r="E79" i="4" a="1"/>
  <c r="E94" i="4" a="1"/>
  <c r="E65" i="4" a="1"/>
  <c r="E61" i="4" a="1"/>
  <c r="E57" i="4" a="1"/>
  <c r="E63" i="4" a="1"/>
  <c r="E54" i="4" a="1"/>
  <c r="E91" i="4" a="1"/>
  <c r="E73" i="4" a="1"/>
  <c r="E84" i="4" a="1"/>
  <c r="E52" i="4" a="1"/>
  <c r="E75" i="4" a="1"/>
  <c r="E90" i="4" a="1"/>
  <c r="E93" i="4" a="1"/>
  <c r="E53" i="4" a="1"/>
  <c r="E53" i="4" l="1"/>
  <c r="E93" i="4"/>
  <c r="E90" i="4"/>
  <c r="E75" i="4"/>
  <c r="E52" i="4"/>
  <c r="E84" i="4"/>
  <c r="E73" i="4"/>
  <c r="E91" i="4"/>
  <c r="E54" i="4"/>
  <c r="E63" i="4"/>
  <c r="E57" i="4"/>
  <c r="E61" i="4"/>
  <c r="E65" i="4"/>
  <c r="E94" i="4"/>
  <c r="E79" i="4"/>
  <c r="E56" i="4"/>
  <c r="E88" i="4"/>
  <c r="E74" i="4"/>
  <c r="E68" i="4"/>
  <c r="E82" i="4"/>
  <c r="E72" i="4"/>
  <c r="E81" i="4"/>
  <c r="E69" i="4"/>
  <c r="E58" i="4"/>
  <c r="E98" i="4"/>
  <c r="E83" i="4"/>
  <c r="E60" i="4"/>
  <c r="E92" i="4"/>
  <c r="E89" i="4"/>
  <c r="E77" i="4"/>
  <c r="E66" i="4"/>
  <c r="F13" i="4"/>
  <c r="E87" i="4"/>
  <c r="E64" i="4"/>
  <c r="E96" i="4"/>
  <c r="E85" i="4"/>
  <c r="E55" i="4"/>
  <c r="E100" i="4"/>
  <c r="E13" i="4"/>
  <c r="E95" i="4"/>
  <c r="E62" i="4"/>
  <c r="E59" i="4"/>
  <c r="E67" i="4"/>
  <c r="E78" i="4"/>
  <c r="E76" i="4"/>
  <c r="E71" i="4"/>
  <c r="E101" i="4"/>
  <c r="E80" i="4"/>
  <c r="E86" i="4"/>
  <c r="E99" i="4"/>
  <c r="E97" i="4"/>
  <c r="E70" i="4"/>
  <c r="G12" i="4"/>
  <c r="G16" i="4" s="1"/>
  <c r="D98" i="4"/>
  <c r="D62" i="4"/>
  <c r="D79" i="4"/>
  <c r="D76" i="4"/>
  <c r="D68" i="4"/>
  <c r="D69" i="4"/>
  <c r="D101" i="4"/>
  <c r="D82" i="4"/>
  <c r="D96" i="4"/>
  <c r="D59" i="4"/>
  <c r="D100" i="4"/>
  <c r="D94" i="4"/>
  <c r="D78" i="4"/>
  <c r="D83" i="4"/>
  <c r="D84" i="4"/>
  <c r="D72" i="4"/>
  <c r="D73" i="4"/>
  <c r="D70" i="4"/>
  <c r="D53" i="4"/>
  <c r="D99" i="4"/>
  <c r="D66" i="4"/>
  <c r="D67" i="4"/>
  <c r="D87" i="4"/>
  <c r="D88" i="4"/>
  <c r="D80" i="4"/>
  <c r="D77" i="4"/>
  <c r="D55" i="4"/>
  <c r="D89" i="4"/>
  <c r="D74" i="4"/>
  <c r="D58" i="4"/>
  <c r="D91" i="4"/>
  <c r="D92" i="4"/>
  <c r="E12" i="4"/>
  <c r="D81" i="4"/>
  <c r="D95" i="4"/>
  <c r="D85" i="4"/>
  <c r="D86" i="4"/>
  <c r="D57" i="4"/>
  <c r="D71" i="4"/>
  <c r="D97" i="4"/>
  <c r="D60" i="4"/>
  <c r="D64" i="4"/>
  <c r="D52" i="4"/>
  <c r="F12" i="4"/>
  <c r="D63" i="4"/>
  <c r="D61" i="4"/>
  <c r="D54" i="4"/>
  <c r="D75" i="4"/>
  <c r="D56" i="4"/>
  <c r="D90" i="4"/>
  <c r="D65" i="4"/>
  <c r="D93" i="4"/>
  <c r="G20" i="3"/>
  <c r="D41" i="3" l="1" a="1"/>
  <c r="D41" i="3" s="1"/>
  <c r="D40" i="3" a="1"/>
  <c r="D40" i="3" s="1"/>
  <c r="E21" i="4" a="1"/>
  <c r="H93" i="4" a="1"/>
  <c r="H63" i="4" a="1"/>
  <c r="H95" i="4" a="1"/>
  <c r="H67" i="4" a="1"/>
  <c r="H57" i="4" a="1"/>
  <c r="H59" i="4" a="1"/>
  <c r="H78" i="4" a="1"/>
  <c r="H89" i="4" a="1"/>
  <c r="H55" i="4" a="1"/>
  <c r="H56" i="4" a="1"/>
  <c r="H99" i="4" a="1"/>
  <c r="H65" i="4" a="1"/>
  <c r="E23" i="4" a="1"/>
  <c r="H58" i="4" a="1"/>
  <c r="H61" i="4" a="1"/>
  <c r="H96" i="4" a="1"/>
  <c r="H92" i="4" a="1"/>
  <c r="H97" i="4" a="1"/>
  <c r="H88" i="4" a="1"/>
  <c r="H98" i="4" a="1"/>
  <c r="H84" i="4" a="1"/>
  <c r="H70" i="4" a="1"/>
  <c r="H64" i="4" a="1"/>
  <c r="H74" i="4" a="1"/>
  <c r="H81" i="4" a="1"/>
  <c r="H80" i="4" a="1"/>
  <c r="H87" i="4" a="1"/>
  <c r="H62" i="4" a="1"/>
  <c r="H77" i="4" a="1"/>
  <c r="H60" i="4" a="1"/>
  <c r="H76" i="4" a="1"/>
  <c r="H83" i="4" a="1"/>
  <c r="H86" i="4" a="1"/>
  <c r="H54" i="4" a="1"/>
  <c r="H53" i="4" a="1"/>
  <c r="H82" i="4" a="1"/>
  <c r="H73" i="4" a="1"/>
  <c r="H72" i="4" a="1"/>
  <c r="H94" i="4" a="1"/>
  <c r="H85" i="4" a="1"/>
  <c r="H91" i="4" a="1"/>
  <c r="H52" i="4" a="1"/>
  <c r="H90" i="4" a="1"/>
  <c r="H71" i="4" a="1"/>
  <c r="H101" i="4" a="1"/>
  <c r="H69" i="4" a="1"/>
  <c r="H100" i="4" a="1"/>
  <c r="H68" i="4" a="1"/>
  <c r="H75" i="4" a="1"/>
  <c r="H66" i="4" a="1"/>
  <c r="H79" i="4" a="1"/>
  <c r="H79" i="4" l="1"/>
  <c r="H66" i="4"/>
  <c r="H75" i="4"/>
  <c r="H68" i="4"/>
  <c r="H100" i="4"/>
  <c r="H69" i="4"/>
  <c r="H101" i="4"/>
  <c r="H71" i="4"/>
  <c r="H90" i="4"/>
  <c r="H52" i="4"/>
  <c r="H91" i="4"/>
  <c r="H85" i="4"/>
  <c r="H94" i="4"/>
  <c r="H72" i="4"/>
  <c r="H73" i="4"/>
  <c r="H82" i="4"/>
  <c r="H53" i="4"/>
  <c r="H54" i="4"/>
  <c r="H86" i="4"/>
  <c r="H83" i="4"/>
  <c r="H76" i="4"/>
  <c r="H60" i="4"/>
  <c r="H77" i="4"/>
  <c r="H62" i="4"/>
  <c r="H87" i="4"/>
  <c r="H80" i="4"/>
  <c r="H81" i="4"/>
  <c r="H74" i="4"/>
  <c r="H64" i="4"/>
  <c r="H70" i="4"/>
  <c r="H84" i="4"/>
  <c r="H98" i="4"/>
  <c r="H88" i="4"/>
  <c r="H97" i="4"/>
  <c r="H92" i="4"/>
  <c r="H96" i="4"/>
  <c r="H61" i="4"/>
  <c r="H58" i="4"/>
  <c r="E23" i="4"/>
  <c r="H65" i="4"/>
  <c r="H99" i="4"/>
  <c r="H56" i="4"/>
  <c r="H55" i="4"/>
  <c r="H89" i="4"/>
  <c r="H78" i="4"/>
  <c r="H59" i="4"/>
  <c r="H57" i="4"/>
  <c r="H67" i="4"/>
  <c r="H95" i="4"/>
  <c r="H63" i="4"/>
  <c r="H93" i="4"/>
  <c r="E21"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<sst xmlns="http://schemas.openxmlformats.org/spreadsheetml/2006/main" count="227" uniqueCount="191">
  <si>
    <t>From a Survey to Probabilities: an Election</t>
  </si>
  <si>
    <t>ModelRisk example  ·  General use  ·  GU-19</t>
  </si>
  <si>
    <t>1,027 voters asked: how sure can we be who wins, and which alliance wins?</t>
  </si>
  <si>
    <t>Next:  Inputs  ▸</t>
  </si>
  <si>
    <t>Model card</t>
  </si>
  <si>
    <t>Industry</t>
  </si>
  <si>
    <t>General use</t>
  </si>
  <si>
    <t>Difficulty</t>
  </si>
  <si>
    <t>★★★☆☆   The Dirichlet distribution turns survey counts into uncertain shares; questions become simple 1/0 outputs.</t>
  </si>
  <si>
    <t>Business question</t>
  </si>
  <si>
    <t>A survey of 1,027 people asked which of four parties they will vote for. How confident can we be that the party leading the survey really gets the most votes, and that one alliance of two parties beats the other?</t>
  </si>
  <si>
    <t>Who it is for</t>
  </si>
  <si>
    <t>Anyone turning survey or sample counts into uncertain shares: market shares from a panel, preferences from a customer survey, defect categories from an inspection sample, election polls.</t>
  </si>
  <si>
    <t>Main outputs</t>
  </si>
  <si>
    <t>Each party's share of the votes cast: survey value and 10th / 90th percentiles · the chance each party gets the most votes · the chance the SDP/EDP alliance beats SMP/PSM, simulated and exact, with five groups and with three.</t>
  </si>
  <si>
    <t>ModelRisk techniques</t>
  </si>
  <si>
    <t>VoseDirichlet for the uncertain shares of several categories that add up to 100% · a uniform prior (+1 per category) · questions as 1/0 outputs whose mean is the probability · BETA.DIST for the exact two-way answer.</t>
  </si>
  <si>
    <t>File</t>
  </si>
  <si>
    <t>GU-19 From a survey to probabilities an election  ·  Version 1.0  ·  October 2026  ·  re-issues the example Election  ·  built with ModelRisk 10</t>
  </si>
  <si>
    <t>The business question</t>
  </si>
  <si>
    <t>Before an election, 1,027 people were asked how they will vote: 259 SDP, 279 SMP, 162 PSM, 261 EDP, and 66 will not vote. SMP leads, but by only 2 points. How sure can we be that SMP wins? And if SDP allies with EDP, and SMP with PSM, which alliance gets more votes? The true shares are uncertain because only a sample was asked. The Dirichlet distribution describes that uncertainty: each simulation draws one possible set of true shares, and each question becomes a 1/0 output whose mean is its probability.</t>
  </si>
  <si>
    <t>How the model works</t>
  </si>
  <si>
    <t>Three sheets after this one, read from left to right. Each one feeds the next.</t>
  </si>
  <si>
    <t>1  Inputs</t>
  </si>
  <si>
    <t>How many people were asked and how many named each party; the rest will not vote.</t>
  </si>
  <si>
    <t>2  Shares</t>
  </si>
  <si>
    <t>VoseDirichlet draws the five true shares (four parties and not voting) from the counts plus one each. Each party's share of the votes cast leaves out the non-voters; a 1/0 marks the party with the most. The alliances are answered twice: from the five shares, and from a Dirichlet over just the three groups the question needs, as the original example recommends.</t>
  </si>
  <si>
    <t>3  Results</t>
  </si>
  <si>
    <t>Each party's share and its chance of the most votes; the alliance question simulated and exact.</t>
  </si>
  <si>
    <t>How to use it</t>
  </si>
  <si>
    <t>Step 1</t>
  </si>
  <si>
    <t>Enter your survey on the Inputs sheet.</t>
  </si>
  <si>
    <t>Step 2</t>
  </si>
  <si>
    <t>Run a simulation from the ModelRisk ribbon (10,000 samples with a fixed seed are set).</t>
  </si>
  <si>
    <t>Step 3</t>
  </si>
  <si>
    <t>Read the chances on the Results sheet. To ask a new question, add a 1/0 cell on the Shares sheet and mark it as an output: its mean is the probability.</t>
  </si>
  <si>
    <t>Workbook map</t>
  </si>
  <si>
    <t>Inputs</t>
  </si>
  <si>
    <t>The survey.</t>
  </si>
  <si>
    <t>Shares</t>
  </si>
  <si>
    <t>The Dirichlet shares, the winner and the alliances; outputs and checks.</t>
  </si>
  <si>
    <t>Results</t>
  </si>
  <si>
    <t>Shares, chances of winning, the alliances.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</si>
  <si>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</si>
  <si>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</si>
  <si>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</si>
  <si>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</si>
  <si>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</si>
  <si>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</si>
  <si>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</si>
  <si>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</si>
  <si>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</si>
  <si>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</si>
  <si>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</si>
  <si>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</si>
  <si>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Share of the votes cast</t>
  </si>
  <si>
    <t>A party's share among those who vote: the non-voters left out.</t>
  </si>
  <si>
    <t>1 = yes</t>
  </si>
  <si>
    <t>A question's output cell: 1 when the answer is yes in that simulation; its mean is the probability.</t>
  </si>
  <si>
    <t>Key assumptions and limitations</t>
  </si>
  <si>
    <t>Random sample</t>
  </si>
  <si>
    <t>The 1,027 people are a random sample of the voters.</t>
  </si>
  <si>
    <t>No change of mind</t>
  </si>
  <si>
    <t>Everyone votes as they said in the survey (the original example's assumption).</t>
  </si>
  <si>
    <t>Prior</t>
  </si>
  <si>
    <t>Before the survey every split of the vote was equally likely (a uniform prior: one added to each count).</t>
  </si>
  <si>
    <t>Data</t>
  </si>
  <si>
    <t>The survey is that of ModelRisk's earlier Election example.</t>
  </si>
  <si>
    <t>ModelRisk functions used</t>
  </si>
  <si>
    <t>VoseDirichlet</t>
  </si>
  <si>
    <t>The uncertain true shares of several categories, adding up to 100%, from counts plus the prior.</t>
  </si>
  <si>
    <t>VoseOutput</t>
  </si>
  <si>
    <t>The shares and the 1/0 answers, recorded at every sample.</t>
  </si>
  <si>
    <t>VoseSimMean, VoseSimPercentile</t>
  </si>
  <si>
    <t>Statistics of the simulation: the mean of a 1/0 output is its probability.</t>
  </si>
  <si>
    <t>BETA.DIST</t>
  </si>
  <si>
    <t>Excel's Beta distribution: the exact chance that one of two groups is larger.</t>
  </si>
  <si>
    <t>Further reading</t>
  </si>
  <si>
    <t>Dirichlet distribution</t>
  </si>
  <si>
    <t>Vose, D. (2008). Risk Analysis: A Quantitative Guide, 3rd edition. Wiley: the multinomial process and the Dirichlet distribution.</t>
  </si>
  <si>
    <t>© 2026 Vose Software   ·   www.vosesoftware.com   ·   An illustrative example: the figures are invented for teaching and do not describe a real company, project or asset.</t>
  </si>
  <si>
    <t>INPUTS   ·   The survey. Change only the yellow cells.</t>
  </si>
  <si>
    <t>◂  About</t>
  </si>
  <si>
    <t>Next:  Shares  ▸</t>
  </si>
  <si>
    <t>How to read this sheet:  yellow cells are inputs.</t>
  </si>
  <si>
    <t>1   The survey</t>
  </si>
  <si>
    <t>How many people were asked, and how many named each party. The rest will not vote.</t>
  </si>
  <si>
    <t>Assumption</t>
  </si>
  <si>
    <t>Unit</t>
  </si>
  <si>
    <t>Value in model</t>
  </si>
  <si>
    <t>Uncertainty</t>
  </si>
  <si>
    <t>Basis / source (illustrative)</t>
  </si>
  <si>
    <t>People asked</t>
  </si>
  <si>
    <t>people</t>
  </si>
  <si>
    <t>Fixed</t>
  </si>
  <si>
    <t>A random sample of the voters</t>
  </si>
  <si>
    <t>Said SDP</t>
  </si>
  <si>
    <t>Said SMP</t>
  </si>
  <si>
    <t>Said PSM</t>
  </si>
  <si>
    <t>Said EDP</t>
  </si>
  <si>
    <t>SHARES   ·   The true shares are uncertain: VoseDirichlet draws them from the survey.</t>
  </si>
  <si>
    <t>◂  Inputs</t>
  </si>
  <si>
    <t>Next:  Results  ▸</t>
  </si>
  <si>
    <t>1   The survey and the uncertain shares</t>
  </si>
  <si>
    <t>One draw of the true shares per simulation; the five add up to 100%.</t>
  </si>
  <si>
    <t>Choice</t>
  </si>
  <si>
    <t>Said in the survey</t>
  </si>
  <si>
    <t>α = said + 1</t>
  </si>
  <si>
    <t>Expected share</t>
  </si>
  <si>
    <t>Drawn share</t>
  </si>
  <si>
    <t>Most votes</t>
  </si>
  <si>
    <t>SDP</t>
  </si>
  <si>
    <t>VoseDirichlet(α): five uncertain shares adding up to 100%</t>
  </si>
  <si>
    <t>SMP</t>
  </si>
  <si>
    <t>α = said + 1: a uniform prior, every split equally likely before the survey</t>
  </si>
  <si>
    <t>PSM</t>
  </si>
  <si>
    <t>Share of the votes cast: the non-voters left out</t>
  </si>
  <si>
    <t>EDP</t>
  </si>
  <si>
    <t>Most votes: 1 (yes) for the party whose drawn share is the largest, else 0</t>
  </si>
  <si>
    <t>Not voting</t>
  </si>
  <si>
    <t>Not voting: the people asked who named no party</t>
  </si>
  <si>
    <t>Total</t>
  </si>
  <si>
    <t>2   The alliances, from the five shares</t>
  </si>
  <si>
    <t>SDP with EDP against SMP with PSM, in each simulation.</t>
  </si>
  <si>
    <t>SDP/EDP: share of the votes cast</t>
  </si>
  <si>
    <t>SMP/PSM: share of the votes cast</t>
  </si>
  <si>
    <t>Margin: SDP/EDP − SMP/PSM</t>
  </si>
  <si>
    <t>Positive when SDP/EDP gets more votes</t>
  </si>
  <si>
    <t>3   The alliances with three groups</t>
  </si>
  <si>
    <t>The original example's correction: a Dirichlet over only the groups the question needs.</t>
  </si>
  <si>
    <t>Group</t>
  </si>
  <si>
    <t>SDP/EDP</t>
  </si>
  <si>
    <t>Each alliance gets one prior count, not two: no more prior than the question needs</t>
  </si>
  <si>
    <t>SMP/PSM</t>
  </si>
  <si>
    <t>A separate draw: compare its answer with section 2's</t>
  </si>
  <si>
    <t>4   Value in this iteration</t>
  </si>
  <si>
    <t>Key outputs, recorded by ModelRisk at every sample (VoseOutput). Their statistics appear on the Results sheet.</t>
  </si>
  <si>
    <t>Output</t>
  </si>
  <si>
    <t>Value</t>
  </si>
  <si>
    <t>Meaning</t>
  </si>
  <si>
    <t>SDP: share of the votes cast</t>
  </si>
  <si>
    <t>%</t>
  </si>
  <si>
    <t>SMP: share of the votes cast</t>
  </si>
  <si>
    <t>PSM: share of the votes cast</t>
  </si>
  <si>
    <t>EDP: share of the votes cast</t>
  </si>
  <si>
    <t>SDP gets the most votes</t>
  </si>
  <si>
    <t>SMP gets the most votes</t>
  </si>
  <si>
    <t>PSM gets the most votes</t>
  </si>
  <si>
    <t>EDP gets the most votes</t>
  </si>
  <si>
    <t>Alliance margin, SDP/EDP − SMP/PSM</t>
  </si>
  <si>
    <t>SDP/EDP gets more votes (five groups)</t>
  </si>
  <si>
    <t>SDP/EDP gets more votes (three groups)</t>
  </si>
  <si>
    <t>5   Model checks</t>
  </si>
  <si>
    <t>Should all read OK. A CHECK means an input has been set outside the range the model is built for.</t>
  </si>
  <si>
    <t>The parties' counts add up to no more than the people asked</t>
  </si>
  <si>
    <t>RESULTS   ·   Filled in automatically from the last simulation. Run a simulation after changing any input.</t>
  </si>
  <si>
    <t>◂  Shares</t>
  </si>
  <si>
    <t>1   Who gets the most votes</t>
  </si>
  <si>
    <t>Each party's share of the votes cast</t>
  </si>
  <si>
    <t>Shares of the votes cast: in the survey, and the uncertainty about the true share.</t>
  </si>
  <si>
    <t>Party</t>
  </si>
  <si>
    <t>Survey share</t>
  </si>
  <si>
    <t>10th pct</t>
  </si>
  <si>
    <t>90th pct</t>
  </si>
  <si>
    <t>Chance of the most votes</t>
  </si>
  <si>
    <t>2   The alliances</t>
  </si>
  <si>
    <t>Does SDP/EDP get more votes than SMP/PSM? Simulated, and exact (BETA.DIST).</t>
  </si>
  <si>
    <t>Question</t>
  </si>
  <si>
    <t>Simulated</t>
  </si>
  <si>
    <t>Exact</t>
  </si>
  <si>
    <t>SDP/EDP gets more votes: five groups</t>
  </si>
  <si>
    <t>SDP/EDP gets more votes: three groups</t>
  </si>
  <si>
    <t>Alliance margin, SDP/EDP − SMP/PSM: mean</t>
  </si>
  <si>
    <t>Alliance margin</t>
  </si>
  <si>
    <t>3   How to read these results</t>
  </si>
  <si>
    <t>•  SMP leads the survey with 29.0% of those who will vote, ahead of EDP (27.2%) and SDP (27.0%). Only 1,027 people were asked, so each true share is uncertain by about ±2 points (10th to 90th percentile).</t>
  </si>
  <si>
    <t>•  A 2-point lead is therefore not safe: SMP gets the most votes with a chance of about 68%, EDP about 18% and SDP about 15%. PSM, at 17%, cannot win.</t>
  </si>
  <si>
    <t>•  The alliances are another matter: SDP/EDP has 54% of the votes cast against 46% for SMP/PSM, a lead far beyond the survey's uncertainty. SDP/EDP gets more votes with a chance of 99.5%.</t>
  </si>
  <si>
    <t>•  Five groups or three: the Dirichlet adds one prior count to each group (the +1). The original example noted that splitting the vote into more groups than the question needs adds a little unneeded prior weight. Here it moves the exact answer by less than 0.01 points: with a survey this size the prior hardly matters.</t>
  </si>
  <si>
    <t>•  The survey is assumed to be a random sample, and nobody changes their mind before the election. Real polls carry more uncertainty than this.</t>
  </si>
  <si>
    <t>Chart data</t>
  </si>
  <si>
    <t>Statistics of the last simulation behind the charts and the ranking above. Grouped: click + in the left margin to show them.</t>
  </si>
  <si>
    <t>Cumulative probability</t>
  </si>
  <si>
    <t>Exceedance</t>
  </si>
  <si>
    <t>Vote_SDP</t>
  </si>
  <si>
    <t>Vote_SMP</t>
  </si>
  <si>
    <t>Vote_PSM</t>
  </si>
  <si>
    <t>Vote_EDP</t>
  </si>
  <si>
    <t>Margin</t>
  </si>
  <si>
    <t>line at 0</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</si>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</sst>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quot;–&quot;"/>
    <numFmt numFmtId="166" formatCode="0.00%;\-0.00%;0.00%;&quot;–&quot;"/>
    <numFmt numFmtId="167" formatCode="0.000%"/>
  </numFmts>
  <fonts count="21"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10"/>
      <color rgb="FF15803D"/>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5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2" fillId="0" borderId="6" xfId="0" applyFont="1" applyBorder="1" applyAlignment="1">
      <alignment horizontal="left" vertical="center" indent="1"/>
    </xf>
    <xf numFmtId="1" fontId="3" fillId="0" borderId="8" xfId="3" applyNumberFormat="1" applyBorder="1">
      <alignment horizontal="right" vertical="center"/>
    </xf>
    <xf numFmtId="164" fontId="3" fillId="0" borderId="8" xfId="3" applyNumberFormat="1" applyBorder="1">
      <alignment horizontal="right" vertical="center"/>
    </xf>
    <xf numFmtId="164" fontId="2" fillId="3" borderId="7" xfId="2" applyNumberFormat="1" applyBorder="1">
      <alignment horizontal="right" vertical="center"/>
    </xf>
    <xf numFmtId="0" fontId="18" fillId="0" borderId="0" xfId="0" applyFont="1" applyAlignment="1">
      <alignment horizontal="left" vertical="center" indent="1"/>
    </xf>
    <xf numFmtId="0" fontId="12" fillId="0" borderId="9" xfId="0" applyFont="1" applyBorder="1" applyAlignment="1">
      <alignment horizontal="left" vertical="center" indent="1"/>
    </xf>
    <xf numFmtId="1" fontId="12" fillId="0" borderId="9" xfId="3" applyNumberFormat="1" applyFont="1" applyBorder="1">
      <alignment horizontal="right" vertical="center"/>
    </xf>
    <xf numFmtId="164" fontId="12" fillId="0" borderId="9" xfId="3" applyNumberFormat="1" applyFon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4" fillId="4" borderId="10" xfId="4" applyNumberFormat="1" applyBorder="1">
      <alignment horizontal="right" vertical="center"/>
    </xf>
    <xf numFmtId="1" fontId="4" fillId="4" borderId="10" xfId="4" applyNumberFormat="1" applyBorder="1">
      <alignment horizontal="right" vertical="center"/>
    </xf>
    <xf numFmtId="0" fontId="19"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20" fillId="0" borderId="5" xfId="0" applyFont="1" applyBorder="1"/>
    <xf numFmtId="165" fontId="1" fillId="5" borderId="7" xfId="5" applyNumberFormat="1" applyBorder="1">
      <alignment horizontal="right" vertical="center"/>
    </xf>
    <xf numFmtId="0" fontId="0" fillId="0" borderId="9" xfId="0" applyBorder="1"/>
    <xf numFmtId="166" fontId="1" fillId="5" borderId="7" xfId="5" applyNumberFormat="1" applyBorder="1">
      <alignment horizontal="right" vertical="center"/>
    </xf>
    <xf numFmtId="167" fontId="3" fillId="0" borderId="8" xfId="3"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4">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SDP</c:v>
          </c:tx>
          <c:spPr>
            <a:ln w="25400">
              <a:solidFill>
                <a:srgbClr val="0E4F92"/>
              </a:solidFill>
              <a:prstDash val="solid"/>
            </a:ln>
          </c:spPr>
          <c:marker>
            <c:symbol val="none"/>
          </c:marker>
          <c:xVal>
            <c:numRef>
              <c:f>Results!$D$52:$D$101</c:f>
              <c:numCache>
                <c:formatCode>#,##0.00</c:formatCode>
                <c:ptCount val="50"/>
                <c:pt idx="0">
                  <c:v>0.23682414842048469</c:v>
                </c:pt>
                <c:pt idx="1">
                  <c:v>0.24270067526097028</c:v>
                </c:pt>
                <c:pt idx="2">
                  <c:v>0.2459479823509077</c:v>
                </c:pt>
                <c:pt idx="3">
                  <c:v>0.24828956078440911</c:v>
                </c:pt>
                <c:pt idx="4">
                  <c:v>0.25009978727294063</c:v>
                </c:pt>
                <c:pt idx="5">
                  <c:v>0.25192246908031202</c:v>
                </c:pt>
                <c:pt idx="6">
                  <c:v>0.25325924540020289</c:v>
                </c:pt>
                <c:pt idx="7">
                  <c:v>0.25453945254498417</c:v>
                </c:pt>
                <c:pt idx="8">
                  <c:v>0.25570556257556548</c:v>
                </c:pt>
                <c:pt idx="9">
                  <c:v>0.25672213753289291</c:v>
                </c:pt>
                <c:pt idx="10">
                  <c:v>0.25770875144141431</c:v>
                </c:pt>
                <c:pt idx="11">
                  <c:v>0.25873512070128624</c:v>
                </c:pt>
                <c:pt idx="12">
                  <c:v>0.25965364307760991</c:v>
                </c:pt>
                <c:pt idx="13">
                  <c:v>0.26048829808004703</c:v>
                </c:pt>
                <c:pt idx="14">
                  <c:v>0.26126084837277785</c:v>
                </c:pt>
                <c:pt idx="15">
                  <c:v>0.26213600279769361</c:v>
                </c:pt>
                <c:pt idx="16">
                  <c:v>0.26298246418190563</c:v>
                </c:pt>
                <c:pt idx="17">
                  <c:v>0.26373490481402645</c:v>
                </c:pt>
                <c:pt idx="18">
                  <c:v>0.26457701563851665</c:v>
                </c:pt>
                <c:pt idx="19">
                  <c:v>0.26530584789475303</c:v>
                </c:pt>
                <c:pt idx="20">
                  <c:v>0.26602367876730565</c:v>
                </c:pt>
                <c:pt idx="21">
                  <c:v>0.26670122077117281</c:v>
                </c:pt>
                <c:pt idx="22">
                  <c:v>0.26740266204753949</c:v>
                </c:pt>
                <c:pt idx="23">
                  <c:v>0.26815366711371186</c:v>
                </c:pt>
                <c:pt idx="24">
                  <c:v>0.26898410966496539</c:v>
                </c:pt>
                <c:pt idx="25">
                  <c:v>0.26969849899133969</c:v>
                </c:pt>
                <c:pt idx="26">
                  <c:v>0.27053058825525655</c:v>
                </c:pt>
                <c:pt idx="27">
                  <c:v>0.27122362795178756</c:v>
                </c:pt>
                <c:pt idx="28">
                  <c:v>0.2719378246912173</c:v>
                </c:pt>
                <c:pt idx="29">
                  <c:v>0.27263601625281214</c:v>
                </c:pt>
                <c:pt idx="30">
                  <c:v>0.27333498419006103</c:v>
                </c:pt>
                <c:pt idx="31">
                  <c:v>0.27410068406389659</c:v>
                </c:pt>
                <c:pt idx="32">
                  <c:v>0.27481713522257983</c:v>
                </c:pt>
                <c:pt idx="33">
                  <c:v>0.27568221916998459</c:v>
                </c:pt>
                <c:pt idx="34">
                  <c:v>0.27649115630227888</c:v>
                </c:pt>
                <c:pt idx="35">
                  <c:v>0.27726415464513687</c:v>
                </c:pt>
                <c:pt idx="36">
                  <c:v>0.27810176508497236</c:v>
                </c:pt>
                <c:pt idx="37">
                  <c:v>0.27892469860599517</c:v>
                </c:pt>
                <c:pt idx="38">
                  <c:v>0.27992332605063786</c:v>
                </c:pt>
                <c:pt idx="39">
                  <c:v>0.28089228782955811</c:v>
                </c:pt>
                <c:pt idx="40">
                  <c:v>0.28193747806284497</c:v>
                </c:pt>
                <c:pt idx="41">
                  <c:v>0.28303616701197443</c:v>
                </c:pt>
                <c:pt idx="42">
                  <c:v>0.28428677043009615</c:v>
                </c:pt>
                <c:pt idx="43">
                  <c:v>0.28551391962379841</c:v>
                </c:pt>
                <c:pt idx="44">
                  <c:v>0.28700356396589138</c:v>
                </c:pt>
                <c:pt idx="45">
                  <c:v>0.28869572068933386</c:v>
                </c:pt>
                <c:pt idx="46">
                  <c:v>0.29091177161164117</c:v>
                </c:pt>
                <c:pt idx="47">
                  <c:v>0.29320648615973244</c:v>
                </c:pt>
                <c:pt idx="48">
                  <c:v>0.29681291069659432</c:v>
                </c:pt>
                <c:pt idx="49">
                  <c:v>0.30314304209872772</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DD71-47FC-BDE6-BD731AF89868}"/>
            </c:ext>
          </c:extLst>
        </c:ser>
        <c:ser>
          <c:idx val="1"/>
          <c:order val="1"/>
          <c:tx>
            <c:v>SMP</c:v>
          </c:tx>
          <c:spPr>
            <a:ln w="25400">
              <a:solidFill>
                <a:srgbClr val="B45309"/>
              </a:solidFill>
              <a:prstDash val="dash"/>
            </a:ln>
          </c:spPr>
          <c:marker>
            <c:symbol val="none"/>
          </c:marker>
          <c:xVal>
            <c:numRef>
              <c:f>Results!$E$52:$E$101</c:f>
              <c:numCache>
                <c:formatCode>#,##0.00</c:formatCode>
                <c:ptCount val="50"/>
                <c:pt idx="0">
                  <c:v>0.25744246734441772</c:v>
                </c:pt>
                <c:pt idx="1">
                  <c:v>0.26324156975292218</c:v>
                </c:pt>
                <c:pt idx="2">
                  <c:v>0.26652714083186085</c:v>
                </c:pt>
                <c:pt idx="3">
                  <c:v>0.26891077247663903</c:v>
                </c:pt>
                <c:pt idx="4">
                  <c:v>0.27065625396280152</c:v>
                </c:pt>
                <c:pt idx="5">
                  <c:v>0.27223570563078819</c:v>
                </c:pt>
                <c:pt idx="6">
                  <c:v>0.27364645835326884</c:v>
                </c:pt>
                <c:pt idx="7">
                  <c:v>0.27492536733874551</c:v>
                </c:pt>
                <c:pt idx="8">
                  <c:v>0.27612019571511931</c:v>
                </c:pt>
                <c:pt idx="9">
                  <c:v>0.27728505294595823</c:v>
                </c:pt>
                <c:pt idx="10">
                  <c:v>0.27830501826439802</c:v>
                </c:pt>
                <c:pt idx="11">
                  <c:v>0.27922280504773739</c:v>
                </c:pt>
                <c:pt idx="12">
                  <c:v>0.28025778448950511</c:v>
                </c:pt>
                <c:pt idx="13">
                  <c:v>0.28120506249053212</c:v>
                </c:pt>
                <c:pt idx="14">
                  <c:v>0.2820060950734532</c:v>
                </c:pt>
                <c:pt idx="15">
                  <c:v>0.28281590904691645</c:v>
                </c:pt>
                <c:pt idx="16">
                  <c:v>0.2836200380747772</c:v>
                </c:pt>
                <c:pt idx="17">
                  <c:v>0.28440001750690158</c:v>
                </c:pt>
                <c:pt idx="18">
                  <c:v>0.28515498224977409</c:v>
                </c:pt>
                <c:pt idx="19">
                  <c:v>0.28592575591494623</c:v>
                </c:pt>
                <c:pt idx="20">
                  <c:v>0.28662704707476389</c:v>
                </c:pt>
                <c:pt idx="21">
                  <c:v>0.28741027129923902</c:v>
                </c:pt>
                <c:pt idx="22">
                  <c:v>0.28815783089732877</c:v>
                </c:pt>
                <c:pt idx="23">
                  <c:v>0.28893333925223652</c:v>
                </c:pt>
                <c:pt idx="24">
                  <c:v>0.28967163200752866</c:v>
                </c:pt>
                <c:pt idx="25">
                  <c:v>0.29040937316699345</c:v>
                </c:pt>
                <c:pt idx="26">
                  <c:v>0.29117049575746001</c:v>
                </c:pt>
                <c:pt idx="27">
                  <c:v>0.29188448266467848</c:v>
                </c:pt>
                <c:pt idx="28">
                  <c:v>0.29266370488765298</c:v>
                </c:pt>
                <c:pt idx="29">
                  <c:v>0.29338149390204532</c:v>
                </c:pt>
                <c:pt idx="30">
                  <c:v>0.29411012138819975</c:v>
                </c:pt>
                <c:pt idx="31">
                  <c:v>0.29490118125586962</c:v>
                </c:pt>
                <c:pt idx="32">
                  <c:v>0.29560373948734936</c:v>
                </c:pt>
                <c:pt idx="33">
                  <c:v>0.29644149741583709</c:v>
                </c:pt>
                <c:pt idx="34">
                  <c:v>0.2973074353352485</c:v>
                </c:pt>
                <c:pt idx="35">
                  <c:v>0.29814044596278444</c:v>
                </c:pt>
                <c:pt idx="36">
                  <c:v>0.29904351301277254</c:v>
                </c:pt>
                <c:pt idx="37">
                  <c:v>0.29998145088485501</c:v>
                </c:pt>
                <c:pt idx="38">
                  <c:v>0.30097889546206147</c:v>
                </c:pt>
                <c:pt idx="39">
                  <c:v>0.30201834347879053</c:v>
                </c:pt>
                <c:pt idx="40">
                  <c:v>0.30303768364388423</c:v>
                </c:pt>
                <c:pt idx="41">
                  <c:v>0.30438847722329687</c:v>
                </c:pt>
                <c:pt idx="42">
                  <c:v>0.30546140145479106</c:v>
                </c:pt>
                <c:pt idx="43">
                  <c:v>0.30688176173286119</c:v>
                </c:pt>
                <c:pt idx="44">
                  <c:v>0.30848010889221267</c:v>
                </c:pt>
                <c:pt idx="45">
                  <c:v>0.31040941788444071</c:v>
                </c:pt>
                <c:pt idx="46">
                  <c:v>0.31264778645356794</c:v>
                </c:pt>
                <c:pt idx="47">
                  <c:v>0.31543833413466171</c:v>
                </c:pt>
                <c:pt idx="48">
                  <c:v>0.31904248837310833</c:v>
                </c:pt>
                <c:pt idx="49">
                  <c:v>0.32514903542496815</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DD71-47FC-BDE6-BD731AF89868}"/>
            </c:ext>
          </c:extLst>
        </c:ser>
        <c:ser>
          <c:idx val="2"/>
          <c:order val="2"/>
          <c:tx>
            <c:v>PSM</c:v>
          </c:tx>
          <c:spPr>
            <a:ln w="25400">
              <a:solidFill>
                <a:srgbClr val="15803D"/>
              </a:solidFill>
              <a:prstDash val="solid"/>
            </a:ln>
          </c:spPr>
          <c:marker>
            <c:symbol val="none"/>
          </c:marker>
          <c:xVal>
            <c:numRef>
              <c:f>Results!$F$52:$F$101</c:f>
              <c:numCache>
                <c:formatCode>#,##0.00</c:formatCode>
                <c:ptCount val="50"/>
                <c:pt idx="0">
                  <c:v>0.14140644444790854</c:v>
                </c:pt>
                <c:pt idx="1">
                  <c:v>0.14680464835676216</c:v>
                </c:pt>
                <c:pt idx="2">
                  <c:v>0.14944655067824955</c:v>
                </c:pt>
                <c:pt idx="3">
                  <c:v>0.15128850221198187</c:v>
                </c:pt>
                <c:pt idx="4">
                  <c:v>0.15281394706103013</c:v>
                </c:pt>
                <c:pt idx="5">
                  <c:v>0.15417871653710394</c:v>
                </c:pt>
                <c:pt idx="6">
                  <c:v>0.15525775393796148</c:v>
                </c:pt>
                <c:pt idx="7">
                  <c:v>0.15631498495989288</c:v>
                </c:pt>
                <c:pt idx="8">
                  <c:v>0.15718444611954399</c:v>
                </c:pt>
                <c:pt idx="9">
                  <c:v>0.15817052396556738</c:v>
                </c:pt>
                <c:pt idx="10">
                  <c:v>0.15903795878309357</c:v>
                </c:pt>
                <c:pt idx="11">
                  <c:v>0.15983018637477941</c:v>
                </c:pt>
                <c:pt idx="12">
                  <c:v>0.16059781610822393</c:v>
                </c:pt>
                <c:pt idx="13">
                  <c:v>0.16131628640017276</c:v>
                </c:pt>
                <c:pt idx="14">
                  <c:v>0.16204284291022153</c:v>
                </c:pt>
                <c:pt idx="15">
                  <c:v>0.16270894912246861</c:v>
                </c:pt>
                <c:pt idx="16">
                  <c:v>0.16333968800547968</c:v>
                </c:pt>
                <c:pt idx="17">
                  <c:v>0.16404698280015237</c:v>
                </c:pt>
                <c:pt idx="18">
                  <c:v>0.16468293071840187</c:v>
                </c:pt>
                <c:pt idx="19">
                  <c:v>0.16524655333384461</c:v>
                </c:pt>
                <c:pt idx="20">
                  <c:v>0.16592189994132481</c:v>
                </c:pt>
                <c:pt idx="21">
                  <c:v>0.16650361313314554</c:v>
                </c:pt>
                <c:pt idx="22">
                  <c:v>0.16707941481603292</c:v>
                </c:pt>
                <c:pt idx="23">
                  <c:v>0.16770432429897586</c:v>
                </c:pt>
                <c:pt idx="24">
                  <c:v>0.16837774577341616</c:v>
                </c:pt>
                <c:pt idx="25">
                  <c:v>0.16901066795488903</c:v>
                </c:pt>
                <c:pt idx="26">
                  <c:v>0.16955524879567818</c:v>
                </c:pt>
                <c:pt idx="27">
                  <c:v>0.17011443441698001</c:v>
                </c:pt>
                <c:pt idx="28">
                  <c:v>0.17076047167685557</c:v>
                </c:pt>
                <c:pt idx="29">
                  <c:v>0.17138261571290855</c:v>
                </c:pt>
                <c:pt idx="30">
                  <c:v>0.17210552553817562</c:v>
                </c:pt>
                <c:pt idx="31">
                  <c:v>0.17272203523253693</c:v>
                </c:pt>
                <c:pt idx="32">
                  <c:v>0.17333536973225058</c:v>
                </c:pt>
                <c:pt idx="33">
                  <c:v>0.17400244843559895</c:v>
                </c:pt>
                <c:pt idx="34">
                  <c:v>0.17475386925889591</c:v>
                </c:pt>
                <c:pt idx="35">
                  <c:v>0.17543757108387714</c:v>
                </c:pt>
                <c:pt idx="36">
                  <c:v>0.17619337473358698</c:v>
                </c:pt>
                <c:pt idx="37">
                  <c:v>0.17697460121988462</c:v>
                </c:pt>
                <c:pt idx="38">
                  <c:v>0.17787434440560679</c:v>
                </c:pt>
                <c:pt idx="39">
                  <c:v>0.17869331481161427</c:v>
                </c:pt>
                <c:pt idx="40">
                  <c:v>0.17961248223223039</c:v>
                </c:pt>
                <c:pt idx="41">
                  <c:v>0.18059398114546393</c:v>
                </c:pt>
                <c:pt idx="42">
                  <c:v>0.18160482694533608</c:v>
                </c:pt>
                <c:pt idx="43">
                  <c:v>0.18283173382051512</c:v>
                </c:pt>
                <c:pt idx="44">
                  <c:v>0.1839111893069528</c:v>
                </c:pt>
                <c:pt idx="45">
                  <c:v>0.18520163154801023</c:v>
                </c:pt>
                <c:pt idx="46">
                  <c:v>0.18672654753780427</c:v>
                </c:pt>
                <c:pt idx="47">
                  <c:v>0.18881545821918236</c:v>
                </c:pt>
                <c:pt idx="48">
                  <c:v>0.19221279198322808</c:v>
                </c:pt>
                <c:pt idx="49">
                  <c:v>0.19788836177659608</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DD71-47FC-BDE6-BD731AF89868}"/>
            </c:ext>
          </c:extLst>
        </c:ser>
        <c:ser>
          <c:idx val="3"/>
          <c:order val="3"/>
          <c:tx>
            <c:v>EDP</c:v>
          </c:tx>
          <c:spPr>
            <a:ln w="25400">
              <a:solidFill>
                <a:srgbClr val="B91C1C"/>
              </a:solidFill>
              <a:prstDash val="solid"/>
            </a:ln>
          </c:spPr>
          <c:marker>
            <c:symbol val="none"/>
          </c:marker>
          <c:xVal>
            <c:numRef>
              <c:f>Results!$G$52:$G$101</c:f>
              <c:numCache>
                <c:formatCode>#,##0.00</c:formatCode>
                <c:ptCount val="50"/>
                <c:pt idx="0">
                  <c:v>0.23826656971705851</c:v>
                </c:pt>
                <c:pt idx="1">
                  <c:v>0.24465357852312081</c:v>
                </c:pt>
                <c:pt idx="2">
                  <c:v>0.24775482111490696</c:v>
                </c:pt>
                <c:pt idx="3">
                  <c:v>0.24999082213106313</c:v>
                </c:pt>
                <c:pt idx="4">
                  <c:v>0.25187478419703124</c:v>
                </c:pt>
                <c:pt idx="5">
                  <c:v>0.25372689311223118</c:v>
                </c:pt>
                <c:pt idx="6">
                  <c:v>0.25517973334274252</c:v>
                </c:pt>
                <c:pt idx="7">
                  <c:v>0.25648354920773042</c:v>
                </c:pt>
                <c:pt idx="8">
                  <c:v>0.25775362576123018</c:v>
                </c:pt>
                <c:pt idx="9">
                  <c:v>0.25883654776047793</c:v>
                </c:pt>
                <c:pt idx="10">
                  <c:v>0.2598310684211374</c:v>
                </c:pt>
                <c:pt idx="11">
                  <c:v>0.26084372232299069</c:v>
                </c:pt>
                <c:pt idx="12">
                  <c:v>0.26182685850026938</c:v>
                </c:pt>
                <c:pt idx="13">
                  <c:v>0.26262426380635928</c:v>
                </c:pt>
                <c:pt idx="14">
                  <c:v>0.26345835532942891</c:v>
                </c:pt>
                <c:pt idx="15">
                  <c:v>0.264235797393647</c:v>
                </c:pt>
                <c:pt idx="16">
                  <c:v>0.26511192966615893</c:v>
                </c:pt>
                <c:pt idx="17">
                  <c:v>0.26587720970863554</c:v>
                </c:pt>
                <c:pt idx="18">
                  <c:v>0.26671367139451807</c:v>
                </c:pt>
                <c:pt idx="19">
                  <c:v>0.26740577932140341</c:v>
                </c:pt>
                <c:pt idx="20">
                  <c:v>0.26810557114773903</c:v>
                </c:pt>
                <c:pt idx="21">
                  <c:v>0.26894524804421155</c:v>
                </c:pt>
                <c:pt idx="22">
                  <c:v>0.26963744810013091</c:v>
                </c:pt>
                <c:pt idx="23">
                  <c:v>0.27031429293393949</c:v>
                </c:pt>
                <c:pt idx="24">
                  <c:v>0.2710557585326428</c:v>
                </c:pt>
                <c:pt idx="25">
                  <c:v>0.27183603669610623</c:v>
                </c:pt>
                <c:pt idx="26">
                  <c:v>0.27257359867570297</c:v>
                </c:pt>
                <c:pt idx="27">
                  <c:v>0.27328403352180081</c:v>
                </c:pt>
                <c:pt idx="28">
                  <c:v>0.27399866731328787</c:v>
                </c:pt>
                <c:pt idx="29">
                  <c:v>0.27471761925414073</c:v>
                </c:pt>
                <c:pt idx="30">
                  <c:v>0.27547287361772188</c:v>
                </c:pt>
                <c:pt idx="31">
                  <c:v>0.27624520038770844</c:v>
                </c:pt>
                <c:pt idx="32">
                  <c:v>0.27711021718199053</c:v>
                </c:pt>
                <c:pt idx="33">
                  <c:v>0.27787166048284517</c:v>
                </c:pt>
                <c:pt idx="34">
                  <c:v>0.27864276105623775</c:v>
                </c:pt>
                <c:pt idx="35">
                  <c:v>0.27945101592729721</c:v>
                </c:pt>
                <c:pt idx="36">
                  <c:v>0.28032839763800582</c:v>
                </c:pt>
                <c:pt idx="37">
                  <c:v>0.28127349966457943</c:v>
                </c:pt>
                <c:pt idx="38">
                  <c:v>0.28220326280026931</c:v>
                </c:pt>
                <c:pt idx="39">
                  <c:v>0.28311101910914538</c:v>
                </c:pt>
                <c:pt idx="40">
                  <c:v>0.28406427186312466</c:v>
                </c:pt>
                <c:pt idx="41">
                  <c:v>0.2851193098607685</c:v>
                </c:pt>
                <c:pt idx="42">
                  <c:v>0.28632615496308012</c:v>
                </c:pt>
                <c:pt idx="43">
                  <c:v>0.28760459515346654</c:v>
                </c:pt>
                <c:pt idx="44">
                  <c:v>0.28901495859195436</c:v>
                </c:pt>
                <c:pt idx="45">
                  <c:v>0.29080872091747717</c:v>
                </c:pt>
                <c:pt idx="46">
                  <c:v>0.29252847118944059</c:v>
                </c:pt>
                <c:pt idx="47">
                  <c:v>0.29485056978928353</c:v>
                </c:pt>
                <c:pt idx="48">
                  <c:v>0.29829897077713408</c:v>
                </c:pt>
                <c:pt idx="49">
                  <c:v>0.30480078007674877</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DD71-47FC-BDE6-BD731AF89868}"/>
            </c:ext>
          </c:extLst>
        </c:ser>
        <c:dLbls>
          <c:showLegendKey val="0"/>
          <c:showVal val="0"/>
          <c:showCatName val="0"/>
          <c:showSerName val="0"/>
          <c:showPercent val="0"/>
          <c:showBubbleSize val="0"/>
        </c:dLbls>
        <c:axId val="10"/>
        <c:axId val="20"/>
      </c:scatterChart>
      <c:valAx>
        <c:axId val="10"/>
        <c:scaling>
          <c:orientation val="minMax"/>
          <c:min val="0.1"/>
        </c:scaling>
        <c:delete val="0"/>
        <c:axPos val="b"/>
        <c:title>
          <c:tx>
            <c:rich>
              <a:bodyPr/>
              <a:lstStyle/>
              <a:p>
                <a:pPr>
                  <a:defRPr/>
                </a:pPr>
                <a:r>
                  <a:rPr lang="en-US"/>
                  <a:t>Share of the votes cast</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SDP/EDP − SMP/PSM</c:v>
          </c:tx>
          <c:spPr>
            <a:ln w="25400">
              <a:solidFill>
                <a:srgbClr val="0E4F92"/>
              </a:solidFill>
              <a:prstDash val="solid"/>
            </a:ln>
          </c:spPr>
          <c:marker>
            <c:symbol val="none"/>
          </c:marker>
          <c:xVal>
            <c:numRef>
              <c:f>Results!$H$52:$H$101</c:f>
              <c:numCache>
                <c:formatCode>#,##0.00</c:formatCode>
                <c:ptCount val="50"/>
                <c:pt idx="0">
                  <c:v>6.4017073259532431E-3</c:v>
                </c:pt>
                <c:pt idx="1">
                  <c:v>2.1171104684016784E-2</c:v>
                </c:pt>
                <c:pt idx="2">
                  <c:v>2.8770059683084104E-2</c:v>
                </c:pt>
                <c:pt idx="3">
                  <c:v>3.3900373663777517E-2</c:v>
                </c:pt>
                <c:pt idx="4">
                  <c:v>3.8456183349994899E-2</c:v>
                </c:pt>
                <c:pt idx="5">
                  <c:v>4.2088093674295834E-2</c:v>
                </c:pt>
                <c:pt idx="6">
                  <c:v>4.5094758499652832E-2</c:v>
                </c:pt>
                <c:pt idx="7">
                  <c:v>4.8065026249697884E-2</c:v>
                </c:pt>
                <c:pt idx="8">
                  <c:v>5.1102614465889262E-2</c:v>
                </c:pt>
                <c:pt idx="9">
                  <c:v>5.3597952883545852E-2</c:v>
                </c:pt>
                <c:pt idx="10">
                  <c:v>5.5976386140656698E-2</c:v>
                </c:pt>
                <c:pt idx="11">
                  <c:v>5.8236987532082729E-2</c:v>
                </c:pt>
                <c:pt idx="12">
                  <c:v>6.0307442821052881E-2</c:v>
                </c:pt>
                <c:pt idx="13">
                  <c:v>6.2220332982694249E-2</c:v>
                </c:pt>
                <c:pt idx="14">
                  <c:v>6.4250394298350832E-2</c:v>
                </c:pt>
                <c:pt idx="15">
                  <c:v>6.6148237730617954E-2</c:v>
                </c:pt>
                <c:pt idx="16">
                  <c:v>6.8017553859898439E-2</c:v>
                </c:pt>
                <c:pt idx="17">
                  <c:v>6.9553036540424551E-2</c:v>
                </c:pt>
                <c:pt idx="18">
                  <c:v>7.1240735271261291E-2</c:v>
                </c:pt>
                <c:pt idx="19">
                  <c:v>7.2770099968169466E-2</c:v>
                </c:pt>
                <c:pt idx="20">
                  <c:v>7.4371437446128508E-2</c:v>
                </c:pt>
                <c:pt idx="21">
                  <c:v>7.6101097851930088E-2</c:v>
                </c:pt>
                <c:pt idx="22">
                  <c:v>7.7686190192699345E-2</c:v>
                </c:pt>
                <c:pt idx="23">
                  <c:v>7.9472349763821892E-2</c:v>
                </c:pt>
                <c:pt idx="24">
                  <c:v>8.1136553303059689E-2</c:v>
                </c:pt>
                <c:pt idx="25">
                  <c:v>8.2707943883125967E-2</c:v>
                </c:pt>
                <c:pt idx="26">
                  <c:v>8.4168390167403795E-2</c:v>
                </c:pt>
                <c:pt idx="27">
                  <c:v>8.5863965134066189E-2</c:v>
                </c:pt>
                <c:pt idx="28">
                  <c:v>8.7351549868326439E-2</c:v>
                </c:pt>
                <c:pt idx="29">
                  <c:v>8.9014130539987524E-2</c:v>
                </c:pt>
                <c:pt idx="30">
                  <c:v>9.0625215120142544E-2</c:v>
                </c:pt>
                <c:pt idx="31">
                  <c:v>9.241984370343892E-2</c:v>
                </c:pt>
                <c:pt idx="32">
                  <c:v>9.4048947465758703E-2</c:v>
                </c:pt>
                <c:pt idx="33">
                  <c:v>9.5846334387687138E-2</c:v>
                </c:pt>
                <c:pt idx="34">
                  <c:v>9.7617281983945148E-2</c:v>
                </c:pt>
                <c:pt idx="35">
                  <c:v>9.9496167064685781E-2</c:v>
                </c:pt>
                <c:pt idx="36">
                  <c:v>0.10132560484413733</c:v>
                </c:pt>
                <c:pt idx="37">
                  <c:v>0.10353262198050706</c:v>
                </c:pt>
                <c:pt idx="38">
                  <c:v>0.10562644881514321</c:v>
                </c:pt>
                <c:pt idx="39">
                  <c:v>0.10776115314355561</c:v>
                </c:pt>
                <c:pt idx="40">
                  <c:v>0.11002020441359894</c:v>
                </c:pt>
                <c:pt idx="41">
                  <c:v>0.1124203444183221</c:v>
                </c:pt>
                <c:pt idx="42">
                  <c:v>0.11522907074542843</c:v>
                </c:pt>
                <c:pt idx="43">
                  <c:v>0.1179689804589934</c:v>
                </c:pt>
                <c:pt idx="44">
                  <c:v>0.12107909275490769</c:v>
                </c:pt>
                <c:pt idx="45">
                  <c:v>0.12436210028274186</c:v>
                </c:pt>
                <c:pt idx="46">
                  <c:v>0.12925232784803808</c:v>
                </c:pt>
                <c:pt idx="47">
                  <c:v>0.13453586201781775</c:v>
                </c:pt>
                <c:pt idx="48">
                  <c:v>0.14160502006492881</c:v>
                </c:pt>
                <c:pt idx="49">
                  <c:v>0.15577373718185739</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6938-41BF-BF35-27D7DD973F5F}"/>
            </c:ext>
          </c:extLst>
        </c:ser>
        <c:ser>
          <c:idx val="1"/>
          <c:order val="1"/>
          <c:tx>
            <c:v>Tie</c:v>
          </c:tx>
          <c:spPr>
            <a:ln w="19050">
              <a:solidFill>
                <a:srgbClr val="B91C1C"/>
              </a:solidFill>
              <a:prstDash val="sysDash"/>
            </a:ln>
          </c:spPr>
          <c:marker>
            <c:symbol val="none"/>
          </c:marker>
          <c:xVal>
            <c:numRef>
              <c:f>Results!$I$52:$I$101</c:f>
              <c:numCache>
                <c:formatCode>#,##0.00</c:formatCode>
                <c:ptCount val="5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6938-41BF-BF35-27D7DD973F5F}"/>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SDP/EDP share minus SMP/PSM share</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68"/>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ht="26.25"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54" t="s">
        <v>20</v>
      </c>
      <c r="C16" s="5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ht="26.25" x14ac:dyDescent="0.45">
      <c r="B35" s="9" t="s">
        <v>34</v>
      </c>
      <c r="C35" s="10" t="s">
        <v>35</v>
      </c>
    </row>
    <row r="36" spans="2:3" ht="12" customHeight="1" x14ac:dyDescent="0.45"/>
    <row r="37" spans="2:3" ht="22.05" customHeight="1" x14ac:dyDescent="0.5">
      <c r="B37" s="7" t="s">
        <v>36</v>
      </c>
      <c r="C37" s="8"/>
    </row>
    <row r="38" spans="2:3" x14ac:dyDescent="0.45">
      <c r="B38" s="14" t="s">
        <v>37</v>
      </c>
      <c r="C38" s="10" t="s">
        <v>38</v>
      </c>
    </row>
    <row r="39" spans="2:3" x14ac:dyDescent="0.45">
      <c r="B39" s="14" t="s">
        <v>39</v>
      </c>
      <c r="C39" s="10" t="s">
        <v>40</v>
      </c>
    </row>
    <row r="40" spans="2:3" x14ac:dyDescent="0.45">
      <c r="B40" s="14" t="s">
        <v>41</v>
      </c>
      <c r="C40" s="10" t="s">
        <v>42</v>
      </c>
    </row>
    <row r="41" spans="2:3" ht="12" customHeight="1" x14ac:dyDescent="0.45"/>
    <row r="42" spans="2:3" ht="22.05" customHeight="1" x14ac:dyDescent="0.5">
      <c r="B42" s="7" t="s">
        <v>43</v>
      </c>
      <c r="C42" s="8"/>
    </row>
    <row r="43" spans="2:3" x14ac:dyDescent="0.45">
      <c r="B43" s="15" t="s">
        <v>44</v>
      </c>
      <c r="C43" s="12" t="s">
        <v>45</v>
      </c>
    </row>
    <row r="44" spans="2:3" x14ac:dyDescent="0.45">
      <c r="B44" s="16" t="s">
        <v>46</v>
      </c>
      <c r="C44" s="12" t="s">
        <v>47</v>
      </c>
    </row>
    <row r="45" spans="2:3" x14ac:dyDescent="0.45">
      <c r="B45" s="17" t="s">
        <v>48</v>
      </c>
      <c r="C45" s="12" t="s">
        <v>49</v>
      </c>
    </row>
    <row r="46" spans="2:3" x14ac:dyDescent="0.45">
      <c r="B46" s="18" t="s">
        <v>50</v>
      </c>
      <c r="C46" s="12" t="s">
        <v>51</v>
      </c>
    </row>
    <row r="47" spans="2:3" x14ac:dyDescent="0.45">
      <c r="B47" s="19" t="s">
        <v>52</v>
      </c>
      <c r="C47" s="12" t="s">
        <v>53</v>
      </c>
    </row>
    <row r="48" spans="2:3" ht="12" customHeight="1" x14ac:dyDescent="0.45"/>
    <row r="49" spans="2:3" ht="22.05" customHeight="1" x14ac:dyDescent="0.5">
      <c r="B49" s="7" t="s">
        <v>54</v>
      </c>
      <c r="C49" s="8"/>
    </row>
    <row r="50" spans="2:3" x14ac:dyDescent="0.45">
      <c r="B50" s="9" t="s">
        <v>55</v>
      </c>
      <c r="C50" s="10" t="s">
        <v>56</v>
      </c>
    </row>
    <row r="51" spans="2:3" x14ac:dyDescent="0.45">
      <c r="B51" s="9" t="s">
        <v>57</v>
      </c>
      <c r="C51" s="10" t="s">
        <v>58</v>
      </c>
    </row>
    <row r="52" spans="2:3" ht="12" customHeight="1" x14ac:dyDescent="0.45"/>
    <row r="53" spans="2:3" ht="22.05" customHeight="1" x14ac:dyDescent="0.5">
      <c r="B53" s="7" t="s">
        <v>59</v>
      </c>
      <c r="C53" s="8"/>
    </row>
    <row r="54" spans="2:3" x14ac:dyDescent="0.45">
      <c r="B54" s="9" t="s">
        <v>60</v>
      </c>
      <c r="C54" s="10" t="s">
        <v>61</v>
      </c>
    </row>
    <row r="55" spans="2:3" x14ac:dyDescent="0.45">
      <c r="B55" s="9" t="s">
        <v>62</v>
      </c>
      <c r="C55" s="10" t="s">
        <v>63</v>
      </c>
    </row>
    <row r="56" spans="2:3" x14ac:dyDescent="0.45">
      <c r="B56" s="9" t="s">
        <v>64</v>
      </c>
      <c r="C56" s="10" t="s">
        <v>65</v>
      </c>
    </row>
    <row r="57" spans="2:3" x14ac:dyDescent="0.45">
      <c r="B57" s="9" t="s">
        <v>66</v>
      </c>
      <c r="C57" s="10" t="s">
        <v>67</v>
      </c>
    </row>
    <row r="58" spans="2:3" ht="12" customHeight="1" x14ac:dyDescent="0.45"/>
    <row r="59" spans="2:3" ht="22.05" customHeight="1" x14ac:dyDescent="0.5">
      <c r="B59" s="7" t="s">
        <v>68</v>
      </c>
      <c r="C59" s="8"/>
    </row>
    <row r="60" spans="2:3" x14ac:dyDescent="0.45">
      <c r="B60" s="20" t="s">
        <v>69</v>
      </c>
      <c r="C60" s="10" t="s">
        <v>70</v>
      </c>
    </row>
    <row r="61" spans="2:3" x14ac:dyDescent="0.45">
      <c r="B61" s="20" t="s">
        <v>71</v>
      </c>
      <c r="C61" s="10" t="s">
        <v>72</v>
      </c>
    </row>
    <row r="62" spans="2:3" ht="26.25" x14ac:dyDescent="0.45">
      <c r="B62" s="20" t="s">
        <v>73</v>
      </c>
      <c r="C62" s="10" t="s">
        <v>74</v>
      </c>
    </row>
    <row r="63" spans="2:3" x14ac:dyDescent="0.45">
      <c r="B63" s="20" t="s">
        <v>75</v>
      </c>
      <c r="C63" s="10" t="s">
        <v>76</v>
      </c>
    </row>
    <row r="64" spans="2:3" ht="12" customHeight="1" x14ac:dyDescent="0.45"/>
    <row r="65" spans="2:3" ht="22.05" customHeight="1" x14ac:dyDescent="0.5">
      <c r="B65" s="7" t="s">
        <v>77</v>
      </c>
      <c r="C65" s="8"/>
    </row>
    <row r="66" spans="2:3" x14ac:dyDescent="0.45">
      <c r="B66" s="9" t="s">
        <v>78</v>
      </c>
      <c r="C66" s="10" t="s">
        <v>79</v>
      </c>
    </row>
    <row r="67" spans="2:3" ht="16.05" customHeight="1" x14ac:dyDescent="0.45"/>
    <row r="68" spans="2:3" x14ac:dyDescent="0.45">
      <c r="B68" s="52" t="s">
        <v>80</v>
      </c>
      <c r="C68" s="53"/>
    </row>
  </sheetData>
  <mergeCells count="2">
    <mergeCell ref="B68:C68"/>
    <mergeCell ref="B16:C16"/>
  </mergeCells>
  <hyperlinks>
    <hyperlink ref="D4" location="'Inputs'!A1" display="Next:  Inputs  ▸" xr:uid="{00000000-0004-0000-0000-000000000000}"/>
    <hyperlink ref="B38" location="'Inputs'!A1" display="Inputs" xr:uid="{00000000-0004-0000-0000-000001000000}"/>
    <hyperlink ref="B39" location="'Shares'!A1" display="Shares" xr:uid="{00000000-0004-0000-0000-000002000000}"/>
    <hyperlink ref="B40"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6"/>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81</v>
      </c>
      <c r="C3" s="1"/>
      <c r="D3" s="1"/>
      <c r="E3" s="1"/>
      <c r="F3" s="1"/>
      <c r="G3" s="1"/>
      <c r="H3" s="1"/>
      <c r="I3" s="1"/>
      <c r="J3" s="1"/>
    </row>
    <row r="4" spans="1:10" ht="20" customHeight="1" x14ac:dyDescent="0.45">
      <c r="A4" s="5"/>
      <c r="B4" s="22" t="s">
        <v>82</v>
      </c>
      <c r="C4" s="5"/>
      <c r="D4" s="5"/>
      <c r="E4" s="5"/>
      <c r="F4" s="5"/>
      <c r="G4" s="5"/>
      <c r="H4" s="5"/>
      <c r="I4" s="5"/>
      <c r="J4" s="6" t="s">
        <v>83</v>
      </c>
    </row>
    <row r="5" spans="1:10" ht="8" customHeight="1" x14ac:dyDescent="0.45"/>
    <row r="6" spans="1:10" ht="20" customHeight="1" x14ac:dyDescent="0.45">
      <c r="B6" s="55" t="s">
        <v>84</v>
      </c>
      <c r="C6" s="53"/>
      <c r="D6" s="53"/>
      <c r="E6" s="53"/>
      <c r="F6" s="53"/>
      <c r="G6" s="53"/>
      <c r="H6" s="53"/>
      <c r="I6" s="53"/>
      <c r="J6" s="53"/>
    </row>
    <row r="7" spans="1:10" ht="6" customHeight="1" x14ac:dyDescent="0.45"/>
    <row r="8" spans="1:10" ht="22.05" customHeight="1" x14ac:dyDescent="0.5">
      <c r="B8" s="7" t="s">
        <v>85</v>
      </c>
      <c r="C8" s="8"/>
      <c r="D8" s="8"/>
      <c r="E8" s="8"/>
      <c r="F8" s="8"/>
      <c r="G8" s="8"/>
      <c r="H8" s="8"/>
      <c r="I8" s="8"/>
      <c r="J8" s="8"/>
    </row>
    <row r="9" spans="1:10" ht="18" customHeight="1" x14ac:dyDescent="0.45">
      <c r="B9" s="13" t="s">
        <v>86</v>
      </c>
    </row>
    <row r="10" spans="1:10" ht="18" customHeight="1" x14ac:dyDescent="0.45">
      <c r="B10" s="23" t="s">
        <v>87</v>
      </c>
      <c r="C10" s="23" t="s">
        <v>88</v>
      </c>
      <c r="D10" s="24" t="s">
        <v>89</v>
      </c>
      <c r="E10" s="23" t="s">
        <v>90</v>
      </c>
      <c r="F10" s="5"/>
      <c r="G10" s="5"/>
      <c r="H10" s="5"/>
      <c r="I10" s="5"/>
      <c r="J10" s="23" t="s">
        <v>91</v>
      </c>
    </row>
    <row r="11" spans="1:10" x14ac:dyDescent="0.45">
      <c r="B11" s="25" t="s">
        <v>92</v>
      </c>
      <c r="C11" s="26" t="s">
        <v>93</v>
      </c>
      <c r="D11" s="27">
        <v>1027</v>
      </c>
      <c r="E11" s="26" t="s">
        <v>94</v>
      </c>
      <c r="F11" s="28"/>
      <c r="G11" s="28"/>
      <c r="H11" s="28"/>
      <c r="I11" s="28"/>
      <c r="J11" s="29" t="s">
        <v>95</v>
      </c>
    </row>
    <row r="12" spans="1:10" x14ac:dyDescent="0.45">
      <c r="B12" s="25" t="s">
        <v>96</v>
      </c>
      <c r="C12" s="26" t="s">
        <v>93</v>
      </c>
      <c r="D12" s="27">
        <v>259</v>
      </c>
      <c r="E12" s="26" t="s">
        <v>94</v>
      </c>
      <c r="F12" s="28"/>
      <c r="G12" s="28"/>
      <c r="H12" s="28"/>
      <c r="I12" s="28"/>
      <c r="J12" s="29"/>
    </row>
    <row r="13" spans="1:10" x14ac:dyDescent="0.45">
      <c r="B13" s="25" t="s">
        <v>97</v>
      </c>
      <c r="C13" s="26" t="s">
        <v>93</v>
      </c>
      <c r="D13" s="27">
        <v>279</v>
      </c>
      <c r="E13" s="26" t="s">
        <v>94</v>
      </c>
      <c r="F13" s="28"/>
      <c r="G13" s="28"/>
      <c r="H13" s="28"/>
      <c r="I13" s="28"/>
      <c r="J13" s="29"/>
    </row>
    <row r="14" spans="1:10" x14ac:dyDescent="0.45">
      <c r="B14" s="25" t="s">
        <v>98</v>
      </c>
      <c r="C14" s="26" t="s">
        <v>93</v>
      </c>
      <c r="D14" s="27">
        <v>162</v>
      </c>
      <c r="E14" s="26" t="s">
        <v>94</v>
      </c>
      <c r="F14" s="28"/>
      <c r="G14" s="28"/>
      <c r="H14" s="28"/>
      <c r="I14" s="28"/>
      <c r="J14" s="29"/>
    </row>
    <row r="15" spans="1:10" x14ac:dyDescent="0.45">
      <c r="B15" s="25" t="s">
        <v>99</v>
      </c>
      <c r="C15" s="26" t="s">
        <v>93</v>
      </c>
      <c r="D15" s="27">
        <v>261</v>
      </c>
      <c r="E15" s="26" t="s">
        <v>94</v>
      </c>
      <c r="F15" s="28"/>
      <c r="G15" s="28"/>
      <c r="H15" s="28"/>
      <c r="I15" s="28"/>
      <c r="J15" s="29"/>
    </row>
    <row r="16" spans="1:10" ht="8" customHeight="1" x14ac:dyDescent="0.45"/>
  </sheetData>
  <mergeCells count="1">
    <mergeCell ref="B6:J6"/>
  </mergeCells>
  <dataValidations count="1">
    <dataValidation type="whole" showErrorMessage="1" errorTitle="Whole number" error="Enter a whole number." sqref="D11:D15" xr:uid="{00000000-0002-0000-0100-000000000000}">
      <formula1>0</formula1>
      <formula2>1000000</formula2>
    </dataValidation>
  </dataValidations>
  <hyperlinks>
    <hyperlink ref="B4" location="'About'!A1" display="◂  About" xr:uid="{00000000-0004-0000-0100-000000000000}"/>
    <hyperlink ref="J4" location="'Shares'!A1" display="Next:  Shar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J47"/>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34" customWidth="1"/>
    <col min="3" max="3" width="11" customWidth="1"/>
    <col min="4" max="4" width="12" customWidth="1"/>
    <col min="5" max="6" width="11" customWidth="1"/>
    <col min="7" max="7" width="12" customWidth="1"/>
    <col min="8" max="8" width="11" customWidth="1"/>
    <col min="9" max="9" width="3" customWidth="1"/>
    <col min="10" max="10" width="60"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100</v>
      </c>
      <c r="C3" s="1"/>
      <c r="D3" s="1"/>
      <c r="E3" s="1"/>
      <c r="F3" s="1"/>
      <c r="G3" s="1"/>
      <c r="H3" s="1"/>
      <c r="I3" s="1"/>
      <c r="J3" s="1"/>
    </row>
    <row r="4" spans="1:10" ht="20" customHeight="1" x14ac:dyDescent="0.45">
      <c r="A4" s="5"/>
      <c r="B4" s="22" t="s">
        <v>101</v>
      </c>
      <c r="C4" s="5"/>
      <c r="D4" s="5"/>
      <c r="E4" s="5"/>
      <c r="F4" s="5"/>
      <c r="G4" s="5"/>
      <c r="H4" s="5"/>
      <c r="I4" s="5"/>
      <c r="J4" s="6" t="s">
        <v>102</v>
      </c>
    </row>
    <row r="5" spans="1:10" ht="8" customHeight="1" x14ac:dyDescent="0.45"/>
    <row r="6" spans="1:10" ht="22.05" customHeight="1" x14ac:dyDescent="0.5">
      <c r="B6" s="7" t="s">
        <v>103</v>
      </c>
      <c r="C6" s="8"/>
      <c r="D6" s="8"/>
      <c r="E6" s="8"/>
      <c r="F6" s="8"/>
      <c r="G6" s="8"/>
      <c r="H6" s="8"/>
      <c r="I6" s="8"/>
      <c r="J6" s="8"/>
    </row>
    <row r="7" spans="1:10" ht="18" customHeight="1" x14ac:dyDescent="0.45">
      <c r="B7" s="13" t="s">
        <v>104</v>
      </c>
    </row>
    <row r="8" spans="1:10" ht="30" customHeight="1" x14ac:dyDescent="0.45">
      <c r="B8" s="23" t="s">
        <v>105</v>
      </c>
      <c r="C8" s="24" t="s">
        <v>106</v>
      </c>
      <c r="D8" s="24" t="s">
        <v>107</v>
      </c>
      <c r="E8" s="24" t="s">
        <v>108</v>
      </c>
      <c r="F8" s="24" t="s">
        <v>109</v>
      </c>
      <c r="G8" s="24" t="s">
        <v>55</v>
      </c>
      <c r="H8" s="24" t="s">
        <v>110</v>
      </c>
    </row>
    <row r="9" spans="1:10" x14ac:dyDescent="0.45">
      <c r="B9" s="30" t="s">
        <v>111</v>
      </c>
      <c r="C9" s="31">
        <f>Said_SDP</f>
        <v>259</v>
      </c>
      <c r="D9" s="31">
        <f>C9+1</f>
        <v>260</v>
      </c>
      <c r="E9" s="32">
        <f>D9/SUM(D$9:D$13)</f>
        <v>0.25193798449612403</v>
      </c>
      <c r="F9" s="33">
        <f t="array" aca="1" ref="F9:F13" ca="1">_xll.VoseDirichlet(D9:D13)</f>
        <v>0.28645537665730042</v>
      </c>
      <c r="G9" s="32">
        <f ca="1">F9/SUM(F$9:F$12)</f>
        <v>0.30291223993800936</v>
      </c>
      <c r="H9" s="31">
        <f ca="1">IF(F9=MAX(F$9:F$12),1,0)</f>
        <v>1</v>
      </c>
      <c r="J9" s="34" t="s">
        <v>112</v>
      </c>
    </row>
    <row r="10" spans="1:10" x14ac:dyDescent="0.45">
      <c r="B10" s="30" t="s">
        <v>113</v>
      </c>
      <c r="C10" s="31">
        <f>Said_SMP</f>
        <v>279</v>
      </c>
      <c r="D10" s="31">
        <f>C10+1</f>
        <v>280</v>
      </c>
      <c r="E10" s="32">
        <f>D10/SUM(D$9:D$13)</f>
        <v>0.27131782945736432</v>
      </c>
      <c r="F10" s="33">
        <f ca="1"/>
        <v>0.26860566652717049</v>
      </c>
      <c r="G10" s="32">
        <f ca="1">F10/SUM(F$9:F$12)</f>
        <v>0.28403706384302424</v>
      </c>
      <c r="H10" s="31">
        <f ca="1">IF(F10=MAX(F$9:F$12),1,0)</f>
        <v>0</v>
      </c>
      <c r="J10" s="34" t="s">
        <v>114</v>
      </c>
    </row>
    <row r="11" spans="1:10" x14ac:dyDescent="0.45">
      <c r="B11" s="30" t="s">
        <v>115</v>
      </c>
      <c r="C11" s="31">
        <f>Said_PSM</f>
        <v>162</v>
      </c>
      <c r="D11" s="31">
        <f>C11+1</f>
        <v>163</v>
      </c>
      <c r="E11" s="32">
        <f>D11/SUM(D$9:D$13)</f>
        <v>0.15794573643410853</v>
      </c>
      <c r="F11" s="33">
        <f ca="1"/>
        <v>0.1450210035466811</v>
      </c>
      <c r="G11" s="32">
        <f ca="1">F11/SUM(F$9:F$12)</f>
        <v>0.15335246115815446</v>
      </c>
      <c r="H11" s="31">
        <f ca="1">IF(F11=MAX(F$9:F$12),1,0)</f>
        <v>0</v>
      </c>
      <c r="J11" s="34" t="s">
        <v>116</v>
      </c>
    </row>
    <row r="12" spans="1:10" x14ac:dyDescent="0.45">
      <c r="B12" s="30" t="s">
        <v>117</v>
      </c>
      <c r="C12" s="31">
        <f>Said_EDP</f>
        <v>261</v>
      </c>
      <c r="D12" s="31">
        <f>C12+1</f>
        <v>262</v>
      </c>
      <c r="E12" s="32">
        <f>D12/SUM(D$9:D$13)</f>
        <v>0.25387596899224807</v>
      </c>
      <c r="F12" s="33">
        <f ca="1"/>
        <v>0.24558913749013658</v>
      </c>
      <c r="G12" s="32">
        <f ca="1">F12/SUM(F$9:F$12)</f>
        <v>0.25969823506081191</v>
      </c>
      <c r="H12" s="31">
        <f ca="1">IF(F12=MAX(F$9:F$12),1,0)</f>
        <v>0</v>
      </c>
      <c r="J12" s="34" t="s">
        <v>118</v>
      </c>
    </row>
    <row r="13" spans="1:10" x14ac:dyDescent="0.45">
      <c r="B13" s="25" t="s">
        <v>119</v>
      </c>
      <c r="C13" s="31">
        <f>Surveyed-SUM(C9:C12)</f>
        <v>66</v>
      </c>
      <c r="D13" s="31">
        <f>C13+1</f>
        <v>67</v>
      </c>
      <c r="E13" s="32">
        <f>D13/SUM(D$9:D$13)</f>
        <v>6.4922480620155043E-2</v>
      </c>
      <c r="F13" s="33">
        <f ca="1"/>
        <v>5.4328815778711417E-2</v>
      </c>
      <c r="G13" s="28"/>
      <c r="H13" s="28"/>
      <c r="J13" s="34" t="s">
        <v>120</v>
      </c>
    </row>
    <row r="14" spans="1:10" x14ac:dyDescent="0.45">
      <c r="B14" s="35" t="s">
        <v>121</v>
      </c>
      <c r="C14" s="36">
        <f>SUM(C9:C13)</f>
        <v>1027</v>
      </c>
      <c r="D14" s="36">
        <f>SUM(D9:D13)</f>
        <v>1032</v>
      </c>
      <c r="E14" s="37">
        <f>SUM(E9:E13)</f>
        <v>1</v>
      </c>
      <c r="F14" s="37">
        <f ca="1">SUM(F9:F13)</f>
        <v>1</v>
      </c>
      <c r="G14" s="37">
        <f ca="1">SUM(G9:G12)</f>
        <v>1</v>
      </c>
      <c r="H14" s="36">
        <f ca="1">SUM(H9:H12)</f>
        <v>1</v>
      </c>
    </row>
    <row r="15" spans="1:10" ht="8" customHeight="1" x14ac:dyDescent="0.45"/>
    <row r="16" spans="1:10" ht="22.05" customHeight="1" x14ac:dyDescent="0.5">
      <c r="B16" s="7" t="s">
        <v>122</v>
      </c>
      <c r="C16" s="8"/>
      <c r="D16" s="8"/>
      <c r="E16" s="8"/>
      <c r="F16" s="8"/>
      <c r="G16" s="8"/>
      <c r="H16" s="8"/>
      <c r="I16" s="8"/>
      <c r="J16" s="8"/>
    </row>
    <row r="17" spans="2:10" ht="18" customHeight="1" x14ac:dyDescent="0.45">
      <c r="B17" s="13" t="s">
        <v>123</v>
      </c>
    </row>
    <row r="18" spans="2:10" x14ac:dyDescent="0.45">
      <c r="B18" s="25" t="s">
        <v>124</v>
      </c>
      <c r="C18" s="28"/>
      <c r="D18" s="28"/>
      <c r="E18" s="28"/>
      <c r="F18" s="28"/>
      <c r="G18" s="32">
        <f ca="1">G9+G12</f>
        <v>0.56261047499882122</v>
      </c>
      <c r="H18" s="28"/>
    </row>
    <row r="19" spans="2:10" x14ac:dyDescent="0.45">
      <c r="B19" s="25" t="s">
        <v>125</v>
      </c>
      <c r="C19" s="28"/>
      <c r="D19" s="28"/>
      <c r="E19" s="28"/>
      <c r="F19" s="28"/>
      <c r="G19" s="32">
        <f ca="1">G10+G11</f>
        <v>0.43738952500117867</v>
      </c>
      <c r="H19" s="28"/>
    </row>
    <row r="20" spans="2:10" x14ac:dyDescent="0.45">
      <c r="B20" s="25" t="s">
        <v>126</v>
      </c>
      <c r="C20" s="28"/>
      <c r="D20" s="28"/>
      <c r="E20" s="28"/>
      <c r="F20" s="28"/>
      <c r="G20" s="32">
        <f ca="1">G18-G19</f>
        <v>0.12522094999764255</v>
      </c>
      <c r="H20" s="28"/>
      <c r="J20" s="34" t="s">
        <v>127</v>
      </c>
    </row>
    <row r="21" spans="2:10" ht="8" customHeight="1" x14ac:dyDescent="0.45"/>
    <row r="22" spans="2:10" ht="22.05" customHeight="1" x14ac:dyDescent="0.5">
      <c r="B22" s="7" t="s">
        <v>128</v>
      </c>
      <c r="C22" s="8"/>
      <c r="D22" s="8"/>
      <c r="E22" s="8"/>
      <c r="F22" s="8"/>
      <c r="G22" s="8"/>
      <c r="H22" s="8"/>
      <c r="I22" s="8"/>
      <c r="J22" s="8"/>
    </row>
    <row r="23" spans="2:10" ht="18" customHeight="1" x14ac:dyDescent="0.45">
      <c r="B23" s="13" t="s">
        <v>129</v>
      </c>
    </row>
    <row r="24" spans="2:10" ht="30" customHeight="1" x14ac:dyDescent="0.45">
      <c r="B24" s="23" t="s">
        <v>130</v>
      </c>
      <c r="C24" s="24" t="s">
        <v>106</v>
      </c>
      <c r="D24" s="24" t="s">
        <v>107</v>
      </c>
      <c r="E24" s="5"/>
      <c r="F24" s="24" t="s">
        <v>109</v>
      </c>
      <c r="G24" s="5"/>
      <c r="H24" s="5"/>
    </row>
    <row r="25" spans="2:10" x14ac:dyDescent="0.45">
      <c r="B25" s="30" t="s">
        <v>131</v>
      </c>
      <c r="C25" s="31">
        <f>Said_SDP+Said_EDP</f>
        <v>520</v>
      </c>
      <c r="D25" s="31">
        <f>C25+1</f>
        <v>521</v>
      </c>
      <c r="E25" s="28"/>
      <c r="F25" s="33">
        <f t="array" aca="1" ref="F25:F27" ca="1">_xll.VoseDirichlet(D25:D27)</f>
        <v>0.49832012708944551</v>
      </c>
      <c r="G25" s="28"/>
      <c r="H25" s="28"/>
      <c r="J25" s="34" t="s">
        <v>132</v>
      </c>
    </row>
    <row r="26" spans="2:10" x14ac:dyDescent="0.45">
      <c r="B26" s="30" t="s">
        <v>133</v>
      </c>
      <c r="C26" s="31">
        <f>Said_SMP+Said_PSM</f>
        <v>441</v>
      </c>
      <c r="D26" s="31">
        <f>C26+1</f>
        <v>442</v>
      </c>
      <c r="E26" s="28"/>
      <c r="F26" s="33">
        <f ca="1"/>
        <v>0.43598060031502073</v>
      </c>
      <c r="G26" s="28"/>
      <c r="H26" s="28"/>
      <c r="J26" s="34" t="s">
        <v>134</v>
      </c>
    </row>
    <row r="27" spans="2:10" x14ac:dyDescent="0.45">
      <c r="B27" s="25" t="s">
        <v>119</v>
      </c>
      <c r="C27" s="31">
        <f>NotVoting</f>
        <v>66</v>
      </c>
      <c r="D27" s="31">
        <f>C27+1</f>
        <v>67</v>
      </c>
      <c r="E27" s="28"/>
      <c r="F27" s="33">
        <f ca="1"/>
        <v>6.569927259553382E-2</v>
      </c>
      <c r="G27" s="28"/>
      <c r="H27" s="28"/>
    </row>
    <row r="28" spans="2:10" ht="8" customHeight="1" x14ac:dyDescent="0.45"/>
    <row r="29" spans="2:10" ht="22.05" customHeight="1" x14ac:dyDescent="0.5">
      <c r="B29" s="7" t="s">
        <v>135</v>
      </c>
      <c r="C29" s="8"/>
      <c r="D29" s="8"/>
      <c r="E29" s="8"/>
      <c r="F29" s="8"/>
      <c r="G29" s="8"/>
      <c r="H29" s="8"/>
      <c r="I29" s="8"/>
      <c r="J29" s="8"/>
    </row>
    <row r="30" spans="2:10" ht="18" customHeight="1" x14ac:dyDescent="0.45">
      <c r="B30" s="13" t="s">
        <v>136</v>
      </c>
    </row>
    <row r="31" spans="2:10" ht="18" customHeight="1" x14ac:dyDescent="0.45">
      <c r="B31" s="38" t="s">
        <v>137</v>
      </c>
      <c r="C31" s="38" t="s">
        <v>88</v>
      </c>
      <c r="D31" s="39" t="s">
        <v>138</v>
      </c>
      <c r="E31" s="38" t="s">
        <v>139</v>
      </c>
      <c r="F31" s="5"/>
      <c r="G31" s="5"/>
      <c r="H31" s="5"/>
      <c r="I31" s="5"/>
      <c r="J31" s="5"/>
    </row>
    <row r="32" spans="2:10" x14ac:dyDescent="0.45">
      <c r="B32" s="25" t="s">
        <v>140</v>
      </c>
      <c r="C32" s="26" t="s">
        <v>141</v>
      </c>
      <c r="D32" s="40" cm="1">
        <f t="array" aca="1" ref="D32" ca="1">_xll.VoseOutput("SDP share of the votes cast","%")+G9</f>
        <v>0.30291223993800936</v>
      </c>
      <c r="E32" s="26"/>
      <c r="F32" s="28"/>
      <c r="G32" s="28"/>
      <c r="H32" s="28"/>
      <c r="I32" s="28"/>
      <c r="J32" s="28"/>
    </row>
    <row r="33" spans="2:10" x14ac:dyDescent="0.45">
      <c r="B33" s="25" t="s">
        <v>142</v>
      </c>
      <c r="C33" s="26" t="s">
        <v>141</v>
      </c>
      <c r="D33" s="40" cm="1">
        <f t="array" aca="1" ref="D33" ca="1">_xll.VoseOutput("SMP share of the votes cast","%")+G10</f>
        <v>0.28403706384302424</v>
      </c>
      <c r="E33" s="26"/>
      <c r="F33" s="28"/>
      <c r="G33" s="28"/>
      <c r="H33" s="28"/>
      <c r="I33" s="28"/>
      <c r="J33" s="28"/>
    </row>
    <row r="34" spans="2:10" x14ac:dyDescent="0.45">
      <c r="B34" s="25" t="s">
        <v>143</v>
      </c>
      <c r="C34" s="26" t="s">
        <v>141</v>
      </c>
      <c r="D34" s="40" cm="1">
        <f t="array" aca="1" ref="D34" ca="1">_xll.VoseOutput("PSM share of the votes cast","%")+G11</f>
        <v>0.15335246115815446</v>
      </c>
      <c r="E34" s="26"/>
      <c r="F34" s="28"/>
      <c r="G34" s="28"/>
      <c r="H34" s="28"/>
      <c r="I34" s="28"/>
      <c r="J34" s="28"/>
    </row>
    <row r="35" spans="2:10" x14ac:dyDescent="0.45">
      <c r="B35" s="25" t="s">
        <v>144</v>
      </c>
      <c r="C35" s="26" t="s">
        <v>141</v>
      </c>
      <c r="D35" s="40" cm="1">
        <f t="array" aca="1" ref="D35" ca="1">_xll.VoseOutput("EDP share of the votes cast","%")+G12</f>
        <v>0.25969823506081191</v>
      </c>
      <c r="E35" s="26"/>
      <c r="F35" s="28"/>
      <c r="G35" s="28"/>
      <c r="H35" s="28"/>
      <c r="I35" s="28"/>
      <c r="J35" s="28"/>
    </row>
    <row r="36" spans="2:10" x14ac:dyDescent="0.45">
      <c r="B36" s="25" t="s">
        <v>145</v>
      </c>
      <c r="C36" s="26" t="s">
        <v>57</v>
      </c>
      <c r="D36" s="41" cm="1">
        <f t="array" aca="1" ref="D36" ca="1">_xll.VoseOutput("SDP gets the most votes","1 = yes")+H9</f>
        <v>1</v>
      </c>
      <c r="E36" s="26"/>
      <c r="F36" s="28"/>
      <c r="G36" s="28"/>
      <c r="H36" s="28"/>
      <c r="I36" s="28"/>
      <c r="J36" s="28"/>
    </row>
    <row r="37" spans="2:10" x14ac:dyDescent="0.45">
      <c r="B37" s="25" t="s">
        <v>146</v>
      </c>
      <c r="C37" s="26" t="s">
        <v>57</v>
      </c>
      <c r="D37" s="41" cm="1">
        <f t="array" aca="1" ref="D37" ca="1">_xll.VoseOutput("SMP gets the most votes","1 = yes")+H10</f>
        <v>0</v>
      </c>
      <c r="E37" s="26"/>
      <c r="F37" s="28"/>
      <c r="G37" s="28"/>
      <c r="H37" s="28"/>
      <c r="I37" s="28"/>
      <c r="J37" s="28"/>
    </row>
    <row r="38" spans="2:10" x14ac:dyDescent="0.45">
      <c r="B38" s="25" t="s">
        <v>147</v>
      </c>
      <c r="C38" s="26" t="s">
        <v>57</v>
      </c>
      <c r="D38" s="41" cm="1">
        <f t="array" aca="1" ref="D38" ca="1">_xll.VoseOutput("PSM gets the most votes","1 = yes")+H11</f>
        <v>0</v>
      </c>
      <c r="E38" s="26"/>
      <c r="F38" s="28"/>
      <c r="G38" s="28"/>
      <c r="H38" s="28"/>
      <c r="I38" s="28"/>
      <c r="J38" s="28"/>
    </row>
    <row r="39" spans="2:10" x14ac:dyDescent="0.45">
      <c r="B39" s="25" t="s">
        <v>148</v>
      </c>
      <c r="C39" s="26" t="s">
        <v>57</v>
      </c>
      <c r="D39" s="41" cm="1">
        <f t="array" aca="1" ref="D39" ca="1">_xll.VoseOutput("EDP gets the most votes","1 = yes")+H12</f>
        <v>0</v>
      </c>
      <c r="E39" s="26"/>
      <c r="F39" s="28"/>
      <c r="G39" s="28"/>
      <c r="H39" s="28"/>
      <c r="I39" s="28"/>
      <c r="J39" s="28"/>
    </row>
    <row r="40" spans="2:10" x14ac:dyDescent="0.45">
      <c r="B40" s="25" t="s">
        <v>149</v>
      </c>
      <c r="C40" s="26" t="s">
        <v>141</v>
      </c>
      <c r="D40" s="40" cm="1">
        <f t="array" aca="1" ref="D40" ca="1">_xll.VoseOutput("Alliance margin","%")+G20</f>
        <v>0.12522094999764255</v>
      </c>
      <c r="E40" s="26"/>
      <c r="F40" s="28"/>
      <c r="G40" s="28"/>
      <c r="H40" s="28"/>
      <c r="I40" s="28"/>
      <c r="J40" s="28"/>
    </row>
    <row r="41" spans="2:10" x14ac:dyDescent="0.45">
      <c r="B41" s="25" t="s">
        <v>150</v>
      </c>
      <c r="C41" s="26" t="s">
        <v>57</v>
      </c>
      <c r="D41" s="41" cm="1">
        <f t="array" aca="1" ref="D41" ca="1">_xll.VoseOutput("SDP/EDP wins, five groups","1 = yes")+IF(G20&gt;0,1,0)</f>
        <v>1</v>
      </c>
      <c r="E41" s="26"/>
      <c r="F41" s="28"/>
      <c r="G41" s="28"/>
      <c r="H41" s="28"/>
      <c r="I41" s="28"/>
      <c r="J41" s="28"/>
    </row>
    <row r="42" spans="2:10" x14ac:dyDescent="0.45">
      <c r="B42" s="25" t="s">
        <v>151</v>
      </c>
      <c r="C42" s="26" t="s">
        <v>57</v>
      </c>
      <c r="D42" s="41" cm="1">
        <f t="array" aca="1" ref="D42" ca="1">_xll.VoseOutput("SDP/EDP wins, three groups","1 = yes")+IF(F25&gt;F26,1,0)</f>
        <v>1</v>
      </c>
      <c r="E42" s="26"/>
      <c r="F42" s="28"/>
      <c r="G42" s="28"/>
      <c r="H42" s="28"/>
      <c r="I42" s="28"/>
      <c r="J42" s="28"/>
    </row>
    <row r="43" spans="2:10" ht="8" customHeight="1" x14ac:dyDescent="0.45"/>
    <row r="44" spans="2:10" ht="22.05" customHeight="1" x14ac:dyDescent="0.5">
      <c r="B44" s="7" t="s">
        <v>152</v>
      </c>
      <c r="C44" s="8"/>
      <c r="D44" s="8"/>
      <c r="E44" s="8"/>
      <c r="F44" s="8"/>
      <c r="G44" s="8"/>
      <c r="H44" s="8"/>
      <c r="I44" s="8"/>
      <c r="J44" s="8"/>
    </row>
    <row r="45" spans="2:10" ht="18" customHeight="1" x14ac:dyDescent="0.45">
      <c r="B45" s="13" t="s">
        <v>153</v>
      </c>
    </row>
    <row r="46" spans="2:10" x14ac:dyDescent="0.45">
      <c r="B46" s="25" t="s">
        <v>154</v>
      </c>
      <c r="C46" s="28"/>
      <c r="D46" s="42" t="str">
        <f>IF(C13&gt;=0,"OK","CHECK")</f>
        <v>OK</v>
      </c>
      <c r="E46" s="28"/>
      <c r="F46" s="28"/>
      <c r="G46" s="28"/>
      <c r="H46" s="28"/>
      <c r="I46" s="28"/>
      <c r="J46" s="28"/>
    </row>
    <row r="47" spans="2:10" ht="14" customHeight="1" x14ac:dyDescent="0.45"/>
  </sheetData>
  <conditionalFormatting sqref="D46">
    <cfRule type="expression" dxfId="3" priority="1">
      <formula>D46="CHECK"</formula>
    </cfRule>
  </conditionalFormatting>
  <hyperlinks>
    <hyperlink ref="B4" location="'Inputs'!A1" display="◂  Inputs" xr:uid="{00000000-0004-0000-0200-000000000000}"/>
    <hyperlink ref="J4" location="'Results'!A1" display="Next:  Results  ▸" xr:uid="{00000000-0004-0000-0200-000001000000}"/>
  </hyperlinks>
  <printOptions horizontalCentered="1"/>
  <pageMargins left="0.4" right="0.4" top="0.5" bottom="0.6" header="0.25" footer="0.25"/>
  <pageSetup paperSize="9" scale="83"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01"/>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155</v>
      </c>
      <c r="C3" s="1"/>
      <c r="D3" s="1"/>
      <c r="E3" s="1"/>
      <c r="F3" s="1"/>
      <c r="G3" s="1"/>
      <c r="H3" s="1"/>
      <c r="I3" s="1"/>
      <c r="J3" s="1"/>
      <c r="K3" s="1"/>
      <c r="L3" s="1"/>
      <c r="M3" s="1"/>
      <c r="N3" s="1"/>
      <c r="O3" s="1"/>
      <c r="P3" s="1"/>
      <c r="Q3" s="1"/>
      <c r="R3" s="1"/>
    </row>
    <row r="4" spans="1:18" ht="20" customHeight="1" x14ac:dyDescent="0.45">
      <c r="A4" s="5"/>
      <c r="B4" s="22" t="s">
        <v>156</v>
      </c>
      <c r="C4" s="5"/>
      <c r="D4" s="5"/>
      <c r="E4" s="5"/>
      <c r="F4" s="5"/>
      <c r="G4" s="5"/>
      <c r="H4" s="5"/>
      <c r="I4" s="5"/>
      <c r="J4" s="5"/>
      <c r="K4" s="5"/>
      <c r="L4" s="5"/>
      <c r="M4" s="5"/>
      <c r="N4" s="5"/>
      <c r="O4" s="5"/>
      <c r="P4" s="5"/>
      <c r="Q4" s="5"/>
      <c r="R4" s="5"/>
    </row>
    <row r="5" spans="1:18" ht="8" customHeight="1" x14ac:dyDescent="0.45"/>
    <row r="6" spans="1:18" ht="26" customHeight="1" x14ac:dyDescent="0.45">
      <c r="B6" s="43" t="str" cm="1">
        <f t="array" aca="1" ref="B6" ca="1">IF(ISNUMBER(_xll.VoseSimMean(Win_SMP)),"✔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4"/>
      <c r="D6" s="44"/>
      <c r="E6" s="44"/>
      <c r="F6" s="44"/>
      <c r="G6" s="44"/>
    </row>
    <row r="7" spans="1:18" x14ac:dyDescent="0.45">
      <c r="B7" s="34"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157</v>
      </c>
      <c r="C9" s="8"/>
      <c r="D9" s="8"/>
      <c r="E9" s="8"/>
      <c r="F9" s="8"/>
      <c r="G9" s="8"/>
      <c r="I9" s="45" t="s">
        <v>158</v>
      </c>
      <c r="J9" s="8"/>
      <c r="K9" s="8"/>
      <c r="L9" s="8"/>
      <c r="M9" s="8"/>
      <c r="N9" s="8"/>
      <c r="O9" s="8"/>
      <c r="P9" s="8"/>
      <c r="Q9" s="8"/>
      <c r="R9" s="8"/>
    </row>
    <row r="10" spans="1:18" ht="18" customHeight="1" x14ac:dyDescent="0.45">
      <c r="B10" s="13" t="s">
        <v>159</v>
      </c>
    </row>
    <row r="11" spans="1:18" ht="30" customHeight="1" x14ac:dyDescent="0.45">
      <c r="B11" s="23" t="s">
        <v>160</v>
      </c>
      <c r="C11" s="24" t="s">
        <v>106</v>
      </c>
      <c r="D11" s="24" t="s">
        <v>161</v>
      </c>
      <c r="E11" s="24" t="s">
        <v>162</v>
      </c>
      <c r="F11" s="24" t="s">
        <v>163</v>
      </c>
      <c r="G11" s="24" t="s">
        <v>164</v>
      </c>
    </row>
    <row r="12" spans="1:18" x14ac:dyDescent="0.45">
      <c r="B12" s="25" t="s">
        <v>111</v>
      </c>
      <c r="C12" s="31">
        <f>Said_SDP</f>
        <v>259</v>
      </c>
      <c r="D12" s="32">
        <f>Said_SDP/(Surveyed-NotVoting)</f>
        <v>0.26951092611862643</v>
      </c>
      <c r="E12" s="46" cm="1">
        <f t="array" aca="1" ref="E12" ca="1">_xll.VoseSimPercentile(Vote_SDP,0.1)</f>
        <v>0.25103594427397863</v>
      </c>
      <c r="F12" s="46" cm="1">
        <f t="array" aca="1" ref="F12" ca="1">_xll.VoseSimPercentile(Vote_SDP,0.9)</f>
        <v>0.2877926863597528</v>
      </c>
      <c r="G12" s="46" cm="1">
        <f t="array" aca="1" ref="G12" ca="1">_xll.VoseSimMean(Win_SDP)</f>
        <v>0.14649999999999999</v>
      </c>
    </row>
    <row r="13" spans="1:18" x14ac:dyDescent="0.45">
      <c r="B13" s="25" t="s">
        <v>113</v>
      </c>
      <c r="C13" s="31">
        <f>Said_SMP</f>
        <v>279</v>
      </c>
      <c r="D13" s="32">
        <f>Said_SMP/(Surveyed-NotVoting)</f>
        <v>0.29032258064516131</v>
      </c>
      <c r="E13" s="46" cm="1">
        <f t="array" aca="1" ref="E13" ca="1">_xll.VoseSimPercentile(Vote_SMP,0.1)</f>
        <v>0.27142004750035731</v>
      </c>
      <c r="F13" s="46" cm="1">
        <f t="array" aca="1" ref="F13" ca="1">_xll.VoseSimPercentile(Vote_SMP,0.9)</f>
        <v>0.30950437837992412</v>
      </c>
      <c r="G13" s="46" cm="1">
        <f t="array" aca="1" ref="G13" ca="1">_xll.VoseSimMean(Win_SMP)</f>
        <v>0.67549999999999999</v>
      </c>
    </row>
    <row r="14" spans="1:18" x14ac:dyDescent="0.45">
      <c r="B14" s="25" t="s">
        <v>115</v>
      </c>
      <c r="C14" s="31">
        <f>Said_PSM</f>
        <v>162</v>
      </c>
      <c r="D14" s="32">
        <f>Said_PSM/(Surveyed-NotVoting)</f>
        <v>0.16857440166493237</v>
      </c>
      <c r="E14" s="46" cm="1">
        <f t="array" aca="1" ref="E14" ca="1">_xll.VoseSimPercentile(Vote_PSM,0.1)</f>
        <v>0.15353488781645805</v>
      </c>
      <c r="F14" s="46" cm="1">
        <f t="array" aca="1" ref="F14" ca="1">_xll.VoseSimPercentile(Vote_PSM,0.9)</f>
        <v>0.18457119986252921</v>
      </c>
      <c r="G14" s="46" cm="1">
        <f t="array" aca="1" ref="G14" ca="1">_xll.VoseSimMean(Win_PSM)</f>
        <v>0</v>
      </c>
    </row>
    <row r="15" spans="1:18" x14ac:dyDescent="0.45">
      <c r="B15" s="25" t="s">
        <v>117</v>
      </c>
      <c r="C15" s="31">
        <f>Said_EDP</f>
        <v>261</v>
      </c>
      <c r="D15" s="32">
        <f>Said_EDP/(Surveyed-NotVoting)</f>
        <v>0.27159209157127989</v>
      </c>
      <c r="E15" s="46" cm="1">
        <f t="array" aca="1" ref="E15" ca="1">_xll.VoseSimPercentile(Vote_EDP,0.1)</f>
        <v>0.25283065586952019</v>
      </c>
      <c r="F15" s="46" cm="1">
        <f t="array" aca="1" ref="F15" ca="1">_xll.VoseSimPercentile(Vote_EDP,0.9)</f>
        <v>0.28998575302974688</v>
      </c>
      <c r="G15" s="46" cm="1">
        <f t="array" aca="1" ref="G15" ca="1">_xll.VoseSimMean(Win_EDP)</f>
        <v>0.17799999999999999</v>
      </c>
    </row>
    <row r="16" spans="1:18" x14ac:dyDescent="0.45">
      <c r="B16" s="35" t="s">
        <v>121</v>
      </c>
      <c r="C16" s="47"/>
      <c r="D16" s="47"/>
      <c r="E16" s="47"/>
      <c r="F16" s="47"/>
      <c r="G16" s="37">
        <f ca="1">IF(ISNUMBER(G12),SUM(G12:G15),"–")</f>
        <v>1</v>
      </c>
    </row>
    <row r="17" spans="2:18" ht="8" customHeight="1" x14ac:dyDescent="0.45"/>
    <row r="18" spans="2:18" ht="22.05" customHeight="1" x14ac:dyDescent="0.5">
      <c r="B18" s="7" t="s">
        <v>165</v>
      </c>
      <c r="C18" s="8"/>
      <c r="D18" s="8"/>
      <c r="E18" s="8"/>
      <c r="F18" s="8"/>
      <c r="G18" s="8"/>
    </row>
    <row r="19" spans="2:18" ht="18" customHeight="1" x14ac:dyDescent="0.45">
      <c r="B19" s="13" t="s">
        <v>166</v>
      </c>
    </row>
    <row r="20" spans="2:18" ht="18" customHeight="1" x14ac:dyDescent="0.45">
      <c r="B20" s="23" t="s">
        <v>167</v>
      </c>
      <c r="C20" s="5"/>
      <c r="D20" s="5"/>
      <c r="E20" s="24" t="s">
        <v>168</v>
      </c>
      <c r="F20" s="24" t="s">
        <v>169</v>
      </c>
      <c r="G20" s="5"/>
    </row>
    <row r="21" spans="2:18" x14ac:dyDescent="0.45">
      <c r="B21" s="25" t="s">
        <v>170</v>
      </c>
      <c r="C21" s="28"/>
      <c r="D21" s="28"/>
      <c r="E21" s="48" cm="1">
        <f t="array" aca="1" ref="E21" ca="1">_xll.VoseSimMean(Coal5)</f>
        <v>0.99429999999999996</v>
      </c>
      <c r="F21" s="49">
        <f>1-_xlfn.BETA.DIST(0.5,Alpha_SDP+Alpha_EDP,Alpha_SMP+Alpha_PSM,TRUE)</f>
        <v>0.99454589240477109</v>
      </c>
      <c r="G21" s="28"/>
    </row>
    <row r="22" spans="2:18" x14ac:dyDescent="0.45">
      <c r="B22" s="25" t="s">
        <v>171</v>
      </c>
      <c r="C22" s="28"/>
      <c r="D22" s="28"/>
      <c r="E22" s="48" cm="1">
        <f t="array" aca="1" ref="E22" ca="1">_xll.VoseSimMean(Coal3)</f>
        <v>0.99509999999999998</v>
      </c>
      <c r="F22" s="49">
        <f>1-_xlfn.BETA.DIST(0.5,Alpha3_SE,Alpha3_SP,TRUE)</f>
        <v>0.99458715742316461</v>
      </c>
      <c r="G22" s="28"/>
    </row>
    <row r="23" spans="2:18" x14ac:dyDescent="0.45">
      <c r="B23" s="25" t="s">
        <v>172</v>
      </c>
      <c r="C23" s="28"/>
      <c r="D23" s="28"/>
      <c r="E23" s="46" cm="1">
        <f t="array" aca="1" ref="E23" ca="1">_xll.VoseSimMean(Margin)</f>
        <v>8.1711859362034248E-2</v>
      </c>
      <c r="F23" s="28"/>
      <c r="G23" s="28"/>
    </row>
    <row r="24" spans="2:18" ht="8" customHeight="1" x14ac:dyDescent="0.45"/>
    <row r="25" spans="2:18" x14ac:dyDescent="0.45">
      <c r="I25" s="45" t="s">
        <v>173</v>
      </c>
      <c r="J25" s="8"/>
      <c r="K25" s="8"/>
      <c r="L25" s="8"/>
      <c r="M25" s="8"/>
      <c r="N25" s="8"/>
      <c r="O25" s="8"/>
      <c r="P25" s="8"/>
      <c r="Q25" s="8"/>
      <c r="R25" s="8"/>
    </row>
    <row r="41" spans="2:7" ht="22.05" customHeight="1" x14ac:dyDescent="0.5">
      <c r="B41" s="7" t="s">
        <v>174</v>
      </c>
      <c r="C41" s="8"/>
      <c r="D41" s="8"/>
      <c r="E41" s="8"/>
      <c r="F41" s="8"/>
      <c r="G41" s="8"/>
    </row>
    <row r="42" spans="2:7" ht="32" customHeight="1" x14ac:dyDescent="0.45">
      <c r="B42" s="54" t="s">
        <v>175</v>
      </c>
      <c r="C42" s="53"/>
      <c r="D42" s="53"/>
      <c r="E42" s="53"/>
      <c r="F42" s="53"/>
      <c r="G42" s="53"/>
    </row>
    <row r="43" spans="2:7" ht="32" customHeight="1" x14ac:dyDescent="0.45">
      <c r="B43" s="54" t="s">
        <v>176</v>
      </c>
      <c r="C43" s="53"/>
      <c r="D43" s="53"/>
      <c r="E43" s="53"/>
      <c r="F43" s="53"/>
      <c r="G43" s="53"/>
    </row>
    <row r="44" spans="2:7" ht="32" customHeight="1" x14ac:dyDescent="0.45">
      <c r="B44" s="54" t="s">
        <v>177</v>
      </c>
      <c r="C44" s="53"/>
      <c r="D44" s="53"/>
      <c r="E44" s="53"/>
      <c r="F44" s="53"/>
      <c r="G44" s="53"/>
    </row>
    <row r="45" spans="2:7" ht="45" customHeight="1" x14ac:dyDescent="0.45">
      <c r="B45" s="54" t="s">
        <v>178</v>
      </c>
      <c r="C45" s="53"/>
      <c r="D45" s="53"/>
      <c r="E45" s="53"/>
      <c r="F45" s="53"/>
      <c r="G45" s="53"/>
    </row>
    <row r="46" spans="2:7" ht="32" customHeight="1" x14ac:dyDescent="0.45">
      <c r="B46" s="54" t="s">
        <v>179</v>
      </c>
      <c r="C46" s="53"/>
      <c r="D46" s="53"/>
      <c r="E46" s="53"/>
      <c r="F46" s="53"/>
      <c r="G46" s="53"/>
    </row>
    <row r="47" spans="2:7" ht="14" customHeight="1" x14ac:dyDescent="0.45"/>
    <row r="48" spans="2:7" ht="14" customHeight="1" x14ac:dyDescent="0.45"/>
    <row r="49" spans="2:9" ht="22.05" customHeight="1" x14ac:dyDescent="0.5">
      <c r="B49" s="7" t="s">
        <v>180</v>
      </c>
      <c r="C49" s="8"/>
      <c r="D49" s="8"/>
      <c r="E49" s="8"/>
      <c r="F49" s="8"/>
      <c r="G49" s="8"/>
    </row>
    <row r="50" spans="2:9" ht="18" customHeight="1" x14ac:dyDescent="0.45">
      <c r="B50" s="13" t="s">
        <v>181</v>
      </c>
    </row>
    <row r="51" spans="2:9" ht="28.05" hidden="1" customHeight="1" outlineLevel="1" x14ac:dyDescent="0.45">
      <c r="B51" s="24" t="s">
        <v>182</v>
      </c>
      <c r="C51" s="24" t="s">
        <v>183</v>
      </c>
      <c r="D51" s="24" t="s">
        <v>184</v>
      </c>
      <c r="E51" s="24" t="s">
        <v>185</v>
      </c>
      <c r="F51" s="24" t="s">
        <v>186</v>
      </c>
      <c r="G51" s="24" t="s">
        <v>187</v>
      </c>
      <c r="H51" s="24" t="s">
        <v>188</v>
      </c>
      <c r="I51" s="24" t="s">
        <v>189</v>
      </c>
    </row>
    <row r="52" spans="2:9" hidden="1" outlineLevel="1" x14ac:dyDescent="0.45">
      <c r="B52" s="50">
        <v>0.01</v>
      </c>
      <c r="C52" s="50">
        <f t="shared" ref="C52:C83" si="0">1-B52</f>
        <v>0.99</v>
      </c>
      <c r="D52" s="51" cm="1">
        <f t="array" aca="1" ref="D52" ca="1">IF(ISNUMBER(_xll.VoseSimPercentile(Vote_SDP,$B52)),_xll.VoseSimPercentile(Vote_SDP,$B52),NA())</f>
        <v>0.23682414842048469</v>
      </c>
      <c r="E52" s="51" cm="1">
        <f t="array" aca="1" ref="E52" ca="1">IF(ISNUMBER(_xll.VoseSimPercentile(Vote_SMP,$B52)),_xll.VoseSimPercentile(Vote_SMP,$B52),NA())</f>
        <v>0.25744246734441772</v>
      </c>
      <c r="F52" s="51" cm="1">
        <f t="array" aca="1" ref="F52" ca="1">IF(ISNUMBER(_xll.VoseSimPercentile(Vote_PSM,$B52)),_xll.VoseSimPercentile(Vote_PSM,$B52),NA())</f>
        <v>0.14140644444790854</v>
      </c>
      <c r="G52" s="51" cm="1">
        <f t="array" aca="1" ref="G52" ca="1">IF(ISNUMBER(_xll.VoseSimPercentile(Vote_EDP,$B52)),_xll.VoseSimPercentile(Vote_EDP,$B52),NA())</f>
        <v>0.23826656971705851</v>
      </c>
      <c r="H52" s="51" cm="1">
        <f t="array" aca="1" ref="H52" ca="1">IF(ISNUMBER(_xll.VoseSimPercentile(Margin,$B52)),_xll.VoseSimPercentile(Margin,$B52),NA())</f>
        <v>6.4017073259532431E-3</v>
      </c>
      <c r="I52" s="51">
        <f>0</f>
        <v>0</v>
      </c>
    </row>
    <row r="53" spans="2:9" hidden="1" outlineLevel="1" x14ac:dyDescent="0.45">
      <c r="B53" s="50">
        <v>0.03</v>
      </c>
      <c r="C53" s="50">
        <f t="shared" si="0"/>
        <v>0.97</v>
      </c>
      <c r="D53" s="51" cm="1">
        <f t="array" aca="1" ref="D53" ca="1">IF(ISNUMBER(_xll.VoseSimPercentile(Vote_SDP,$B53)),_xll.VoseSimPercentile(Vote_SDP,$B53),NA())</f>
        <v>0.24270067526097028</v>
      </c>
      <c r="E53" s="51" cm="1">
        <f t="array" aca="1" ref="E53" ca="1">IF(ISNUMBER(_xll.VoseSimPercentile(Vote_SMP,$B53)),_xll.VoseSimPercentile(Vote_SMP,$B53),NA())</f>
        <v>0.26324156975292218</v>
      </c>
      <c r="F53" s="51" cm="1">
        <f t="array" aca="1" ref="F53" ca="1">IF(ISNUMBER(_xll.VoseSimPercentile(Vote_PSM,$B53)),_xll.VoseSimPercentile(Vote_PSM,$B53),NA())</f>
        <v>0.14680464835676216</v>
      </c>
      <c r="G53" s="51" cm="1">
        <f t="array" aca="1" ref="G53" ca="1">IF(ISNUMBER(_xll.VoseSimPercentile(Vote_EDP,$B53)),_xll.VoseSimPercentile(Vote_EDP,$B53),NA())</f>
        <v>0.24465357852312081</v>
      </c>
      <c r="H53" s="51" cm="1">
        <f t="array" aca="1" ref="H53" ca="1">IF(ISNUMBER(_xll.VoseSimPercentile(Margin,$B53)),_xll.VoseSimPercentile(Margin,$B53),NA())</f>
        <v>2.1171104684016784E-2</v>
      </c>
      <c r="I53" s="51">
        <f>0</f>
        <v>0</v>
      </c>
    </row>
    <row r="54" spans="2:9" hidden="1" outlineLevel="1" x14ac:dyDescent="0.45">
      <c r="B54" s="50">
        <v>0.05</v>
      </c>
      <c r="C54" s="50">
        <f t="shared" si="0"/>
        <v>0.95</v>
      </c>
      <c r="D54" s="51" cm="1">
        <f t="array" aca="1" ref="D54" ca="1">IF(ISNUMBER(_xll.VoseSimPercentile(Vote_SDP,$B54)),_xll.VoseSimPercentile(Vote_SDP,$B54),NA())</f>
        <v>0.2459479823509077</v>
      </c>
      <c r="E54" s="51" cm="1">
        <f t="array" aca="1" ref="E54" ca="1">IF(ISNUMBER(_xll.VoseSimPercentile(Vote_SMP,$B54)),_xll.VoseSimPercentile(Vote_SMP,$B54),NA())</f>
        <v>0.26652714083186085</v>
      </c>
      <c r="F54" s="51" cm="1">
        <f t="array" aca="1" ref="F54" ca="1">IF(ISNUMBER(_xll.VoseSimPercentile(Vote_PSM,$B54)),_xll.VoseSimPercentile(Vote_PSM,$B54),NA())</f>
        <v>0.14944655067824955</v>
      </c>
      <c r="G54" s="51" cm="1">
        <f t="array" aca="1" ref="G54" ca="1">IF(ISNUMBER(_xll.VoseSimPercentile(Vote_EDP,$B54)),_xll.VoseSimPercentile(Vote_EDP,$B54),NA())</f>
        <v>0.24775482111490696</v>
      </c>
      <c r="H54" s="51" cm="1">
        <f t="array" aca="1" ref="H54" ca="1">IF(ISNUMBER(_xll.VoseSimPercentile(Margin,$B54)),_xll.VoseSimPercentile(Margin,$B54),NA())</f>
        <v>2.8770059683084104E-2</v>
      </c>
      <c r="I54" s="51">
        <f>0</f>
        <v>0</v>
      </c>
    </row>
    <row r="55" spans="2:9" hidden="1" outlineLevel="1" x14ac:dyDescent="0.45">
      <c r="B55" s="50">
        <v>7.0000000000000007E-2</v>
      </c>
      <c r="C55" s="50">
        <f t="shared" si="0"/>
        <v>0.92999999999999994</v>
      </c>
      <c r="D55" s="51" cm="1">
        <f t="array" aca="1" ref="D55" ca="1">IF(ISNUMBER(_xll.VoseSimPercentile(Vote_SDP,$B55)),_xll.VoseSimPercentile(Vote_SDP,$B55),NA())</f>
        <v>0.24828956078440911</v>
      </c>
      <c r="E55" s="51" cm="1">
        <f t="array" aca="1" ref="E55" ca="1">IF(ISNUMBER(_xll.VoseSimPercentile(Vote_SMP,$B55)),_xll.VoseSimPercentile(Vote_SMP,$B55),NA())</f>
        <v>0.26891077247663903</v>
      </c>
      <c r="F55" s="51" cm="1">
        <f t="array" aca="1" ref="F55" ca="1">IF(ISNUMBER(_xll.VoseSimPercentile(Vote_PSM,$B55)),_xll.VoseSimPercentile(Vote_PSM,$B55),NA())</f>
        <v>0.15128850221198187</v>
      </c>
      <c r="G55" s="51" cm="1">
        <f t="array" aca="1" ref="G55" ca="1">IF(ISNUMBER(_xll.VoseSimPercentile(Vote_EDP,$B55)),_xll.VoseSimPercentile(Vote_EDP,$B55),NA())</f>
        <v>0.24999082213106313</v>
      </c>
      <c r="H55" s="51" cm="1">
        <f t="array" aca="1" ref="H55" ca="1">IF(ISNUMBER(_xll.VoseSimPercentile(Margin,$B55)),_xll.VoseSimPercentile(Margin,$B55),NA())</f>
        <v>3.3900373663777517E-2</v>
      </c>
      <c r="I55" s="51">
        <f>0</f>
        <v>0</v>
      </c>
    </row>
    <row r="56" spans="2:9" hidden="1" outlineLevel="1" x14ac:dyDescent="0.45">
      <c r="B56" s="50">
        <v>0.09</v>
      </c>
      <c r="C56" s="50">
        <f t="shared" si="0"/>
        <v>0.91</v>
      </c>
      <c r="D56" s="51" cm="1">
        <f t="array" aca="1" ref="D56" ca="1">IF(ISNUMBER(_xll.VoseSimPercentile(Vote_SDP,$B56)),_xll.VoseSimPercentile(Vote_SDP,$B56),NA())</f>
        <v>0.25009978727294063</v>
      </c>
      <c r="E56" s="51" cm="1">
        <f t="array" aca="1" ref="E56" ca="1">IF(ISNUMBER(_xll.VoseSimPercentile(Vote_SMP,$B56)),_xll.VoseSimPercentile(Vote_SMP,$B56),NA())</f>
        <v>0.27065625396280152</v>
      </c>
      <c r="F56" s="51" cm="1">
        <f t="array" aca="1" ref="F56" ca="1">IF(ISNUMBER(_xll.VoseSimPercentile(Vote_PSM,$B56)),_xll.VoseSimPercentile(Vote_PSM,$B56),NA())</f>
        <v>0.15281394706103013</v>
      </c>
      <c r="G56" s="51" cm="1">
        <f t="array" aca="1" ref="G56" ca="1">IF(ISNUMBER(_xll.VoseSimPercentile(Vote_EDP,$B56)),_xll.VoseSimPercentile(Vote_EDP,$B56),NA())</f>
        <v>0.25187478419703124</v>
      </c>
      <c r="H56" s="51" cm="1">
        <f t="array" aca="1" ref="H56" ca="1">IF(ISNUMBER(_xll.VoseSimPercentile(Margin,$B56)),_xll.VoseSimPercentile(Margin,$B56),NA())</f>
        <v>3.8456183349994899E-2</v>
      </c>
      <c r="I56" s="51">
        <f>0</f>
        <v>0</v>
      </c>
    </row>
    <row r="57" spans="2:9" hidden="1" outlineLevel="1" x14ac:dyDescent="0.45">
      <c r="B57" s="50">
        <v>0.11</v>
      </c>
      <c r="C57" s="50">
        <f t="shared" si="0"/>
        <v>0.89</v>
      </c>
      <c r="D57" s="51" cm="1">
        <f t="array" aca="1" ref="D57" ca="1">IF(ISNUMBER(_xll.VoseSimPercentile(Vote_SDP,$B57)),_xll.VoseSimPercentile(Vote_SDP,$B57),NA())</f>
        <v>0.25192246908031202</v>
      </c>
      <c r="E57" s="51" cm="1">
        <f t="array" aca="1" ref="E57" ca="1">IF(ISNUMBER(_xll.VoseSimPercentile(Vote_SMP,$B57)),_xll.VoseSimPercentile(Vote_SMP,$B57),NA())</f>
        <v>0.27223570563078819</v>
      </c>
      <c r="F57" s="51" cm="1">
        <f t="array" aca="1" ref="F57" ca="1">IF(ISNUMBER(_xll.VoseSimPercentile(Vote_PSM,$B57)),_xll.VoseSimPercentile(Vote_PSM,$B57),NA())</f>
        <v>0.15417871653710394</v>
      </c>
      <c r="G57" s="51" cm="1">
        <f t="array" aca="1" ref="G57" ca="1">IF(ISNUMBER(_xll.VoseSimPercentile(Vote_EDP,$B57)),_xll.VoseSimPercentile(Vote_EDP,$B57),NA())</f>
        <v>0.25372689311223118</v>
      </c>
      <c r="H57" s="51" cm="1">
        <f t="array" aca="1" ref="H57" ca="1">IF(ISNUMBER(_xll.VoseSimPercentile(Margin,$B57)),_xll.VoseSimPercentile(Margin,$B57),NA())</f>
        <v>4.2088093674295834E-2</v>
      </c>
      <c r="I57" s="51">
        <f>0</f>
        <v>0</v>
      </c>
    </row>
    <row r="58" spans="2:9" hidden="1" outlineLevel="1" x14ac:dyDescent="0.45">
      <c r="B58" s="50">
        <v>0.13</v>
      </c>
      <c r="C58" s="50">
        <f t="shared" si="0"/>
        <v>0.87</v>
      </c>
      <c r="D58" s="51" cm="1">
        <f t="array" aca="1" ref="D58" ca="1">IF(ISNUMBER(_xll.VoseSimPercentile(Vote_SDP,$B58)),_xll.VoseSimPercentile(Vote_SDP,$B58),NA())</f>
        <v>0.25325924540020289</v>
      </c>
      <c r="E58" s="51" cm="1">
        <f t="array" aca="1" ref="E58" ca="1">IF(ISNUMBER(_xll.VoseSimPercentile(Vote_SMP,$B58)),_xll.VoseSimPercentile(Vote_SMP,$B58),NA())</f>
        <v>0.27364645835326884</v>
      </c>
      <c r="F58" s="51" cm="1">
        <f t="array" aca="1" ref="F58" ca="1">IF(ISNUMBER(_xll.VoseSimPercentile(Vote_PSM,$B58)),_xll.VoseSimPercentile(Vote_PSM,$B58),NA())</f>
        <v>0.15525775393796148</v>
      </c>
      <c r="G58" s="51" cm="1">
        <f t="array" aca="1" ref="G58" ca="1">IF(ISNUMBER(_xll.VoseSimPercentile(Vote_EDP,$B58)),_xll.VoseSimPercentile(Vote_EDP,$B58),NA())</f>
        <v>0.25517973334274252</v>
      </c>
      <c r="H58" s="51" cm="1">
        <f t="array" aca="1" ref="H58" ca="1">IF(ISNUMBER(_xll.VoseSimPercentile(Margin,$B58)),_xll.VoseSimPercentile(Margin,$B58),NA())</f>
        <v>4.5094758499652832E-2</v>
      </c>
      <c r="I58" s="51">
        <f>0</f>
        <v>0</v>
      </c>
    </row>
    <row r="59" spans="2:9" hidden="1" outlineLevel="1" x14ac:dyDescent="0.45">
      <c r="B59" s="50">
        <v>0.15</v>
      </c>
      <c r="C59" s="50">
        <f t="shared" si="0"/>
        <v>0.85</v>
      </c>
      <c r="D59" s="51" cm="1">
        <f t="array" aca="1" ref="D59" ca="1">IF(ISNUMBER(_xll.VoseSimPercentile(Vote_SDP,$B59)),_xll.VoseSimPercentile(Vote_SDP,$B59),NA())</f>
        <v>0.25453945254498417</v>
      </c>
      <c r="E59" s="51" cm="1">
        <f t="array" aca="1" ref="E59" ca="1">IF(ISNUMBER(_xll.VoseSimPercentile(Vote_SMP,$B59)),_xll.VoseSimPercentile(Vote_SMP,$B59),NA())</f>
        <v>0.27492536733874551</v>
      </c>
      <c r="F59" s="51" cm="1">
        <f t="array" aca="1" ref="F59" ca="1">IF(ISNUMBER(_xll.VoseSimPercentile(Vote_PSM,$B59)),_xll.VoseSimPercentile(Vote_PSM,$B59),NA())</f>
        <v>0.15631498495989288</v>
      </c>
      <c r="G59" s="51" cm="1">
        <f t="array" aca="1" ref="G59" ca="1">IF(ISNUMBER(_xll.VoseSimPercentile(Vote_EDP,$B59)),_xll.VoseSimPercentile(Vote_EDP,$B59),NA())</f>
        <v>0.25648354920773042</v>
      </c>
      <c r="H59" s="51" cm="1">
        <f t="array" aca="1" ref="H59" ca="1">IF(ISNUMBER(_xll.VoseSimPercentile(Margin,$B59)),_xll.VoseSimPercentile(Margin,$B59),NA())</f>
        <v>4.8065026249697884E-2</v>
      </c>
      <c r="I59" s="51">
        <f>0</f>
        <v>0</v>
      </c>
    </row>
    <row r="60" spans="2:9" hidden="1" outlineLevel="1" x14ac:dyDescent="0.45">
      <c r="B60" s="50">
        <v>0.17</v>
      </c>
      <c r="C60" s="50">
        <f t="shared" si="0"/>
        <v>0.83</v>
      </c>
      <c r="D60" s="51" cm="1">
        <f t="array" aca="1" ref="D60" ca="1">IF(ISNUMBER(_xll.VoseSimPercentile(Vote_SDP,$B60)),_xll.VoseSimPercentile(Vote_SDP,$B60),NA())</f>
        <v>0.25570556257556548</v>
      </c>
      <c r="E60" s="51" cm="1">
        <f t="array" aca="1" ref="E60" ca="1">IF(ISNUMBER(_xll.VoseSimPercentile(Vote_SMP,$B60)),_xll.VoseSimPercentile(Vote_SMP,$B60),NA())</f>
        <v>0.27612019571511931</v>
      </c>
      <c r="F60" s="51" cm="1">
        <f t="array" aca="1" ref="F60" ca="1">IF(ISNUMBER(_xll.VoseSimPercentile(Vote_PSM,$B60)),_xll.VoseSimPercentile(Vote_PSM,$B60),NA())</f>
        <v>0.15718444611954399</v>
      </c>
      <c r="G60" s="51" cm="1">
        <f t="array" aca="1" ref="G60" ca="1">IF(ISNUMBER(_xll.VoseSimPercentile(Vote_EDP,$B60)),_xll.VoseSimPercentile(Vote_EDP,$B60),NA())</f>
        <v>0.25775362576123018</v>
      </c>
      <c r="H60" s="51" cm="1">
        <f t="array" aca="1" ref="H60" ca="1">IF(ISNUMBER(_xll.VoseSimPercentile(Margin,$B60)),_xll.VoseSimPercentile(Margin,$B60),NA())</f>
        <v>5.1102614465889262E-2</v>
      </c>
      <c r="I60" s="51">
        <f>0</f>
        <v>0</v>
      </c>
    </row>
    <row r="61" spans="2:9" hidden="1" outlineLevel="1" x14ac:dyDescent="0.45">
      <c r="B61" s="50">
        <v>0.19</v>
      </c>
      <c r="C61" s="50">
        <f t="shared" si="0"/>
        <v>0.81</v>
      </c>
      <c r="D61" s="51" cm="1">
        <f t="array" aca="1" ref="D61" ca="1">IF(ISNUMBER(_xll.VoseSimPercentile(Vote_SDP,$B61)),_xll.VoseSimPercentile(Vote_SDP,$B61),NA())</f>
        <v>0.25672213753289291</v>
      </c>
      <c r="E61" s="51" cm="1">
        <f t="array" aca="1" ref="E61" ca="1">IF(ISNUMBER(_xll.VoseSimPercentile(Vote_SMP,$B61)),_xll.VoseSimPercentile(Vote_SMP,$B61),NA())</f>
        <v>0.27728505294595823</v>
      </c>
      <c r="F61" s="51" cm="1">
        <f t="array" aca="1" ref="F61" ca="1">IF(ISNUMBER(_xll.VoseSimPercentile(Vote_PSM,$B61)),_xll.VoseSimPercentile(Vote_PSM,$B61),NA())</f>
        <v>0.15817052396556738</v>
      </c>
      <c r="G61" s="51" cm="1">
        <f t="array" aca="1" ref="G61" ca="1">IF(ISNUMBER(_xll.VoseSimPercentile(Vote_EDP,$B61)),_xll.VoseSimPercentile(Vote_EDP,$B61),NA())</f>
        <v>0.25883654776047793</v>
      </c>
      <c r="H61" s="51" cm="1">
        <f t="array" aca="1" ref="H61" ca="1">IF(ISNUMBER(_xll.VoseSimPercentile(Margin,$B61)),_xll.VoseSimPercentile(Margin,$B61),NA())</f>
        <v>5.3597952883545852E-2</v>
      </c>
      <c r="I61" s="51">
        <f>0</f>
        <v>0</v>
      </c>
    </row>
    <row r="62" spans="2:9" hidden="1" outlineLevel="1" x14ac:dyDescent="0.45">
      <c r="B62" s="50">
        <v>0.21</v>
      </c>
      <c r="C62" s="50">
        <f t="shared" si="0"/>
        <v>0.79</v>
      </c>
      <c r="D62" s="51" cm="1">
        <f t="array" aca="1" ref="D62" ca="1">IF(ISNUMBER(_xll.VoseSimPercentile(Vote_SDP,$B62)),_xll.VoseSimPercentile(Vote_SDP,$B62),NA())</f>
        <v>0.25770875144141431</v>
      </c>
      <c r="E62" s="51" cm="1">
        <f t="array" aca="1" ref="E62" ca="1">IF(ISNUMBER(_xll.VoseSimPercentile(Vote_SMP,$B62)),_xll.VoseSimPercentile(Vote_SMP,$B62),NA())</f>
        <v>0.27830501826439802</v>
      </c>
      <c r="F62" s="51" cm="1">
        <f t="array" aca="1" ref="F62" ca="1">IF(ISNUMBER(_xll.VoseSimPercentile(Vote_PSM,$B62)),_xll.VoseSimPercentile(Vote_PSM,$B62),NA())</f>
        <v>0.15903795878309357</v>
      </c>
      <c r="G62" s="51" cm="1">
        <f t="array" aca="1" ref="G62" ca="1">IF(ISNUMBER(_xll.VoseSimPercentile(Vote_EDP,$B62)),_xll.VoseSimPercentile(Vote_EDP,$B62),NA())</f>
        <v>0.2598310684211374</v>
      </c>
      <c r="H62" s="51" cm="1">
        <f t="array" aca="1" ref="H62" ca="1">IF(ISNUMBER(_xll.VoseSimPercentile(Margin,$B62)),_xll.VoseSimPercentile(Margin,$B62),NA())</f>
        <v>5.5976386140656698E-2</v>
      </c>
      <c r="I62" s="51">
        <f>0</f>
        <v>0</v>
      </c>
    </row>
    <row r="63" spans="2:9" hidden="1" outlineLevel="1" x14ac:dyDescent="0.45">
      <c r="B63" s="50">
        <v>0.23</v>
      </c>
      <c r="C63" s="50">
        <f t="shared" si="0"/>
        <v>0.77</v>
      </c>
      <c r="D63" s="51" cm="1">
        <f t="array" aca="1" ref="D63" ca="1">IF(ISNUMBER(_xll.VoseSimPercentile(Vote_SDP,$B63)),_xll.VoseSimPercentile(Vote_SDP,$B63),NA())</f>
        <v>0.25873512070128624</v>
      </c>
      <c r="E63" s="51" cm="1">
        <f t="array" aca="1" ref="E63" ca="1">IF(ISNUMBER(_xll.VoseSimPercentile(Vote_SMP,$B63)),_xll.VoseSimPercentile(Vote_SMP,$B63),NA())</f>
        <v>0.27922280504773739</v>
      </c>
      <c r="F63" s="51" cm="1">
        <f t="array" aca="1" ref="F63" ca="1">IF(ISNUMBER(_xll.VoseSimPercentile(Vote_PSM,$B63)),_xll.VoseSimPercentile(Vote_PSM,$B63),NA())</f>
        <v>0.15983018637477941</v>
      </c>
      <c r="G63" s="51" cm="1">
        <f t="array" aca="1" ref="G63" ca="1">IF(ISNUMBER(_xll.VoseSimPercentile(Vote_EDP,$B63)),_xll.VoseSimPercentile(Vote_EDP,$B63),NA())</f>
        <v>0.26084372232299069</v>
      </c>
      <c r="H63" s="51" cm="1">
        <f t="array" aca="1" ref="H63" ca="1">IF(ISNUMBER(_xll.VoseSimPercentile(Margin,$B63)),_xll.VoseSimPercentile(Margin,$B63),NA())</f>
        <v>5.8236987532082729E-2</v>
      </c>
      <c r="I63" s="51">
        <f>0</f>
        <v>0</v>
      </c>
    </row>
    <row r="64" spans="2:9" hidden="1" outlineLevel="1" x14ac:dyDescent="0.45">
      <c r="B64" s="50">
        <v>0.25</v>
      </c>
      <c r="C64" s="50">
        <f t="shared" si="0"/>
        <v>0.75</v>
      </c>
      <c r="D64" s="51" cm="1">
        <f t="array" aca="1" ref="D64" ca="1">IF(ISNUMBER(_xll.VoseSimPercentile(Vote_SDP,$B64)),_xll.VoseSimPercentile(Vote_SDP,$B64),NA())</f>
        <v>0.25965364307760991</v>
      </c>
      <c r="E64" s="51" cm="1">
        <f t="array" aca="1" ref="E64" ca="1">IF(ISNUMBER(_xll.VoseSimPercentile(Vote_SMP,$B64)),_xll.VoseSimPercentile(Vote_SMP,$B64),NA())</f>
        <v>0.28025778448950511</v>
      </c>
      <c r="F64" s="51" cm="1">
        <f t="array" aca="1" ref="F64" ca="1">IF(ISNUMBER(_xll.VoseSimPercentile(Vote_PSM,$B64)),_xll.VoseSimPercentile(Vote_PSM,$B64),NA())</f>
        <v>0.16059781610822393</v>
      </c>
      <c r="G64" s="51" cm="1">
        <f t="array" aca="1" ref="G64" ca="1">IF(ISNUMBER(_xll.VoseSimPercentile(Vote_EDP,$B64)),_xll.VoseSimPercentile(Vote_EDP,$B64),NA())</f>
        <v>0.26182685850026938</v>
      </c>
      <c r="H64" s="51" cm="1">
        <f t="array" aca="1" ref="H64" ca="1">IF(ISNUMBER(_xll.VoseSimPercentile(Margin,$B64)),_xll.VoseSimPercentile(Margin,$B64),NA())</f>
        <v>6.0307442821052881E-2</v>
      </c>
      <c r="I64" s="51">
        <f>0</f>
        <v>0</v>
      </c>
    </row>
    <row r="65" spans="2:9" hidden="1" outlineLevel="1" x14ac:dyDescent="0.45">
      <c r="B65" s="50">
        <v>0.27</v>
      </c>
      <c r="C65" s="50">
        <f t="shared" si="0"/>
        <v>0.73</v>
      </c>
      <c r="D65" s="51" cm="1">
        <f t="array" aca="1" ref="D65" ca="1">IF(ISNUMBER(_xll.VoseSimPercentile(Vote_SDP,$B65)),_xll.VoseSimPercentile(Vote_SDP,$B65),NA())</f>
        <v>0.26048829808004703</v>
      </c>
      <c r="E65" s="51" cm="1">
        <f t="array" aca="1" ref="E65" ca="1">IF(ISNUMBER(_xll.VoseSimPercentile(Vote_SMP,$B65)),_xll.VoseSimPercentile(Vote_SMP,$B65),NA())</f>
        <v>0.28120506249053212</v>
      </c>
      <c r="F65" s="51" cm="1">
        <f t="array" aca="1" ref="F65" ca="1">IF(ISNUMBER(_xll.VoseSimPercentile(Vote_PSM,$B65)),_xll.VoseSimPercentile(Vote_PSM,$B65),NA())</f>
        <v>0.16131628640017276</v>
      </c>
      <c r="G65" s="51" cm="1">
        <f t="array" aca="1" ref="G65" ca="1">IF(ISNUMBER(_xll.VoseSimPercentile(Vote_EDP,$B65)),_xll.VoseSimPercentile(Vote_EDP,$B65),NA())</f>
        <v>0.26262426380635928</v>
      </c>
      <c r="H65" s="51" cm="1">
        <f t="array" aca="1" ref="H65" ca="1">IF(ISNUMBER(_xll.VoseSimPercentile(Margin,$B65)),_xll.VoseSimPercentile(Margin,$B65),NA())</f>
        <v>6.2220332982694249E-2</v>
      </c>
      <c r="I65" s="51">
        <f>0</f>
        <v>0</v>
      </c>
    </row>
    <row r="66" spans="2:9" hidden="1" outlineLevel="1" x14ac:dyDescent="0.45">
      <c r="B66" s="50">
        <v>0.28999999999999998</v>
      </c>
      <c r="C66" s="50">
        <f t="shared" si="0"/>
        <v>0.71</v>
      </c>
      <c r="D66" s="51" cm="1">
        <f t="array" aca="1" ref="D66" ca="1">IF(ISNUMBER(_xll.VoseSimPercentile(Vote_SDP,$B66)),_xll.VoseSimPercentile(Vote_SDP,$B66),NA())</f>
        <v>0.26126084837277785</v>
      </c>
      <c r="E66" s="51" cm="1">
        <f t="array" aca="1" ref="E66" ca="1">IF(ISNUMBER(_xll.VoseSimPercentile(Vote_SMP,$B66)),_xll.VoseSimPercentile(Vote_SMP,$B66),NA())</f>
        <v>0.2820060950734532</v>
      </c>
      <c r="F66" s="51" cm="1">
        <f t="array" aca="1" ref="F66" ca="1">IF(ISNUMBER(_xll.VoseSimPercentile(Vote_PSM,$B66)),_xll.VoseSimPercentile(Vote_PSM,$B66),NA())</f>
        <v>0.16204284291022153</v>
      </c>
      <c r="G66" s="51" cm="1">
        <f t="array" aca="1" ref="G66" ca="1">IF(ISNUMBER(_xll.VoseSimPercentile(Vote_EDP,$B66)),_xll.VoseSimPercentile(Vote_EDP,$B66),NA())</f>
        <v>0.26345835532942891</v>
      </c>
      <c r="H66" s="51" cm="1">
        <f t="array" aca="1" ref="H66" ca="1">IF(ISNUMBER(_xll.VoseSimPercentile(Margin,$B66)),_xll.VoseSimPercentile(Margin,$B66),NA())</f>
        <v>6.4250394298350832E-2</v>
      </c>
      <c r="I66" s="51">
        <f>0</f>
        <v>0</v>
      </c>
    </row>
    <row r="67" spans="2:9" hidden="1" outlineLevel="1" x14ac:dyDescent="0.45">
      <c r="B67" s="50">
        <v>0.31</v>
      </c>
      <c r="C67" s="50">
        <f t="shared" si="0"/>
        <v>0.69</v>
      </c>
      <c r="D67" s="51" cm="1">
        <f t="array" aca="1" ref="D67" ca="1">IF(ISNUMBER(_xll.VoseSimPercentile(Vote_SDP,$B67)),_xll.VoseSimPercentile(Vote_SDP,$B67),NA())</f>
        <v>0.26213600279769361</v>
      </c>
      <c r="E67" s="51" cm="1">
        <f t="array" aca="1" ref="E67" ca="1">IF(ISNUMBER(_xll.VoseSimPercentile(Vote_SMP,$B67)),_xll.VoseSimPercentile(Vote_SMP,$B67),NA())</f>
        <v>0.28281590904691645</v>
      </c>
      <c r="F67" s="51" cm="1">
        <f t="array" aca="1" ref="F67" ca="1">IF(ISNUMBER(_xll.VoseSimPercentile(Vote_PSM,$B67)),_xll.VoseSimPercentile(Vote_PSM,$B67),NA())</f>
        <v>0.16270894912246861</v>
      </c>
      <c r="G67" s="51" cm="1">
        <f t="array" aca="1" ref="G67" ca="1">IF(ISNUMBER(_xll.VoseSimPercentile(Vote_EDP,$B67)),_xll.VoseSimPercentile(Vote_EDP,$B67),NA())</f>
        <v>0.264235797393647</v>
      </c>
      <c r="H67" s="51" cm="1">
        <f t="array" aca="1" ref="H67" ca="1">IF(ISNUMBER(_xll.VoseSimPercentile(Margin,$B67)),_xll.VoseSimPercentile(Margin,$B67),NA())</f>
        <v>6.6148237730617954E-2</v>
      </c>
      <c r="I67" s="51">
        <f>0</f>
        <v>0</v>
      </c>
    </row>
    <row r="68" spans="2:9" hidden="1" outlineLevel="1" x14ac:dyDescent="0.45">
      <c r="B68" s="50">
        <v>0.33</v>
      </c>
      <c r="C68" s="50">
        <f t="shared" si="0"/>
        <v>0.66999999999999993</v>
      </c>
      <c r="D68" s="51" cm="1">
        <f t="array" aca="1" ref="D68" ca="1">IF(ISNUMBER(_xll.VoseSimPercentile(Vote_SDP,$B68)),_xll.VoseSimPercentile(Vote_SDP,$B68),NA())</f>
        <v>0.26298246418190563</v>
      </c>
      <c r="E68" s="51" cm="1">
        <f t="array" aca="1" ref="E68" ca="1">IF(ISNUMBER(_xll.VoseSimPercentile(Vote_SMP,$B68)),_xll.VoseSimPercentile(Vote_SMP,$B68),NA())</f>
        <v>0.2836200380747772</v>
      </c>
      <c r="F68" s="51" cm="1">
        <f t="array" aca="1" ref="F68" ca="1">IF(ISNUMBER(_xll.VoseSimPercentile(Vote_PSM,$B68)),_xll.VoseSimPercentile(Vote_PSM,$B68),NA())</f>
        <v>0.16333968800547968</v>
      </c>
      <c r="G68" s="51" cm="1">
        <f t="array" aca="1" ref="G68" ca="1">IF(ISNUMBER(_xll.VoseSimPercentile(Vote_EDP,$B68)),_xll.VoseSimPercentile(Vote_EDP,$B68),NA())</f>
        <v>0.26511192966615893</v>
      </c>
      <c r="H68" s="51" cm="1">
        <f t="array" aca="1" ref="H68" ca="1">IF(ISNUMBER(_xll.VoseSimPercentile(Margin,$B68)),_xll.VoseSimPercentile(Margin,$B68),NA())</f>
        <v>6.8017553859898439E-2</v>
      </c>
      <c r="I68" s="51">
        <f>0</f>
        <v>0</v>
      </c>
    </row>
    <row r="69" spans="2:9" hidden="1" outlineLevel="1" x14ac:dyDescent="0.45">
      <c r="B69" s="50">
        <v>0.35</v>
      </c>
      <c r="C69" s="50">
        <f t="shared" si="0"/>
        <v>0.65</v>
      </c>
      <c r="D69" s="51" cm="1">
        <f t="array" aca="1" ref="D69" ca="1">IF(ISNUMBER(_xll.VoseSimPercentile(Vote_SDP,$B69)),_xll.VoseSimPercentile(Vote_SDP,$B69),NA())</f>
        <v>0.26373490481402645</v>
      </c>
      <c r="E69" s="51" cm="1">
        <f t="array" aca="1" ref="E69" ca="1">IF(ISNUMBER(_xll.VoseSimPercentile(Vote_SMP,$B69)),_xll.VoseSimPercentile(Vote_SMP,$B69),NA())</f>
        <v>0.28440001750690158</v>
      </c>
      <c r="F69" s="51" cm="1">
        <f t="array" aca="1" ref="F69" ca="1">IF(ISNUMBER(_xll.VoseSimPercentile(Vote_PSM,$B69)),_xll.VoseSimPercentile(Vote_PSM,$B69),NA())</f>
        <v>0.16404698280015237</v>
      </c>
      <c r="G69" s="51" cm="1">
        <f t="array" aca="1" ref="G69" ca="1">IF(ISNUMBER(_xll.VoseSimPercentile(Vote_EDP,$B69)),_xll.VoseSimPercentile(Vote_EDP,$B69),NA())</f>
        <v>0.26587720970863554</v>
      </c>
      <c r="H69" s="51" cm="1">
        <f t="array" aca="1" ref="H69" ca="1">IF(ISNUMBER(_xll.VoseSimPercentile(Margin,$B69)),_xll.VoseSimPercentile(Margin,$B69),NA())</f>
        <v>6.9553036540424551E-2</v>
      </c>
      <c r="I69" s="51">
        <f>0</f>
        <v>0</v>
      </c>
    </row>
    <row r="70" spans="2:9" hidden="1" outlineLevel="1" x14ac:dyDescent="0.45">
      <c r="B70" s="50">
        <v>0.37</v>
      </c>
      <c r="C70" s="50">
        <f t="shared" si="0"/>
        <v>0.63</v>
      </c>
      <c r="D70" s="51" cm="1">
        <f t="array" aca="1" ref="D70" ca="1">IF(ISNUMBER(_xll.VoseSimPercentile(Vote_SDP,$B70)),_xll.VoseSimPercentile(Vote_SDP,$B70),NA())</f>
        <v>0.26457701563851665</v>
      </c>
      <c r="E70" s="51" cm="1">
        <f t="array" aca="1" ref="E70" ca="1">IF(ISNUMBER(_xll.VoseSimPercentile(Vote_SMP,$B70)),_xll.VoseSimPercentile(Vote_SMP,$B70),NA())</f>
        <v>0.28515498224977409</v>
      </c>
      <c r="F70" s="51" cm="1">
        <f t="array" aca="1" ref="F70" ca="1">IF(ISNUMBER(_xll.VoseSimPercentile(Vote_PSM,$B70)),_xll.VoseSimPercentile(Vote_PSM,$B70),NA())</f>
        <v>0.16468293071840187</v>
      </c>
      <c r="G70" s="51" cm="1">
        <f t="array" aca="1" ref="G70" ca="1">IF(ISNUMBER(_xll.VoseSimPercentile(Vote_EDP,$B70)),_xll.VoseSimPercentile(Vote_EDP,$B70),NA())</f>
        <v>0.26671367139451807</v>
      </c>
      <c r="H70" s="51" cm="1">
        <f t="array" aca="1" ref="H70" ca="1">IF(ISNUMBER(_xll.VoseSimPercentile(Margin,$B70)),_xll.VoseSimPercentile(Margin,$B70),NA())</f>
        <v>7.1240735271261291E-2</v>
      </c>
      <c r="I70" s="51">
        <f>0</f>
        <v>0</v>
      </c>
    </row>
    <row r="71" spans="2:9" hidden="1" outlineLevel="1" x14ac:dyDescent="0.45">
      <c r="B71" s="50">
        <v>0.39</v>
      </c>
      <c r="C71" s="50">
        <f t="shared" si="0"/>
        <v>0.61</v>
      </c>
      <c r="D71" s="51" cm="1">
        <f t="array" aca="1" ref="D71" ca="1">IF(ISNUMBER(_xll.VoseSimPercentile(Vote_SDP,$B71)),_xll.VoseSimPercentile(Vote_SDP,$B71),NA())</f>
        <v>0.26530584789475303</v>
      </c>
      <c r="E71" s="51" cm="1">
        <f t="array" aca="1" ref="E71" ca="1">IF(ISNUMBER(_xll.VoseSimPercentile(Vote_SMP,$B71)),_xll.VoseSimPercentile(Vote_SMP,$B71),NA())</f>
        <v>0.28592575591494623</v>
      </c>
      <c r="F71" s="51" cm="1">
        <f t="array" aca="1" ref="F71" ca="1">IF(ISNUMBER(_xll.VoseSimPercentile(Vote_PSM,$B71)),_xll.VoseSimPercentile(Vote_PSM,$B71),NA())</f>
        <v>0.16524655333384461</v>
      </c>
      <c r="G71" s="51" cm="1">
        <f t="array" aca="1" ref="G71" ca="1">IF(ISNUMBER(_xll.VoseSimPercentile(Vote_EDP,$B71)),_xll.VoseSimPercentile(Vote_EDP,$B71),NA())</f>
        <v>0.26740577932140341</v>
      </c>
      <c r="H71" s="51" cm="1">
        <f t="array" aca="1" ref="H71" ca="1">IF(ISNUMBER(_xll.VoseSimPercentile(Margin,$B71)),_xll.VoseSimPercentile(Margin,$B71),NA())</f>
        <v>7.2770099968169466E-2</v>
      </c>
      <c r="I71" s="51">
        <f>0</f>
        <v>0</v>
      </c>
    </row>
    <row r="72" spans="2:9" hidden="1" outlineLevel="1" x14ac:dyDescent="0.45">
      <c r="B72" s="50">
        <v>0.41</v>
      </c>
      <c r="C72" s="50">
        <f t="shared" si="0"/>
        <v>0.59000000000000008</v>
      </c>
      <c r="D72" s="51" cm="1">
        <f t="array" aca="1" ref="D72" ca="1">IF(ISNUMBER(_xll.VoseSimPercentile(Vote_SDP,$B72)),_xll.VoseSimPercentile(Vote_SDP,$B72),NA())</f>
        <v>0.26602367876730565</v>
      </c>
      <c r="E72" s="51" cm="1">
        <f t="array" aca="1" ref="E72" ca="1">IF(ISNUMBER(_xll.VoseSimPercentile(Vote_SMP,$B72)),_xll.VoseSimPercentile(Vote_SMP,$B72),NA())</f>
        <v>0.28662704707476389</v>
      </c>
      <c r="F72" s="51" cm="1">
        <f t="array" aca="1" ref="F72" ca="1">IF(ISNUMBER(_xll.VoseSimPercentile(Vote_PSM,$B72)),_xll.VoseSimPercentile(Vote_PSM,$B72),NA())</f>
        <v>0.16592189994132481</v>
      </c>
      <c r="G72" s="51" cm="1">
        <f t="array" aca="1" ref="G72" ca="1">IF(ISNUMBER(_xll.VoseSimPercentile(Vote_EDP,$B72)),_xll.VoseSimPercentile(Vote_EDP,$B72),NA())</f>
        <v>0.26810557114773903</v>
      </c>
      <c r="H72" s="51" cm="1">
        <f t="array" aca="1" ref="H72" ca="1">IF(ISNUMBER(_xll.VoseSimPercentile(Margin,$B72)),_xll.VoseSimPercentile(Margin,$B72),NA())</f>
        <v>7.4371437446128508E-2</v>
      </c>
      <c r="I72" s="51">
        <f>0</f>
        <v>0</v>
      </c>
    </row>
    <row r="73" spans="2:9" hidden="1" outlineLevel="1" x14ac:dyDescent="0.45">
      <c r="B73" s="50">
        <v>0.43</v>
      </c>
      <c r="C73" s="50">
        <f t="shared" si="0"/>
        <v>0.57000000000000006</v>
      </c>
      <c r="D73" s="51" cm="1">
        <f t="array" aca="1" ref="D73" ca="1">IF(ISNUMBER(_xll.VoseSimPercentile(Vote_SDP,$B73)),_xll.VoseSimPercentile(Vote_SDP,$B73),NA())</f>
        <v>0.26670122077117281</v>
      </c>
      <c r="E73" s="51" cm="1">
        <f t="array" aca="1" ref="E73" ca="1">IF(ISNUMBER(_xll.VoseSimPercentile(Vote_SMP,$B73)),_xll.VoseSimPercentile(Vote_SMP,$B73),NA())</f>
        <v>0.28741027129923902</v>
      </c>
      <c r="F73" s="51" cm="1">
        <f t="array" aca="1" ref="F73" ca="1">IF(ISNUMBER(_xll.VoseSimPercentile(Vote_PSM,$B73)),_xll.VoseSimPercentile(Vote_PSM,$B73),NA())</f>
        <v>0.16650361313314554</v>
      </c>
      <c r="G73" s="51" cm="1">
        <f t="array" aca="1" ref="G73" ca="1">IF(ISNUMBER(_xll.VoseSimPercentile(Vote_EDP,$B73)),_xll.VoseSimPercentile(Vote_EDP,$B73),NA())</f>
        <v>0.26894524804421155</v>
      </c>
      <c r="H73" s="51" cm="1">
        <f t="array" aca="1" ref="H73" ca="1">IF(ISNUMBER(_xll.VoseSimPercentile(Margin,$B73)),_xll.VoseSimPercentile(Margin,$B73),NA())</f>
        <v>7.6101097851930088E-2</v>
      </c>
      <c r="I73" s="51">
        <f>0</f>
        <v>0</v>
      </c>
    </row>
    <row r="74" spans="2:9" hidden="1" outlineLevel="1" x14ac:dyDescent="0.45">
      <c r="B74" s="50">
        <v>0.45</v>
      </c>
      <c r="C74" s="50">
        <f t="shared" si="0"/>
        <v>0.55000000000000004</v>
      </c>
      <c r="D74" s="51" cm="1">
        <f t="array" aca="1" ref="D74" ca="1">IF(ISNUMBER(_xll.VoseSimPercentile(Vote_SDP,$B74)),_xll.VoseSimPercentile(Vote_SDP,$B74),NA())</f>
        <v>0.26740266204753949</v>
      </c>
      <c r="E74" s="51" cm="1">
        <f t="array" aca="1" ref="E74" ca="1">IF(ISNUMBER(_xll.VoseSimPercentile(Vote_SMP,$B74)),_xll.VoseSimPercentile(Vote_SMP,$B74),NA())</f>
        <v>0.28815783089732877</v>
      </c>
      <c r="F74" s="51" cm="1">
        <f t="array" aca="1" ref="F74" ca="1">IF(ISNUMBER(_xll.VoseSimPercentile(Vote_PSM,$B74)),_xll.VoseSimPercentile(Vote_PSM,$B74),NA())</f>
        <v>0.16707941481603292</v>
      </c>
      <c r="G74" s="51" cm="1">
        <f t="array" aca="1" ref="G74" ca="1">IF(ISNUMBER(_xll.VoseSimPercentile(Vote_EDP,$B74)),_xll.VoseSimPercentile(Vote_EDP,$B74),NA())</f>
        <v>0.26963744810013091</v>
      </c>
      <c r="H74" s="51" cm="1">
        <f t="array" aca="1" ref="H74" ca="1">IF(ISNUMBER(_xll.VoseSimPercentile(Margin,$B74)),_xll.VoseSimPercentile(Margin,$B74),NA())</f>
        <v>7.7686190192699345E-2</v>
      </c>
      <c r="I74" s="51">
        <f>0</f>
        <v>0</v>
      </c>
    </row>
    <row r="75" spans="2:9" hidden="1" outlineLevel="1" x14ac:dyDescent="0.45">
      <c r="B75" s="50">
        <v>0.47</v>
      </c>
      <c r="C75" s="50">
        <f t="shared" si="0"/>
        <v>0.53</v>
      </c>
      <c r="D75" s="51" cm="1">
        <f t="array" aca="1" ref="D75" ca="1">IF(ISNUMBER(_xll.VoseSimPercentile(Vote_SDP,$B75)),_xll.VoseSimPercentile(Vote_SDP,$B75),NA())</f>
        <v>0.26815366711371186</v>
      </c>
      <c r="E75" s="51" cm="1">
        <f t="array" aca="1" ref="E75" ca="1">IF(ISNUMBER(_xll.VoseSimPercentile(Vote_SMP,$B75)),_xll.VoseSimPercentile(Vote_SMP,$B75),NA())</f>
        <v>0.28893333925223652</v>
      </c>
      <c r="F75" s="51" cm="1">
        <f t="array" aca="1" ref="F75" ca="1">IF(ISNUMBER(_xll.VoseSimPercentile(Vote_PSM,$B75)),_xll.VoseSimPercentile(Vote_PSM,$B75),NA())</f>
        <v>0.16770432429897586</v>
      </c>
      <c r="G75" s="51" cm="1">
        <f t="array" aca="1" ref="G75" ca="1">IF(ISNUMBER(_xll.VoseSimPercentile(Vote_EDP,$B75)),_xll.VoseSimPercentile(Vote_EDP,$B75),NA())</f>
        <v>0.27031429293393949</v>
      </c>
      <c r="H75" s="51" cm="1">
        <f t="array" aca="1" ref="H75" ca="1">IF(ISNUMBER(_xll.VoseSimPercentile(Margin,$B75)),_xll.VoseSimPercentile(Margin,$B75),NA())</f>
        <v>7.9472349763821892E-2</v>
      </c>
      <c r="I75" s="51">
        <f>0</f>
        <v>0</v>
      </c>
    </row>
    <row r="76" spans="2:9" hidden="1" outlineLevel="1" x14ac:dyDescent="0.45">
      <c r="B76" s="50">
        <v>0.49</v>
      </c>
      <c r="C76" s="50">
        <f t="shared" si="0"/>
        <v>0.51</v>
      </c>
      <c r="D76" s="51" cm="1">
        <f t="array" aca="1" ref="D76" ca="1">IF(ISNUMBER(_xll.VoseSimPercentile(Vote_SDP,$B76)),_xll.VoseSimPercentile(Vote_SDP,$B76),NA())</f>
        <v>0.26898410966496539</v>
      </c>
      <c r="E76" s="51" cm="1">
        <f t="array" aca="1" ref="E76" ca="1">IF(ISNUMBER(_xll.VoseSimPercentile(Vote_SMP,$B76)),_xll.VoseSimPercentile(Vote_SMP,$B76),NA())</f>
        <v>0.28967163200752866</v>
      </c>
      <c r="F76" s="51" cm="1">
        <f t="array" aca="1" ref="F76" ca="1">IF(ISNUMBER(_xll.VoseSimPercentile(Vote_PSM,$B76)),_xll.VoseSimPercentile(Vote_PSM,$B76),NA())</f>
        <v>0.16837774577341616</v>
      </c>
      <c r="G76" s="51" cm="1">
        <f t="array" aca="1" ref="G76" ca="1">IF(ISNUMBER(_xll.VoseSimPercentile(Vote_EDP,$B76)),_xll.VoseSimPercentile(Vote_EDP,$B76),NA())</f>
        <v>0.2710557585326428</v>
      </c>
      <c r="H76" s="51" cm="1">
        <f t="array" aca="1" ref="H76" ca="1">IF(ISNUMBER(_xll.VoseSimPercentile(Margin,$B76)),_xll.VoseSimPercentile(Margin,$B76),NA())</f>
        <v>8.1136553303059689E-2</v>
      </c>
      <c r="I76" s="51">
        <f>0</f>
        <v>0</v>
      </c>
    </row>
    <row r="77" spans="2:9" hidden="1" outlineLevel="1" x14ac:dyDescent="0.45">
      <c r="B77" s="50">
        <v>0.51</v>
      </c>
      <c r="C77" s="50">
        <f t="shared" si="0"/>
        <v>0.49</v>
      </c>
      <c r="D77" s="51" cm="1">
        <f t="array" aca="1" ref="D77" ca="1">IF(ISNUMBER(_xll.VoseSimPercentile(Vote_SDP,$B77)),_xll.VoseSimPercentile(Vote_SDP,$B77),NA())</f>
        <v>0.26969849899133969</v>
      </c>
      <c r="E77" s="51" cm="1">
        <f t="array" aca="1" ref="E77" ca="1">IF(ISNUMBER(_xll.VoseSimPercentile(Vote_SMP,$B77)),_xll.VoseSimPercentile(Vote_SMP,$B77),NA())</f>
        <v>0.29040937316699345</v>
      </c>
      <c r="F77" s="51" cm="1">
        <f t="array" aca="1" ref="F77" ca="1">IF(ISNUMBER(_xll.VoseSimPercentile(Vote_PSM,$B77)),_xll.VoseSimPercentile(Vote_PSM,$B77),NA())</f>
        <v>0.16901066795488903</v>
      </c>
      <c r="G77" s="51" cm="1">
        <f t="array" aca="1" ref="G77" ca="1">IF(ISNUMBER(_xll.VoseSimPercentile(Vote_EDP,$B77)),_xll.VoseSimPercentile(Vote_EDP,$B77),NA())</f>
        <v>0.27183603669610623</v>
      </c>
      <c r="H77" s="51" cm="1">
        <f t="array" aca="1" ref="H77" ca="1">IF(ISNUMBER(_xll.VoseSimPercentile(Margin,$B77)),_xll.VoseSimPercentile(Margin,$B77),NA())</f>
        <v>8.2707943883125967E-2</v>
      </c>
      <c r="I77" s="51">
        <f>0</f>
        <v>0</v>
      </c>
    </row>
    <row r="78" spans="2:9" hidden="1" outlineLevel="1" x14ac:dyDescent="0.45">
      <c r="B78" s="50">
        <v>0.53</v>
      </c>
      <c r="C78" s="50">
        <f t="shared" si="0"/>
        <v>0.47</v>
      </c>
      <c r="D78" s="51" cm="1">
        <f t="array" aca="1" ref="D78" ca="1">IF(ISNUMBER(_xll.VoseSimPercentile(Vote_SDP,$B78)),_xll.VoseSimPercentile(Vote_SDP,$B78),NA())</f>
        <v>0.27053058825525655</v>
      </c>
      <c r="E78" s="51" cm="1">
        <f t="array" aca="1" ref="E78" ca="1">IF(ISNUMBER(_xll.VoseSimPercentile(Vote_SMP,$B78)),_xll.VoseSimPercentile(Vote_SMP,$B78),NA())</f>
        <v>0.29117049575746001</v>
      </c>
      <c r="F78" s="51" cm="1">
        <f t="array" aca="1" ref="F78" ca="1">IF(ISNUMBER(_xll.VoseSimPercentile(Vote_PSM,$B78)),_xll.VoseSimPercentile(Vote_PSM,$B78),NA())</f>
        <v>0.16955524879567818</v>
      </c>
      <c r="G78" s="51" cm="1">
        <f t="array" aca="1" ref="G78" ca="1">IF(ISNUMBER(_xll.VoseSimPercentile(Vote_EDP,$B78)),_xll.VoseSimPercentile(Vote_EDP,$B78),NA())</f>
        <v>0.27257359867570297</v>
      </c>
      <c r="H78" s="51" cm="1">
        <f t="array" aca="1" ref="H78" ca="1">IF(ISNUMBER(_xll.VoseSimPercentile(Margin,$B78)),_xll.VoseSimPercentile(Margin,$B78),NA())</f>
        <v>8.4168390167403795E-2</v>
      </c>
      <c r="I78" s="51">
        <f>0</f>
        <v>0</v>
      </c>
    </row>
    <row r="79" spans="2:9" hidden="1" outlineLevel="1" x14ac:dyDescent="0.45">
      <c r="B79" s="50">
        <v>0.55000000000000004</v>
      </c>
      <c r="C79" s="50">
        <f t="shared" si="0"/>
        <v>0.44999999999999996</v>
      </c>
      <c r="D79" s="51" cm="1">
        <f t="array" aca="1" ref="D79" ca="1">IF(ISNUMBER(_xll.VoseSimPercentile(Vote_SDP,$B79)),_xll.VoseSimPercentile(Vote_SDP,$B79),NA())</f>
        <v>0.27122362795178756</v>
      </c>
      <c r="E79" s="51" cm="1">
        <f t="array" aca="1" ref="E79" ca="1">IF(ISNUMBER(_xll.VoseSimPercentile(Vote_SMP,$B79)),_xll.VoseSimPercentile(Vote_SMP,$B79),NA())</f>
        <v>0.29188448266467848</v>
      </c>
      <c r="F79" s="51" cm="1">
        <f t="array" aca="1" ref="F79" ca="1">IF(ISNUMBER(_xll.VoseSimPercentile(Vote_PSM,$B79)),_xll.VoseSimPercentile(Vote_PSM,$B79),NA())</f>
        <v>0.17011443441698001</v>
      </c>
      <c r="G79" s="51" cm="1">
        <f t="array" aca="1" ref="G79" ca="1">IF(ISNUMBER(_xll.VoseSimPercentile(Vote_EDP,$B79)),_xll.VoseSimPercentile(Vote_EDP,$B79),NA())</f>
        <v>0.27328403352180081</v>
      </c>
      <c r="H79" s="51" cm="1">
        <f t="array" aca="1" ref="H79" ca="1">IF(ISNUMBER(_xll.VoseSimPercentile(Margin,$B79)),_xll.VoseSimPercentile(Margin,$B79),NA())</f>
        <v>8.5863965134066189E-2</v>
      </c>
      <c r="I79" s="51">
        <f>0</f>
        <v>0</v>
      </c>
    </row>
    <row r="80" spans="2:9" hidden="1" outlineLevel="1" x14ac:dyDescent="0.45">
      <c r="B80" s="50">
        <v>0.56999999999999995</v>
      </c>
      <c r="C80" s="50">
        <f t="shared" si="0"/>
        <v>0.43000000000000005</v>
      </c>
      <c r="D80" s="51" cm="1">
        <f t="array" aca="1" ref="D80" ca="1">IF(ISNUMBER(_xll.VoseSimPercentile(Vote_SDP,$B80)),_xll.VoseSimPercentile(Vote_SDP,$B80),NA())</f>
        <v>0.2719378246912173</v>
      </c>
      <c r="E80" s="51" cm="1">
        <f t="array" aca="1" ref="E80" ca="1">IF(ISNUMBER(_xll.VoseSimPercentile(Vote_SMP,$B80)),_xll.VoseSimPercentile(Vote_SMP,$B80),NA())</f>
        <v>0.29266370488765298</v>
      </c>
      <c r="F80" s="51" cm="1">
        <f t="array" aca="1" ref="F80" ca="1">IF(ISNUMBER(_xll.VoseSimPercentile(Vote_PSM,$B80)),_xll.VoseSimPercentile(Vote_PSM,$B80),NA())</f>
        <v>0.17076047167685557</v>
      </c>
      <c r="G80" s="51" cm="1">
        <f t="array" aca="1" ref="G80" ca="1">IF(ISNUMBER(_xll.VoseSimPercentile(Vote_EDP,$B80)),_xll.VoseSimPercentile(Vote_EDP,$B80),NA())</f>
        <v>0.27399866731328787</v>
      </c>
      <c r="H80" s="51" cm="1">
        <f t="array" aca="1" ref="H80" ca="1">IF(ISNUMBER(_xll.VoseSimPercentile(Margin,$B80)),_xll.VoseSimPercentile(Margin,$B80),NA())</f>
        <v>8.7351549868326439E-2</v>
      </c>
      <c r="I80" s="51">
        <f>0</f>
        <v>0</v>
      </c>
    </row>
    <row r="81" spans="2:9" hidden="1" outlineLevel="1" x14ac:dyDescent="0.45">
      <c r="B81" s="50">
        <v>0.59</v>
      </c>
      <c r="C81" s="50">
        <f t="shared" si="0"/>
        <v>0.41000000000000003</v>
      </c>
      <c r="D81" s="51" cm="1">
        <f t="array" aca="1" ref="D81" ca="1">IF(ISNUMBER(_xll.VoseSimPercentile(Vote_SDP,$B81)),_xll.VoseSimPercentile(Vote_SDP,$B81),NA())</f>
        <v>0.27263601625281214</v>
      </c>
      <c r="E81" s="51" cm="1">
        <f t="array" aca="1" ref="E81" ca="1">IF(ISNUMBER(_xll.VoseSimPercentile(Vote_SMP,$B81)),_xll.VoseSimPercentile(Vote_SMP,$B81),NA())</f>
        <v>0.29338149390204532</v>
      </c>
      <c r="F81" s="51" cm="1">
        <f t="array" aca="1" ref="F81" ca="1">IF(ISNUMBER(_xll.VoseSimPercentile(Vote_PSM,$B81)),_xll.VoseSimPercentile(Vote_PSM,$B81),NA())</f>
        <v>0.17138261571290855</v>
      </c>
      <c r="G81" s="51" cm="1">
        <f t="array" aca="1" ref="G81" ca="1">IF(ISNUMBER(_xll.VoseSimPercentile(Vote_EDP,$B81)),_xll.VoseSimPercentile(Vote_EDP,$B81),NA())</f>
        <v>0.27471761925414073</v>
      </c>
      <c r="H81" s="51" cm="1">
        <f t="array" aca="1" ref="H81" ca="1">IF(ISNUMBER(_xll.VoseSimPercentile(Margin,$B81)),_xll.VoseSimPercentile(Margin,$B81),NA())</f>
        <v>8.9014130539987524E-2</v>
      </c>
      <c r="I81" s="51">
        <f>0</f>
        <v>0</v>
      </c>
    </row>
    <row r="82" spans="2:9" hidden="1" outlineLevel="1" x14ac:dyDescent="0.45">
      <c r="B82" s="50">
        <v>0.61</v>
      </c>
      <c r="C82" s="50">
        <f t="shared" si="0"/>
        <v>0.39</v>
      </c>
      <c r="D82" s="51" cm="1">
        <f t="array" aca="1" ref="D82" ca="1">IF(ISNUMBER(_xll.VoseSimPercentile(Vote_SDP,$B82)),_xll.VoseSimPercentile(Vote_SDP,$B82),NA())</f>
        <v>0.27333498419006103</v>
      </c>
      <c r="E82" s="51" cm="1">
        <f t="array" aca="1" ref="E82" ca="1">IF(ISNUMBER(_xll.VoseSimPercentile(Vote_SMP,$B82)),_xll.VoseSimPercentile(Vote_SMP,$B82),NA())</f>
        <v>0.29411012138819975</v>
      </c>
      <c r="F82" s="51" cm="1">
        <f t="array" aca="1" ref="F82" ca="1">IF(ISNUMBER(_xll.VoseSimPercentile(Vote_PSM,$B82)),_xll.VoseSimPercentile(Vote_PSM,$B82),NA())</f>
        <v>0.17210552553817562</v>
      </c>
      <c r="G82" s="51" cm="1">
        <f t="array" aca="1" ref="G82" ca="1">IF(ISNUMBER(_xll.VoseSimPercentile(Vote_EDP,$B82)),_xll.VoseSimPercentile(Vote_EDP,$B82),NA())</f>
        <v>0.27547287361772188</v>
      </c>
      <c r="H82" s="51" cm="1">
        <f t="array" aca="1" ref="H82" ca="1">IF(ISNUMBER(_xll.VoseSimPercentile(Margin,$B82)),_xll.VoseSimPercentile(Margin,$B82),NA())</f>
        <v>9.0625215120142544E-2</v>
      </c>
      <c r="I82" s="51">
        <f>0</f>
        <v>0</v>
      </c>
    </row>
    <row r="83" spans="2:9" hidden="1" outlineLevel="1" x14ac:dyDescent="0.45">
      <c r="B83" s="50">
        <v>0.63</v>
      </c>
      <c r="C83" s="50">
        <f t="shared" si="0"/>
        <v>0.37</v>
      </c>
      <c r="D83" s="51" cm="1">
        <f t="array" aca="1" ref="D83" ca="1">IF(ISNUMBER(_xll.VoseSimPercentile(Vote_SDP,$B83)),_xll.VoseSimPercentile(Vote_SDP,$B83),NA())</f>
        <v>0.27410068406389659</v>
      </c>
      <c r="E83" s="51" cm="1">
        <f t="array" aca="1" ref="E83" ca="1">IF(ISNUMBER(_xll.VoseSimPercentile(Vote_SMP,$B83)),_xll.VoseSimPercentile(Vote_SMP,$B83),NA())</f>
        <v>0.29490118125586962</v>
      </c>
      <c r="F83" s="51" cm="1">
        <f t="array" aca="1" ref="F83" ca="1">IF(ISNUMBER(_xll.VoseSimPercentile(Vote_PSM,$B83)),_xll.VoseSimPercentile(Vote_PSM,$B83),NA())</f>
        <v>0.17272203523253693</v>
      </c>
      <c r="G83" s="51" cm="1">
        <f t="array" aca="1" ref="G83" ca="1">IF(ISNUMBER(_xll.VoseSimPercentile(Vote_EDP,$B83)),_xll.VoseSimPercentile(Vote_EDP,$B83),NA())</f>
        <v>0.27624520038770844</v>
      </c>
      <c r="H83" s="51" cm="1">
        <f t="array" aca="1" ref="H83" ca="1">IF(ISNUMBER(_xll.VoseSimPercentile(Margin,$B83)),_xll.VoseSimPercentile(Margin,$B83),NA())</f>
        <v>9.241984370343892E-2</v>
      </c>
      <c r="I83" s="51">
        <f>0</f>
        <v>0</v>
      </c>
    </row>
    <row r="84" spans="2:9" hidden="1" outlineLevel="1" x14ac:dyDescent="0.45">
      <c r="B84" s="50">
        <v>0.65</v>
      </c>
      <c r="C84" s="50">
        <f t="shared" ref="C84:C115" si="1">1-B84</f>
        <v>0.35</v>
      </c>
      <c r="D84" s="51" cm="1">
        <f t="array" aca="1" ref="D84" ca="1">IF(ISNUMBER(_xll.VoseSimPercentile(Vote_SDP,$B84)),_xll.VoseSimPercentile(Vote_SDP,$B84),NA())</f>
        <v>0.27481713522257983</v>
      </c>
      <c r="E84" s="51" cm="1">
        <f t="array" aca="1" ref="E84" ca="1">IF(ISNUMBER(_xll.VoseSimPercentile(Vote_SMP,$B84)),_xll.VoseSimPercentile(Vote_SMP,$B84),NA())</f>
        <v>0.29560373948734936</v>
      </c>
      <c r="F84" s="51" cm="1">
        <f t="array" aca="1" ref="F84" ca="1">IF(ISNUMBER(_xll.VoseSimPercentile(Vote_PSM,$B84)),_xll.VoseSimPercentile(Vote_PSM,$B84),NA())</f>
        <v>0.17333536973225058</v>
      </c>
      <c r="G84" s="51" cm="1">
        <f t="array" aca="1" ref="G84" ca="1">IF(ISNUMBER(_xll.VoseSimPercentile(Vote_EDP,$B84)),_xll.VoseSimPercentile(Vote_EDP,$B84),NA())</f>
        <v>0.27711021718199053</v>
      </c>
      <c r="H84" s="51" cm="1">
        <f t="array" aca="1" ref="H84" ca="1">IF(ISNUMBER(_xll.VoseSimPercentile(Margin,$B84)),_xll.VoseSimPercentile(Margin,$B84),NA())</f>
        <v>9.4048947465758703E-2</v>
      </c>
      <c r="I84" s="51">
        <f>0</f>
        <v>0</v>
      </c>
    </row>
    <row r="85" spans="2:9" hidden="1" outlineLevel="1" x14ac:dyDescent="0.45">
      <c r="B85" s="50">
        <v>0.67</v>
      </c>
      <c r="C85" s="50">
        <f t="shared" si="1"/>
        <v>0.32999999999999996</v>
      </c>
      <c r="D85" s="51" cm="1">
        <f t="array" aca="1" ref="D85" ca="1">IF(ISNUMBER(_xll.VoseSimPercentile(Vote_SDP,$B85)),_xll.VoseSimPercentile(Vote_SDP,$B85),NA())</f>
        <v>0.27568221916998459</v>
      </c>
      <c r="E85" s="51" cm="1">
        <f t="array" aca="1" ref="E85" ca="1">IF(ISNUMBER(_xll.VoseSimPercentile(Vote_SMP,$B85)),_xll.VoseSimPercentile(Vote_SMP,$B85),NA())</f>
        <v>0.29644149741583709</v>
      </c>
      <c r="F85" s="51" cm="1">
        <f t="array" aca="1" ref="F85" ca="1">IF(ISNUMBER(_xll.VoseSimPercentile(Vote_PSM,$B85)),_xll.VoseSimPercentile(Vote_PSM,$B85),NA())</f>
        <v>0.17400244843559895</v>
      </c>
      <c r="G85" s="51" cm="1">
        <f t="array" aca="1" ref="G85" ca="1">IF(ISNUMBER(_xll.VoseSimPercentile(Vote_EDP,$B85)),_xll.VoseSimPercentile(Vote_EDP,$B85),NA())</f>
        <v>0.27787166048284517</v>
      </c>
      <c r="H85" s="51" cm="1">
        <f t="array" aca="1" ref="H85" ca="1">IF(ISNUMBER(_xll.VoseSimPercentile(Margin,$B85)),_xll.VoseSimPercentile(Margin,$B85),NA())</f>
        <v>9.5846334387687138E-2</v>
      </c>
      <c r="I85" s="51">
        <f>0</f>
        <v>0</v>
      </c>
    </row>
    <row r="86" spans="2:9" hidden="1" outlineLevel="1" x14ac:dyDescent="0.45">
      <c r="B86" s="50">
        <v>0.69</v>
      </c>
      <c r="C86" s="50">
        <f t="shared" si="1"/>
        <v>0.31000000000000005</v>
      </c>
      <c r="D86" s="51" cm="1">
        <f t="array" aca="1" ref="D86" ca="1">IF(ISNUMBER(_xll.VoseSimPercentile(Vote_SDP,$B86)),_xll.VoseSimPercentile(Vote_SDP,$B86),NA())</f>
        <v>0.27649115630227888</v>
      </c>
      <c r="E86" s="51" cm="1">
        <f t="array" aca="1" ref="E86" ca="1">IF(ISNUMBER(_xll.VoseSimPercentile(Vote_SMP,$B86)),_xll.VoseSimPercentile(Vote_SMP,$B86),NA())</f>
        <v>0.2973074353352485</v>
      </c>
      <c r="F86" s="51" cm="1">
        <f t="array" aca="1" ref="F86" ca="1">IF(ISNUMBER(_xll.VoseSimPercentile(Vote_PSM,$B86)),_xll.VoseSimPercentile(Vote_PSM,$B86),NA())</f>
        <v>0.17475386925889591</v>
      </c>
      <c r="G86" s="51" cm="1">
        <f t="array" aca="1" ref="G86" ca="1">IF(ISNUMBER(_xll.VoseSimPercentile(Vote_EDP,$B86)),_xll.VoseSimPercentile(Vote_EDP,$B86),NA())</f>
        <v>0.27864276105623775</v>
      </c>
      <c r="H86" s="51" cm="1">
        <f t="array" aca="1" ref="H86" ca="1">IF(ISNUMBER(_xll.VoseSimPercentile(Margin,$B86)),_xll.VoseSimPercentile(Margin,$B86),NA())</f>
        <v>9.7617281983945148E-2</v>
      </c>
      <c r="I86" s="51">
        <f>0</f>
        <v>0</v>
      </c>
    </row>
    <row r="87" spans="2:9" hidden="1" outlineLevel="1" x14ac:dyDescent="0.45">
      <c r="B87" s="50">
        <v>0.71</v>
      </c>
      <c r="C87" s="50">
        <f t="shared" si="1"/>
        <v>0.29000000000000004</v>
      </c>
      <c r="D87" s="51" cm="1">
        <f t="array" aca="1" ref="D87" ca="1">IF(ISNUMBER(_xll.VoseSimPercentile(Vote_SDP,$B87)),_xll.VoseSimPercentile(Vote_SDP,$B87),NA())</f>
        <v>0.27726415464513687</v>
      </c>
      <c r="E87" s="51" cm="1">
        <f t="array" aca="1" ref="E87" ca="1">IF(ISNUMBER(_xll.VoseSimPercentile(Vote_SMP,$B87)),_xll.VoseSimPercentile(Vote_SMP,$B87),NA())</f>
        <v>0.29814044596278444</v>
      </c>
      <c r="F87" s="51" cm="1">
        <f t="array" aca="1" ref="F87" ca="1">IF(ISNUMBER(_xll.VoseSimPercentile(Vote_PSM,$B87)),_xll.VoseSimPercentile(Vote_PSM,$B87),NA())</f>
        <v>0.17543757108387714</v>
      </c>
      <c r="G87" s="51" cm="1">
        <f t="array" aca="1" ref="G87" ca="1">IF(ISNUMBER(_xll.VoseSimPercentile(Vote_EDP,$B87)),_xll.VoseSimPercentile(Vote_EDP,$B87),NA())</f>
        <v>0.27945101592729721</v>
      </c>
      <c r="H87" s="51" cm="1">
        <f t="array" aca="1" ref="H87" ca="1">IF(ISNUMBER(_xll.VoseSimPercentile(Margin,$B87)),_xll.VoseSimPercentile(Margin,$B87),NA())</f>
        <v>9.9496167064685781E-2</v>
      </c>
      <c r="I87" s="51">
        <f>0</f>
        <v>0</v>
      </c>
    </row>
    <row r="88" spans="2:9" hidden="1" outlineLevel="1" x14ac:dyDescent="0.45">
      <c r="B88" s="50">
        <v>0.73</v>
      </c>
      <c r="C88" s="50">
        <f t="shared" si="1"/>
        <v>0.27</v>
      </c>
      <c r="D88" s="51" cm="1">
        <f t="array" aca="1" ref="D88" ca="1">IF(ISNUMBER(_xll.VoseSimPercentile(Vote_SDP,$B88)),_xll.VoseSimPercentile(Vote_SDP,$B88),NA())</f>
        <v>0.27810176508497236</v>
      </c>
      <c r="E88" s="51" cm="1">
        <f t="array" aca="1" ref="E88" ca="1">IF(ISNUMBER(_xll.VoseSimPercentile(Vote_SMP,$B88)),_xll.VoseSimPercentile(Vote_SMP,$B88),NA())</f>
        <v>0.29904351301277254</v>
      </c>
      <c r="F88" s="51" cm="1">
        <f t="array" aca="1" ref="F88" ca="1">IF(ISNUMBER(_xll.VoseSimPercentile(Vote_PSM,$B88)),_xll.VoseSimPercentile(Vote_PSM,$B88),NA())</f>
        <v>0.17619337473358698</v>
      </c>
      <c r="G88" s="51" cm="1">
        <f t="array" aca="1" ref="G88" ca="1">IF(ISNUMBER(_xll.VoseSimPercentile(Vote_EDP,$B88)),_xll.VoseSimPercentile(Vote_EDP,$B88),NA())</f>
        <v>0.28032839763800582</v>
      </c>
      <c r="H88" s="51" cm="1">
        <f t="array" aca="1" ref="H88" ca="1">IF(ISNUMBER(_xll.VoseSimPercentile(Margin,$B88)),_xll.VoseSimPercentile(Margin,$B88),NA())</f>
        <v>0.10132560484413733</v>
      </c>
      <c r="I88" s="51">
        <f>0</f>
        <v>0</v>
      </c>
    </row>
    <row r="89" spans="2:9" hidden="1" outlineLevel="1" x14ac:dyDescent="0.45">
      <c r="B89" s="50">
        <v>0.75</v>
      </c>
      <c r="C89" s="50">
        <f t="shared" si="1"/>
        <v>0.25</v>
      </c>
      <c r="D89" s="51" cm="1">
        <f t="array" aca="1" ref="D89" ca="1">IF(ISNUMBER(_xll.VoseSimPercentile(Vote_SDP,$B89)),_xll.VoseSimPercentile(Vote_SDP,$B89),NA())</f>
        <v>0.27892469860599517</v>
      </c>
      <c r="E89" s="51" cm="1">
        <f t="array" aca="1" ref="E89" ca="1">IF(ISNUMBER(_xll.VoseSimPercentile(Vote_SMP,$B89)),_xll.VoseSimPercentile(Vote_SMP,$B89),NA())</f>
        <v>0.29998145088485501</v>
      </c>
      <c r="F89" s="51" cm="1">
        <f t="array" aca="1" ref="F89" ca="1">IF(ISNUMBER(_xll.VoseSimPercentile(Vote_PSM,$B89)),_xll.VoseSimPercentile(Vote_PSM,$B89),NA())</f>
        <v>0.17697460121988462</v>
      </c>
      <c r="G89" s="51" cm="1">
        <f t="array" aca="1" ref="G89" ca="1">IF(ISNUMBER(_xll.VoseSimPercentile(Vote_EDP,$B89)),_xll.VoseSimPercentile(Vote_EDP,$B89),NA())</f>
        <v>0.28127349966457943</v>
      </c>
      <c r="H89" s="51" cm="1">
        <f t="array" aca="1" ref="H89" ca="1">IF(ISNUMBER(_xll.VoseSimPercentile(Margin,$B89)),_xll.VoseSimPercentile(Margin,$B89),NA())</f>
        <v>0.10353262198050706</v>
      </c>
      <c r="I89" s="51">
        <f>0</f>
        <v>0</v>
      </c>
    </row>
    <row r="90" spans="2:9" hidden="1" outlineLevel="1" x14ac:dyDescent="0.45">
      <c r="B90" s="50">
        <v>0.77</v>
      </c>
      <c r="C90" s="50">
        <f t="shared" si="1"/>
        <v>0.22999999999999998</v>
      </c>
      <c r="D90" s="51" cm="1">
        <f t="array" aca="1" ref="D90" ca="1">IF(ISNUMBER(_xll.VoseSimPercentile(Vote_SDP,$B90)),_xll.VoseSimPercentile(Vote_SDP,$B90),NA())</f>
        <v>0.27992332605063786</v>
      </c>
      <c r="E90" s="51" cm="1">
        <f t="array" aca="1" ref="E90" ca="1">IF(ISNUMBER(_xll.VoseSimPercentile(Vote_SMP,$B90)),_xll.VoseSimPercentile(Vote_SMP,$B90),NA())</f>
        <v>0.30097889546206147</v>
      </c>
      <c r="F90" s="51" cm="1">
        <f t="array" aca="1" ref="F90" ca="1">IF(ISNUMBER(_xll.VoseSimPercentile(Vote_PSM,$B90)),_xll.VoseSimPercentile(Vote_PSM,$B90),NA())</f>
        <v>0.17787434440560679</v>
      </c>
      <c r="G90" s="51" cm="1">
        <f t="array" aca="1" ref="G90" ca="1">IF(ISNUMBER(_xll.VoseSimPercentile(Vote_EDP,$B90)),_xll.VoseSimPercentile(Vote_EDP,$B90),NA())</f>
        <v>0.28220326280026931</v>
      </c>
      <c r="H90" s="51" cm="1">
        <f t="array" aca="1" ref="H90" ca="1">IF(ISNUMBER(_xll.VoseSimPercentile(Margin,$B90)),_xll.VoseSimPercentile(Margin,$B90),NA())</f>
        <v>0.10562644881514321</v>
      </c>
      <c r="I90" s="51">
        <f>0</f>
        <v>0</v>
      </c>
    </row>
    <row r="91" spans="2:9" hidden="1" outlineLevel="1" x14ac:dyDescent="0.45">
      <c r="B91" s="50">
        <v>0.79</v>
      </c>
      <c r="C91" s="50">
        <f t="shared" si="1"/>
        <v>0.20999999999999996</v>
      </c>
      <c r="D91" s="51" cm="1">
        <f t="array" aca="1" ref="D91" ca="1">IF(ISNUMBER(_xll.VoseSimPercentile(Vote_SDP,$B91)),_xll.VoseSimPercentile(Vote_SDP,$B91),NA())</f>
        <v>0.28089228782955811</v>
      </c>
      <c r="E91" s="51" cm="1">
        <f t="array" aca="1" ref="E91" ca="1">IF(ISNUMBER(_xll.VoseSimPercentile(Vote_SMP,$B91)),_xll.VoseSimPercentile(Vote_SMP,$B91),NA())</f>
        <v>0.30201834347879053</v>
      </c>
      <c r="F91" s="51" cm="1">
        <f t="array" aca="1" ref="F91" ca="1">IF(ISNUMBER(_xll.VoseSimPercentile(Vote_PSM,$B91)),_xll.VoseSimPercentile(Vote_PSM,$B91),NA())</f>
        <v>0.17869331481161427</v>
      </c>
      <c r="G91" s="51" cm="1">
        <f t="array" aca="1" ref="G91" ca="1">IF(ISNUMBER(_xll.VoseSimPercentile(Vote_EDP,$B91)),_xll.VoseSimPercentile(Vote_EDP,$B91),NA())</f>
        <v>0.28311101910914538</v>
      </c>
      <c r="H91" s="51" cm="1">
        <f t="array" aca="1" ref="H91" ca="1">IF(ISNUMBER(_xll.VoseSimPercentile(Margin,$B91)),_xll.VoseSimPercentile(Margin,$B91),NA())</f>
        <v>0.10776115314355561</v>
      </c>
      <c r="I91" s="51">
        <f>0</f>
        <v>0</v>
      </c>
    </row>
    <row r="92" spans="2:9" hidden="1" outlineLevel="1" x14ac:dyDescent="0.45">
      <c r="B92" s="50">
        <v>0.81</v>
      </c>
      <c r="C92" s="50">
        <f t="shared" si="1"/>
        <v>0.18999999999999995</v>
      </c>
      <c r="D92" s="51" cm="1">
        <f t="array" aca="1" ref="D92" ca="1">IF(ISNUMBER(_xll.VoseSimPercentile(Vote_SDP,$B92)),_xll.VoseSimPercentile(Vote_SDP,$B92),NA())</f>
        <v>0.28193747806284497</v>
      </c>
      <c r="E92" s="51" cm="1">
        <f t="array" aca="1" ref="E92" ca="1">IF(ISNUMBER(_xll.VoseSimPercentile(Vote_SMP,$B92)),_xll.VoseSimPercentile(Vote_SMP,$B92),NA())</f>
        <v>0.30303768364388423</v>
      </c>
      <c r="F92" s="51" cm="1">
        <f t="array" aca="1" ref="F92" ca="1">IF(ISNUMBER(_xll.VoseSimPercentile(Vote_PSM,$B92)),_xll.VoseSimPercentile(Vote_PSM,$B92),NA())</f>
        <v>0.17961248223223039</v>
      </c>
      <c r="G92" s="51" cm="1">
        <f t="array" aca="1" ref="G92" ca="1">IF(ISNUMBER(_xll.VoseSimPercentile(Vote_EDP,$B92)),_xll.VoseSimPercentile(Vote_EDP,$B92),NA())</f>
        <v>0.28406427186312466</v>
      </c>
      <c r="H92" s="51" cm="1">
        <f t="array" aca="1" ref="H92" ca="1">IF(ISNUMBER(_xll.VoseSimPercentile(Margin,$B92)),_xll.VoseSimPercentile(Margin,$B92),NA())</f>
        <v>0.11002020441359894</v>
      </c>
      <c r="I92" s="51">
        <f>0</f>
        <v>0</v>
      </c>
    </row>
    <row r="93" spans="2:9" hidden="1" outlineLevel="1" x14ac:dyDescent="0.45">
      <c r="B93" s="50">
        <v>0.83</v>
      </c>
      <c r="C93" s="50">
        <f t="shared" si="1"/>
        <v>0.17000000000000004</v>
      </c>
      <c r="D93" s="51" cm="1">
        <f t="array" aca="1" ref="D93" ca="1">IF(ISNUMBER(_xll.VoseSimPercentile(Vote_SDP,$B93)),_xll.VoseSimPercentile(Vote_SDP,$B93),NA())</f>
        <v>0.28303616701197443</v>
      </c>
      <c r="E93" s="51" cm="1">
        <f t="array" aca="1" ref="E93" ca="1">IF(ISNUMBER(_xll.VoseSimPercentile(Vote_SMP,$B93)),_xll.VoseSimPercentile(Vote_SMP,$B93),NA())</f>
        <v>0.30438847722329687</v>
      </c>
      <c r="F93" s="51" cm="1">
        <f t="array" aca="1" ref="F93" ca="1">IF(ISNUMBER(_xll.VoseSimPercentile(Vote_PSM,$B93)),_xll.VoseSimPercentile(Vote_PSM,$B93),NA())</f>
        <v>0.18059398114546393</v>
      </c>
      <c r="G93" s="51" cm="1">
        <f t="array" aca="1" ref="G93" ca="1">IF(ISNUMBER(_xll.VoseSimPercentile(Vote_EDP,$B93)),_xll.VoseSimPercentile(Vote_EDP,$B93),NA())</f>
        <v>0.2851193098607685</v>
      </c>
      <c r="H93" s="51" cm="1">
        <f t="array" aca="1" ref="H93" ca="1">IF(ISNUMBER(_xll.VoseSimPercentile(Margin,$B93)),_xll.VoseSimPercentile(Margin,$B93),NA())</f>
        <v>0.1124203444183221</v>
      </c>
      <c r="I93" s="51">
        <f>0</f>
        <v>0</v>
      </c>
    </row>
    <row r="94" spans="2:9" hidden="1" outlineLevel="1" x14ac:dyDescent="0.45">
      <c r="B94" s="50">
        <v>0.85</v>
      </c>
      <c r="C94" s="50">
        <f t="shared" si="1"/>
        <v>0.15000000000000002</v>
      </c>
      <c r="D94" s="51" cm="1">
        <f t="array" aca="1" ref="D94" ca="1">IF(ISNUMBER(_xll.VoseSimPercentile(Vote_SDP,$B94)),_xll.VoseSimPercentile(Vote_SDP,$B94),NA())</f>
        <v>0.28428677043009615</v>
      </c>
      <c r="E94" s="51" cm="1">
        <f t="array" aca="1" ref="E94" ca="1">IF(ISNUMBER(_xll.VoseSimPercentile(Vote_SMP,$B94)),_xll.VoseSimPercentile(Vote_SMP,$B94),NA())</f>
        <v>0.30546140145479106</v>
      </c>
      <c r="F94" s="51" cm="1">
        <f t="array" aca="1" ref="F94" ca="1">IF(ISNUMBER(_xll.VoseSimPercentile(Vote_PSM,$B94)),_xll.VoseSimPercentile(Vote_PSM,$B94),NA())</f>
        <v>0.18160482694533608</v>
      </c>
      <c r="G94" s="51" cm="1">
        <f t="array" aca="1" ref="G94" ca="1">IF(ISNUMBER(_xll.VoseSimPercentile(Vote_EDP,$B94)),_xll.VoseSimPercentile(Vote_EDP,$B94),NA())</f>
        <v>0.28632615496308012</v>
      </c>
      <c r="H94" s="51" cm="1">
        <f t="array" aca="1" ref="H94" ca="1">IF(ISNUMBER(_xll.VoseSimPercentile(Margin,$B94)),_xll.VoseSimPercentile(Margin,$B94),NA())</f>
        <v>0.11522907074542843</v>
      </c>
      <c r="I94" s="51">
        <f>0</f>
        <v>0</v>
      </c>
    </row>
    <row r="95" spans="2:9" hidden="1" outlineLevel="1" x14ac:dyDescent="0.45">
      <c r="B95" s="50">
        <v>0.87</v>
      </c>
      <c r="C95" s="50">
        <f t="shared" si="1"/>
        <v>0.13</v>
      </c>
      <c r="D95" s="51" cm="1">
        <f t="array" aca="1" ref="D95" ca="1">IF(ISNUMBER(_xll.VoseSimPercentile(Vote_SDP,$B95)),_xll.VoseSimPercentile(Vote_SDP,$B95),NA())</f>
        <v>0.28551391962379841</v>
      </c>
      <c r="E95" s="51" cm="1">
        <f t="array" aca="1" ref="E95" ca="1">IF(ISNUMBER(_xll.VoseSimPercentile(Vote_SMP,$B95)),_xll.VoseSimPercentile(Vote_SMP,$B95),NA())</f>
        <v>0.30688176173286119</v>
      </c>
      <c r="F95" s="51" cm="1">
        <f t="array" aca="1" ref="F95" ca="1">IF(ISNUMBER(_xll.VoseSimPercentile(Vote_PSM,$B95)),_xll.VoseSimPercentile(Vote_PSM,$B95),NA())</f>
        <v>0.18283173382051512</v>
      </c>
      <c r="G95" s="51" cm="1">
        <f t="array" aca="1" ref="G95" ca="1">IF(ISNUMBER(_xll.VoseSimPercentile(Vote_EDP,$B95)),_xll.VoseSimPercentile(Vote_EDP,$B95),NA())</f>
        <v>0.28760459515346654</v>
      </c>
      <c r="H95" s="51" cm="1">
        <f t="array" aca="1" ref="H95" ca="1">IF(ISNUMBER(_xll.VoseSimPercentile(Margin,$B95)),_xll.VoseSimPercentile(Margin,$B95),NA())</f>
        <v>0.1179689804589934</v>
      </c>
      <c r="I95" s="51">
        <f>0</f>
        <v>0</v>
      </c>
    </row>
    <row r="96" spans="2:9" hidden="1" outlineLevel="1" x14ac:dyDescent="0.45">
      <c r="B96" s="50">
        <v>0.89</v>
      </c>
      <c r="C96" s="50">
        <f t="shared" si="1"/>
        <v>0.10999999999999999</v>
      </c>
      <c r="D96" s="51" cm="1">
        <f t="array" aca="1" ref="D96" ca="1">IF(ISNUMBER(_xll.VoseSimPercentile(Vote_SDP,$B96)),_xll.VoseSimPercentile(Vote_SDP,$B96),NA())</f>
        <v>0.28700356396589138</v>
      </c>
      <c r="E96" s="51" cm="1">
        <f t="array" aca="1" ref="E96" ca="1">IF(ISNUMBER(_xll.VoseSimPercentile(Vote_SMP,$B96)),_xll.VoseSimPercentile(Vote_SMP,$B96),NA())</f>
        <v>0.30848010889221267</v>
      </c>
      <c r="F96" s="51" cm="1">
        <f t="array" aca="1" ref="F96" ca="1">IF(ISNUMBER(_xll.VoseSimPercentile(Vote_PSM,$B96)),_xll.VoseSimPercentile(Vote_PSM,$B96),NA())</f>
        <v>0.1839111893069528</v>
      </c>
      <c r="G96" s="51" cm="1">
        <f t="array" aca="1" ref="G96" ca="1">IF(ISNUMBER(_xll.VoseSimPercentile(Vote_EDP,$B96)),_xll.VoseSimPercentile(Vote_EDP,$B96),NA())</f>
        <v>0.28901495859195436</v>
      </c>
      <c r="H96" s="51" cm="1">
        <f t="array" aca="1" ref="H96" ca="1">IF(ISNUMBER(_xll.VoseSimPercentile(Margin,$B96)),_xll.VoseSimPercentile(Margin,$B96),NA())</f>
        <v>0.12107909275490769</v>
      </c>
      <c r="I96" s="51">
        <f>0</f>
        <v>0</v>
      </c>
    </row>
    <row r="97" spans="2:9" hidden="1" outlineLevel="1" x14ac:dyDescent="0.45">
      <c r="B97" s="50">
        <v>0.91</v>
      </c>
      <c r="C97" s="50">
        <f t="shared" si="1"/>
        <v>8.9999999999999969E-2</v>
      </c>
      <c r="D97" s="51" cm="1">
        <f t="array" aca="1" ref="D97" ca="1">IF(ISNUMBER(_xll.VoseSimPercentile(Vote_SDP,$B97)),_xll.VoseSimPercentile(Vote_SDP,$B97),NA())</f>
        <v>0.28869572068933386</v>
      </c>
      <c r="E97" s="51" cm="1">
        <f t="array" aca="1" ref="E97" ca="1">IF(ISNUMBER(_xll.VoseSimPercentile(Vote_SMP,$B97)),_xll.VoseSimPercentile(Vote_SMP,$B97),NA())</f>
        <v>0.31040941788444071</v>
      </c>
      <c r="F97" s="51" cm="1">
        <f t="array" aca="1" ref="F97" ca="1">IF(ISNUMBER(_xll.VoseSimPercentile(Vote_PSM,$B97)),_xll.VoseSimPercentile(Vote_PSM,$B97),NA())</f>
        <v>0.18520163154801023</v>
      </c>
      <c r="G97" s="51" cm="1">
        <f t="array" aca="1" ref="G97" ca="1">IF(ISNUMBER(_xll.VoseSimPercentile(Vote_EDP,$B97)),_xll.VoseSimPercentile(Vote_EDP,$B97),NA())</f>
        <v>0.29080872091747717</v>
      </c>
      <c r="H97" s="51" cm="1">
        <f t="array" aca="1" ref="H97" ca="1">IF(ISNUMBER(_xll.VoseSimPercentile(Margin,$B97)),_xll.VoseSimPercentile(Margin,$B97),NA())</f>
        <v>0.12436210028274186</v>
      </c>
      <c r="I97" s="51">
        <f>0</f>
        <v>0</v>
      </c>
    </row>
    <row r="98" spans="2:9" hidden="1" outlineLevel="1" x14ac:dyDescent="0.45">
      <c r="B98" s="50">
        <v>0.93</v>
      </c>
      <c r="C98" s="50">
        <f t="shared" si="1"/>
        <v>6.9999999999999951E-2</v>
      </c>
      <c r="D98" s="51" cm="1">
        <f t="array" aca="1" ref="D98" ca="1">IF(ISNUMBER(_xll.VoseSimPercentile(Vote_SDP,$B98)),_xll.VoseSimPercentile(Vote_SDP,$B98),NA())</f>
        <v>0.29091177161164117</v>
      </c>
      <c r="E98" s="51" cm="1">
        <f t="array" aca="1" ref="E98" ca="1">IF(ISNUMBER(_xll.VoseSimPercentile(Vote_SMP,$B98)),_xll.VoseSimPercentile(Vote_SMP,$B98),NA())</f>
        <v>0.31264778645356794</v>
      </c>
      <c r="F98" s="51" cm="1">
        <f t="array" aca="1" ref="F98" ca="1">IF(ISNUMBER(_xll.VoseSimPercentile(Vote_PSM,$B98)),_xll.VoseSimPercentile(Vote_PSM,$B98),NA())</f>
        <v>0.18672654753780427</v>
      </c>
      <c r="G98" s="51" cm="1">
        <f t="array" aca="1" ref="G98" ca="1">IF(ISNUMBER(_xll.VoseSimPercentile(Vote_EDP,$B98)),_xll.VoseSimPercentile(Vote_EDP,$B98),NA())</f>
        <v>0.29252847118944059</v>
      </c>
      <c r="H98" s="51" cm="1">
        <f t="array" aca="1" ref="H98" ca="1">IF(ISNUMBER(_xll.VoseSimPercentile(Margin,$B98)),_xll.VoseSimPercentile(Margin,$B98),NA())</f>
        <v>0.12925232784803808</v>
      </c>
      <c r="I98" s="51">
        <f>0</f>
        <v>0</v>
      </c>
    </row>
    <row r="99" spans="2:9" hidden="1" outlineLevel="1" x14ac:dyDescent="0.45">
      <c r="B99" s="50">
        <v>0.95</v>
      </c>
      <c r="C99" s="50">
        <f t="shared" si="1"/>
        <v>5.0000000000000044E-2</v>
      </c>
      <c r="D99" s="51" cm="1">
        <f t="array" aca="1" ref="D99" ca="1">IF(ISNUMBER(_xll.VoseSimPercentile(Vote_SDP,$B99)),_xll.VoseSimPercentile(Vote_SDP,$B99),NA())</f>
        <v>0.29320648615973244</v>
      </c>
      <c r="E99" s="51" cm="1">
        <f t="array" aca="1" ref="E99" ca="1">IF(ISNUMBER(_xll.VoseSimPercentile(Vote_SMP,$B99)),_xll.VoseSimPercentile(Vote_SMP,$B99),NA())</f>
        <v>0.31543833413466171</v>
      </c>
      <c r="F99" s="51" cm="1">
        <f t="array" aca="1" ref="F99" ca="1">IF(ISNUMBER(_xll.VoseSimPercentile(Vote_PSM,$B99)),_xll.VoseSimPercentile(Vote_PSM,$B99),NA())</f>
        <v>0.18881545821918236</v>
      </c>
      <c r="G99" s="51" cm="1">
        <f t="array" aca="1" ref="G99" ca="1">IF(ISNUMBER(_xll.VoseSimPercentile(Vote_EDP,$B99)),_xll.VoseSimPercentile(Vote_EDP,$B99),NA())</f>
        <v>0.29485056978928353</v>
      </c>
      <c r="H99" s="51" cm="1">
        <f t="array" aca="1" ref="H99" ca="1">IF(ISNUMBER(_xll.VoseSimPercentile(Margin,$B99)),_xll.VoseSimPercentile(Margin,$B99),NA())</f>
        <v>0.13453586201781775</v>
      </c>
      <c r="I99" s="51">
        <f>0</f>
        <v>0</v>
      </c>
    </row>
    <row r="100" spans="2:9" hidden="1" outlineLevel="1" x14ac:dyDescent="0.45">
      <c r="B100" s="50">
        <v>0.97</v>
      </c>
      <c r="C100" s="50">
        <f t="shared" si="1"/>
        <v>3.0000000000000027E-2</v>
      </c>
      <c r="D100" s="51" cm="1">
        <f t="array" aca="1" ref="D100" ca="1">IF(ISNUMBER(_xll.VoseSimPercentile(Vote_SDP,$B100)),_xll.VoseSimPercentile(Vote_SDP,$B100),NA())</f>
        <v>0.29681291069659432</v>
      </c>
      <c r="E100" s="51" cm="1">
        <f t="array" aca="1" ref="E100" ca="1">IF(ISNUMBER(_xll.VoseSimPercentile(Vote_SMP,$B100)),_xll.VoseSimPercentile(Vote_SMP,$B100),NA())</f>
        <v>0.31904248837310833</v>
      </c>
      <c r="F100" s="51" cm="1">
        <f t="array" aca="1" ref="F100" ca="1">IF(ISNUMBER(_xll.VoseSimPercentile(Vote_PSM,$B100)),_xll.VoseSimPercentile(Vote_PSM,$B100),NA())</f>
        <v>0.19221279198322808</v>
      </c>
      <c r="G100" s="51" cm="1">
        <f t="array" aca="1" ref="G100" ca="1">IF(ISNUMBER(_xll.VoseSimPercentile(Vote_EDP,$B100)),_xll.VoseSimPercentile(Vote_EDP,$B100),NA())</f>
        <v>0.29829897077713408</v>
      </c>
      <c r="H100" s="51" cm="1">
        <f t="array" aca="1" ref="H100" ca="1">IF(ISNUMBER(_xll.VoseSimPercentile(Margin,$B100)),_xll.VoseSimPercentile(Margin,$B100),NA())</f>
        <v>0.14160502006492881</v>
      </c>
      <c r="I100" s="51">
        <f>0</f>
        <v>0</v>
      </c>
    </row>
    <row r="101" spans="2:9" hidden="1" outlineLevel="1" x14ac:dyDescent="0.45">
      <c r="B101" s="50">
        <v>0.99</v>
      </c>
      <c r="C101" s="50">
        <f t="shared" si="1"/>
        <v>1.0000000000000009E-2</v>
      </c>
      <c r="D101" s="51" cm="1">
        <f t="array" aca="1" ref="D101" ca="1">IF(ISNUMBER(_xll.VoseSimPercentile(Vote_SDP,$B101)),_xll.VoseSimPercentile(Vote_SDP,$B101),NA())</f>
        <v>0.30314304209872772</v>
      </c>
      <c r="E101" s="51" cm="1">
        <f t="array" aca="1" ref="E101" ca="1">IF(ISNUMBER(_xll.VoseSimPercentile(Vote_SMP,$B101)),_xll.VoseSimPercentile(Vote_SMP,$B101),NA())</f>
        <v>0.32514903542496815</v>
      </c>
      <c r="F101" s="51" cm="1">
        <f t="array" aca="1" ref="F101" ca="1">IF(ISNUMBER(_xll.VoseSimPercentile(Vote_PSM,$B101)),_xll.VoseSimPercentile(Vote_PSM,$B101),NA())</f>
        <v>0.19788836177659608</v>
      </c>
      <c r="G101" s="51" cm="1">
        <f t="array" aca="1" ref="G101" ca="1">IF(ISNUMBER(_xll.VoseSimPercentile(Vote_EDP,$B101)),_xll.VoseSimPercentile(Vote_EDP,$B101),NA())</f>
        <v>0.30480078007674877</v>
      </c>
      <c r="H101" s="51" cm="1">
        <f t="array" aca="1" ref="H101" ca="1">IF(ISNUMBER(_xll.VoseSimPercentile(Margin,$B101)),_xll.VoseSimPercentile(Margin,$B101),NA())</f>
        <v>0.15577373718185739</v>
      </c>
      <c r="I101" s="51">
        <f>0</f>
        <v>0</v>
      </c>
    </row>
  </sheetData>
  <mergeCells count="5">
    <mergeCell ref="B42:G42"/>
    <mergeCell ref="B46:G46"/>
    <mergeCell ref="B45:G45"/>
    <mergeCell ref="B43:G43"/>
    <mergeCell ref="B44:G44"/>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52:I101">
    <cfRule type="expression" dxfId="0" priority="3">
      <formula>ISNA(D52)</formula>
    </cfRule>
  </conditionalFormatting>
  <hyperlinks>
    <hyperlink ref="B4" location="'Shares'!A1" display="◂  Shar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F5A79-73B0-4B1B-8E4C-A2B28F297615}">
  <dimension ref="A1:B1"/>
  <sheetViews>
    <sheetView workbookViewId="0"/>
  </sheetViews>
  <sheetFormatPr defaultRowHeight="14.25" x14ac:dyDescent="0.45"/>
  <sheetData>
    <row r="1" spans="1:2" x14ac:dyDescent="0.45">
      <c r="A1" s="56" t="s">
        <v>190</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8361D-25DA-4601-92EF-629DCE69CA32}">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3E77A-FB63-4E3A-BE58-A4D561591DD8}">
  <dimension ref="B3:B112"/>
  <sheetViews>
    <sheetView workbookViewId="0"/>
  </sheetViews>
  <sheetFormatPr defaultRowHeight="14.25" x14ac:dyDescent="0.45"/>
  <sheetData>
    <row r="3" spans="2:2" x14ac:dyDescent="0.45">
      <c r="B3">
        <v>33</v>
      </c>
    </row>
    <row r="4" spans="2:2" x14ac:dyDescent="0.45">
      <c r="B4">
        <v>93</v>
      </c>
    </row>
    <row r="5" spans="2:2" x14ac:dyDescent="0.45">
      <c r="B5">
        <v>236</v>
      </c>
    </row>
    <row r="6" spans="2:2" x14ac:dyDescent="0.45">
      <c r="B6">
        <v>424</v>
      </c>
    </row>
    <row r="7" spans="2:2" x14ac:dyDescent="0.45">
      <c r="B7">
        <v>525</v>
      </c>
    </row>
    <row r="8" spans="2:2" x14ac:dyDescent="0.45">
      <c r="B8">
        <v>371</v>
      </c>
    </row>
    <row r="9" spans="2:2" x14ac:dyDescent="0.45">
      <c r="B9">
        <v>206</v>
      </c>
    </row>
    <row r="10" spans="2:2" x14ac:dyDescent="0.45">
      <c r="B10">
        <v>90</v>
      </c>
    </row>
    <row r="11" spans="2:2" x14ac:dyDescent="0.45">
      <c r="B11">
        <v>16</v>
      </c>
    </row>
    <row r="12" spans="2:2" x14ac:dyDescent="0.45">
      <c r="B12">
        <v>6</v>
      </c>
    </row>
    <row r="13" spans="2:2" x14ac:dyDescent="0.45">
      <c r="B13">
        <v>5</v>
      </c>
    </row>
    <row r="14" spans="2:2" x14ac:dyDescent="0.45">
      <c r="B14">
        <v>29</v>
      </c>
    </row>
    <row r="15" spans="2:2" x14ac:dyDescent="0.45">
      <c r="B15">
        <v>138</v>
      </c>
    </row>
    <row r="16" spans="2:2" x14ac:dyDescent="0.45">
      <c r="B16">
        <v>328</v>
      </c>
    </row>
    <row r="17" spans="2:2" x14ac:dyDescent="0.45">
      <c r="B17">
        <v>541</v>
      </c>
    </row>
    <row r="18" spans="2:2" x14ac:dyDescent="0.45">
      <c r="B18">
        <v>508</v>
      </c>
    </row>
    <row r="19" spans="2:2" x14ac:dyDescent="0.45">
      <c r="B19">
        <v>289</v>
      </c>
    </row>
    <row r="20" spans="2:2" x14ac:dyDescent="0.45">
      <c r="B20">
        <v>119</v>
      </c>
    </row>
    <row r="21" spans="2:2" x14ac:dyDescent="0.45">
      <c r="B21">
        <v>40</v>
      </c>
    </row>
    <row r="22" spans="2:2" x14ac:dyDescent="0.45">
      <c r="B22">
        <v>3</v>
      </c>
    </row>
    <row r="23" spans="2:2" x14ac:dyDescent="0.45">
      <c r="B23">
        <v>16</v>
      </c>
    </row>
    <row r="24" spans="2:2" x14ac:dyDescent="0.45">
      <c r="B24">
        <v>59</v>
      </c>
    </row>
    <row r="25" spans="2:2" x14ac:dyDescent="0.45">
      <c r="B25">
        <v>188</v>
      </c>
    </row>
    <row r="26" spans="2:2" x14ac:dyDescent="0.45">
      <c r="B26">
        <v>367</v>
      </c>
    </row>
    <row r="27" spans="2:2" x14ac:dyDescent="0.45">
      <c r="B27">
        <v>495</v>
      </c>
    </row>
    <row r="28" spans="2:2" x14ac:dyDescent="0.45">
      <c r="B28">
        <v>446</v>
      </c>
    </row>
    <row r="29" spans="2:2" x14ac:dyDescent="0.45">
      <c r="B29">
        <v>256</v>
      </c>
    </row>
    <row r="30" spans="2:2" x14ac:dyDescent="0.45">
      <c r="B30">
        <v>120</v>
      </c>
    </row>
    <row r="31" spans="2:2" x14ac:dyDescent="0.45">
      <c r="B31">
        <v>45</v>
      </c>
    </row>
    <row r="32" spans="2:2" x14ac:dyDescent="0.45">
      <c r="B32">
        <v>8</v>
      </c>
    </row>
    <row r="33" spans="2:2" x14ac:dyDescent="0.45">
      <c r="B33">
        <v>2</v>
      </c>
    </row>
    <row r="34" spans="2:2" x14ac:dyDescent="0.45">
      <c r="B34">
        <v>7</v>
      </c>
    </row>
    <row r="35" spans="2:2" x14ac:dyDescent="0.45">
      <c r="B35">
        <v>80</v>
      </c>
    </row>
    <row r="36" spans="2:2" x14ac:dyDescent="0.45">
      <c r="B36">
        <v>270</v>
      </c>
    </row>
    <row r="37" spans="2:2" x14ac:dyDescent="0.45">
      <c r="B37">
        <v>477</v>
      </c>
    </row>
    <row r="38" spans="2:2" x14ac:dyDescent="0.45">
      <c r="B38">
        <v>611</v>
      </c>
    </row>
    <row r="39" spans="2:2" x14ac:dyDescent="0.45">
      <c r="B39">
        <v>385</v>
      </c>
    </row>
    <row r="40" spans="2:2" x14ac:dyDescent="0.45">
      <c r="B40">
        <v>133</v>
      </c>
    </row>
    <row r="41" spans="2:2" x14ac:dyDescent="0.45">
      <c r="B41">
        <v>32</v>
      </c>
    </row>
    <row r="42" spans="2:2" x14ac:dyDescent="0.45">
      <c r="B42">
        <v>3</v>
      </c>
    </row>
    <row r="43" spans="2:2" x14ac:dyDescent="0.45">
      <c r="B43">
        <v>1726</v>
      </c>
    </row>
    <row r="44" spans="2:2" x14ac:dyDescent="0.45">
      <c r="B44">
        <v>0</v>
      </c>
    </row>
    <row r="45" spans="2:2" x14ac:dyDescent="0.45">
      <c r="B45">
        <v>0</v>
      </c>
    </row>
    <row r="46" spans="2:2" x14ac:dyDescent="0.45">
      <c r="B46">
        <v>0</v>
      </c>
    </row>
    <row r="47" spans="2:2" x14ac:dyDescent="0.45">
      <c r="B47">
        <v>0</v>
      </c>
    </row>
    <row r="48" spans="2:2" x14ac:dyDescent="0.45">
      <c r="B48">
        <v>0</v>
      </c>
    </row>
    <row r="49" spans="2:2" x14ac:dyDescent="0.45">
      <c r="B49">
        <v>0</v>
      </c>
    </row>
    <row r="50" spans="2:2" x14ac:dyDescent="0.45">
      <c r="B50">
        <v>0</v>
      </c>
    </row>
    <row r="51" spans="2:2" x14ac:dyDescent="0.45">
      <c r="B51">
        <v>0</v>
      </c>
    </row>
    <row r="52" spans="2:2" x14ac:dyDescent="0.45">
      <c r="B52">
        <v>274</v>
      </c>
    </row>
    <row r="53" spans="2:2" x14ac:dyDescent="0.45">
      <c r="B53">
        <v>636</v>
      </c>
    </row>
    <row r="54" spans="2:2" x14ac:dyDescent="0.45">
      <c r="B54">
        <v>0</v>
      </c>
    </row>
    <row r="55" spans="2:2" x14ac:dyDescent="0.45">
      <c r="B55">
        <v>0</v>
      </c>
    </row>
    <row r="56" spans="2:2" x14ac:dyDescent="0.45">
      <c r="B56">
        <v>0</v>
      </c>
    </row>
    <row r="57" spans="2:2" x14ac:dyDescent="0.45">
      <c r="B57">
        <v>0</v>
      </c>
    </row>
    <row r="58" spans="2:2" x14ac:dyDescent="0.45">
      <c r="B58">
        <v>0</v>
      </c>
    </row>
    <row r="59" spans="2:2" x14ac:dyDescent="0.45">
      <c r="B59">
        <v>0</v>
      </c>
    </row>
    <row r="60" spans="2:2" x14ac:dyDescent="0.45">
      <c r="B60">
        <v>0</v>
      </c>
    </row>
    <row r="61" spans="2:2" x14ac:dyDescent="0.45">
      <c r="B61">
        <v>0</v>
      </c>
    </row>
    <row r="62" spans="2:2" x14ac:dyDescent="0.45">
      <c r="B62">
        <v>1364</v>
      </c>
    </row>
    <row r="63" spans="2:2" x14ac:dyDescent="0.45">
      <c r="B63">
        <v>0</v>
      </c>
    </row>
    <row r="64" spans="2:2" x14ac:dyDescent="0.45">
      <c r="B64">
        <v>0</v>
      </c>
    </row>
    <row r="65" spans="2:2" x14ac:dyDescent="0.45">
      <c r="B65">
        <v>0</v>
      </c>
    </row>
    <row r="66" spans="2:2" x14ac:dyDescent="0.45">
      <c r="B66">
        <v>0</v>
      </c>
    </row>
    <row r="67" spans="2:2" x14ac:dyDescent="0.45">
      <c r="B67">
        <v>0</v>
      </c>
    </row>
    <row r="68" spans="2:2" x14ac:dyDescent="0.45">
      <c r="B68">
        <v>2000</v>
      </c>
    </row>
    <row r="69" spans="2:2" x14ac:dyDescent="0.45">
      <c r="B69">
        <v>0</v>
      </c>
    </row>
    <row r="70" spans="2:2" x14ac:dyDescent="0.45">
      <c r="B70">
        <v>0</v>
      </c>
    </row>
    <row r="71" spans="2:2" x14ac:dyDescent="0.45">
      <c r="B71">
        <v>0</v>
      </c>
    </row>
    <row r="72" spans="2:2" x14ac:dyDescent="0.45">
      <c r="B72">
        <v>0</v>
      </c>
    </row>
    <row r="73" spans="2:2" x14ac:dyDescent="0.45">
      <c r="B73">
        <v>1638</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362</v>
      </c>
    </row>
    <row r="83" spans="2:2" x14ac:dyDescent="0.45">
      <c r="B83">
        <v>5</v>
      </c>
    </row>
    <row r="84" spans="2:2" x14ac:dyDescent="0.45">
      <c r="B84">
        <v>28</v>
      </c>
    </row>
    <row r="85" spans="2:2" x14ac:dyDescent="0.45">
      <c r="B85">
        <v>151</v>
      </c>
    </row>
    <row r="86" spans="2:2" x14ac:dyDescent="0.45">
      <c r="B86">
        <v>377</v>
      </c>
    </row>
    <row r="87" spans="2:2" x14ac:dyDescent="0.45">
      <c r="B87">
        <v>598</v>
      </c>
    </row>
    <row r="88" spans="2:2" x14ac:dyDescent="0.45">
      <c r="B88">
        <v>517</v>
      </c>
    </row>
    <row r="89" spans="2:2" x14ac:dyDescent="0.45">
      <c r="B89">
        <v>243</v>
      </c>
    </row>
    <row r="90" spans="2:2" x14ac:dyDescent="0.45">
      <c r="B90">
        <v>71</v>
      </c>
    </row>
    <row r="91" spans="2:2" x14ac:dyDescent="0.45">
      <c r="B91">
        <v>8</v>
      </c>
    </row>
    <row r="92" spans="2:2" x14ac:dyDescent="0.45">
      <c r="B92">
        <v>2</v>
      </c>
    </row>
    <row r="93" spans="2:2" x14ac:dyDescent="0.45">
      <c r="B93">
        <v>15</v>
      </c>
    </row>
    <row r="94" spans="2:2" x14ac:dyDescent="0.45">
      <c r="B94">
        <v>0</v>
      </c>
    </row>
    <row r="95" spans="2:2" x14ac:dyDescent="0.45">
      <c r="B95">
        <v>0</v>
      </c>
    </row>
    <row r="96" spans="2:2" x14ac:dyDescent="0.45">
      <c r="B96">
        <v>0</v>
      </c>
    </row>
    <row r="97" spans="2:2" x14ac:dyDescent="0.45">
      <c r="B97">
        <v>0</v>
      </c>
    </row>
    <row r="98" spans="2:2" x14ac:dyDescent="0.45">
      <c r="B98">
        <v>0</v>
      </c>
    </row>
    <row r="99" spans="2:2" x14ac:dyDescent="0.45">
      <c r="B99">
        <v>0</v>
      </c>
    </row>
    <row r="100" spans="2:2" x14ac:dyDescent="0.45">
      <c r="B100">
        <v>0</v>
      </c>
    </row>
    <row r="101" spans="2:2" x14ac:dyDescent="0.45">
      <c r="B101">
        <v>0</v>
      </c>
    </row>
    <row r="102" spans="2:2" x14ac:dyDescent="0.45">
      <c r="B102">
        <v>1985</v>
      </c>
    </row>
    <row r="103" spans="2:2" x14ac:dyDescent="0.45">
      <c r="B103">
        <v>9</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1991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389A1D8E-2FB2-4975-B09B-CC7A89390207}">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About</vt:lpstr>
      <vt:lpstr>Inputs</vt:lpstr>
      <vt:lpstr>Shares</vt:lpstr>
      <vt:lpstr>Results</vt:lpstr>
      <vt:lpstr>ModelRiskDSN</vt:lpstr>
      <vt:lpstr>ModelRiskSYS1</vt:lpstr>
      <vt:lpstr>ModelRiskCharts</vt:lpstr>
      <vt:lpstr>Alpha_EDP</vt:lpstr>
      <vt:lpstr>Alpha_PSM</vt:lpstr>
      <vt:lpstr>Alpha_SDP</vt:lpstr>
      <vt:lpstr>Alpha_SMP</vt:lpstr>
      <vt:lpstr>Alpha3_SE</vt:lpstr>
      <vt:lpstr>Alpha3_SP</vt:lpstr>
      <vt:lpstr>Checks</vt:lpstr>
      <vt:lpstr>Coal3</vt:lpstr>
      <vt:lpstr>Coal5</vt:lpstr>
      <vt:lpstr>Margin</vt:lpstr>
      <vt:lpstr>NotVoting</vt:lpstr>
      <vt:lpstr>Results!Print_Area</vt:lpstr>
      <vt:lpstr>Inputs!Print_Titles</vt:lpstr>
      <vt:lpstr>Results!Print_Titles</vt:lpstr>
      <vt:lpstr>Said_EDP</vt:lpstr>
      <vt:lpstr>Said_PSM</vt:lpstr>
      <vt:lpstr>Said_SDP</vt:lpstr>
      <vt:lpstr>Said_SMP</vt:lpstr>
      <vt:lpstr>Surveyed</vt:lpstr>
      <vt:lpstr>Vote_EDP</vt:lpstr>
      <vt:lpstr>Vote_PSM</vt:lpstr>
      <vt:lpstr>Vote_SDP</vt:lpstr>
      <vt:lpstr>Vote_SMP</vt:lpstr>
      <vt:lpstr>Win_EDP</vt:lpstr>
      <vt:lpstr>Win_PSM</vt:lpstr>
      <vt:lpstr>Win_SDP</vt:lpstr>
      <vt:lpstr>Win_SMP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GU-19 From a Survey to Probabilities: an Election</dc:title>
  <dc:subject>ModelRisk industry example library — General use</dc:subject>
  <dc:creator>Vose Software</dc:creator>
  <cp:keywords>ModelRisk; Monte Carlo; General use</cp:keywords>
  <dc:description>A survey of 1,027 voters turned into the chance of each election result with the Dirichlet distribution.</dc:description>
  <cp:lastModifiedBy>Timour Koupeev</cp:lastModifiedBy>
  <cp:lastPrinted>2026-10-07T15:01:09Z</cp:lastPrinted>
  <dcterms:created xsi:type="dcterms:W3CDTF">2026-10-07T15:00:21Z</dcterms:created>
  <dcterms:modified xsi:type="dcterms:W3CDTF">2026-10-07T15:01:11Z</dcterms:modified>
</cp:coreProperties>
</file>