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8CD0B0EC-D1DD-4F86-91BE-01A7F84CE735}"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Draw" sheetId="3" r:id="rId3"/>
    <sheet name="Results" sheetId="4" r:id="rId4"/>
    <sheet name="ModelRiskDSN" sheetId="5" state="hidden" r:id="rId5"/>
    <sheet name="ModelRiskSYS1" sheetId="6" state="hidden" r:id="rId6"/>
    <sheet name="ModelRiskCharts" sheetId="7" state="hidden" r:id="rId7"/>
  </sheets>
  <definedNames>
    <definedName name="AllHyp">Draw!$E$30</definedName>
    <definedName name="AllRep">Draw!$E$31</definedName>
    <definedName name="BagTotal">Draw!$C$14</definedName>
    <definedName name="Checks">Draw!$E$35:$E$36</definedName>
    <definedName name="Draw_Blu">Draw!$E$22</definedName>
    <definedName name="Draw_Grn">Draw!$E$23</definedName>
    <definedName name="Draw_Red">Draw!$E$20</definedName>
    <definedName name="Draw_Wht">Draw!$E$21</definedName>
    <definedName name="Draw_Yel">Draw!$E$24</definedName>
    <definedName name="DrawHyp">Draw!$E$9:$E$13</definedName>
    <definedName name="DrawRep">Draw!$F$9:$F$13</definedName>
    <definedName name="N_Blu">Inputs!$D$13</definedName>
    <definedName name="N_Grn">Inputs!$D$14</definedName>
    <definedName name="N_Red">Inputs!$D$11</definedName>
    <definedName name="N_Wht">Inputs!$D$12</definedName>
    <definedName name="N_Yel">Inputs!$D$15</definedName>
    <definedName name="_xlnm.Print_Area" localSheetId="3">Results!$A$1:$R$55</definedName>
    <definedName name="_xlnm.Print_Titles" localSheetId="1">Inputs!$1:$4</definedName>
    <definedName name="_xlnm.Print_Titles" localSheetId="3">Results!$1:$4</definedName>
    <definedName name="Repl_Blu">Draw!$E$27</definedName>
    <definedName name="Repl_Grn">Draw!$E$28</definedName>
    <definedName name="Repl_Red">Draw!$E$25</definedName>
    <definedName name="Repl_Wht">Draw!$E$26</definedName>
    <definedName name="Repl_Yel">Draw!$E$29</definedName>
    <definedName name="SampleSize">Inputs!$D$20</definedName>
    <definedName name="SdHyp_Blu">Draw!$H$11</definedName>
    <definedName name="SdHyp_Grn">Draw!$H$12</definedName>
    <definedName name="SdHyp_Red">Draw!$H$9</definedName>
    <definedName name="SdHyp_Wht">Draw!$H$10</definedName>
    <definedName name="SdHyp_Yel">Draw!$H$13</definedName>
    <definedName name="SdRep_Blu">Draw!$I$11</definedName>
    <definedName name="SdRep_Grn">Draw!$I$12</definedName>
    <definedName name="SdRep_Red">Draw!$I$9</definedName>
    <definedName name="SdRep_Wht">Draw!$I$10</definedName>
    <definedName name="SdRep_Yel">Draw!$I$13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0" i="4" l="1"/>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16" i="4"/>
  <c r="C15" i="4"/>
  <c r="C14" i="4"/>
  <c r="C13" i="4"/>
  <c r="C12" i="4"/>
  <c r="C13" i="3"/>
  <c r="C12" i="3"/>
  <c r="C11" i="3"/>
  <c r="C10" i="3"/>
  <c r="C9" i="3"/>
  <c r="C14" i="3" l="1"/>
  <c r="D13" i="3"/>
  <c r="D10" i="3"/>
  <c r="I13" i="3"/>
  <c r="E25" i="4" s="1"/>
  <c r="G13" i="3"/>
  <c r="H13" i="3"/>
  <c r="C25" i="4" s="1"/>
  <c r="E35" i="3"/>
  <c r="B7" i="4" s="1"/>
  <c r="D11" i="3"/>
  <c r="D9" i="3"/>
  <c r="D12" i="3"/>
  <c r="I15" i="3"/>
  <c r="E9" i="3" a="1"/>
  <c r="E36" i="3"/>
  <c r="F9" i="3" a="1"/>
  <c r="F33" i="4" l="1"/>
  <c r="D33" i="4"/>
  <c r="D31" i="4"/>
  <c r="F31" i="4"/>
  <c r="D32" i="4"/>
  <c r="F32" i="4"/>
  <c r="D14" i="4"/>
  <c r="D13" i="4"/>
  <c r="D15" i="4"/>
  <c r="D16" i="4"/>
  <c r="D12" i="4"/>
  <c r="F10" i="3"/>
  <c r="E26" i="3" s="1" a="1"/>
  <c r="E26" i="3" s="1"/>
  <c r="F12" i="3"/>
  <c r="E28" i="3" s="1" a="1"/>
  <c r="E28" i="3" s="1"/>
  <c r="F13" i="3"/>
  <c r="E29" i="3" s="1" a="1"/>
  <c r="E29" i="3" s="1"/>
  <c r="F11" i="3"/>
  <c r="E27" i="3" s="1" a="1"/>
  <c r="E27" i="3" s="1"/>
  <c r="F9" i="3"/>
  <c r="G12" i="3"/>
  <c r="H12" i="3"/>
  <c r="C24" i="4" s="1"/>
  <c r="I12" i="3"/>
  <c r="E24" i="4" s="1"/>
  <c r="G9" i="3"/>
  <c r="I9" i="3"/>
  <c r="E21" i="4" s="1"/>
  <c r="H9" i="3"/>
  <c r="C21" i="4" s="1"/>
  <c r="D14" i="3"/>
  <c r="G11" i="3"/>
  <c r="H11" i="3"/>
  <c r="C23" i="4" s="1"/>
  <c r="I11" i="3"/>
  <c r="E23" i="4" s="1"/>
  <c r="E12" i="3"/>
  <c r="E23" i="3" s="1" a="1"/>
  <c r="E23" i="3" s="1"/>
  <c r="E11" i="3"/>
  <c r="E22" i="3" s="1" a="1"/>
  <c r="E22" i="3" s="1"/>
  <c r="E9" i="3"/>
  <c r="E13" i="3"/>
  <c r="E24" i="3" s="1" a="1"/>
  <c r="E24" i="3" s="1"/>
  <c r="E10" i="3"/>
  <c r="E21" i="3" s="1" a="1"/>
  <c r="E21" i="3" s="1"/>
  <c r="H10" i="3"/>
  <c r="C22" i="4" s="1"/>
  <c r="I10" i="3"/>
  <c r="E22" i="4" s="1"/>
  <c r="G10" i="3"/>
  <c r="F22" i="4" a="1"/>
  <c r="G14" i="4" a="1"/>
  <c r="D23" i="4" a="1"/>
  <c r="F14" i="4" a="1"/>
  <c r="E14" i="4" a="1"/>
  <c r="F24" i="4" a="1"/>
  <c r="F15" i="4" a="1"/>
  <c r="G15" i="4" a="1"/>
  <c r="D24" i="4" a="1"/>
  <c r="E15" i="4" a="1"/>
  <c r="G67" i="4" a="1"/>
  <c r="G100" i="4" a="1"/>
  <c r="G69" i="4" a="1"/>
  <c r="G72" i="4" a="1"/>
  <c r="E33" i="4" a="1"/>
  <c r="G82" i="4" a="1"/>
  <c r="G77" i="4" a="1"/>
  <c r="G71" i="4" a="1"/>
  <c r="G106" i="4" a="1"/>
  <c r="G89" i="4" a="1"/>
  <c r="G102" i="4" a="1"/>
  <c r="G110" i="4" a="1"/>
  <c r="G85" i="4" a="1"/>
  <c r="G79" i="4" a="1"/>
  <c r="G84" i="4" a="1"/>
  <c r="G105" i="4" a="1"/>
  <c r="G83" i="4" a="1"/>
  <c r="G99" i="4" a="1"/>
  <c r="G73" i="4" a="1"/>
  <c r="G87" i="4" a="1"/>
  <c r="G107" i="4" a="1"/>
  <c r="G93" i="4" a="1"/>
  <c r="G103" i="4" a="1"/>
  <c r="G104" i="4" a="1"/>
  <c r="G90" i="4" a="1"/>
  <c r="G70" i="4" a="1"/>
  <c r="G91" i="4" a="1"/>
  <c r="G109" i="4" a="1"/>
  <c r="G78" i="4" a="1"/>
  <c r="G81" i="4" a="1"/>
  <c r="G80" i="4" a="1"/>
  <c r="G74" i="4" a="1"/>
  <c r="G98" i="4" a="1"/>
  <c r="G95" i="4" a="1"/>
  <c r="G101" i="4" a="1"/>
  <c r="G65" i="4" a="1"/>
  <c r="G68" i="4" a="1"/>
  <c r="G64" i="4" a="1"/>
  <c r="G86" i="4" a="1"/>
  <c r="G97" i="4" a="1"/>
  <c r="G96" i="4" a="1"/>
  <c r="G92" i="4" a="1"/>
  <c r="G76" i="4" a="1"/>
  <c r="G62" i="4" a="1"/>
  <c r="G108" i="4" a="1"/>
  <c r="G61" i="4" a="1"/>
  <c r="G88" i="4" a="1"/>
  <c r="G94" i="4" a="1"/>
  <c r="G63" i="4" a="1"/>
  <c r="F25" i="4" a="1"/>
  <c r="G75" i="4" a="1"/>
  <c r="G66" i="4" a="1"/>
  <c r="F66" i="4" a="1"/>
  <c r="F107" i="4" a="1"/>
  <c r="F102" i="4" a="1"/>
  <c r="F103" i="4" a="1"/>
  <c r="F69" i="4" a="1"/>
  <c r="F78" i="4" a="1"/>
  <c r="E16" i="4" a="1"/>
  <c r="F93" i="4" a="1"/>
  <c r="F80" i="4" a="1"/>
  <c r="F68" i="4" a="1"/>
  <c r="F61" i="4" a="1"/>
  <c r="C33" i="4" a="1"/>
  <c r="F99" i="4" a="1"/>
  <c r="F72" i="4" a="1"/>
  <c r="D25" i="4" a="1"/>
  <c r="F82" i="4" a="1"/>
  <c r="F71" i="4" a="1"/>
  <c r="F73" i="4" a="1"/>
  <c r="F95" i="4" a="1"/>
  <c r="F110" i="4" a="1"/>
  <c r="F74" i="4" a="1"/>
  <c r="F108" i="4" a="1"/>
  <c r="G16" i="4" a="1"/>
  <c r="F100" i="4" a="1"/>
  <c r="F89" i="4" a="1"/>
  <c r="F94" i="4" a="1"/>
  <c r="F109" i="4" a="1"/>
  <c r="F88" i="4" a="1"/>
  <c r="F86" i="4" a="1"/>
  <c r="F85" i="4" a="1"/>
  <c r="F64" i="4" a="1"/>
  <c r="F104" i="4" a="1"/>
  <c r="F65" i="4" a="1"/>
  <c r="F92" i="4" a="1"/>
  <c r="F70" i="4" a="1"/>
  <c r="F75" i="4" a="1"/>
  <c r="F106" i="4" a="1"/>
  <c r="F105" i="4" a="1"/>
  <c r="F83" i="4" a="1"/>
  <c r="F81" i="4" a="1"/>
  <c r="F97" i="4" a="1"/>
  <c r="F87" i="4" a="1"/>
  <c r="F84" i="4" a="1"/>
  <c r="F101" i="4" a="1"/>
  <c r="F67" i="4" a="1"/>
  <c r="F98" i="4" a="1"/>
  <c r="F63" i="4" a="1"/>
  <c r="F91" i="4" a="1"/>
  <c r="F62" i="4" a="1"/>
  <c r="F79" i="4" a="1"/>
  <c r="F96" i="4" a="1"/>
  <c r="F76" i="4" a="1"/>
  <c r="F77" i="4" a="1"/>
  <c r="F16" i="4" a="1"/>
  <c r="F90" i="4" a="1"/>
  <c r="F23" i="4" a="1"/>
  <c r="F13" i="4" a="1"/>
  <c r="E13" i="4" a="1"/>
  <c r="G13" i="4" a="1"/>
  <c r="D22" i="4" a="1"/>
  <c r="D22" i="4" l="1"/>
  <c r="G13" i="4"/>
  <c r="E13" i="4"/>
  <c r="F13" i="4"/>
  <c r="F23" i="4"/>
  <c r="F90" i="4"/>
  <c r="F16" i="4"/>
  <c r="F77" i="4"/>
  <c r="F76" i="4"/>
  <c r="F96" i="4"/>
  <c r="F79" i="4"/>
  <c r="F62" i="4"/>
  <c r="F91" i="4"/>
  <c r="F63" i="4"/>
  <c r="F98" i="4"/>
  <c r="F67" i="4"/>
  <c r="F101" i="4"/>
  <c r="F84" i="4"/>
  <c r="F87" i="4"/>
  <c r="F97" i="4"/>
  <c r="F81" i="4"/>
  <c r="F83" i="4"/>
  <c r="F105" i="4"/>
  <c r="F106" i="4"/>
  <c r="F75" i="4"/>
  <c r="F70" i="4"/>
  <c r="F92" i="4"/>
  <c r="F65" i="4"/>
  <c r="F104" i="4"/>
  <c r="F64" i="4"/>
  <c r="F85" i="4"/>
  <c r="F86" i="4"/>
  <c r="F88" i="4"/>
  <c r="F109" i="4"/>
  <c r="F94" i="4"/>
  <c r="F89" i="4"/>
  <c r="F100" i="4"/>
  <c r="G16" i="4"/>
  <c r="F108" i="4"/>
  <c r="F74" i="4"/>
  <c r="F110" i="4"/>
  <c r="F95" i="4"/>
  <c r="F73" i="4"/>
  <c r="F71" i="4"/>
  <c r="F82" i="4"/>
  <c r="D25" i="4"/>
  <c r="F72" i="4"/>
  <c r="F99" i="4"/>
  <c r="C33" i="4"/>
  <c r="F61" i="4"/>
  <c r="F68" i="4"/>
  <c r="F80" i="4"/>
  <c r="F93" i="4"/>
  <c r="E16" i="4"/>
  <c r="F78" i="4"/>
  <c r="F69" i="4"/>
  <c r="F103" i="4"/>
  <c r="F102" i="4"/>
  <c r="F107" i="4"/>
  <c r="F66" i="4"/>
  <c r="G66" i="4"/>
  <c r="G75" i="4"/>
  <c r="F25" i="4"/>
  <c r="G63" i="4"/>
  <c r="G94" i="4"/>
  <c r="G88" i="4"/>
  <c r="G61" i="4"/>
  <c r="G108" i="4"/>
  <c r="G62" i="4"/>
  <c r="G76" i="4"/>
  <c r="G92" i="4"/>
  <c r="G96" i="4"/>
  <c r="G97" i="4"/>
  <c r="G86" i="4"/>
  <c r="G64" i="4"/>
  <c r="G68" i="4"/>
  <c r="G65" i="4"/>
  <c r="G101" i="4"/>
  <c r="G95" i="4"/>
  <c r="G98" i="4"/>
  <c r="G74" i="4"/>
  <c r="G80" i="4"/>
  <c r="G81" i="4"/>
  <c r="G78" i="4"/>
  <c r="G109" i="4"/>
  <c r="G91" i="4"/>
  <c r="G70" i="4"/>
  <c r="G90" i="4"/>
  <c r="G104" i="4"/>
  <c r="G103" i="4"/>
  <c r="G93" i="4"/>
  <c r="G107" i="4"/>
  <c r="G87" i="4"/>
  <c r="G73" i="4"/>
  <c r="G99" i="4"/>
  <c r="G83" i="4"/>
  <c r="G105" i="4"/>
  <c r="G84" i="4"/>
  <c r="G79" i="4"/>
  <c r="G85" i="4"/>
  <c r="G110" i="4"/>
  <c r="G102" i="4"/>
  <c r="G89" i="4"/>
  <c r="G106" i="4"/>
  <c r="G71" i="4"/>
  <c r="G77" i="4"/>
  <c r="G82" i="4"/>
  <c r="E33" i="4"/>
  <c r="G72" i="4"/>
  <c r="G69" i="4"/>
  <c r="G100" i="4"/>
  <c r="G67" i="4"/>
  <c r="E15" i="4"/>
  <c r="D24" i="4"/>
  <c r="G15" i="4"/>
  <c r="F15" i="4"/>
  <c r="F24" i="4"/>
  <c r="E14" i="4"/>
  <c r="F14" i="4"/>
  <c r="D23" i="4"/>
  <c r="G14" i="4"/>
  <c r="F22" i="4"/>
  <c r="E25" i="3" a="1"/>
  <c r="E25" i="3" s="1"/>
  <c r="F14" i="3"/>
  <c r="E31" i="3" a="1"/>
  <c r="E31" i="3" s="1"/>
  <c r="E30" i="3" a="1"/>
  <c r="E30" i="3" s="1"/>
  <c r="E20" i="3" a="1"/>
  <c r="E20" i="3" s="1"/>
  <c r="E14" i="3"/>
  <c r="G14" i="3"/>
  <c r="C30" i="4" a="1"/>
  <c r="E72" i="4" a="1"/>
  <c r="E109" i="4" a="1"/>
  <c r="E67" i="4" a="1"/>
  <c r="E84" i="4" a="1"/>
  <c r="E85" i="4" a="1"/>
  <c r="E107" i="4" a="1"/>
  <c r="E91" i="4" a="1"/>
  <c r="E100" i="4" a="1"/>
  <c r="E95" i="4" a="1"/>
  <c r="E75" i="4" a="1"/>
  <c r="E76" i="4" a="1"/>
  <c r="E80" i="4" a="1"/>
  <c r="E110" i="4" a="1"/>
  <c r="E88" i="4" a="1"/>
  <c r="E62" i="4" a="1"/>
  <c r="E61" i="4" a="1"/>
  <c r="E73" i="4" a="1"/>
  <c r="E69" i="4" a="1"/>
  <c r="E99" i="4" a="1"/>
  <c r="E66" i="4" a="1"/>
  <c r="E87" i="4" a="1"/>
  <c r="E101" i="4" a="1"/>
  <c r="E63" i="4" a="1"/>
  <c r="E74" i="4" a="1"/>
  <c r="E82" i="4" a="1"/>
  <c r="E81" i="4" a="1"/>
  <c r="E103" i="4" a="1"/>
  <c r="E71" i="4" a="1"/>
  <c r="E64" i="4" a="1"/>
  <c r="E89" i="4" a="1"/>
  <c r="E86" i="4" a="1"/>
  <c r="F21" i="4" a="1"/>
  <c r="E104" i="4" a="1"/>
  <c r="E97" i="4" a="1"/>
  <c r="E98" i="4" a="1"/>
  <c r="E92" i="4" a="1"/>
  <c r="E68" i="4" a="1"/>
  <c r="E70" i="4" a="1"/>
  <c r="E96" i="4" a="1"/>
  <c r="E90" i="4" a="1"/>
  <c r="E102" i="4" a="1"/>
  <c r="E31" i="4" a="1"/>
  <c r="E105" i="4" a="1"/>
  <c r="E106" i="4" a="1"/>
  <c r="E108" i="4" a="1"/>
  <c r="E78" i="4" a="1"/>
  <c r="E77" i="4" a="1"/>
  <c r="E65" i="4" a="1"/>
  <c r="E83" i="4" a="1"/>
  <c r="E32" i="4" a="1"/>
  <c r="E94" i="4" a="1"/>
  <c r="E79" i="4" a="1"/>
  <c r="E93" i="4" a="1"/>
  <c r="D95" i="4" a="1"/>
  <c r="D74" i="4" a="1"/>
  <c r="D87" i="4" a="1"/>
  <c r="D92" i="4" a="1"/>
  <c r="D68" i="4" a="1"/>
  <c r="D80" i="4" a="1"/>
  <c r="D81" i="4" a="1"/>
  <c r="B6" i="4" a="1"/>
  <c r="D94" i="4" a="1"/>
  <c r="D75" i="4" a="1"/>
  <c r="D21" i="4" a="1"/>
  <c r="D103" i="4" a="1"/>
  <c r="D82" i="4" a="1"/>
  <c r="D109" i="4" a="1"/>
  <c r="F12" i="4" a="1"/>
  <c r="D85" i="4" a="1"/>
  <c r="D106" i="4" a="1"/>
  <c r="D107" i="4" a="1"/>
  <c r="D83" i="4" a="1"/>
  <c r="D108" i="4" a="1"/>
  <c r="D70" i="4" a="1"/>
  <c r="D71" i="4" a="1"/>
  <c r="D88" i="4" a="1"/>
  <c r="D100" i="4" a="1"/>
  <c r="D89" i="4" a="1"/>
  <c r="D77" i="4" a="1"/>
  <c r="D78" i="4" a="1"/>
  <c r="D72" i="4" a="1"/>
  <c r="D73" i="4" a="1"/>
  <c r="D79" i="4" a="1"/>
  <c r="D110" i="4" a="1"/>
  <c r="D86" i="4" a="1"/>
  <c r="D61" i="4" a="1"/>
  <c r="C31" i="4" a="1"/>
  <c r="D69" i="4" a="1"/>
  <c r="D101" i="4" a="1"/>
  <c r="C32" i="4" a="1"/>
  <c r="D105" i="4" a="1"/>
  <c r="D97" i="4" a="1"/>
  <c r="D98" i="4" a="1"/>
  <c r="D93" i="4" a="1"/>
  <c r="D67" i="4" a="1"/>
  <c r="D96" i="4" a="1"/>
  <c r="D76" i="4" a="1"/>
  <c r="D63" i="4" a="1"/>
  <c r="D84" i="4" a="1"/>
  <c r="D91" i="4" a="1"/>
  <c r="G12" i="4" a="1"/>
  <c r="D104" i="4" a="1"/>
  <c r="D65" i="4" a="1"/>
  <c r="D62" i="4" a="1"/>
  <c r="D102" i="4" a="1"/>
  <c r="D64" i="4" a="1"/>
  <c r="E12" i="4" a="1"/>
  <c r="D66" i="4" a="1"/>
  <c r="D90" i="4" a="1"/>
  <c r="D99" i="4" a="1"/>
  <c r="E30" i="4" a="1"/>
  <c r="E30" i="4" l="1"/>
  <c r="D99" i="4"/>
  <c r="D90" i="4"/>
  <c r="D66" i="4"/>
  <c r="E12" i="4"/>
  <c r="D64" i="4"/>
  <c r="D102" i="4"/>
  <c r="D62" i="4"/>
  <c r="D65" i="4"/>
  <c r="D104" i="4"/>
  <c r="G12" i="4"/>
  <c r="D91" i="4"/>
  <c r="D84" i="4"/>
  <c r="D63" i="4"/>
  <c r="D76" i="4"/>
  <c r="D96" i="4"/>
  <c r="D67" i="4"/>
  <c r="D93" i="4"/>
  <c r="D98" i="4"/>
  <c r="D97" i="4"/>
  <c r="D105" i="4"/>
  <c r="C32" i="4"/>
  <c r="D101" i="4"/>
  <c r="D69" i="4"/>
  <c r="C31" i="4"/>
  <c r="D61" i="4"/>
  <c r="D86" i="4"/>
  <c r="D110" i="4"/>
  <c r="D79" i="4"/>
  <c r="D73" i="4"/>
  <c r="D72" i="4"/>
  <c r="D78" i="4"/>
  <c r="D77" i="4"/>
  <c r="D89" i="4"/>
  <c r="D100" i="4"/>
  <c r="D88" i="4"/>
  <c r="D71" i="4"/>
  <c r="D70" i="4"/>
  <c r="D108" i="4"/>
  <c r="D83" i="4"/>
  <c r="D107" i="4"/>
  <c r="D106" i="4"/>
  <c r="D85" i="4"/>
  <c r="F12" i="4"/>
  <c r="D109" i="4"/>
  <c r="D82" i="4"/>
  <c r="D103" i="4"/>
  <c r="D21" i="4"/>
  <c r="D75" i="4"/>
  <c r="D94" i="4"/>
  <c r="B6" i="4"/>
  <c r="D81" i="4"/>
  <c r="D80" i="4"/>
  <c r="D68" i="4"/>
  <c r="D92" i="4"/>
  <c r="D87" i="4"/>
  <c r="D74" i="4"/>
  <c r="D95" i="4"/>
  <c r="E93" i="4"/>
  <c r="E79" i="4"/>
  <c r="E94" i="4"/>
  <c r="E32" i="4"/>
  <c r="E83" i="4"/>
  <c r="E65" i="4"/>
  <c r="E77" i="4"/>
  <c r="E78" i="4"/>
  <c r="E108" i="4"/>
  <c r="E106" i="4"/>
  <c r="E105" i="4"/>
  <c r="E31" i="4"/>
  <c r="E102" i="4"/>
  <c r="E90" i="4"/>
  <c r="E96" i="4"/>
  <c r="E70" i="4"/>
  <c r="E68" i="4"/>
  <c r="E92" i="4"/>
  <c r="E98" i="4"/>
  <c r="E97" i="4"/>
  <c r="E104" i="4"/>
  <c r="F21" i="4"/>
  <c r="E86" i="4"/>
  <c r="E89" i="4"/>
  <c r="E64" i="4"/>
  <c r="E71" i="4"/>
  <c r="E103" i="4"/>
  <c r="E81" i="4"/>
  <c r="E82" i="4"/>
  <c r="E74" i="4"/>
  <c r="E63" i="4"/>
  <c r="E101" i="4"/>
  <c r="E87" i="4"/>
  <c r="E66" i="4"/>
  <c r="E99" i="4"/>
  <c r="E69" i="4"/>
  <c r="E73" i="4"/>
  <c r="E61" i="4"/>
  <c r="E62" i="4"/>
  <c r="E88" i="4"/>
  <c r="E110" i="4"/>
  <c r="E80" i="4"/>
  <c r="E76" i="4"/>
  <c r="E75" i="4"/>
  <c r="E95" i="4"/>
  <c r="E100" i="4"/>
  <c r="E91" i="4"/>
  <c r="E107" i="4"/>
  <c r="E85" i="4"/>
  <c r="E84" i="4"/>
  <c r="E67" i="4"/>
  <c r="E109" i="4"/>
  <c r="E72" i="4"/>
  <c r="C3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<sst xmlns="http://schemas.openxmlformats.org/spreadsheetml/2006/main" count="238" uniqueCount="186">
  <si>
    <t>Sampling from a Population of Several Groups</t>
  </si>
  <si>
    <t>ModelRisk example  ·  General use  ·  GU-18</t>
  </si>
  <si>
    <t>Take 30 balls from a bag of 100 in five colours: how many of each will you get?</t>
  </si>
  <si>
    <t>Next:  Inputs  ▸</t>
  </si>
  <si>
    <t>Model card</t>
  </si>
  <si>
    <t>Industry</t>
  </si>
  <si>
    <t>General use</t>
  </si>
  <si>
    <t>Difficulty</t>
  </si>
  <si>
    <t>★★☆☆☆   One array function draws the whole sample; a second one shows what putting balls back would change.</t>
  </si>
  <si>
    <t>Business question</t>
  </si>
  <si>
    <t>A bag holds 100 balls: 10 red, 15 white, 20 blue, 25 green and 30 yellow. Without looking, you take 30 out. How many of each colour will you get?</t>
  </si>
  <si>
    <t>Who it is for</t>
  </si>
  <si>
    <t>Anyone drawing a sample without replacement from a population split into groups: audit samples across account types, inspections across production lines, survey samples across regions, captures across species.</t>
  </si>
  <si>
    <t>Main outputs</t>
  </si>
  <si>
    <t>The number of each colour in the draw: expected, mean and 10th / 90th percentiles · the spread with and without replacement · the chance that every colour is drawn, that no red is drawn, of 5 or more red and of 12 or more yellow.</t>
  </si>
  <si>
    <t>ModelRisk techniques</t>
  </si>
  <si>
    <t>VoseMultiHypergeo: the whole draw without replacement, all groups at once, as one array · VoseMultinomial: the same draw with replacement, for comparison · the finite-population correction · output cells and VoseSimProbability.</t>
  </si>
  <si>
    <t>File</t>
  </si>
  <si>
    <t>GU-18 Sampling from a population of several groups  ·  Version 1.0  ·  October 2026  ·  re-issues the example Multivariate Hypergeometric  ·  built with ModelRisk 10</t>
  </si>
  <si>
    <t>The business question</t>
  </si>
  <si>
    <t>A bag holds 100 coloured balls: 10 red, 15 white, 20 blue, 25 green and 30 yellow. You take out 30 without looking and without putting any back. The five counts are linked: they always add up to 30, and every ball of one colour taken leaves less room for the others. VoseMultiHypergeo draws all five counts at once. The model also draws the same 30 with replacement (VoseMultinomial), to show how much taking balls out narrows the spread.</t>
  </si>
  <si>
    <t>How the model works</t>
  </si>
  <si>
    <t>Three sheets after this one, read from left to right. Each one feeds the next.</t>
  </si>
  <si>
    <t>1  Inputs</t>
  </si>
  <si>
    <t>The number of balls of each colour in the bag, and how many you take out.</t>
  </si>
  <si>
    <t>2  Draw</t>
  </si>
  <si>
    <t>VoseMultiHypergeo draws the five counts without replacement, as one array; VoseMultinomial draws them with replacement. Beside them: each colour's share of the bag, its expected count and the exact standard deviation both ways.</t>
  </si>
  <si>
    <t>3  Results</t>
  </si>
  <si>
    <t>Each colour's count (expected, simulated mean, 10th and 90th percentiles), the spread with and without replacement, and the chance of a few outcomes both ways.</t>
  </si>
  <si>
    <t>How to use it</t>
  </si>
  <si>
    <t>Step 1</t>
  </si>
  <si>
    <t>Set the bag's contents and the sample size on the Inputs sheet (the sample cannot be larger than the bag).</t>
  </si>
  <si>
    <t>Step 2</t>
  </si>
  <si>
    <t>Run a simulation from the ModelRisk ribbon (10,000 samples with a fixed seed are set).</t>
  </si>
  <si>
    <t>Step 3</t>
  </si>
  <si>
    <t>For your own problem, replace the colours by your groups: account types, production lines, regions.</t>
  </si>
  <si>
    <t>Workbook map</t>
  </si>
  <si>
    <t>Inputs</t>
  </si>
  <si>
    <t>The bag and the sample size.</t>
  </si>
  <si>
    <t>Draw</t>
  </si>
  <si>
    <t>Both draws and the exact moments; outputs and checks.</t>
  </si>
  <si>
    <t>Results</t>
  </si>
  <si>
    <t>The draw by colour, the spread both ways and the chances.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</si>
  <si>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</si>
  <si>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</si>
  <si>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</si>
  <si>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</si>
  <si>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</si>
  <si>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</si>
  <si>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</si>
  <si>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</si>
  <si>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</si>
  <si>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</si>
  <si>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</si>
  <si>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</si>
  <si>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Without replacement</t>
  </si>
  <si>
    <t>A ball taken out is not put back: the model's draw (VoseMultiHypergeo).</t>
  </si>
  <si>
    <t>With replacement</t>
  </si>
  <si>
    <t>Every ball is put back before the next is taken: the comparison (VoseMultinomial).</t>
  </si>
  <si>
    <t>Key assumptions and limitations</t>
  </si>
  <si>
    <t>Random draw</t>
  </si>
  <si>
    <t>Every ball still in the bag is equally likely to be taken next.</t>
  </si>
  <si>
    <t>Data</t>
  </si>
  <si>
    <t>The bag and the draw are those of ModelRisk's earlier Multivariate Hypergeometric example. Its text called the second colour white and its table purple: white is used here.</t>
  </si>
  <si>
    <t>ModelRisk functions used</t>
  </si>
  <si>
    <t>VoseMultiHypergeo</t>
  </si>
  <si>
    <t>The number of each colour in a draw without replacement, as one array.</t>
  </si>
  <si>
    <t>VoseMultinomial</t>
  </si>
  <si>
    <t>The same draw with replacement.</t>
  </si>
  <si>
    <t>VoseOutput</t>
  </si>
  <si>
    <t>The counts and the every-colour indicator, recorded at every sample.</t>
  </si>
  <si>
    <t>VoseSimMean, VoseSimStdev, VoseSimPercentile, VoseSimProbability</t>
  </si>
  <si>
    <t>Statistics of the simulation.</t>
  </si>
  <si>
    <t>Further reading</t>
  </si>
  <si>
    <t>Hypergeometric distribution</t>
  </si>
  <si>
    <t>Vose, D. (2008). Risk Analysis: A Quantitative Guide, 3rd edition. Wiley: the hypergeometric process and the multivariate hypergeometric distribution.</t>
  </si>
  <si>
    <t>© 2026 Vose Software   ·   www.vosesoftware.com   ·   An illustrative example: the figures are invented for teaching and do not describe a real company, project or asset.</t>
  </si>
  <si>
    <t>INPUTS   ·   The bag and the draw. Change only the yellow cells.</t>
  </si>
  <si>
    <t>◂  About</t>
  </si>
  <si>
    <t>Next:  Draw  ▸</t>
  </si>
  <si>
    <t>How to read this sheet:  yellow cells are inputs.</t>
  </si>
  <si>
    <t>1   The bag</t>
  </si>
  <si>
    <t>The number of balls of each colour.</t>
  </si>
  <si>
    <t>Assumption</t>
  </si>
  <si>
    <t>Unit</t>
  </si>
  <si>
    <t>Value in model</t>
  </si>
  <si>
    <t>Uncertainty</t>
  </si>
  <si>
    <t>Basis / source (illustrative)</t>
  </si>
  <si>
    <t>Red balls in the bag</t>
  </si>
  <si>
    <t>balls</t>
  </si>
  <si>
    <t>Fixed</t>
  </si>
  <si>
    <t>The original example's bag: 100 balls</t>
  </si>
  <si>
    <t>White balls in the bag</t>
  </si>
  <si>
    <t>Blue balls in the bag</t>
  </si>
  <si>
    <t>Green balls in the bag</t>
  </si>
  <si>
    <t>Yellow balls in the bag</t>
  </si>
  <si>
    <t>2   The draw</t>
  </si>
  <si>
    <t>How many balls you take out, without putting any back.</t>
  </si>
  <si>
    <t>Balls taken out</t>
  </si>
  <si>
    <t>Must not be larger than the bag (checked)</t>
  </si>
  <si>
    <t>DRAW   ·   The same 30 balls drawn without and with replacement, beside the exact mean and spread.</t>
  </si>
  <si>
    <t>◂  Inputs</t>
  </si>
  <si>
    <t>Next:  Results  ▸</t>
  </si>
  <si>
    <t>1   The bag and the two draws</t>
  </si>
  <si>
    <t>Without replacement is the model; with replacement is there to compare.</t>
  </si>
  <si>
    <t>Colour</t>
  </si>
  <si>
    <t>In the bag</t>
  </si>
  <si>
    <t>Share of the bag</t>
  </si>
  <si>
    <t>Drawn without replacement</t>
  </si>
  <si>
    <t>Drawn with replacement</t>
  </si>
  <si>
    <t>Expected</t>
  </si>
  <si>
    <t>Std dev without replacement</t>
  </si>
  <si>
    <t>Std dev with replacement</t>
  </si>
  <si>
    <t>Red</t>
  </si>
  <si>
    <t>VoseMultiHypergeo(balls taken, the bag's counts): all five counts at once</t>
  </si>
  <si>
    <t>White</t>
  </si>
  <si>
    <t>VoseMultinomial(balls taken, the shares): the same with replacement</t>
  </si>
  <si>
    <t>Blue</t>
  </si>
  <si>
    <t>Expected: balls taken × share of the bag (the same both ways)</t>
  </si>
  <si>
    <t>Green</t>
  </si>
  <si>
    <t>Std dev without replacement = with replacement × the correction below</t>
  </si>
  <si>
    <t>Yellow</t>
  </si>
  <si>
    <t>Total</t>
  </si>
  <si>
    <t>Both draws always add up to the balls taken</t>
  </si>
  <si>
    <t>Finite-population correction</t>
  </si>
  <si>
    <t>√((bag − taken) / (bag − 1)): how much not putting balls back narrows the spread</t>
  </si>
  <si>
    <t>2   Value in this iteration</t>
  </si>
  <si>
    <t>Key outputs, recorded by ModelRisk at every sample (VoseOutput). Their statistics appear on the Results sheet.</t>
  </si>
  <si>
    <t>Output</t>
  </si>
  <si>
    <t>Value</t>
  </si>
  <si>
    <t>Meaning</t>
  </si>
  <si>
    <t>Red, without replacement</t>
  </si>
  <si>
    <t>White, without replacement</t>
  </si>
  <si>
    <t>Blue, without replacement</t>
  </si>
  <si>
    <t>Green, without replacement</t>
  </si>
  <si>
    <t>Yellow, without replacement</t>
  </si>
  <si>
    <t>Red, with replacement</t>
  </si>
  <si>
    <t>White, with replacement</t>
  </si>
  <si>
    <t>Blue, with replacement</t>
  </si>
  <si>
    <t>Green, with replacement</t>
  </si>
  <si>
    <t>Yellow, with replacement</t>
  </si>
  <si>
    <t>Every colour drawn, without replacement</t>
  </si>
  <si>
    <t>1 = yes</t>
  </si>
  <si>
    <t>1 when the draw holds at least one ball of every colour</t>
  </si>
  <si>
    <t>Every colour drawn, with replacement</t>
  </si>
  <si>
    <t>3   Model checks</t>
  </si>
  <si>
    <t>Should all read OK. A CHECK means an input has been set outside the range the model is built for.</t>
  </si>
  <si>
    <t>The draw is no larger than the bag</t>
  </si>
  <si>
    <t>Every colour's count is zero or more</t>
  </si>
  <si>
    <t>RESULTS   ·   Filled in automatically from the last simulation. Run a simulation after changing any input.</t>
  </si>
  <si>
    <t>◂  Draw</t>
  </si>
  <si>
    <t>1   The draw by colour</t>
  </si>
  <si>
    <t>Red balls in the draw</t>
  </si>
  <si>
    <t>Without replacement. Expected = balls taken × the colour's share of the bag.</t>
  </si>
  <si>
    <t>Mean drawn</t>
  </si>
  <si>
    <t>10th pct</t>
  </si>
  <si>
    <t>90th pct</t>
  </si>
  <si>
    <t>2   The spread: without and with replacement</t>
  </si>
  <si>
    <t>Standard deviation of each count, exact and simulated.</t>
  </si>
  <si>
    <t>Without, exact</t>
  </si>
  <si>
    <t>Without, simulated</t>
  </si>
  <si>
    <t>With, exact</t>
  </si>
  <si>
    <t>With, simulated</t>
  </si>
  <si>
    <t>3   The chance of some outcomes</t>
  </si>
  <si>
    <t>Simulated, and exact where Excel has the formula (HYPGEOM.DIST without replacement, BINOM.DIST with).</t>
  </si>
  <si>
    <t>Outcome</t>
  </si>
  <si>
    <t>At least one ball of every colour</t>
  </si>
  <si>
    <t>–</t>
  </si>
  <si>
    <t>No red ball</t>
  </si>
  <si>
    <t>5 or more red balls</t>
  </si>
  <si>
    <t>12 or more yellow balls</t>
  </si>
  <si>
    <t>Yellow balls in the draw</t>
  </si>
  <si>
    <t>4   How to read these results</t>
  </si>
  <si>
    <t>•  On average the draw mirrors the bag: 30 balls are 30% of it, so expect 3 red, 4.5 white, 6 blue, 7.5 green and 9 yellow.</t>
  </si>
  <si>
    <t>•  The five counts are linked: they always add up to 30, so a draw with many yellow has fewer of the others. VoseMultiHypergeo draws them together; five separate hypergeometric draws would not add up to 30.</t>
  </si>
  <si>
    <t>•  Not putting balls back narrows the spread: every standard deviation is 0.84 times the with-replacement one (√(70/99), the finite-population correction). The larger the draw is next to the bag, the bigger the effect; a draw of 1% of a large population hardly feels it.</t>
  </si>
  <si>
    <t>•  So extremes are rarer without replacement: no red ball has an exact 2.3% chance against 4.2% with replacement, and 12 or more yellow 12% against 16%. The simulated figures differ from the exact ones only by sampling error.</t>
  </si>
  <si>
    <t>Chart data</t>
  </si>
  <si>
    <t>Statistics of the last simulation behind the charts and the ranking above. Grouped: click + in the left margin to show them.</t>
  </si>
  <si>
    <t>Cumulative probability</t>
  </si>
  <si>
    <t>Exceedance</t>
  </si>
  <si>
    <t>Draw_Red</t>
  </si>
  <si>
    <t>Repl_Red</t>
  </si>
  <si>
    <t>Draw_Yel</t>
  </si>
  <si>
    <t>Repl_Yel</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</si>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</sst>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0.0\);&quot;–&quot;_)"/>
    <numFmt numFmtId="166" formatCode="0.000"/>
    <numFmt numFmtId="167" formatCode="#,##0.00_);\(#,##0.00\);&quot;–&quot;_);&quot;–&quot;"/>
    <numFmt numFmtId="168" formatCode="#,##0_);\(#,##0\);&quot;–&quot;_);&quot;–&quot;"/>
    <numFmt numFmtId="169" formatCode="0.00;\-0.00;0.00;&quot;–&quot;"/>
    <numFmt numFmtId="170" formatCode="0.0%;\-0.0%;0.0%;&quot;–&quot;"/>
  </numFmts>
  <fonts count="22"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sz val="10"/>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2">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2" fillId="0" borderId="6" xfId="0" applyFont="1" applyBorder="1" applyAlignment="1">
      <alignment horizontal="left" vertical="center" indent="1"/>
    </xf>
    <xf numFmtId="1" fontId="3" fillId="0" borderId="8" xfId="3" applyNumberFormat="1" applyBorder="1">
      <alignment horizontal="right" vertical="center"/>
    </xf>
    <xf numFmtId="164" fontId="3" fillId="0" borderId="8" xfId="3" applyNumberFormat="1" applyBorder="1">
      <alignment horizontal="right" vertical="center"/>
    </xf>
    <xf numFmtId="1" fontId="2" fillId="3" borderId="7" xfId="2" applyNumberFormat="1" applyBorder="1">
      <alignment horizontal="right" vertical="center"/>
    </xf>
    <xf numFmtId="165" fontId="3" fillId="0" borderId="8" xfId="3" applyNumberFormat="1" applyBorder="1">
      <alignment horizontal="right" vertical="center"/>
    </xf>
    <xf numFmtId="2" fontId="3" fillId="0" borderId="8" xfId="3" applyNumberFormat="1" applyBorder="1">
      <alignment horizontal="right" vertical="center"/>
    </xf>
    <xf numFmtId="0" fontId="18" fillId="0" borderId="0" xfId="0" applyFont="1" applyAlignment="1">
      <alignment horizontal="left" vertical="center" indent="1"/>
    </xf>
    <xf numFmtId="0" fontId="12" fillId="0" borderId="9" xfId="0" applyFont="1" applyBorder="1" applyAlignment="1">
      <alignment horizontal="left" vertical="center" indent="1"/>
    </xf>
    <xf numFmtId="1" fontId="12" fillId="0" borderId="9" xfId="3" applyNumberFormat="1" applyFont="1" applyBorder="1">
      <alignment horizontal="right" vertical="center"/>
    </xf>
    <xf numFmtId="164" fontId="12" fillId="0" borderId="9" xfId="3" applyNumberFormat="1" applyFont="1" applyBorder="1">
      <alignment horizontal="right" vertical="center"/>
    </xf>
    <xf numFmtId="165" fontId="12" fillId="0" borderId="9" xfId="3" applyNumberFormat="1" applyFont="1" applyBorder="1">
      <alignment horizontal="right" vertical="center"/>
    </xf>
    <xf numFmtId="0" fontId="0" fillId="0" borderId="9" xfId="0" applyBorder="1"/>
    <xf numFmtId="166" fontId="3" fillId="0" borderId="8" xfId="3"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 fontId="4" fillId="4" borderId="10" xfId="4" applyNumberFormat="1" applyBorder="1">
      <alignment horizontal="right" vertical="center"/>
    </xf>
    <xf numFmtId="0" fontId="19"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21" fillId="0" borderId="5" xfId="0" applyFont="1" applyBorder="1"/>
    <xf numFmtId="167" fontId="1" fillId="5" borderId="7" xfId="5" applyNumberForma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0" fontId="20" fillId="0" borderId="6" xfId="0" applyFont="1" applyBorder="1" applyAlignment="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Without replacement</c:v>
          </c:tx>
          <c:spPr>
            <a:ln w="25400">
              <a:solidFill>
                <a:srgbClr val="0E4F92"/>
              </a:solidFill>
              <a:prstDash val="solid"/>
            </a:ln>
          </c:spPr>
          <c:marker>
            <c:symbol val="none"/>
          </c:marker>
          <c:xVal>
            <c:numRef>
              <c:f>Results!$D$61:$D$110</c:f>
              <c:numCache>
                <c:formatCode>#,##0.00</c:formatCode>
                <c:ptCount val="50"/>
                <c:pt idx="0">
                  <c:v>0</c:v>
                </c:pt>
                <c:pt idx="1">
                  <c:v>1</c:v>
                </c:pt>
                <c:pt idx="2">
                  <c:v>1</c:v>
                </c:pt>
                <c:pt idx="3">
                  <c:v>1</c:v>
                </c:pt>
                <c:pt idx="4">
                  <c:v>1</c:v>
                </c:pt>
                <c:pt idx="5">
                  <c:v>1</c:v>
                </c:pt>
                <c:pt idx="6">
                  <c:v>1</c:v>
                </c:pt>
                <c:pt idx="7">
                  <c:v>2</c:v>
                </c:pt>
                <c:pt idx="8">
                  <c:v>2</c:v>
                </c:pt>
                <c:pt idx="9">
                  <c:v>2</c:v>
                </c:pt>
                <c:pt idx="10">
                  <c:v>2</c:v>
                </c:pt>
                <c:pt idx="11">
                  <c:v>2</c:v>
                </c:pt>
                <c:pt idx="12">
                  <c:v>2</c:v>
                </c:pt>
                <c:pt idx="13">
                  <c:v>2</c:v>
                </c:pt>
                <c:pt idx="14">
                  <c:v>2</c:v>
                </c:pt>
                <c:pt idx="15">
                  <c:v>2</c:v>
                </c:pt>
                <c:pt idx="16">
                  <c:v>2</c:v>
                </c:pt>
                <c:pt idx="17">
                  <c:v>2</c:v>
                </c:pt>
                <c:pt idx="18">
                  <c:v>2</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4</c:v>
                </c:pt>
                <c:pt idx="34">
                  <c:v>4</c:v>
                </c:pt>
                <c:pt idx="35">
                  <c:v>4</c:v>
                </c:pt>
                <c:pt idx="36">
                  <c:v>4</c:v>
                </c:pt>
                <c:pt idx="37">
                  <c:v>4</c:v>
                </c:pt>
                <c:pt idx="38">
                  <c:v>4</c:v>
                </c:pt>
                <c:pt idx="39">
                  <c:v>4</c:v>
                </c:pt>
                <c:pt idx="40">
                  <c:v>4</c:v>
                </c:pt>
                <c:pt idx="41">
                  <c:v>4</c:v>
                </c:pt>
                <c:pt idx="42">
                  <c:v>4</c:v>
                </c:pt>
                <c:pt idx="43">
                  <c:v>5</c:v>
                </c:pt>
                <c:pt idx="44">
                  <c:v>5</c:v>
                </c:pt>
                <c:pt idx="45">
                  <c:v>5</c:v>
                </c:pt>
                <c:pt idx="46">
                  <c:v>5</c:v>
                </c:pt>
                <c:pt idx="47">
                  <c:v>5</c:v>
                </c:pt>
                <c:pt idx="48">
                  <c:v>6</c:v>
                </c:pt>
                <c:pt idx="49">
                  <c:v>6</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C472-428A-95BB-AE02B708339B}"/>
            </c:ext>
          </c:extLst>
        </c:ser>
        <c:ser>
          <c:idx val="1"/>
          <c:order val="1"/>
          <c:tx>
            <c:v>With replacement</c:v>
          </c:tx>
          <c:spPr>
            <a:ln w="25400">
              <a:solidFill>
                <a:srgbClr val="B45309"/>
              </a:solidFill>
              <a:prstDash val="dash"/>
            </a:ln>
          </c:spPr>
          <c:marker>
            <c:symbol val="none"/>
          </c:marker>
          <c:xVal>
            <c:numRef>
              <c:f>Results!$E$61:$E$110</c:f>
              <c:numCache>
                <c:formatCode>#,##0.00</c:formatCode>
                <c:ptCount val="50"/>
                <c:pt idx="0">
                  <c:v>0</c:v>
                </c:pt>
                <c:pt idx="1">
                  <c:v>0</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2</c:v>
                </c:pt>
                <c:pt idx="21">
                  <c:v>3</c:v>
                </c:pt>
                <c:pt idx="22">
                  <c:v>3</c:v>
                </c:pt>
                <c:pt idx="23">
                  <c:v>3</c:v>
                </c:pt>
                <c:pt idx="24">
                  <c:v>3</c:v>
                </c:pt>
                <c:pt idx="25">
                  <c:v>3</c:v>
                </c:pt>
                <c:pt idx="26">
                  <c:v>3</c:v>
                </c:pt>
                <c:pt idx="27">
                  <c:v>3</c:v>
                </c:pt>
                <c:pt idx="28">
                  <c:v>3</c:v>
                </c:pt>
                <c:pt idx="29">
                  <c:v>3</c:v>
                </c:pt>
                <c:pt idx="30">
                  <c:v>3</c:v>
                </c:pt>
                <c:pt idx="31">
                  <c:v>3</c:v>
                </c:pt>
                <c:pt idx="32">
                  <c:v>3</c:v>
                </c:pt>
                <c:pt idx="33">
                  <c:v>4</c:v>
                </c:pt>
                <c:pt idx="34">
                  <c:v>4</c:v>
                </c:pt>
                <c:pt idx="35">
                  <c:v>4</c:v>
                </c:pt>
                <c:pt idx="36">
                  <c:v>4</c:v>
                </c:pt>
                <c:pt idx="37">
                  <c:v>4</c:v>
                </c:pt>
                <c:pt idx="38">
                  <c:v>4</c:v>
                </c:pt>
                <c:pt idx="39">
                  <c:v>4</c:v>
                </c:pt>
                <c:pt idx="40">
                  <c:v>4</c:v>
                </c:pt>
                <c:pt idx="41">
                  <c:v>4</c:v>
                </c:pt>
                <c:pt idx="42">
                  <c:v>5</c:v>
                </c:pt>
                <c:pt idx="43">
                  <c:v>5</c:v>
                </c:pt>
                <c:pt idx="44">
                  <c:v>5</c:v>
                </c:pt>
                <c:pt idx="45">
                  <c:v>5</c:v>
                </c:pt>
                <c:pt idx="46">
                  <c:v>5</c:v>
                </c:pt>
                <c:pt idx="47">
                  <c:v>6</c:v>
                </c:pt>
                <c:pt idx="48">
                  <c:v>6</c:v>
                </c:pt>
                <c:pt idx="49">
                  <c:v>7</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C472-428A-95BB-AE02B708339B}"/>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Red balls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Without replacement</c:v>
          </c:tx>
          <c:spPr>
            <a:ln w="25400">
              <a:solidFill>
                <a:srgbClr val="0E4F92"/>
              </a:solidFill>
              <a:prstDash val="solid"/>
            </a:ln>
          </c:spPr>
          <c:marker>
            <c:symbol val="none"/>
          </c:marker>
          <c:xVal>
            <c:numRef>
              <c:f>Results!$F$61:$F$110</c:f>
              <c:numCache>
                <c:formatCode>#,##0.00</c:formatCode>
                <c:ptCount val="50"/>
                <c:pt idx="0">
                  <c:v>4</c:v>
                </c:pt>
                <c:pt idx="1">
                  <c:v>5</c:v>
                </c:pt>
                <c:pt idx="2">
                  <c:v>6</c:v>
                </c:pt>
                <c:pt idx="3">
                  <c:v>6</c:v>
                </c:pt>
                <c:pt idx="4">
                  <c:v>6</c:v>
                </c:pt>
                <c:pt idx="5">
                  <c:v>6</c:v>
                </c:pt>
                <c:pt idx="6">
                  <c:v>7</c:v>
                </c:pt>
                <c:pt idx="7">
                  <c:v>7</c:v>
                </c:pt>
                <c:pt idx="8">
                  <c:v>7</c:v>
                </c:pt>
                <c:pt idx="9">
                  <c:v>7</c:v>
                </c:pt>
                <c:pt idx="10">
                  <c:v>7</c:v>
                </c:pt>
                <c:pt idx="11">
                  <c:v>7</c:v>
                </c:pt>
                <c:pt idx="12">
                  <c:v>8</c:v>
                </c:pt>
                <c:pt idx="13">
                  <c:v>8</c:v>
                </c:pt>
                <c:pt idx="14">
                  <c:v>8</c:v>
                </c:pt>
                <c:pt idx="15">
                  <c:v>8</c:v>
                </c:pt>
                <c:pt idx="16">
                  <c:v>8</c:v>
                </c:pt>
                <c:pt idx="17">
                  <c:v>8</c:v>
                </c:pt>
                <c:pt idx="18">
                  <c:v>8</c:v>
                </c:pt>
                <c:pt idx="19">
                  <c:v>8</c:v>
                </c:pt>
                <c:pt idx="20">
                  <c:v>9</c:v>
                </c:pt>
                <c:pt idx="21">
                  <c:v>9</c:v>
                </c:pt>
                <c:pt idx="22">
                  <c:v>9</c:v>
                </c:pt>
                <c:pt idx="23">
                  <c:v>9</c:v>
                </c:pt>
                <c:pt idx="24">
                  <c:v>9</c:v>
                </c:pt>
                <c:pt idx="25">
                  <c:v>9</c:v>
                </c:pt>
                <c:pt idx="26">
                  <c:v>9</c:v>
                </c:pt>
                <c:pt idx="27">
                  <c:v>9</c:v>
                </c:pt>
                <c:pt idx="28">
                  <c:v>9</c:v>
                </c:pt>
                <c:pt idx="29">
                  <c:v>9</c:v>
                </c:pt>
                <c:pt idx="30">
                  <c:v>10</c:v>
                </c:pt>
                <c:pt idx="31">
                  <c:v>10</c:v>
                </c:pt>
                <c:pt idx="32">
                  <c:v>10</c:v>
                </c:pt>
                <c:pt idx="33">
                  <c:v>10</c:v>
                </c:pt>
                <c:pt idx="34">
                  <c:v>10</c:v>
                </c:pt>
                <c:pt idx="35">
                  <c:v>10</c:v>
                </c:pt>
                <c:pt idx="36">
                  <c:v>10</c:v>
                </c:pt>
                <c:pt idx="37">
                  <c:v>10</c:v>
                </c:pt>
                <c:pt idx="38">
                  <c:v>11</c:v>
                </c:pt>
                <c:pt idx="39">
                  <c:v>11</c:v>
                </c:pt>
                <c:pt idx="40">
                  <c:v>11</c:v>
                </c:pt>
                <c:pt idx="41">
                  <c:v>11</c:v>
                </c:pt>
                <c:pt idx="42">
                  <c:v>11</c:v>
                </c:pt>
                <c:pt idx="43">
                  <c:v>11</c:v>
                </c:pt>
                <c:pt idx="44">
                  <c:v>12</c:v>
                </c:pt>
                <c:pt idx="45">
                  <c:v>12</c:v>
                </c:pt>
                <c:pt idx="46">
                  <c:v>12</c:v>
                </c:pt>
                <c:pt idx="47">
                  <c:v>12</c:v>
                </c:pt>
                <c:pt idx="48">
                  <c:v>13</c:v>
                </c:pt>
                <c:pt idx="49">
                  <c:v>14</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47A0-49AF-9315-05C1A6B36E95}"/>
            </c:ext>
          </c:extLst>
        </c:ser>
        <c:ser>
          <c:idx val="1"/>
          <c:order val="1"/>
          <c:tx>
            <c:v>With replacement</c:v>
          </c:tx>
          <c:spPr>
            <a:ln w="25400">
              <a:solidFill>
                <a:srgbClr val="B45309"/>
              </a:solidFill>
              <a:prstDash val="dash"/>
            </a:ln>
          </c:spPr>
          <c:marker>
            <c:symbol val="none"/>
          </c:marker>
          <c:xVal>
            <c:numRef>
              <c:f>Results!$G$61:$G$110</c:f>
              <c:numCache>
                <c:formatCode>#,##0.00</c:formatCode>
                <c:ptCount val="50"/>
                <c:pt idx="0">
                  <c:v>3</c:v>
                </c:pt>
                <c:pt idx="1">
                  <c:v>5</c:v>
                </c:pt>
                <c:pt idx="2">
                  <c:v>5</c:v>
                </c:pt>
                <c:pt idx="3">
                  <c:v>5</c:v>
                </c:pt>
                <c:pt idx="4">
                  <c:v>6</c:v>
                </c:pt>
                <c:pt idx="5">
                  <c:v>6</c:v>
                </c:pt>
                <c:pt idx="6">
                  <c:v>6</c:v>
                </c:pt>
                <c:pt idx="7">
                  <c:v>6</c:v>
                </c:pt>
                <c:pt idx="8">
                  <c:v>7</c:v>
                </c:pt>
                <c:pt idx="9">
                  <c:v>7</c:v>
                </c:pt>
                <c:pt idx="10">
                  <c:v>7</c:v>
                </c:pt>
                <c:pt idx="11">
                  <c:v>7</c:v>
                </c:pt>
                <c:pt idx="12">
                  <c:v>7</c:v>
                </c:pt>
                <c:pt idx="13">
                  <c:v>7</c:v>
                </c:pt>
                <c:pt idx="14">
                  <c:v>8</c:v>
                </c:pt>
                <c:pt idx="15">
                  <c:v>8</c:v>
                </c:pt>
                <c:pt idx="16">
                  <c:v>8</c:v>
                </c:pt>
                <c:pt idx="17">
                  <c:v>8</c:v>
                </c:pt>
                <c:pt idx="18">
                  <c:v>8</c:v>
                </c:pt>
                <c:pt idx="19">
                  <c:v>8</c:v>
                </c:pt>
                <c:pt idx="20">
                  <c:v>8</c:v>
                </c:pt>
                <c:pt idx="21">
                  <c:v>8</c:v>
                </c:pt>
                <c:pt idx="22">
                  <c:v>9</c:v>
                </c:pt>
                <c:pt idx="23">
                  <c:v>9</c:v>
                </c:pt>
                <c:pt idx="24">
                  <c:v>9</c:v>
                </c:pt>
                <c:pt idx="25">
                  <c:v>9</c:v>
                </c:pt>
                <c:pt idx="26">
                  <c:v>9</c:v>
                </c:pt>
                <c:pt idx="27">
                  <c:v>9</c:v>
                </c:pt>
                <c:pt idx="28">
                  <c:v>9</c:v>
                </c:pt>
                <c:pt idx="29">
                  <c:v>9</c:v>
                </c:pt>
                <c:pt idx="30">
                  <c:v>10</c:v>
                </c:pt>
                <c:pt idx="31">
                  <c:v>10</c:v>
                </c:pt>
                <c:pt idx="32">
                  <c:v>10</c:v>
                </c:pt>
                <c:pt idx="33">
                  <c:v>10</c:v>
                </c:pt>
                <c:pt idx="34">
                  <c:v>10</c:v>
                </c:pt>
                <c:pt idx="35">
                  <c:v>10</c:v>
                </c:pt>
                <c:pt idx="36">
                  <c:v>11</c:v>
                </c:pt>
                <c:pt idx="37">
                  <c:v>11</c:v>
                </c:pt>
                <c:pt idx="38">
                  <c:v>11</c:v>
                </c:pt>
                <c:pt idx="39">
                  <c:v>11</c:v>
                </c:pt>
                <c:pt idx="40">
                  <c:v>11</c:v>
                </c:pt>
                <c:pt idx="41">
                  <c:v>11</c:v>
                </c:pt>
                <c:pt idx="42">
                  <c:v>12</c:v>
                </c:pt>
                <c:pt idx="43">
                  <c:v>12</c:v>
                </c:pt>
                <c:pt idx="44">
                  <c:v>12</c:v>
                </c:pt>
                <c:pt idx="45">
                  <c:v>12</c:v>
                </c:pt>
                <c:pt idx="46">
                  <c:v>13</c:v>
                </c:pt>
                <c:pt idx="47">
                  <c:v>13</c:v>
                </c:pt>
                <c:pt idx="48">
                  <c:v>14</c:v>
                </c:pt>
                <c:pt idx="49">
                  <c:v>15</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47A0-49AF-9315-05C1A6B36E95}"/>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Yellow balls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35</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6"/>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ht="26.25" x14ac:dyDescent="0.45">
      <c r="B10" s="9" t="s">
        <v>11</v>
      </c>
      <c r="C10" s="10" t="s">
        <v>12</v>
      </c>
    </row>
    <row r="11" spans="1:4" ht="26.25"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44" customHeight="1" x14ac:dyDescent="0.45">
      <c r="B16" s="59" t="s">
        <v>20</v>
      </c>
      <c r="C16" s="58"/>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12" customHeight="1" x14ac:dyDescent="0.45"/>
    <row r="37" spans="2:3" ht="22.05" customHeight="1" x14ac:dyDescent="0.5">
      <c r="B37" s="7" t="s">
        <v>36</v>
      </c>
      <c r="C37" s="8"/>
    </row>
    <row r="38" spans="2:3" x14ac:dyDescent="0.45">
      <c r="B38" s="14" t="s">
        <v>37</v>
      </c>
      <c r="C38" s="10" t="s">
        <v>38</v>
      </c>
    </row>
    <row r="39" spans="2:3" x14ac:dyDescent="0.45">
      <c r="B39" s="14" t="s">
        <v>39</v>
      </c>
      <c r="C39" s="10" t="s">
        <v>40</v>
      </c>
    </row>
    <row r="40" spans="2:3" x14ac:dyDescent="0.45">
      <c r="B40" s="14" t="s">
        <v>41</v>
      </c>
      <c r="C40" s="10" t="s">
        <v>42</v>
      </c>
    </row>
    <row r="41" spans="2:3" ht="12" customHeight="1" x14ac:dyDescent="0.45"/>
    <row r="42" spans="2:3" ht="22.05" customHeight="1" x14ac:dyDescent="0.5">
      <c r="B42" s="7" t="s">
        <v>43</v>
      </c>
      <c r="C42" s="8"/>
    </row>
    <row r="43" spans="2:3" x14ac:dyDescent="0.45">
      <c r="B43" s="15" t="s">
        <v>44</v>
      </c>
      <c r="C43" s="12" t="s">
        <v>45</v>
      </c>
    </row>
    <row r="44" spans="2:3" x14ac:dyDescent="0.45">
      <c r="B44" s="16" t="s">
        <v>46</v>
      </c>
      <c r="C44" s="12" t="s">
        <v>47</v>
      </c>
    </row>
    <row r="45" spans="2:3" x14ac:dyDescent="0.45">
      <c r="B45" s="17" t="s">
        <v>48</v>
      </c>
      <c r="C45" s="12" t="s">
        <v>49</v>
      </c>
    </row>
    <row r="46" spans="2:3" x14ac:dyDescent="0.45">
      <c r="B46" s="18" t="s">
        <v>50</v>
      </c>
      <c r="C46" s="12" t="s">
        <v>51</v>
      </c>
    </row>
    <row r="47" spans="2:3" x14ac:dyDescent="0.45">
      <c r="B47" s="19" t="s">
        <v>52</v>
      </c>
      <c r="C47" s="12" t="s">
        <v>53</v>
      </c>
    </row>
    <row r="48" spans="2:3" ht="12" customHeight="1" x14ac:dyDescent="0.45"/>
    <row r="49" spans="2:3" ht="22.05" customHeight="1" x14ac:dyDescent="0.5">
      <c r="B49" s="7" t="s">
        <v>54</v>
      </c>
      <c r="C49" s="8"/>
    </row>
    <row r="50" spans="2:3" x14ac:dyDescent="0.45">
      <c r="B50" s="9" t="s">
        <v>55</v>
      </c>
      <c r="C50" s="10" t="s">
        <v>56</v>
      </c>
    </row>
    <row r="51" spans="2:3" x14ac:dyDescent="0.45">
      <c r="B51" s="9" t="s">
        <v>57</v>
      </c>
      <c r="C51" s="10" t="s">
        <v>58</v>
      </c>
    </row>
    <row r="52" spans="2:3" ht="12" customHeight="1" x14ac:dyDescent="0.45"/>
    <row r="53" spans="2:3" ht="22.05" customHeight="1" x14ac:dyDescent="0.5">
      <c r="B53" s="7" t="s">
        <v>59</v>
      </c>
      <c r="C53" s="8"/>
    </row>
    <row r="54" spans="2:3" x14ac:dyDescent="0.45">
      <c r="B54" s="9" t="s">
        <v>60</v>
      </c>
      <c r="C54" s="10" t="s">
        <v>61</v>
      </c>
    </row>
    <row r="55" spans="2:3" ht="26.25" x14ac:dyDescent="0.45">
      <c r="B55" s="9" t="s">
        <v>62</v>
      </c>
      <c r="C55" s="10" t="s">
        <v>63</v>
      </c>
    </row>
    <row r="56" spans="2:3" ht="12" customHeight="1" x14ac:dyDescent="0.45"/>
    <row r="57" spans="2:3" ht="22.05" customHeight="1" x14ac:dyDescent="0.5">
      <c r="B57" s="7" t="s">
        <v>64</v>
      </c>
      <c r="C57" s="8"/>
    </row>
    <row r="58" spans="2:3" x14ac:dyDescent="0.45">
      <c r="B58" s="20" t="s">
        <v>65</v>
      </c>
      <c r="C58" s="10" t="s">
        <v>66</v>
      </c>
    </row>
    <row r="59" spans="2:3" x14ac:dyDescent="0.45">
      <c r="B59" s="20" t="s">
        <v>67</v>
      </c>
      <c r="C59" s="10" t="s">
        <v>68</v>
      </c>
    </row>
    <row r="60" spans="2:3" x14ac:dyDescent="0.45">
      <c r="B60" s="20" t="s">
        <v>69</v>
      </c>
      <c r="C60" s="10" t="s">
        <v>70</v>
      </c>
    </row>
    <row r="61" spans="2:3" ht="39.4" x14ac:dyDescent="0.45">
      <c r="B61" s="20" t="s">
        <v>71</v>
      </c>
      <c r="C61" s="10" t="s">
        <v>72</v>
      </c>
    </row>
    <row r="62" spans="2:3" ht="12" customHeight="1" x14ac:dyDescent="0.45"/>
    <row r="63" spans="2:3" ht="22.05" customHeight="1" x14ac:dyDescent="0.5">
      <c r="B63" s="7" t="s">
        <v>73</v>
      </c>
      <c r="C63" s="8"/>
    </row>
    <row r="64" spans="2:3" ht="26.25" x14ac:dyDescent="0.45">
      <c r="B64" s="9" t="s">
        <v>74</v>
      </c>
      <c r="C64" s="10" t="s">
        <v>75</v>
      </c>
    </row>
    <row r="65" spans="2:3" ht="16.05" customHeight="1" x14ac:dyDescent="0.45"/>
    <row r="66" spans="2:3" x14ac:dyDescent="0.45">
      <c r="B66" s="57" t="s">
        <v>76</v>
      </c>
      <c r="C66" s="58"/>
    </row>
  </sheetData>
  <mergeCells count="2">
    <mergeCell ref="B66:C66"/>
    <mergeCell ref="B16:C16"/>
  </mergeCells>
  <hyperlinks>
    <hyperlink ref="D4" location="'Inputs'!A1" display="Next:  Inputs  ▸" xr:uid="{00000000-0004-0000-0000-000000000000}"/>
    <hyperlink ref="B38" location="'Inputs'!A1" display="Inputs" xr:uid="{00000000-0004-0000-0000-000001000000}"/>
    <hyperlink ref="B39" location="'Draw'!A1" display="Draw" xr:uid="{00000000-0004-0000-0000-000002000000}"/>
    <hyperlink ref="B40"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77</v>
      </c>
      <c r="C3" s="1"/>
      <c r="D3" s="1"/>
      <c r="E3" s="1"/>
      <c r="F3" s="1"/>
      <c r="G3" s="1"/>
      <c r="H3" s="1"/>
      <c r="I3" s="1"/>
      <c r="J3" s="1"/>
    </row>
    <row r="4" spans="1:10" ht="20" customHeight="1" x14ac:dyDescent="0.45">
      <c r="A4" s="5"/>
      <c r="B4" s="22" t="s">
        <v>78</v>
      </c>
      <c r="C4" s="5"/>
      <c r="D4" s="5"/>
      <c r="E4" s="5"/>
      <c r="F4" s="5"/>
      <c r="G4" s="5"/>
      <c r="H4" s="5"/>
      <c r="I4" s="5"/>
      <c r="J4" s="6" t="s">
        <v>79</v>
      </c>
    </row>
    <row r="5" spans="1:10" ht="8" customHeight="1" x14ac:dyDescent="0.45"/>
    <row r="6" spans="1:10" ht="20" customHeight="1" x14ac:dyDescent="0.45">
      <c r="B6" s="60" t="s">
        <v>80</v>
      </c>
      <c r="C6" s="58"/>
      <c r="D6" s="58"/>
      <c r="E6" s="58"/>
      <c r="F6" s="58"/>
      <c r="G6" s="58"/>
      <c r="H6" s="58"/>
      <c r="I6" s="58"/>
      <c r="J6" s="58"/>
    </row>
    <row r="7" spans="1:10" ht="6" customHeight="1" x14ac:dyDescent="0.45"/>
    <row r="8" spans="1:10" ht="22.05" customHeight="1" x14ac:dyDescent="0.5">
      <c r="B8" s="7" t="s">
        <v>81</v>
      </c>
      <c r="C8" s="8"/>
      <c r="D8" s="8"/>
      <c r="E8" s="8"/>
      <c r="F8" s="8"/>
      <c r="G8" s="8"/>
      <c r="H8" s="8"/>
      <c r="I8" s="8"/>
      <c r="J8" s="8"/>
    </row>
    <row r="9" spans="1:10" ht="18" customHeight="1" x14ac:dyDescent="0.45">
      <c r="B9" s="13" t="s">
        <v>82</v>
      </c>
    </row>
    <row r="10" spans="1:10" ht="18" customHeight="1" x14ac:dyDescent="0.45">
      <c r="B10" s="23" t="s">
        <v>83</v>
      </c>
      <c r="C10" s="23" t="s">
        <v>84</v>
      </c>
      <c r="D10" s="24" t="s">
        <v>85</v>
      </c>
      <c r="E10" s="23" t="s">
        <v>86</v>
      </c>
      <c r="F10" s="5"/>
      <c r="G10" s="5"/>
      <c r="H10" s="5"/>
      <c r="I10" s="5"/>
      <c r="J10" s="23" t="s">
        <v>87</v>
      </c>
    </row>
    <row r="11" spans="1:10" x14ac:dyDescent="0.45">
      <c r="B11" s="25" t="s">
        <v>88</v>
      </c>
      <c r="C11" s="26" t="s">
        <v>89</v>
      </c>
      <c r="D11" s="27">
        <v>10</v>
      </c>
      <c r="E11" s="26" t="s">
        <v>90</v>
      </c>
      <c r="F11" s="28"/>
      <c r="G11" s="28"/>
      <c r="H11" s="28"/>
      <c r="I11" s="28"/>
      <c r="J11" s="29" t="s">
        <v>91</v>
      </c>
    </row>
    <row r="12" spans="1:10" x14ac:dyDescent="0.45">
      <c r="B12" s="25" t="s">
        <v>92</v>
      </c>
      <c r="C12" s="26" t="s">
        <v>89</v>
      </c>
      <c r="D12" s="27">
        <v>15</v>
      </c>
      <c r="E12" s="26" t="s">
        <v>90</v>
      </c>
      <c r="F12" s="28"/>
      <c r="G12" s="28"/>
      <c r="H12" s="28"/>
      <c r="I12" s="28"/>
      <c r="J12" s="29"/>
    </row>
    <row r="13" spans="1:10" x14ac:dyDescent="0.45">
      <c r="B13" s="25" t="s">
        <v>93</v>
      </c>
      <c r="C13" s="26" t="s">
        <v>89</v>
      </c>
      <c r="D13" s="27">
        <v>20</v>
      </c>
      <c r="E13" s="26" t="s">
        <v>90</v>
      </c>
      <c r="F13" s="28"/>
      <c r="G13" s="28"/>
      <c r="H13" s="28"/>
      <c r="I13" s="28"/>
      <c r="J13" s="29"/>
    </row>
    <row r="14" spans="1:10" x14ac:dyDescent="0.45">
      <c r="B14" s="25" t="s">
        <v>94</v>
      </c>
      <c r="C14" s="26" t="s">
        <v>89</v>
      </c>
      <c r="D14" s="27">
        <v>25</v>
      </c>
      <c r="E14" s="26" t="s">
        <v>90</v>
      </c>
      <c r="F14" s="28"/>
      <c r="G14" s="28"/>
      <c r="H14" s="28"/>
      <c r="I14" s="28"/>
      <c r="J14" s="29"/>
    </row>
    <row r="15" spans="1:10" x14ac:dyDescent="0.45">
      <c r="B15" s="25" t="s">
        <v>95</v>
      </c>
      <c r="C15" s="26" t="s">
        <v>89</v>
      </c>
      <c r="D15" s="27">
        <v>30</v>
      </c>
      <c r="E15" s="26" t="s">
        <v>90</v>
      </c>
      <c r="F15" s="28"/>
      <c r="G15" s="28"/>
      <c r="H15" s="28"/>
      <c r="I15" s="28"/>
      <c r="J15" s="29"/>
    </row>
    <row r="16" spans="1:10" ht="8" customHeight="1" x14ac:dyDescent="0.45"/>
    <row r="17" spans="2:10" ht="22.05" customHeight="1" x14ac:dyDescent="0.5">
      <c r="B17" s="7" t="s">
        <v>96</v>
      </c>
      <c r="C17" s="8"/>
      <c r="D17" s="8"/>
      <c r="E17" s="8"/>
      <c r="F17" s="8"/>
      <c r="G17" s="8"/>
      <c r="H17" s="8"/>
      <c r="I17" s="8"/>
      <c r="J17" s="8"/>
    </row>
    <row r="18" spans="2:10" ht="18" customHeight="1" x14ac:dyDescent="0.45">
      <c r="B18" s="13" t="s">
        <v>97</v>
      </c>
    </row>
    <row r="19" spans="2:10" ht="18" customHeight="1" x14ac:dyDescent="0.45">
      <c r="B19" s="23" t="s">
        <v>83</v>
      </c>
      <c r="C19" s="23" t="s">
        <v>84</v>
      </c>
      <c r="D19" s="24" t="s">
        <v>85</v>
      </c>
      <c r="E19" s="23" t="s">
        <v>86</v>
      </c>
      <c r="F19" s="5"/>
      <c r="G19" s="5"/>
      <c r="H19" s="5"/>
      <c r="I19" s="5"/>
      <c r="J19" s="23" t="s">
        <v>87</v>
      </c>
    </row>
    <row r="20" spans="2:10" x14ac:dyDescent="0.45">
      <c r="B20" s="25" t="s">
        <v>98</v>
      </c>
      <c r="C20" s="26" t="s">
        <v>89</v>
      </c>
      <c r="D20" s="27">
        <v>30</v>
      </c>
      <c r="E20" s="26" t="s">
        <v>90</v>
      </c>
      <c r="F20" s="28"/>
      <c r="G20" s="28"/>
      <c r="H20" s="28"/>
      <c r="I20" s="28"/>
      <c r="J20" s="29" t="s">
        <v>99</v>
      </c>
    </row>
    <row r="21" spans="2:10" ht="8" customHeight="1" x14ac:dyDescent="0.45"/>
  </sheetData>
  <mergeCells count="1">
    <mergeCell ref="B6:J6"/>
  </mergeCells>
  <dataValidations count="1">
    <dataValidation type="whole" showErrorMessage="1" errorTitle="Whole number" error="Enter a whole number." sqref="D20 D11:D15" xr:uid="{00000000-0002-0000-0100-000000000000}">
      <formula1>0</formula1>
      <formula2>1000000</formula2>
    </dataValidation>
  </dataValidations>
  <hyperlinks>
    <hyperlink ref="B4" location="'About'!A1" display="◂  About" xr:uid="{00000000-0004-0000-0100-000000000000}"/>
    <hyperlink ref="J4" location="'Draw'!A1" display="Next:  Draw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K37"/>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24" customWidth="1"/>
    <col min="3" max="4" width="11" customWidth="1"/>
    <col min="5" max="6" width="13" customWidth="1"/>
    <col min="7" max="7" width="11" customWidth="1"/>
    <col min="8" max="9" width="13" customWidth="1"/>
    <col min="10" max="10" width="3" customWidth="1"/>
    <col min="11" max="11" width="58"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100</v>
      </c>
      <c r="C3" s="1"/>
      <c r="D3" s="1"/>
      <c r="E3" s="1"/>
      <c r="F3" s="1"/>
      <c r="G3" s="1"/>
      <c r="H3" s="1"/>
      <c r="I3" s="1"/>
      <c r="J3" s="1"/>
      <c r="K3" s="1"/>
    </row>
    <row r="4" spans="1:11" ht="20" customHeight="1" x14ac:dyDescent="0.45">
      <c r="A4" s="5"/>
      <c r="B4" s="22" t="s">
        <v>101</v>
      </c>
      <c r="C4" s="5"/>
      <c r="D4" s="5"/>
      <c r="E4" s="5"/>
      <c r="F4" s="5"/>
      <c r="G4" s="5"/>
      <c r="H4" s="5"/>
      <c r="I4" s="5"/>
      <c r="J4" s="5"/>
      <c r="K4" s="6" t="s">
        <v>102</v>
      </c>
    </row>
    <row r="5" spans="1:11" ht="8" customHeight="1" x14ac:dyDescent="0.45"/>
    <row r="6" spans="1:11" ht="22.05" customHeight="1" x14ac:dyDescent="0.5">
      <c r="B6" s="7" t="s">
        <v>103</v>
      </c>
      <c r="C6" s="8"/>
      <c r="D6" s="8"/>
      <c r="E6" s="8"/>
      <c r="F6" s="8"/>
      <c r="G6" s="8"/>
      <c r="H6" s="8"/>
      <c r="I6" s="8"/>
      <c r="J6" s="8"/>
      <c r="K6" s="8"/>
    </row>
    <row r="7" spans="1:11" ht="18" customHeight="1" x14ac:dyDescent="0.45">
      <c r="B7" s="13" t="s">
        <v>104</v>
      </c>
    </row>
    <row r="8" spans="1:11" ht="30" customHeight="1" x14ac:dyDescent="0.45">
      <c r="B8" s="23" t="s">
        <v>105</v>
      </c>
      <c r="C8" s="24" t="s">
        <v>106</v>
      </c>
      <c r="D8" s="24" t="s">
        <v>107</v>
      </c>
      <c r="E8" s="24" t="s">
        <v>108</v>
      </c>
      <c r="F8" s="24" t="s">
        <v>109</v>
      </c>
      <c r="G8" s="24" t="s">
        <v>110</v>
      </c>
      <c r="H8" s="24" t="s">
        <v>111</v>
      </c>
      <c r="I8" s="24" t="s">
        <v>112</v>
      </c>
    </row>
    <row r="9" spans="1:11" x14ac:dyDescent="0.45">
      <c r="B9" s="30" t="s">
        <v>113</v>
      </c>
      <c r="C9" s="31">
        <f>N_Red</f>
        <v>10</v>
      </c>
      <c r="D9" s="32">
        <f>C9/BagTotal</f>
        <v>0.1</v>
      </c>
      <c r="E9" s="33">
        <f t="array" aca="1" ref="E9:E13" ca="1">_xll.VoseMultiHypergeo(SampleSize,C9:C13)</f>
        <v>5</v>
      </c>
      <c r="F9" s="33">
        <f t="array" aca="1" ref="F9:F13" ca="1">_xll.VoseMultinomial(SampleSize,D9:D13)</f>
        <v>3</v>
      </c>
      <c r="G9" s="34">
        <f>SampleSize*D9</f>
        <v>3</v>
      </c>
      <c r="H9" s="35">
        <f>SQRT(SampleSize*D9*(1-D9)*(BagTotal-SampleSize)/(BagTotal-1))</f>
        <v>1.3816985594155149</v>
      </c>
      <c r="I9" s="35">
        <f>SQRT(SampleSize*D9*(1-D9))</f>
        <v>1.6431676725154984</v>
      </c>
      <c r="K9" s="36" t="s">
        <v>114</v>
      </c>
    </row>
    <row r="10" spans="1:11" x14ac:dyDescent="0.45">
      <c r="B10" s="30" t="s">
        <v>115</v>
      </c>
      <c r="C10" s="31">
        <f>N_Wht</f>
        <v>15</v>
      </c>
      <c r="D10" s="32">
        <f>C10/BagTotal</f>
        <v>0.15</v>
      </c>
      <c r="E10" s="33">
        <f ca="1"/>
        <v>1</v>
      </c>
      <c r="F10" s="33">
        <f ca="1"/>
        <v>2</v>
      </c>
      <c r="G10" s="34">
        <f>SampleSize*D10</f>
        <v>4.5</v>
      </c>
      <c r="H10" s="35">
        <f>SQRT(SampleSize*D10*(1-D10)*(BagTotal-SampleSize)/(BagTotal-1))</f>
        <v>1.6445502286477767</v>
      </c>
      <c r="I10" s="35">
        <f>SQRT(SampleSize*D10*(1-D10))</f>
        <v>1.9557607215607946</v>
      </c>
      <c r="K10" s="36" t="s">
        <v>116</v>
      </c>
    </row>
    <row r="11" spans="1:11" x14ac:dyDescent="0.45">
      <c r="B11" s="30" t="s">
        <v>117</v>
      </c>
      <c r="C11" s="31">
        <f>N_Blu</f>
        <v>20</v>
      </c>
      <c r="D11" s="32">
        <f>C11/BagTotal</f>
        <v>0.2</v>
      </c>
      <c r="E11" s="33">
        <f ca="1"/>
        <v>5</v>
      </c>
      <c r="F11" s="33">
        <f ca="1"/>
        <v>9</v>
      </c>
      <c r="G11" s="34">
        <f>SampleSize*D11</f>
        <v>6</v>
      </c>
      <c r="H11" s="35">
        <f>SQRT(SampleSize*D11*(1-D11)*(BagTotal-SampleSize)/(BagTotal-1))</f>
        <v>1.8422647458873533</v>
      </c>
      <c r="I11" s="35">
        <f>SQRT(SampleSize*D11*(1-D11))</f>
        <v>2.1908902300206647</v>
      </c>
      <c r="K11" s="36" t="s">
        <v>118</v>
      </c>
    </row>
    <row r="12" spans="1:11" x14ac:dyDescent="0.45">
      <c r="B12" s="30" t="s">
        <v>119</v>
      </c>
      <c r="C12" s="31">
        <f>N_Grn</f>
        <v>25</v>
      </c>
      <c r="D12" s="32">
        <f>C12/BagTotal</f>
        <v>0.25</v>
      </c>
      <c r="E12" s="33">
        <f ca="1"/>
        <v>9</v>
      </c>
      <c r="F12" s="33">
        <f ca="1"/>
        <v>7</v>
      </c>
      <c r="G12" s="34">
        <f>SampleSize*D12</f>
        <v>7.5</v>
      </c>
      <c r="H12" s="35">
        <f>SQRT(SampleSize*D12*(1-D12)*(BagTotal-SampleSize)/(BagTotal-1))</f>
        <v>1.9943100880436642</v>
      </c>
      <c r="I12" s="35">
        <f>SQRT(SampleSize*D12*(1-D12))</f>
        <v>2.3717082451262845</v>
      </c>
      <c r="K12" s="36" t="s">
        <v>120</v>
      </c>
    </row>
    <row r="13" spans="1:11" x14ac:dyDescent="0.45">
      <c r="B13" s="30" t="s">
        <v>121</v>
      </c>
      <c r="C13" s="31">
        <f>N_Yel</f>
        <v>30</v>
      </c>
      <c r="D13" s="32">
        <f>C13/BagTotal</f>
        <v>0.3</v>
      </c>
      <c r="E13" s="33">
        <f ca="1"/>
        <v>10</v>
      </c>
      <c r="F13" s="33">
        <f ca="1"/>
        <v>9</v>
      </c>
      <c r="G13" s="34">
        <f>SampleSize*D13</f>
        <v>9</v>
      </c>
      <c r="H13" s="35">
        <f>SQRT(SampleSize*D13*(1-D13)*(BagTotal-SampleSize)/(BagTotal-1))</f>
        <v>2.1105794120443453</v>
      </c>
      <c r="I13" s="35">
        <f>SQRT(SampleSize*D13*(1-D13))</f>
        <v>2.5099800796022267</v>
      </c>
    </row>
    <row r="14" spans="1:11" x14ac:dyDescent="0.45">
      <c r="B14" s="37" t="s">
        <v>122</v>
      </c>
      <c r="C14" s="38">
        <f>SUM(C9:C13)</f>
        <v>100</v>
      </c>
      <c r="D14" s="39">
        <f>SUM(D9:D13)</f>
        <v>1</v>
      </c>
      <c r="E14" s="38">
        <f ca="1">SUM(E9:E13)</f>
        <v>30</v>
      </c>
      <c r="F14" s="38">
        <f ca="1">SUM(F9:F13)</f>
        <v>30</v>
      </c>
      <c r="G14" s="40">
        <f>SUM(G9:G13)</f>
        <v>30</v>
      </c>
      <c r="H14" s="41"/>
      <c r="I14" s="41"/>
      <c r="K14" s="36" t="s">
        <v>123</v>
      </c>
    </row>
    <row r="15" spans="1:11" x14ac:dyDescent="0.45">
      <c r="B15" s="25" t="s">
        <v>124</v>
      </c>
      <c r="C15" s="28"/>
      <c r="D15" s="28"/>
      <c r="E15" s="28"/>
      <c r="F15" s="28"/>
      <c r="G15" s="28"/>
      <c r="H15" s="28"/>
      <c r="I15" s="42">
        <f>SQRT((BagTotal-SampleSize)/(BagTotal-1))</f>
        <v>0.84087496518252169</v>
      </c>
      <c r="K15" s="36" t="s">
        <v>125</v>
      </c>
    </row>
    <row r="16" spans="1:11" ht="8" customHeight="1" x14ac:dyDescent="0.45"/>
    <row r="17" spans="2:11" ht="22.05" customHeight="1" x14ac:dyDescent="0.5">
      <c r="B17" s="7" t="s">
        <v>126</v>
      </c>
      <c r="C17" s="8"/>
      <c r="D17" s="8"/>
      <c r="E17" s="8"/>
      <c r="F17" s="8"/>
      <c r="G17" s="8"/>
      <c r="H17" s="8"/>
      <c r="I17" s="8"/>
      <c r="J17" s="8"/>
      <c r="K17" s="8"/>
    </row>
    <row r="18" spans="2:11" ht="18" customHeight="1" x14ac:dyDescent="0.45">
      <c r="B18" s="13" t="s">
        <v>127</v>
      </c>
    </row>
    <row r="19" spans="2:11" ht="18" customHeight="1" x14ac:dyDescent="0.45">
      <c r="B19" s="43" t="s">
        <v>128</v>
      </c>
      <c r="C19" s="5"/>
      <c r="D19" s="43" t="s">
        <v>84</v>
      </c>
      <c r="E19" s="44" t="s">
        <v>129</v>
      </c>
      <c r="F19" s="43" t="s">
        <v>130</v>
      </c>
      <c r="G19" s="5"/>
      <c r="H19" s="5"/>
      <c r="I19" s="5"/>
      <c r="J19" s="5"/>
      <c r="K19" s="5"/>
    </row>
    <row r="20" spans="2:11" x14ac:dyDescent="0.45">
      <c r="B20" s="25" t="s">
        <v>131</v>
      </c>
      <c r="C20" s="28"/>
      <c r="D20" s="26" t="s">
        <v>89</v>
      </c>
      <c r="E20" s="45" cm="1">
        <f t="array" aca="1" ref="E20" ca="1">_xll.VoseOutput("Red (without replacement)","balls")+E9</f>
        <v>5</v>
      </c>
      <c r="F20" s="26"/>
      <c r="G20" s="28"/>
      <c r="H20" s="28"/>
      <c r="I20" s="28"/>
      <c r="J20" s="28"/>
      <c r="K20" s="28"/>
    </row>
    <row r="21" spans="2:11" x14ac:dyDescent="0.45">
      <c r="B21" s="25" t="s">
        <v>132</v>
      </c>
      <c r="C21" s="28"/>
      <c r="D21" s="26" t="s">
        <v>89</v>
      </c>
      <c r="E21" s="45" cm="1">
        <f t="array" aca="1" ref="E21" ca="1">_xll.VoseOutput("White (without replacement)","balls")+E10</f>
        <v>1</v>
      </c>
      <c r="F21" s="26"/>
      <c r="G21" s="28"/>
      <c r="H21" s="28"/>
      <c r="I21" s="28"/>
      <c r="J21" s="28"/>
      <c r="K21" s="28"/>
    </row>
    <row r="22" spans="2:11" x14ac:dyDescent="0.45">
      <c r="B22" s="25" t="s">
        <v>133</v>
      </c>
      <c r="C22" s="28"/>
      <c r="D22" s="26" t="s">
        <v>89</v>
      </c>
      <c r="E22" s="45" cm="1">
        <f t="array" aca="1" ref="E22" ca="1">_xll.VoseOutput("Blue (without replacement)","balls")+E11</f>
        <v>5</v>
      </c>
      <c r="F22" s="26"/>
      <c r="G22" s="28"/>
      <c r="H22" s="28"/>
      <c r="I22" s="28"/>
      <c r="J22" s="28"/>
      <c r="K22" s="28"/>
    </row>
    <row r="23" spans="2:11" x14ac:dyDescent="0.45">
      <c r="B23" s="25" t="s">
        <v>134</v>
      </c>
      <c r="C23" s="28"/>
      <c r="D23" s="26" t="s">
        <v>89</v>
      </c>
      <c r="E23" s="45" cm="1">
        <f t="array" aca="1" ref="E23" ca="1">_xll.VoseOutput("Green (without replacement)","balls")+E12</f>
        <v>9</v>
      </c>
      <c r="F23" s="26"/>
      <c r="G23" s="28"/>
      <c r="H23" s="28"/>
      <c r="I23" s="28"/>
      <c r="J23" s="28"/>
      <c r="K23" s="28"/>
    </row>
    <row r="24" spans="2:11" x14ac:dyDescent="0.45">
      <c r="B24" s="25" t="s">
        <v>135</v>
      </c>
      <c r="C24" s="28"/>
      <c r="D24" s="26" t="s">
        <v>89</v>
      </c>
      <c r="E24" s="45" cm="1">
        <f t="array" aca="1" ref="E24" ca="1">_xll.VoseOutput("Yellow (without replacement)","balls")+E13</f>
        <v>10</v>
      </c>
      <c r="F24" s="26"/>
      <c r="G24" s="28"/>
      <c r="H24" s="28"/>
      <c r="I24" s="28"/>
      <c r="J24" s="28"/>
      <c r="K24" s="28"/>
    </row>
    <row r="25" spans="2:11" x14ac:dyDescent="0.45">
      <c r="B25" s="25" t="s">
        <v>136</v>
      </c>
      <c r="C25" s="28"/>
      <c r="D25" s="26" t="s">
        <v>89</v>
      </c>
      <c r="E25" s="45" cm="1">
        <f t="array" aca="1" ref="E25" ca="1">_xll.VoseOutput("Red (with replacement)","balls")+F9</f>
        <v>3</v>
      </c>
      <c r="F25" s="26"/>
      <c r="G25" s="28"/>
      <c r="H25" s="28"/>
      <c r="I25" s="28"/>
      <c r="J25" s="28"/>
      <c r="K25" s="28"/>
    </row>
    <row r="26" spans="2:11" x14ac:dyDescent="0.45">
      <c r="B26" s="25" t="s">
        <v>137</v>
      </c>
      <c r="C26" s="28"/>
      <c r="D26" s="26" t="s">
        <v>89</v>
      </c>
      <c r="E26" s="45" cm="1">
        <f t="array" aca="1" ref="E26" ca="1">_xll.VoseOutput("White (with replacement)","balls")+F10</f>
        <v>2</v>
      </c>
      <c r="F26" s="26"/>
      <c r="G26" s="28"/>
      <c r="H26" s="28"/>
      <c r="I26" s="28"/>
      <c r="J26" s="28"/>
      <c r="K26" s="28"/>
    </row>
    <row r="27" spans="2:11" x14ac:dyDescent="0.45">
      <c r="B27" s="25" t="s">
        <v>138</v>
      </c>
      <c r="C27" s="28"/>
      <c r="D27" s="26" t="s">
        <v>89</v>
      </c>
      <c r="E27" s="45" cm="1">
        <f t="array" aca="1" ref="E27" ca="1">_xll.VoseOutput("Blue (with replacement)","balls")+F11</f>
        <v>9</v>
      </c>
      <c r="F27" s="26"/>
      <c r="G27" s="28"/>
      <c r="H27" s="28"/>
      <c r="I27" s="28"/>
      <c r="J27" s="28"/>
      <c r="K27" s="28"/>
    </row>
    <row r="28" spans="2:11" x14ac:dyDescent="0.45">
      <c r="B28" s="25" t="s">
        <v>139</v>
      </c>
      <c r="C28" s="28"/>
      <c r="D28" s="26" t="s">
        <v>89</v>
      </c>
      <c r="E28" s="45" cm="1">
        <f t="array" aca="1" ref="E28" ca="1">_xll.VoseOutput("Green (with replacement)","balls")+F12</f>
        <v>7</v>
      </c>
      <c r="F28" s="26"/>
      <c r="G28" s="28"/>
      <c r="H28" s="28"/>
      <c r="I28" s="28"/>
      <c r="J28" s="28"/>
      <c r="K28" s="28"/>
    </row>
    <row r="29" spans="2:11" x14ac:dyDescent="0.45">
      <c r="B29" s="25" t="s">
        <v>140</v>
      </c>
      <c r="C29" s="28"/>
      <c r="D29" s="26" t="s">
        <v>89</v>
      </c>
      <c r="E29" s="45" cm="1">
        <f t="array" aca="1" ref="E29" ca="1">_xll.VoseOutput("Yellow (with replacement)","balls")+F13</f>
        <v>9</v>
      </c>
      <c r="F29" s="26"/>
      <c r="G29" s="28"/>
      <c r="H29" s="28"/>
      <c r="I29" s="28"/>
      <c r="J29" s="28"/>
      <c r="K29" s="28"/>
    </row>
    <row r="30" spans="2:11" x14ac:dyDescent="0.45">
      <c r="B30" s="25" t="s">
        <v>141</v>
      </c>
      <c r="C30" s="28"/>
      <c r="D30" s="26" t="s">
        <v>142</v>
      </c>
      <c r="E30" s="45" cm="1">
        <f t="array" aca="1" ref="E30" ca="1">_xll.VoseOutput("Every colour (without replacement)","1 = yes")+IF(MIN(DrawHyp)&gt;0,1,0)</f>
        <v>1</v>
      </c>
      <c r="F30" s="26" t="s">
        <v>143</v>
      </c>
      <c r="G30" s="28"/>
      <c r="H30" s="28"/>
      <c r="I30" s="28"/>
      <c r="J30" s="28"/>
      <c r="K30" s="28"/>
    </row>
    <row r="31" spans="2:11" x14ac:dyDescent="0.45">
      <c r="B31" s="25" t="s">
        <v>144</v>
      </c>
      <c r="C31" s="28"/>
      <c r="D31" s="26" t="s">
        <v>142</v>
      </c>
      <c r="E31" s="45" cm="1">
        <f t="array" aca="1" ref="E31" ca="1">_xll.VoseOutput("Every colour (with replacement)","1 = yes")+IF(MIN(DrawRep)&gt;0,1,0)</f>
        <v>1</v>
      </c>
      <c r="F31" s="26"/>
      <c r="G31" s="28"/>
      <c r="H31" s="28"/>
      <c r="I31" s="28"/>
      <c r="J31" s="28"/>
      <c r="K31" s="28"/>
    </row>
    <row r="32" spans="2:11" ht="8" customHeight="1" x14ac:dyDescent="0.45"/>
    <row r="33" spans="2:11" ht="22.05" customHeight="1" x14ac:dyDescent="0.5">
      <c r="B33" s="7" t="s">
        <v>145</v>
      </c>
      <c r="C33" s="8"/>
      <c r="D33" s="8"/>
      <c r="E33" s="8"/>
      <c r="F33" s="8"/>
      <c r="G33" s="8"/>
      <c r="H33" s="8"/>
      <c r="I33" s="8"/>
      <c r="J33" s="8"/>
      <c r="K33" s="8"/>
    </row>
    <row r="34" spans="2:11" ht="18" customHeight="1" x14ac:dyDescent="0.45">
      <c r="B34" s="13" t="s">
        <v>146</v>
      </c>
    </row>
    <row r="35" spans="2:11" x14ac:dyDescent="0.45">
      <c r="B35" s="25" t="s">
        <v>147</v>
      </c>
      <c r="C35" s="28"/>
      <c r="D35" s="28"/>
      <c r="E35" s="46" t="str">
        <f>IF(AND(SampleSize&gt;=1,SampleSize&lt;=BagTotal),"OK","CHECK")</f>
        <v>OK</v>
      </c>
      <c r="F35" s="28"/>
      <c r="G35" s="28"/>
      <c r="H35" s="28"/>
      <c r="I35" s="28"/>
      <c r="J35" s="28"/>
      <c r="K35" s="28"/>
    </row>
    <row r="36" spans="2:11" x14ac:dyDescent="0.45">
      <c r="B36" s="25" t="s">
        <v>148</v>
      </c>
      <c r="C36" s="28"/>
      <c r="D36" s="28"/>
      <c r="E36" s="46" t="str">
        <f>IF(MIN(C9:C13)&gt;=0,"OK","CHECK")</f>
        <v>OK</v>
      </c>
      <c r="F36" s="28"/>
      <c r="G36" s="28"/>
      <c r="H36" s="28"/>
      <c r="I36" s="28"/>
      <c r="J36" s="28"/>
      <c r="K36" s="28"/>
    </row>
    <row r="37" spans="2:11" ht="14" customHeight="1" x14ac:dyDescent="0.45"/>
  </sheetData>
  <conditionalFormatting sqref="E35:E36">
    <cfRule type="expression" dxfId="3" priority="1">
      <formula>E35="CHECK"</formula>
    </cfRule>
  </conditionalFormatting>
  <hyperlinks>
    <hyperlink ref="B4" location="'Inputs'!A1" display="◂  Inputs" xr:uid="{00000000-0004-0000-0200-000000000000}"/>
    <hyperlink ref="K4" location="'Results'!A1" display="Next:  Results  ▸" xr:uid="{00000000-0004-0000-0200-000001000000}"/>
  </hyperlinks>
  <printOptions horizontalCentered="1"/>
  <pageMargins left="0.4" right="0.4" top="0.5" bottom="0.6" header="0.25" footer="0.25"/>
  <pageSetup paperSize="9" scale="80"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0"/>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149</v>
      </c>
      <c r="C3" s="1"/>
      <c r="D3" s="1"/>
      <c r="E3" s="1"/>
      <c r="F3" s="1"/>
      <c r="G3" s="1"/>
      <c r="H3" s="1"/>
      <c r="I3" s="1"/>
      <c r="J3" s="1"/>
      <c r="K3" s="1"/>
      <c r="L3" s="1"/>
      <c r="M3" s="1"/>
      <c r="N3" s="1"/>
      <c r="O3" s="1"/>
      <c r="P3" s="1"/>
      <c r="Q3" s="1"/>
      <c r="R3" s="1"/>
    </row>
    <row r="4" spans="1:18" ht="20" customHeight="1" x14ac:dyDescent="0.45">
      <c r="A4" s="5"/>
      <c r="B4" s="22" t="s">
        <v>150</v>
      </c>
      <c r="C4" s="5"/>
      <c r="D4" s="5"/>
      <c r="E4" s="5"/>
      <c r="F4" s="5"/>
      <c r="G4" s="5"/>
      <c r="H4" s="5"/>
      <c r="I4" s="5"/>
      <c r="J4" s="5"/>
      <c r="K4" s="5"/>
      <c r="L4" s="5"/>
      <c r="M4" s="5"/>
      <c r="N4" s="5"/>
      <c r="O4" s="5"/>
      <c r="P4" s="5"/>
      <c r="Q4" s="5"/>
      <c r="R4" s="5"/>
    </row>
    <row r="5" spans="1:18" ht="8" customHeight="1" x14ac:dyDescent="0.45"/>
    <row r="6" spans="1:18" ht="26" customHeight="1" x14ac:dyDescent="0.45">
      <c r="B6" s="47" t="str" cm="1">
        <f t="array" aca="1" ref="B6" ca="1">IF(ISNUMBER(_xll.VoseSimMean(Draw_Red)),"✔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8"/>
      <c r="D6" s="48"/>
      <c r="E6" s="48"/>
      <c r="F6" s="48"/>
      <c r="G6" s="48"/>
    </row>
    <row r="7" spans="1:18" x14ac:dyDescent="0.45">
      <c r="B7" s="36"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151</v>
      </c>
      <c r="C9" s="8"/>
      <c r="D9" s="8"/>
      <c r="E9" s="8"/>
      <c r="F9" s="8"/>
      <c r="G9" s="8"/>
      <c r="I9" s="49" t="s">
        <v>152</v>
      </c>
      <c r="J9" s="8"/>
      <c r="K9" s="8"/>
      <c r="L9" s="8"/>
      <c r="M9" s="8"/>
      <c r="N9" s="8"/>
      <c r="O9" s="8"/>
      <c r="P9" s="8"/>
      <c r="Q9" s="8"/>
      <c r="R9" s="8"/>
    </row>
    <row r="10" spans="1:18" ht="18" customHeight="1" x14ac:dyDescent="0.45">
      <c r="B10" s="13" t="s">
        <v>153</v>
      </c>
    </row>
    <row r="11" spans="1:18" ht="18" customHeight="1" x14ac:dyDescent="0.45">
      <c r="B11" s="23" t="s">
        <v>105</v>
      </c>
      <c r="C11" s="24" t="s">
        <v>106</v>
      </c>
      <c r="D11" s="24" t="s">
        <v>110</v>
      </c>
      <c r="E11" s="24" t="s">
        <v>154</v>
      </c>
      <c r="F11" s="24" t="s">
        <v>155</v>
      </c>
      <c r="G11" s="24" t="s">
        <v>156</v>
      </c>
    </row>
    <row r="12" spans="1:18" x14ac:dyDescent="0.45">
      <c r="B12" s="25" t="s">
        <v>113</v>
      </c>
      <c r="C12" s="31">
        <f>N_Red</f>
        <v>10</v>
      </c>
      <c r="D12" s="34">
        <f>SampleSize*N_Red/BagTotal</f>
        <v>3</v>
      </c>
      <c r="E12" s="50" cm="1">
        <f t="array" aca="1" ref="E12" ca="1">_xll.VoseSimMean(Draw_Red)</f>
        <v>2.9895</v>
      </c>
      <c r="F12" s="51" cm="1">
        <f t="array" aca="1" ref="F12" ca="1">_xll.VoseSimPercentile(Draw_Red,0.1)</f>
        <v>1</v>
      </c>
      <c r="G12" s="51" cm="1">
        <f t="array" aca="1" ref="G12" ca="1">_xll.VoseSimPercentile(Draw_Red,0.9)</f>
        <v>5</v>
      </c>
    </row>
    <row r="13" spans="1:18" x14ac:dyDescent="0.45">
      <c r="B13" s="25" t="s">
        <v>115</v>
      </c>
      <c r="C13" s="31">
        <f>N_Wht</f>
        <v>15</v>
      </c>
      <c r="D13" s="34">
        <f>SampleSize*N_Wht/BagTotal</f>
        <v>4.5</v>
      </c>
      <c r="E13" s="50" cm="1">
        <f t="array" aca="1" ref="E13" ca="1">_xll.VoseSimMean(Draw_Wht)</f>
        <v>4.4988000000000001</v>
      </c>
      <c r="F13" s="51" cm="1">
        <f t="array" aca="1" ref="F13" ca="1">_xll.VoseSimPercentile(Draw_Wht,0.1)</f>
        <v>2</v>
      </c>
      <c r="G13" s="51" cm="1">
        <f t="array" aca="1" ref="G13" ca="1">_xll.VoseSimPercentile(Draw_Wht,0.9)</f>
        <v>7</v>
      </c>
    </row>
    <row r="14" spans="1:18" x14ac:dyDescent="0.45">
      <c r="B14" s="25" t="s">
        <v>117</v>
      </c>
      <c r="C14" s="31">
        <f>N_Blu</f>
        <v>20</v>
      </c>
      <c r="D14" s="34">
        <f>SampleSize*N_Blu/BagTotal</f>
        <v>6</v>
      </c>
      <c r="E14" s="50" cm="1">
        <f t="array" aca="1" ref="E14" ca="1">_xll.VoseSimMean(Draw_Blu)</f>
        <v>6.0198</v>
      </c>
      <c r="F14" s="51" cm="1">
        <f t="array" aca="1" ref="F14" ca="1">_xll.VoseSimPercentile(Draw_Blu,0.1)</f>
        <v>4</v>
      </c>
      <c r="G14" s="51" cm="1">
        <f t="array" aca="1" ref="G14" ca="1">_xll.VoseSimPercentile(Draw_Blu,0.9)</f>
        <v>8</v>
      </c>
    </row>
    <row r="15" spans="1:18" x14ac:dyDescent="0.45">
      <c r="B15" s="25" t="s">
        <v>119</v>
      </c>
      <c r="C15" s="31">
        <f>N_Grn</f>
        <v>25</v>
      </c>
      <c r="D15" s="34">
        <f>SampleSize*N_Grn/BagTotal</f>
        <v>7.5</v>
      </c>
      <c r="E15" s="50" cm="1">
        <f t="array" aca="1" ref="E15" ca="1">_xll.VoseSimMean(Draw_Grn)</f>
        <v>7.4802</v>
      </c>
      <c r="F15" s="51" cm="1">
        <f t="array" aca="1" ref="F15" ca="1">_xll.VoseSimPercentile(Draw_Grn,0.1)</f>
        <v>5</v>
      </c>
      <c r="G15" s="51" cm="1">
        <f t="array" aca="1" ref="G15" ca="1">_xll.VoseSimPercentile(Draw_Grn,0.9)</f>
        <v>10</v>
      </c>
    </row>
    <row r="16" spans="1:18" x14ac:dyDescent="0.45">
      <c r="B16" s="25" t="s">
        <v>121</v>
      </c>
      <c r="C16" s="31">
        <f>N_Yel</f>
        <v>30</v>
      </c>
      <c r="D16" s="34">
        <f>SampleSize*N_Yel/BagTotal</f>
        <v>9</v>
      </c>
      <c r="E16" s="50" cm="1">
        <f t="array" aca="1" ref="E16" ca="1">_xll.VoseSimMean(Draw_Yel)</f>
        <v>9.0116999999999994</v>
      </c>
      <c r="F16" s="51" cm="1">
        <f t="array" aca="1" ref="F16" ca="1">_xll.VoseSimPercentile(Draw_Yel,0.1)</f>
        <v>6</v>
      </c>
      <c r="G16" s="51" cm="1">
        <f t="array" aca="1" ref="G16" ca="1">_xll.VoseSimPercentile(Draw_Yel,0.9)</f>
        <v>12</v>
      </c>
    </row>
    <row r="17" spans="2:7" ht="8" customHeight="1" x14ac:dyDescent="0.45"/>
    <row r="18" spans="2:7" ht="22.05" customHeight="1" x14ac:dyDescent="0.5">
      <c r="B18" s="7" t="s">
        <v>157</v>
      </c>
      <c r="C18" s="8"/>
      <c r="D18" s="8"/>
      <c r="E18" s="8"/>
      <c r="F18" s="8"/>
      <c r="G18" s="8"/>
    </row>
    <row r="19" spans="2:7" ht="18" customHeight="1" x14ac:dyDescent="0.45">
      <c r="B19" s="13" t="s">
        <v>158</v>
      </c>
    </row>
    <row r="20" spans="2:7" ht="30" customHeight="1" x14ac:dyDescent="0.45">
      <c r="B20" s="23" t="s">
        <v>105</v>
      </c>
      <c r="C20" s="24" t="s">
        <v>159</v>
      </c>
      <c r="D20" s="24" t="s">
        <v>160</v>
      </c>
      <c r="E20" s="24" t="s">
        <v>161</v>
      </c>
      <c r="F20" s="24" t="s">
        <v>162</v>
      </c>
      <c r="G20" s="5"/>
    </row>
    <row r="21" spans="2:7" x14ac:dyDescent="0.45">
      <c r="B21" s="25" t="s">
        <v>113</v>
      </c>
      <c r="C21" s="35">
        <f>SdHyp_Red</f>
        <v>1.3816985594155149</v>
      </c>
      <c r="D21" s="52" cm="1">
        <f t="array" aca="1" ref="D21" ca="1">_xll.VoseSimStdev(Draw_Red)</f>
        <v>1.371195743785977</v>
      </c>
      <c r="E21" s="35">
        <f>SdRep_Red</f>
        <v>1.6431676725154984</v>
      </c>
      <c r="F21" s="52" cm="1">
        <f t="array" aca="1" ref="F21" ca="1">_xll.VoseSimStdev(Repl_Red)</f>
        <v>1.6449243561981082</v>
      </c>
      <c r="G21" s="28"/>
    </row>
    <row r="22" spans="2:7" x14ac:dyDescent="0.45">
      <c r="B22" s="25" t="s">
        <v>115</v>
      </c>
      <c r="C22" s="35">
        <f>SdHyp_Wht</f>
        <v>1.6445502286477767</v>
      </c>
      <c r="D22" s="52" cm="1">
        <f t="array" aca="1" ref="D22" ca="1">_xll.VoseSimStdev(Draw_Wht)</f>
        <v>1.6533819665137024</v>
      </c>
      <c r="E22" s="35">
        <f>SdRep_Wht</f>
        <v>1.9557607215607946</v>
      </c>
      <c r="F22" s="52" cm="1">
        <f t="array" aca="1" ref="F22" ca="1">_xll.VoseSimStdev(Repl_Wht)</f>
        <v>1.9476522597559585</v>
      </c>
      <c r="G22" s="28"/>
    </row>
    <row r="23" spans="2:7" x14ac:dyDescent="0.45">
      <c r="B23" s="25" t="s">
        <v>117</v>
      </c>
      <c r="C23" s="35">
        <f>SdHyp_Blu</f>
        <v>1.8422647458873533</v>
      </c>
      <c r="D23" s="52" cm="1">
        <f t="array" aca="1" ref="D23" ca="1">_xll.VoseSimStdev(Draw_Blu)</f>
        <v>1.8407462602649687</v>
      </c>
      <c r="E23" s="35">
        <f>SdRep_Blu</f>
        <v>2.1908902300206647</v>
      </c>
      <c r="F23" s="52" cm="1">
        <f t="array" aca="1" ref="F23" ca="1">_xll.VoseSimStdev(Repl_Blu)</f>
        <v>2.1960489459703108</v>
      </c>
      <c r="G23" s="28"/>
    </row>
    <row r="24" spans="2:7" x14ac:dyDescent="0.45">
      <c r="B24" s="25" t="s">
        <v>119</v>
      </c>
      <c r="C24" s="35">
        <f>SdHyp_Grn</f>
        <v>1.9943100880436642</v>
      </c>
      <c r="D24" s="52" cm="1">
        <f t="array" aca="1" ref="D24" ca="1">_xll.VoseSimStdev(Draw_Grn)</f>
        <v>1.9892218730865701</v>
      </c>
      <c r="E24" s="35">
        <f>SdRep_Grn</f>
        <v>2.3717082451262845</v>
      </c>
      <c r="F24" s="52" cm="1">
        <f t="array" aca="1" ref="F24" ca="1">_xll.VoseSimStdev(Repl_Grn)</f>
        <v>2.4017028995447727</v>
      </c>
      <c r="G24" s="28"/>
    </row>
    <row r="25" spans="2:7" x14ac:dyDescent="0.45">
      <c r="B25" s="25" t="s">
        <v>121</v>
      </c>
      <c r="C25" s="35">
        <f>SdHyp_Yel</f>
        <v>2.1105794120443453</v>
      </c>
      <c r="D25" s="52" cm="1">
        <f t="array" aca="1" ref="D25" ca="1">_xll.VoseSimStdev(Draw_Yel)</f>
        <v>2.1001438451727665</v>
      </c>
      <c r="E25" s="35">
        <f>SdRep_Yel</f>
        <v>2.5099800796022267</v>
      </c>
      <c r="F25" s="52" cm="1">
        <f t="array" aca="1" ref="F25" ca="1">_xll.VoseSimStdev(Repl_Yel)</f>
        <v>2.5194884048517134</v>
      </c>
      <c r="G25" s="28"/>
    </row>
    <row r="26" spans="2:7" ht="8" customHeight="1" x14ac:dyDescent="0.45"/>
    <row r="27" spans="2:7" ht="22.05" customHeight="1" x14ac:dyDescent="0.5">
      <c r="B27" s="7" t="s">
        <v>163</v>
      </c>
      <c r="C27" s="8"/>
      <c r="D27" s="8"/>
      <c r="E27" s="8"/>
      <c r="F27" s="8"/>
      <c r="G27" s="8"/>
    </row>
    <row r="28" spans="2:7" ht="18" customHeight="1" x14ac:dyDescent="0.45">
      <c r="B28" s="13" t="s">
        <v>164</v>
      </c>
    </row>
    <row r="29" spans="2:7" ht="30" customHeight="1" x14ac:dyDescent="0.45">
      <c r="B29" s="23" t="s">
        <v>165</v>
      </c>
      <c r="C29" s="24" t="s">
        <v>160</v>
      </c>
      <c r="D29" s="24" t="s">
        <v>159</v>
      </c>
      <c r="E29" s="24" t="s">
        <v>162</v>
      </c>
      <c r="F29" s="24" t="s">
        <v>161</v>
      </c>
      <c r="G29" s="5"/>
    </row>
    <row r="30" spans="2:7" x14ac:dyDescent="0.45">
      <c r="B30" s="25" t="s">
        <v>166</v>
      </c>
      <c r="C30" s="53" cm="1">
        <f t="array" aca="1" ref="C30" ca="1">_xll.VoseSimMean(AllHyp)</f>
        <v>0.97760000000000002</v>
      </c>
      <c r="D30" s="54" t="s">
        <v>167</v>
      </c>
      <c r="E30" s="53" cm="1">
        <f t="array" aca="1" ref="E30" ca="1">_xll.VoseSimMean(AllRep)</f>
        <v>0.94669999999999999</v>
      </c>
      <c r="F30" s="54" t="s">
        <v>167</v>
      </c>
      <c r="G30" s="28"/>
    </row>
    <row r="31" spans="2:7" x14ac:dyDescent="0.45">
      <c r="B31" s="25" t="s">
        <v>168</v>
      </c>
      <c r="C31" s="53" cm="1">
        <f t="array" aca="1" ref="C31" ca="1">_xll.VoseSimProbability(Draw_Red,0)</f>
        <v>1.8798120187981202E-2</v>
      </c>
      <c r="D31" s="32">
        <f>_xlfn.HYPGEOM.DIST(0,SampleSize,N_Red,BagTotal,FALSE)</f>
        <v>2.2917240458021581E-2</v>
      </c>
      <c r="E31" s="53" cm="1">
        <f t="array" aca="1" ref="E31" ca="1">_xll.VoseSimProbability(Repl_Red,0)</f>
        <v>4.6195380461953803E-2</v>
      </c>
      <c r="F31" s="32">
        <f>_xlfn.BINOM.DIST(0,SampleSize,N_Red/BagTotal,FALSE)</f>
        <v>4.2391158275216195E-2</v>
      </c>
      <c r="G31" s="28"/>
    </row>
    <row r="32" spans="2:7" x14ac:dyDescent="0.45">
      <c r="B32" s="25" t="s">
        <v>169</v>
      </c>
      <c r="C32" s="53" cm="1">
        <f t="array" aca="1" ref="C32" ca="1">1-_xll.VoseSimProbability(Draw_Red,4.5)</f>
        <v>0.13488651134886509</v>
      </c>
      <c r="D32" s="32">
        <f>1-_xlfn.HYPGEOM.DIST(4,SampleSize,N_Red,BagTotal,TRUE)</f>
        <v>0.13840234913926908</v>
      </c>
      <c r="E32" s="53" cm="1">
        <f t="array" aca="1" ref="E32" ca="1">1-_xll.VoseSimProbability(Repl_Red,4.5)</f>
        <v>0.16948305169483047</v>
      </c>
      <c r="F32" s="32">
        <f>1-_xlfn.BINOM.DIST(4,SampleSize,N_Red/BagTotal,TRUE)</f>
        <v>0.17549487903389482</v>
      </c>
      <c r="G32" s="28"/>
    </row>
    <row r="33" spans="2:18" x14ac:dyDescent="0.45">
      <c r="B33" s="25" t="s">
        <v>170</v>
      </c>
      <c r="C33" s="53" cm="1">
        <f t="array" aca="1" ref="C33" ca="1">1-_xll.VoseSimProbability(Draw_Yel,11.5)</f>
        <v>0.11598840115988396</v>
      </c>
      <c r="D33" s="32">
        <f>1-_xlfn.HYPGEOM.DIST(11,SampleSize,N_Yel,BagTotal,TRUE)</f>
        <v>0.11770200911221473</v>
      </c>
      <c r="E33" s="53" cm="1">
        <f t="array" aca="1" ref="E33" ca="1">1-_xll.VoseSimProbability(Repl_Yel,11.5)</f>
        <v>0.16268373162683736</v>
      </c>
      <c r="F33" s="32">
        <f>1-_xlfn.BINOM.DIST(11,SampleSize,N_Yel/BagTotal,TRUE)</f>
        <v>0.15932179468792551</v>
      </c>
      <c r="G33" s="28"/>
    </row>
    <row r="34" spans="2:18" ht="8" customHeight="1" x14ac:dyDescent="0.45"/>
    <row r="35" spans="2:18" x14ac:dyDescent="0.45">
      <c r="I35" s="49" t="s">
        <v>171</v>
      </c>
      <c r="J35" s="8"/>
      <c r="K35" s="8"/>
      <c r="L35" s="8"/>
      <c r="M35" s="8"/>
      <c r="N35" s="8"/>
      <c r="O35" s="8"/>
      <c r="P35" s="8"/>
      <c r="Q35" s="8"/>
      <c r="R35" s="8"/>
    </row>
    <row r="51" spans="2:7" ht="22.05" customHeight="1" x14ac:dyDescent="0.5">
      <c r="B51" s="7" t="s">
        <v>172</v>
      </c>
      <c r="C51" s="8"/>
      <c r="D51" s="8"/>
      <c r="E51" s="8"/>
      <c r="F51" s="8"/>
      <c r="G51" s="8"/>
    </row>
    <row r="52" spans="2:7" ht="19.05" customHeight="1" x14ac:dyDescent="0.45">
      <c r="B52" s="59" t="s">
        <v>173</v>
      </c>
      <c r="C52" s="58"/>
      <c r="D52" s="58"/>
      <c r="E52" s="58"/>
      <c r="F52" s="58"/>
      <c r="G52" s="58"/>
    </row>
    <row r="53" spans="2:7" ht="32" customHeight="1" x14ac:dyDescent="0.45">
      <c r="B53" s="59" t="s">
        <v>174</v>
      </c>
      <c r="C53" s="58"/>
      <c r="D53" s="58"/>
      <c r="E53" s="58"/>
      <c r="F53" s="58"/>
      <c r="G53" s="58"/>
    </row>
    <row r="54" spans="2:7" ht="45" customHeight="1" x14ac:dyDescent="0.45">
      <c r="B54" s="59" t="s">
        <v>175</v>
      </c>
      <c r="C54" s="58"/>
      <c r="D54" s="58"/>
      <c r="E54" s="58"/>
      <c r="F54" s="58"/>
      <c r="G54" s="58"/>
    </row>
    <row r="55" spans="2:7" ht="32" customHeight="1" x14ac:dyDescent="0.45">
      <c r="B55" s="59" t="s">
        <v>176</v>
      </c>
      <c r="C55" s="58"/>
      <c r="D55" s="58"/>
      <c r="E55" s="58"/>
      <c r="F55" s="58"/>
      <c r="G55" s="58"/>
    </row>
    <row r="56" spans="2:7" ht="14" customHeight="1" x14ac:dyDescent="0.45"/>
    <row r="57" spans="2:7" ht="14" customHeight="1" x14ac:dyDescent="0.45"/>
    <row r="58" spans="2:7" ht="22.05" customHeight="1" x14ac:dyDescent="0.5">
      <c r="B58" s="7" t="s">
        <v>177</v>
      </c>
      <c r="C58" s="8"/>
      <c r="D58" s="8"/>
      <c r="E58" s="8"/>
      <c r="F58" s="8"/>
      <c r="G58" s="8"/>
    </row>
    <row r="59" spans="2:7" ht="18" customHeight="1" x14ac:dyDescent="0.45">
      <c r="B59" s="13" t="s">
        <v>178</v>
      </c>
    </row>
    <row r="60" spans="2:7" ht="28.05" hidden="1" customHeight="1" outlineLevel="1" x14ac:dyDescent="0.45">
      <c r="B60" s="24" t="s">
        <v>179</v>
      </c>
      <c r="C60" s="24" t="s">
        <v>180</v>
      </c>
      <c r="D60" s="24" t="s">
        <v>181</v>
      </c>
      <c r="E60" s="24" t="s">
        <v>182</v>
      </c>
      <c r="F60" s="24" t="s">
        <v>183</v>
      </c>
      <c r="G60" s="24" t="s">
        <v>184</v>
      </c>
    </row>
    <row r="61" spans="2:7" hidden="1" outlineLevel="1" x14ac:dyDescent="0.45">
      <c r="B61" s="55">
        <v>0.01</v>
      </c>
      <c r="C61" s="55">
        <f t="shared" ref="C61:C92" si="0">1-B61</f>
        <v>0.99</v>
      </c>
      <c r="D61" s="56" cm="1">
        <f t="array" aca="1" ref="D61" ca="1">IF(ISNUMBER(_xll.VoseSimPercentile(Draw_Red,$B61)),_xll.VoseSimPercentile(Draw_Red,$B61),NA())</f>
        <v>0</v>
      </c>
      <c r="E61" s="56" cm="1">
        <f t="array" aca="1" ref="E61" ca="1">IF(ISNUMBER(_xll.VoseSimPercentile(Repl_Red,$B61)),_xll.VoseSimPercentile(Repl_Red,$B61),NA())</f>
        <v>0</v>
      </c>
      <c r="F61" s="56" cm="1">
        <f t="array" aca="1" ref="F61" ca="1">IF(ISNUMBER(_xll.VoseSimPercentile(Draw_Yel,$B61)),_xll.VoseSimPercentile(Draw_Yel,$B61),NA())</f>
        <v>4</v>
      </c>
      <c r="G61" s="56" cm="1">
        <f t="array" aca="1" ref="G61" ca="1">IF(ISNUMBER(_xll.VoseSimPercentile(Repl_Yel,$B61)),_xll.VoseSimPercentile(Repl_Yel,$B61),NA())</f>
        <v>3</v>
      </c>
    </row>
    <row r="62" spans="2:7" hidden="1" outlineLevel="1" x14ac:dyDescent="0.45">
      <c r="B62" s="55">
        <v>0.03</v>
      </c>
      <c r="C62" s="55">
        <f t="shared" si="0"/>
        <v>0.97</v>
      </c>
      <c r="D62" s="56" cm="1">
        <f t="array" aca="1" ref="D62" ca="1">IF(ISNUMBER(_xll.VoseSimPercentile(Draw_Red,$B62)),_xll.VoseSimPercentile(Draw_Red,$B62),NA())</f>
        <v>1</v>
      </c>
      <c r="E62" s="56" cm="1">
        <f t="array" aca="1" ref="E62" ca="1">IF(ISNUMBER(_xll.VoseSimPercentile(Repl_Red,$B62)),_xll.VoseSimPercentile(Repl_Red,$B62),NA())</f>
        <v>0</v>
      </c>
      <c r="F62" s="56" cm="1">
        <f t="array" aca="1" ref="F62" ca="1">IF(ISNUMBER(_xll.VoseSimPercentile(Draw_Yel,$B62)),_xll.VoseSimPercentile(Draw_Yel,$B62),NA())</f>
        <v>5</v>
      </c>
      <c r="G62" s="56" cm="1">
        <f t="array" aca="1" ref="G62" ca="1">IF(ISNUMBER(_xll.VoseSimPercentile(Repl_Yel,$B62)),_xll.VoseSimPercentile(Repl_Yel,$B62),NA())</f>
        <v>5</v>
      </c>
    </row>
    <row r="63" spans="2:7" hidden="1" outlineLevel="1" x14ac:dyDescent="0.45">
      <c r="B63" s="55">
        <v>0.05</v>
      </c>
      <c r="C63" s="55">
        <f t="shared" si="0"/>
        <v>0.95</v>
      </c>
      <c r="D63" s="56" cm="1">
        <f t="array" aca="1" ref="D63" ca="1">IF(ISNUMBER(_xll.VoseSimPercentile(Draw_Red,$B63)),_xll.VoseSimPercentile(Draw_Red,$B63),NA())</f>
        <v>1</v>
      </c>
      <c r="E63" s="56" cm="1">
        <f t="array" aca="1" ref="E63" ca="1">IF(ISNUMBER(_xll.VoseSimPercentile(Repl_Red,$B63)),_xll.VoseSimPercentile(Repl_Red,$B63),NA())</f>
        <v>1</v>
      </c>
      <c r="F63" s="56" cm="1">
        <f t="array" aca="1" ref="F63" ca="1">IF(ISNUMBER(_xll.VoseSimPercentile(Draw_Yel,$B63)),_xll.VoseSimPercentile(Draw_Yel,$B63),NA())</f>
        <v>6</v>
      </c>
      <c r="G63" s="56" cm="1">
        <f t="array" aca="1" ref="G63" ca="1">IF(ISNUMBER(_xll.VoseSimPercentile(Repl_Yel,$B63)),_xll.VoseSimPercentile(Repl_Yel,$B63),NA())</f>
        <v>5</v>
      </c>
    </row>
    <row r="64" spans="2:7" hidden="1" outlineLevel="1" x14ac:dyDescent="0.45">
      <c r="B64" s="55">
        <v>7.0000000000000007E-2</v>
      </c>
      <c r="C64" s="55">
        <f t="shared" si="0"/>
        <v>0.92999999999999994</v>
      </c>
      <c r="D64" s="56" cm="1">
        <f t="array" aca="1" ref="D64" ca="1">IF(ISNUMBER(_xll.VoseSimPercentile(Draw_Red,$B64)),_xll.VoseSimPercentile(Draw_Red,$B64),NA())</f>
        <v>1</v>
      </c>
      <c r="E64" s="56" cm="1">
        <f t="array" aca="1" ref="E64" ca="1">IF(ISNUMBER(_xll.VoseSimPercentile(Repl_Red,$B64)),_xll.VoseSimPercentile(Repl_Red,$B64),NA())</f>
        <v>1</v>
      </c>
      <c r="F64" s="56" cm="1">
        <f t="array" aca="1" ref="F64" ca="1">IF(ISNUMBER(_xll.VoseSimPercentile(Draw_Yel,$B64)),_xll.VoseSimPercentile(Draw_Yel,$B64),NA())</f>
        <v>6</v>
      </c>
      <c r="G64" s="56" cm="1">
        <f t="array" aca="1" ref="G64" ca="1">IF(ISNUMBER(_xll.VoseSimPercentile(Repl_Yel,$B64)),_xll.VoseSimPercentile(Repl_Yel,$B64),NA())</f>
        <v>5</v>
      </c>
    </row>
    <row r="65" spans="2:7" hidden="1" outlineLevel="1" x14ac:dyDescent="0.45">
      <c r="B65" s="55">
        <v>0.09</v>
      </c>
      <c r="C65" s="55">
        <f t="shared" si="0"/>
        <v>0.91</v>
      </c>
      <c r="D65" s="56" cm="1">
        <f t="array" aca="1" ref="D65" ca="1">IF(ISNUMBER(_xll.VoseSimPercentile(Draw_Red,$B65)),_xll.VoseSimPercentile(Draw_Red,$B65),NA())</f>
        <v>1</v>
      </c>
      <c r="E65" s="56" cm="1">
        <f t="array" aca="1" ref="E65" ca="1">IF(ISNUMBER(_xll.VoseSimPercentile(Repl_Red,$B65)),_xll.VoseSimPercentile(Repl_Red,$B65),NA())</f>
        <v>1</v>
      </c>
      <c r="F65" s="56" cm="1">
        <f t="array" aca="1" ref="F65" ca="1">IF(ISNUMBER(_xll.VoseSimPercentile(Draw_Yel,$B65)),_xll.VoseSimPercentile(Draw_Yel,$B65),NA())</f>
        <v>6</v>
      </c>
      <c r="G65" s="56" cm="1">
        <f t="array" aca="1" ref="G65" ca="1">IF(ISNUMBER(_xll.VoseSimPercentile(Repl_Yel,$B65)),_xll.VoseSimPercentile(Repl_Yel,$B65),NA())</f>
        <v>6</v>
      </c>
    </row>
    <row r="66" spans="2:7" hidden="1" outlineLevel="1" x14ac:dyDescent="0.45">
      <c r="B66" s="55">
        <v>0.11</v>
      </c>
      <c r="C66" s="55">
        <f t="shared" si="0"/>
        <v>0.89</v>
      </c>
      <c r="D66" s="56" cm="1">
        <f t="array" aca="1" ref="D66" ca="1">IF(ISNUMBER(_xll.VoseSimPercentile(Draw_Red,$B66)),_xll.VoseSimPercentile(Draw_Red,$B66),NA())</f>
        <v>1</v>
      </c>
      <c r="E66" s="56" cm="1">
        <f t="array" aca="1" ref="E66" ca="1">IF(ISNUMBER(_xll.VoseSimPercentile(Repl_Red,$B66)),_xll.VoseSimPercentile(Repl_Red,$B66),NA())</f>
        <v>1</v>
      </c>
      <c r="F66" s="56" cm="1">
        <f t="array" aca="1" ref="F66" ca="1">IF(ISNUMBER(_xll.VoseSimPercentile(Draw_Yel,$B66)),_xll.VoseSimPercentile(Draw_Yel,$B66),NA())</f>
        <v>6</v>
      </c>
      <c r="G66" s="56" cm="1">
        <f t="array" aca="1" ref="G66" ca="1">IF(ISNUMBER(_xll.VoseSimPercentile(Repl_Yel,$B66)),_xll.VoseSimPercentile(Repl_Yel,$B66),NA())</f>
        <v>6</v>
      </c>
    </row>
    <row r="67" spans="2:7" hidden="1" outlineLevel="1" x14ac:dyDescent="0.45">
      <c r="B67" s="55">
        <v>0.13</v>
      </c>
      <c r="C67" s="55">
        <f t="shared" si="0"/>
        <v>0.87</v>
      </c>
      <c r="D67" s="56" cm="1">
        <f t="array" aca="1" ref="D67" ca="1">IF(ISNUMBER(_xll.VoseSimPercentile(Draw_Red,$B67)),_xll.VoseSimPercentile(Draw_Red,$B67),NA())</f>
        <v>1</v>
      </c>
      <c r="E67" s="56" cm="1">
        <f t="array" aca="1" ref="E67" ca="1">IF(ISNUMBER(_xll.VoseSimPercentile(Repl_Red,$B67)),_xll.VoseSimPercentile(Repl_Red,$B67),NA())</f>
        <v>1</v>
      </c>
      <c r="F67" s="56" cm="1">
        <f t="array" aca="1" ref="F67" ca="1">IF(ISNUMBER(_xll.VoseSimPercentile(Draw_Yel,$B67)),_xll.VoseSimPercentile(Draw_Yel,$B67),NA())</f>
        <v>7</v>
      </c>
      <c r="G67" s="56" cm="1">
        <f t="array" aca="1" ref="G67" ca="1">IF(ISNUMBER(_xll.VoseSimPercentile(Repl_Yel,$B67)),_xll.VoseSimPercentile(Repl_Yel,$B67),NA())</f>
        <v>6</v>
      </c>
    </row>
    <row r="68" spans="2:7" hidden="1" outlineLevel="1" x14ac:dyDescent="0.45">
      <c r="B68" s="55">
        <v>0.15</v>
      </c>
      <c r="C68" s="55">
        <f t="shared" si="0"/>
        <v>0.85</v>
      </c>
      <c r="D68" s="56" cm="1">
        <f t="array" aca="1" ref="D68" ca="1">IF(ISNUMBER(_xll.VoseSimPercentile(Draw_Red,$B68)),_xll.VoseSimPercentile(Draw_Red,$B68),NA())</f>
        <v>2</v>
      </c>
      <c r="E68" s="56" cm="1">
        <f t="array" aca="1" ref="E68" ca="1">IF(ISNUMBER(_xll.VoseSimPercentile(Repl_Red,$B68)),_xll.VoseSimPercentile(Repl_Red,$B68),NA())</f>
        <v>1</v>
      </c>
      <c r="F68" s="56" cm="1">
        <f t="array" aca="1" ref="F68" ca="1">IF(ISNUMBER(_xll.VoseSimPercentile(Draw_Yel,$B68)),_xll.VoseSimPercentile(Draw_Yel,$B68),NA())</f>
        <v>7</v>
      </c>
      <c r="G68" s="56" cm="1">
        <f t="array" aca="1" ref="G68" ca="1">IF(ISNUMBER(_xll.VoseSimPercentile(Repl_Yel,$B68)),_xll.VoseSimPercentile(Repl_Yel,$B68),NA())</f>
        <v>6</v>
      </c>
    </row>
    <row r="69" spans="2:7" hidden="1" outlineLevel="1" x14ac:dyDescent="0.45">
      <c r="B69" s="55">
        <v>0.17</v>
      </c>
      <c r="C69" s="55">
        <f t="shared" si="0"/>
        <v>0.83</v>
      </c>
      <c r="D69" s="56" cm="1">
        <f t="array" aca="1" ref="D69" ca="1">IF(ISNUMBER(_xll.VoseSimPercentile(Draw_Red,$B69)),_xll.VoseSimPercentile(Draw_Red,$B69),NA())</f>
        <v>2</v>
      </c>
      <c r="E69" s="56" cm="1">
        <f t="array" aca="1" ref="E69" ca="1">IF(ISNUMBER(_xll.VoseSimPercentile(Repl_Red,$B69)),_xll.VoseSimPercentile(Repl_Red,$B69),NA())</f>
        <v>1</v>
      </c>
      <c r="F69" s="56" cm="1">
        <f t="array" aca="1" ref="F69" ca="1">IF(ISNUMBER(_xll.VoseSimPercentile(Draw_Yel,$B69)),_xll.VoseSimPercentile(Draw_Yel,$B69),NA())</f>
        <v>7</v>
      </c>
      <c r="G69" s="56" cm="1">
        <f t="array" aca="1" ref="G69" ca="1">IF(ISNUMBER(_xll.VoseSimPercentile(Repl_Yel,$B69)),_xll.VoseSimPercentile(Repl_Yel,$B69),NA())</f>
        <v>7</v>
      </c>
    </row>
    <row r="70" spans="2:7" hidden="1" outlineLevel="1" x14ac:dyDescent="0.45">
      <c r="B70" s="55">
        <v>0.19</v>
      </c>
      <c r="C70" s="55">
        <f t="shared" si="0"/>
        <v>0.81</v>
      </c>
      <c r="D70" s="56" cm="1">
        <f t="array" aca="1" ref="D70" ca="1">IF(ISNUMBER(_xll.VoseSimPercentile(Draw_Red,$B70)),_xll.VoseSimPercentile(Draw_Red,$B70),NA())</f>
        <v>2</v>
      </c>
      <c r="E70" s="56" cm="1">
        <f t="array" aca="1" ref="E70" ca="1">IF(ISNUMBER(_xll.VoseSimPercentile(Repl_Red,$B70)),_xll.VoseSimPercentile(Repl_Red,$B70),NA())</f>
        <v>1</v>
      </c>
      <c r="F70" s="56" cm="1">
        <f t="array" aca="1" ref="F70" ca="1">IF(ISNUMBER(_xll.VoseSimPercentile(Draw_Yel,$B70)),_xll.VoseSimPercentile(Draw_Yel,$B70),NA())</f>
        <v>7</v>
      </c>
      <c r="G70" s="56" cm="1">
        <f t="array" aca="1" ref="G70" ca="1">IF(ISNUMBER(_xll.VoseSimPercentile(Repl_Yel,$B70)),_xll.VoseSimPercentile(Repl_Yel,$B70),NA())</f>
        <v>7</v>
      </c>
    </row>
    <row r="71" spans="2:7" hidden="1" outlineLevel="1" x14ac:dyDescent="0.45">
      <c r="B71" s="55">
        <v>0.21</v>
      </c>
      <c r="C71" s="55">
        <f t="shared" si="0"/>
        <v>0.79</v>
      </c>
      <c r="D71" s="56" cm="1">
        <f t="array" aca="1" ref="D71" ca="1">IF(ISNUMBER(_xll.VoseSimPercentile(Draw_Red,$B71)),_xll.VoseSimPercentile(Draw_Red,$B71),NA())</f>
        <v>2</v>
      </c>
      <c r="E71" s="56" cm="1">
        <f t="array" aca="1" ref="E71" ca="1">IF(ISNUMBER(_xll.VoseSimPercentile(Repl_Red,$B71)),_xll.VoseSimPercentile(Repl_Red,$B71),NA())</f>
        <v>2</v>
      </c>
      <c r="F71" s="56" cm="1">
        <f t="array" aca="1" ref="F71" ca="1">IF(ISNUMBER(_xll.VoseSimPercentile(Draw_Yel,$B71)),_xll.VoseSimPercentile(Draw_Yel,$B71),NA())</f>
        <v>7</v>
      </c>
      <c r="G71" s="56" cm="1">
        <f t="array" aca="1" ref="G71" ca="1">IF(ISNUMBER(_xll.VoseSimPercentile(Repl_Yel,$B71)),_xll.VoseSimPercentile(Repl_Yel,$B71),NA())</f>
        <v>7</v>
      </c>
    </row>
    <row r="72" spans="2:7" hidden="1" outlineLevel="1" x14ac:dyDescent="0.45">
      <c r="B72" s="55">
        <v>0.23</v>
      </c>
      <c r="C72" s="55">
        <f t="shared" si="0"/>
        <v>0.77</v>
      </c>
      <c r="D72" s="56" cm="1">
        <f t="array" aca="1" ref="D72" ca="1">IF(ISNUMBER(_xll.VoseSimPercentile(Draw_Red,$B72)),_xll.VoseSimPercentile(Draw_Red,$B72),NA())</f>
        <v>2</v>
      </c>
      <c r="E72" s="56" cm="1">
        <f t="array" aca="1" ref="E72" ca="1">IF(ISNUMBER(_xll.VoseSimPercentile(Repl_Red,$B72)),_xll.VoseSimPercentile(Repl_Red,$B72),NA())</f>
        <v>2</v>
      </c>
      <c r="F72" s="56" cm="1">
        <f t="array" aca="1" ref="F72" ca="1">IF(ISNUMBER(_xll.VoseSimPercentile(Draw_Yel,$B72)),_xll.VoseSimPercentile(Draw_Yel,$B72),NA())</f>
        <v>7</v>
      </c>
      <c r="G72" s="56" cm="1">
        <f t="array" aca="1" ref="G72" ca="1">IF(ISNUMBER(_xll.VoseSimPercentile(Repl_Yel,$B72)),_xll.VoseSimPercentile(Repl_Yel,$B72),NA())</f>
        <v>7</v>
      </c>
    </row>
    <row r="73" spans="2:7" hidden="1" outlineLevel="1" x14ac:dyDescent="0.45">
      <c r="B73" s="55">
        <v>0.25</v>
      </c>
      <c r="C73" s="55">
        <f t="shared" si="0"/>
        <v>0.75</v>
      </c>
      <c r="D73" s="56" cm="1">
        <f t="array" aca="1" ref="D73" ca="1">IF(ISNUMBER(_xll.VoseSimPercentile(Draw_Red,$B73)),_xll.VoseSimPercentile(Draw_Red,$B73),NA())</f>
        <v>2</v>
      </c>
      <c r="E73" s="56" cm="1">
        <f t="array" aca="1" ref="E73" ca="1">IF(ISNUMBER(_xll.VoseSimPercentile(Repl_Red,$B73)),_xll.VoseSimPercentile(Repl_Red,$B73),NA())</f>
        <v>2</v>
      </c>
      <c r="F73" s="56" cm="1">
        <f t="array" aca="1" ref="F73" ca="1">IF(ISNUMBER(_xll.VoseSimPercentile(Draw_Yel,$B73)),_xll.VoseSimPercentile(Draw_Yel,$B73),NA())</f>
        <v>8</v>
      </c>
      <c r="G73" s="56" cm="1">
        <f t="array" aca="1" ref="G73" ca="1">IF(ISNUMBER(_xll.VoseSimPercentile(Repl_Yel,$B73)),_xll.VoseSimPercentile(Repl_Yel,$B73),NA())</f>
        <v>7</v>
      </c>
    </row>
    <row r="74" spans="2:7" hidden="1" outlineLevel="1" x14ac:dyDescent="0.45">
      <c r="B74" s="55">
        <v>0.27</v>
      </c>
      <c r="C74" s="55">
        <f t="shared" si="0"/>
        <v>0.73</v>
      </c>
      <c r="D74" s="56" cm="1">
        <f t="array" aca="1" ref="D74" ca="1">IF(ISNUMBER(_xll.VoseSimPercentile(Draw_Red,$B74)),_xll.VoseSimPercentile(Draw_Red,$B74),NA())</f>
        <v>2</v>
      </c>
      <c r="E74" s="56" cm="1">
        <f t="array" aca="1" ref="E74" ca="1">IF(ISNUMBER(_xll.VoseSimPercentile(Repl_Red,$B74)),_xll.VoseSimPercentile(Repl_Red,$B74),NA())</f>
        <v>2</v>
      </c>
      <c r="F74" s="56" cm="1">
        <f t="array" aca="1" ref="F74" ca="1">IF(ISNUMBER(_xll.VoseSimPercentile(Draw_Yel,$B74)),_xll.VoseSimPercentile(Draw_Yel,$B74),NA())</f>
        <v>8</v>
      </c>
      <c r="G74" s="56" cm="1">
        <f t="array" aca="1" ref="G74" ca="1">IF(ISNUMBER(_xll.VoseSimPercentile(Repl_Yel,$B74)),_xll.VoseSimPercentile(Repl_Yel,$B74),NA())</f>
        <v>7</v>
      </c>
    </row>
    <row r="75" spans="2:7" hidden="1" outlineLevel="1" x14ac:dyDescent="0.45">
      <c r="B75" s="55">
        <v>0.28999999999999998</v>
      </c>
      <c r="C75" s="55">
        <f t="shared" si="0"/>
        <v>0.71</v>
      </c>
      <c r="D75" s="56" cm="1">
        <f t="array" aca="1" ref="D75" ca="1">IF(ISNUMBER(_xll.VoseSimPercentile(Draw_Red,$B75)),_xll.VoseSimPercentile(Draw_Red,$B75),NA())</f>
        <v>2</v>
      </c>
      <c r="E75" s="56" cm="1">
        <f t="array" aca="1" ref="E75" ca="1">IF(ISNUMBER(_xll.VoseSimPercentile(Repl_Red,$B75)),_xll.VoseSimPercentile(Repl_Red,$B75),NA())</f>
        <v>2</v>
      </c>
      <c r="F75" s="56" cm="1">
        <f t="array" aca="1" ref="F75" ca="1">IF(ISNUMBER(_xll.VoseSimPercentile(Draw_Yel,$B75)),_xll.VoseSimPercentile(Draw_Yel,$B75),NA())</f>
        <v>8</v>
      </c>
      <c r="G75" s="56" cm="1">
        <f t="array" aca="1" ref="G75" ca="1">IF(ISNUMBER(_xll.VoseSimPercentile(Repl_Yel,$B75)),_xll.VoseSimPercentile(Repl_Yel,$B75),NA())</f>
        <v>8</v>
      </c>
    </row>
    <row r="76" spans="2:7" hidden="1" outlineLevel="1" x14ac:dyDescent="0.45">
      <c r="B76" s="55">
        <v>0.31</v>
      </c>
      <c r="C76" s="55">
        <f t="shared" si="0"/>
        <v>0.69</v>
      </c>
      <c r="D76" s="56" cm="1">
        <f t="array" aca="1" ref="D76" ca="1">IF(ISNUMBER(_xll.VoseSimPercentile(Draw_Red,$B76)),_xll.VoseSimPercentile(Draw_Red,$B76),NA())</f>
        <v>2</v>
      </c>
      <c r="E76" s="56" cm="1">
        <f t="array" aca="1" ref="E76" ca="1">IF(ISNUMBER(_xll.VoseSimPercentile(Repl_Red,$B76)),_xll.VoseSimPercentile(Repl_Red,$B76),NA())</f>
        <v>2</v>
      </c>
      <c r="F76" s="56" cm="1">
        <f t="array" aca="1" ref="F76" ca="1">IF(ISNUMBER(_xll.VoseSimPercentile(Draw_Yel,$B76)),_xll.VoseSimPercentile(Draw_Yel,$B76),NA())</f>
        <v>8</v>
      </c>
      <c r="G76" s="56" cm="1">
        <f t="array" aca="1" ref="G76" ca="1">IF(ISNUMBER(_xll.VoseSimPercentile(Repl_Yel,$B76)),_xll.VoseSimPercentile(Repl_Yel,$B76),NA())</f>
        <v>8</v>
      </c>
    </row>
    <row r="77" spans="2:7" hidden="1" outlineLevel="1" x14ac:dyDescent="0.45">
      <c r="B77" s="55">
        <v>0.33</v>
      </c>
      <c r="C77" s="55">
        <f t="shared" si="0"/>
        <v>0.66999999999999993</v>
      </c>
      <c r="D77" s="56" cm="1">
        <f t="array" aca="1" ref="D77" ca="1">IF(ISNUMBER(_xll.VoseSimPercentile(Draw_Red,$B77)),_xll.VoseSimPercentile(Draw_Red,$B77),NA())</f>
        <v>2</v>
      </c>
      <c r="E77" s="56" cm="1">
        <f t="array" aca="1" ref="E77" ca="1">IF(ISNUMBER(_xll.VoseSimPercentile(Repl_Red,$B77)),_xll.VoseSimPercentile(Repl_Red,$B77),NA())</f>
        <v>2</v>
      </c>
      <c r="F77" s="56" cm="1">
        <f t="array" aca="1" ref="F77" ca="1">IF(ISNUMBER(_xll.VoseSimPercentile(Draw_Yel,$B77)),_xll.VoseSimPercentile(Draw_Yel,$B77),NA())</f>
        <v>8</v>
      </c>
      <c r="G77" s="56" cm="1">
        <f t="array" aca="1" ref="G77" ca="1">IF(ISNUMBER(_xll.VoseSimPercentile(Repl_Yel,$B77)),_xll.VoseSimPercentile(Repl_Yel,$B77),NA())</f>
        <v>8</v>
      </c>
    </row>
    <row r="78" spans="2:7" hidden="1" outlineLevel="1" x14ac:dyDescent="0.45">
      <c r="B78" s="55">
        <v>0.35</v>
      </c>
      <c r="C78" s="55">
        <f t="shared" si="0"/>
        <v>0.65</v>
      </c>
      <c r="D78" s="56" cm="1">
        <f t="array" aca="1" ref="D78" ca="1">IF(ISNUMBER(_xll.VoseSimPercentile(Draw_Red,$B78)),_xll.VoseSimPercentile(Draw_Red,$B78),NA())</f>
        <v>2</v>
      </c>
      <c r="E78" s="56" cm="1">
        <f t="array" aca="1" ref="E78" ca="1">IF(ISNUMBER(_xll.VoseSimPercentile(Repl_Red,$B78)),_xll.VoseSimPercentile(Repl_Red,$B78),NA())</f>
        <v>2</v>
      </c>
      <c r="F78" s="56" cm="1">
        <f t="array" aca="1" ref="F78" ca="1">IF(ISNUMBER(_xll.VoseSimPercentile(Draw_Yel,$B78)),_xll.VoseSimPercentile(Draw_Yel,$B78),NA())</f>
        <v>8</v>
      </c>
      <c r="G78" s="56" cm="1">
        <f t="array" aca="1" ref="G78" ca="1">IF(ISNUMBER(_xll.VoseSimPercentile(Repl_Yel,$B78)),_xll.VoseSimPercentile(Repl_Yel,$B78),NA())</f>
        <v>8</v>
      </c>
    </row>
    <row r="79" spans="2:7" hidden="1" outlineLevel="1" x14ac:dyDescent="0.45">
      <c r="B79" s="55">
        <v>0.37</v>
      </c>
      <c r="C79" s="55">
        <f t="shared" si="0"/>
        <v>0.63</v>
      </c>
      <c r="D79" s="56" cm="1">
        <f t="array" aca="1" ref="D79" ca="1">IF(ISNUMBER(_xll.VoseSimPercentile(Draw_Red,$B79)),_xll.VoseSimPercentile(Draw_Red,$B79),NA())</f>
        <v>2</v>
      </c>
      <c r="E79" s="56" cm="1">
        <f t="array" aca="1" ref="E79" ca="1">IF(ISNUMBER(_xll.VoseSimPercentile(Repl_Red,$B79)),_xll.VoseSimPercentile(Repl_Red,$B79),NA())</f>
        <v>2</v>
      </c>
      <c r="F79" s="56" cm="1">
        <f t="array" aca="1" ref="F79" ca="1">IF(ISNUMBER(_xll.VoseSimPercentile(Draw_Yel,$B79)),_xll.VoseSimPercentile(Draw_Yel,$B79),NA())</f>
        <v>8</v>
      </c>
      <c r="G79" s="56" cm="1">
        <f t="array" aca="1" ref="G79" ca="1">IF(ISNUMBER(_xll.VoseSimPercentile(Repl_Yel,$B79)),_xll.VoseSimPercentile(Repl_Yel,$B79),NA())</f>
        <v>8</v>
      </c>
    </row>
    <row r="80" spans="2:7" hidden="1" outlineLevel="1" x14ac:dyDescent="0.45">
      <c r="B80" s="55">
        <v>0.39</v>
      </c>
      <c r="C80" s="55">
        <f t="shared" si="0"/>
        <v>0.61</v>
      </c>
      <c r="D80" s="56" cm="1">
        <f t="array" aca="1" ref="D80" ca="1">IF(ISNUMBER(_xll.VoseSimPercentile(Draw_Red,$B80)),_xll.VoseSimPercentile(Draw_Red,$B80),NA())</f>
        <v>3</v>
      </c>
      <c r="E80" s="56" cm="1">
        <f t="array" aca="1" ref="E80" ca="1">IF(ISNUMBER(_xll.VoseSimPercentile(Repl_Red,$B80)),_xll.VoseSimPercentile(Repl_Red,$B80),NA())</f>
        <v>2</v>
      </c>
      <c r="F80" s="56" cm="1">
        <f t="array" aca="1" ref="F80" ca="1">IF(ISNUMBER(_xll.VoseSimPercentile(Draw_Yel,$B80)),_xll.VoseSimPercentile(Draw_Yel,$B80),NA())</f>
        <v>8</v>
      </c>
      <c r="G80" s="56" cm="1">
        <f t="array" aca="1" ref="G80" ca="1">IF(ISNUMBER(_xll.VoseSimPercentile(Repl_Yel,$B80)),_xll.VoseSimPercentile(Repl_Yel,$B80),NA())</f>
        <v>8</v>
      </c>
    </row>
    <row r="81" spans="2:7" hidden="1" outlineLevel="1" x14ac:dyDescent="0.45">
      <c r="B81" s="55">
        <v>0.41</v>
      </c>
      <c r="C81" s="55">
        <f t="shared" si="0"/>
        <v>0.59000000000000008</v>
      </c>
      <c r="D81" s="56" cm="1">
        <f t="array" aca="1" ref="D81" ca="1">IF(ISNUMBER(_xll.VoseSimPercentile(Draw_Red,$B81)),_xll.VoseSimPercentile(Draw_Red,$B81),NA())</f>
        <v>3</v>
      </c>
      <c r="E81" s="56" cm="1">
        <f t="array" aca="1" ref="E81" ca="1">IF(ISNUMBER(_xll.VoseSimPercentile(Repl_Red,$B81)),_xll.VoseSimPercentile(Repl_Red,$B81),NA())</f>
        <v>2</v>
      </c>
      <c r="F81" s="56" cm="1">
        <f t="array" aca="1" ref="F81" ca="1">IF(ISNUMBER(_xll.VoseSimPercentile(Draw_Yel,$B81)),_xll.VoseSimPercentile(Draw_Yel,$B81),NA())</f>
        <v>9</v>
      </c>
      <c r="G81" s="56" cm="1">
        <f t="array" aca="1" ref="G81" ca="1">IF(ISNUMBER(_xll.VoseSimPercentile(Repl_Yel,$B81)),_xll.VoseSimPercentile(Repl_Yel,$B81),NA())</f>
        <v>8</v>
      </c>
    </row>
    <row r="82" spans="2:7" hidden="1" outlineLevel="1" x14ac:dyDescent="0.45">
      <c r="B82" s="55">
        <v>0.43</v>
      </c>
      <c r="C82" s="55">
        <f t="shared" si="0"/>
        <v>0.57000000000000006</v>
      </c>
      <c r="D82" s="56" cm="1">
        <f t="array" aca="1" ref="D82" ca="1">IF(ISNUMBER(_xll.VoseSimPercentile(Draw_Red,$B82)),_xll.VoseSimPercentile(Draw_Red,$B82),NA())</f>
        <v>3</v>
      </c>
      <c r="E82" s="56" cm="1">
        <f t="array" aca="1" ref="E82" ca="1">IF(ISNUMBER(_xll.VoseSimPercentile(Repl_Red,$B82)),_xll.VoseSimPercentile(Repl_Red,$B82),NA())</f>
        <v>3</v>
      </c>
      <c r="F82" s="56" cm="1">
        <f t="array" aca="1" ref="F82" ca="1">IF(ISNUMBER(_xll.VoseSimPercentile(Draw_Yel,$B82)),_xll.VoseSimPercentile(Draw_Yel,$B82),NA())</f>
        <v>9</v>
      </c>
      <c r="G82" s="56" cm="1">
        <f t="array" aca="1" ref="G82" ca="1">IF(ISNUMBER(_xll.VoseSimPercentile(Repl_Yel,$B82)),_xll.VoseSimPercentile(Repl_Yel,$B82),NA())</f>
        <v>8</v>
      </c>
    </row>
    <row r="83" spans="2:7" hidden="1" outlineLevel="1" x14ac:dyDescent="0.45">
      <c r="B83" s="55">
        <v>0.45</v>
      </c>
      <c r="C83" s="55">
        <f t="shared" si="0"/>
        <v>0.55000000000000004</v>
      </c>
      <c r="D83" s="56" cm="1">
        <f t="array" aca="1" ref="D83" ca="1">IF(ISNUMBER(_xll.VoseSimPercentile(Draw_Red,$B83)),_xll.VoseSimPercentile(Draw_Red,$B83),NA())</f>
        <v>3</v>
      </c>
      <c r="E83" s="56" cm="1">
        <f t="array" aca="1" ref="E83" ca="1">IF(ISNUMBER(_xll.VoseSimPercentile(Repl_Red,$B83)),_xll.VoseSimPercentile(Repl_Red,$B83),NA())</f>
        <v>3</v>
      </c>
      <c r="F83" s="56" cm="1">
        <f t="array" aca="1" ref="F83" ca="1">IF(ISNUMBER(_xll.VoseSimPercentile(Draw_Yel,$B83)),_xll.VoseSimPercentile(Draw_Yel,$B83),NA())</f>
        <v>9</v>
      </c>
      <c r="G83" s="56" cm="1">
        <f t="array" aca="1" ref="G83" ca="1">IF(ISNUMBER(_xll.VoseSimPercentile(Repl_Yel,$B83)),_xll.VoseSimPercentile(Repl_Yel,$B83),NA())</f>
        <v>9</v>
      </c>
    </row>
    <row r="84" spans="2:7" hidden="1" outlineLevel="1" x14ac:dyDescent="0.45">
      <c r="B84" s="55">
        <v>0.47</v>
      </c>
      <c r="C84" s="55">
        <f t="shared" si="0"/>
        <v>0.53</v>
      </c>
      <c r="D84" s="56" cm="1">
        <f t="array" aca="1" ref="D84" ca="1">IF(ISNUMBER(_xll.VoseSimPercentile(Draw_Red,$B84)),_xll.VoseSimPercentile(Draw_Red,$B84),NA())</f>
        <v>3</v>
      </c>
      <c r="E84" s="56" cm="1">
        <f t="array" aca="1" ref="E84" ca="1">IF(ISNUMBER(_xll.VoseSimPercentile(Repl_Red,$B84)),_xll.VoseSimPercentile(Repl_Red,$B84),NA())</f>
        <v>3</v>
      </c>
      <c r="F84" s="56" cm="1">
        <f t="array" aca="1" ref="F84" ca="1">IF(ISNUMBER(_xll.VoseSimPercentile(Draw_Yel,$B84)),_xll.VoseSimPercentile(Draw_Yel,$B84),NA())</f>
        <v>9</v>
      </c>
      <c r="G84" s="56" cm="1">
        <f t="array" aca="1" ref="G84" ca="1">IF(ISNUMBER(_xll.VoseSimPercentile(Repl_Yel,$B84)),_xll.VoseSimPercentile(Repl_Yel,$B84),NA())</f>
        <v>9</v>
      </c>
    </row>
    <row r="85" spans="2:7" hidden="1" outlineLevel="1" x14ac:dyDescent="0.45">
      <c r="B85" s="55">
        <v>0.49</v>
      </c>
      <c r="C85" s="55">
        <f t="shared" si="0"/>
        <v>0.51</v>
      </c>
      <c r="D85" s="56" cm="1">
        <f t="array" aca="1" ref="D85" ca="1">IF(ISNUMBER(_xll.VoseSimPercentile(Draw_Red,$B85)),_xll.VoseSimPercentile(Draw_Red,$B85),NA())</f>
        <v>3</v>
      </c>
      <c r="E85" s="56" cm="1">
        <f t="array" aca="1" ref="E85" ca="1">IF(ISNUMBER(_xll.VoseSimPercentile(Repl_Red,$B85)),_xll.VoseSimPercentile(Repl_Red,$B85),NA())</f>
        <v>3</v>
      </c>
      <c r="F85" s="56" cm="1">
        <f t="array" aca="1" ref="F85" ca="1">IF(ISNUMBER(_xll.VoseSimPercentile(Draw_Yel,$B85)),_xll.VoseSimPercentile(Draw_Yel,$B85),NA())</f>
        <v>9</v>
      </c>
      <c r="G85" s="56" cm="1">
        <f t="array" aca="1" ref="G85" ca="1">IF(ISNUMBER(_xll.VoseSimPercentile(Repl_Yel,$B85)),_xll.VoseSimPercentile(Repl_Yel,$B85),NA())</f>
        <v>9</v>
      </c>
    </row>
    <row r="86" spans="2:7" hidden="1" outlineLevel="1" x14ac:dyDescent="0.45">
      <c r="B86" s="55">
        <v>0.51</v>
      </c>
      <c r="C86" s="55">
        <f t="shared" si="0"/>
        <v>0.49</v>
      </c>
      <c r="D86" s="56" cm="1">
        <f t="array" aca="1" ref="D86" ca="1">IF(ISNUMBER(_xll.VoseSimPercentile(Draw_Red,$B86)),_xll.VoseSimPercentile(Draw_Red,$B86),NA())</f>
        <v>3</v>
      </c>
      <c r="E86" s="56" cm="1">
        <f t="array" aca="1" ref="E86" ca="1">IF(ISNUMBER(_xll.VoseSimPercentile(Repl_Red,$B86)),_xll.VoseSimPercentile(Repl_Red,$B86),NA())</f>
        <v>3</v>
      </c>
      <c r="F86" s="56" cm="1">
        <f t="array" aca="1" ref="F86" ca="1">IF(ISNUMBER(_xll.VoseSimPercentile(Draw_Yel,$B86)),_xll.VoseSimPercentile(Draw_Yel,$B86),NA())</f>
        <v>9</v>
      </c>
      <c r="G86" s="56" cm="1">
        <f t="array" aca="1" ref="G86" ca="1">IF(ISNUMBER(_xll.VoseSimPercentile(Repl_Yel,$B86)),_xll.VoseSimPercentile(Repl_Yel,$B86),NA())</f>
        <v>9</v>
      </c>
    </row>
    <row r="87" spans="2:7" hidden="1" outlineLevel="1" x14ac:dyDescent="0.45">
      <c r="B87" s="55">
        <v>0.53</v>
      </c>
      <c r="C87" s="55">
        <f t="shared" si="0"/>
        <v>0.47</v>
      </c>
      <c r="D87" s="56" cm="1">
        <f t="array" aca="1" ref="D87" ca="1">IF(ISNUMBER(_xll.VoseSimPercentile(Draw_Red,$B87)),_xll.VoseSimPercentile(Draw_Red,$B87),NA())</f>
        <v>3</v>
      </c>
      <c r="E87" s="56" cm="1">
        <f t="array" aca="1" ref="E87" ca="1">IF(ISNUMBER(_xll.VoseSimPercentile(Repl_Red,$B87)),_xll.VoseSimPercentile(Repl_Red,$B87),NA())</f>
        <v>3</v>
      </c>
      <c r="F87" s="56" cm="1">
        <f t="array" aca="1" ref="F87" ca="1">IF(ISNUMBER(_xll.VoseSimPercentile(Draw_Yel,$B87)),_xll.VoseSimPercentile(Draw_Yel,$B87),NA())</f>
        <v>9</v>
      </c>
      <c r="G87" s="56" cm="1">
        <f t="array" aca="1" ref="G87" ca="1">IF(ISNUMBER(_xll.VoseSimPercentile(Repl_Yel,$B87)),_xll.VoseSimPercentile(Repl_Yel,$B87),NA())</f>
        <v>9</v>
      </c>
    </row>
    <row r="88" spans="2:7" hidden="1" outlineLevel="1" x14ac:dyDescent="0.45">
      <c r="B88" s="55">
        <v>0.55000000000000004</v>
      </c>
      <c r="C88" s="55">
        <f t="shared" si="0"/>
        <v>0.44999999999999996</v>
      </c>
      <c r="D88" s="56" cm="1">
        <f t="array" aca="1" ref="D88" ca="1">IF(ISNUMBER(_xll.VoseSimPercentile(Draw_Red,$B88)),_xll.VoseSimPercentile(Draw_Red,$B88),NA())</f>
        <v>3</v>
      </c>
      <c r="E88" s="56" cm="1">
        <f t="array" aca="1" ref="E88" ca="1">IF(ISNUMBER(_xll.VoseSimPercentile(Repl_Red,$B88)),_xll.VoseSimPercentile(Repl_Red,$B88),NA())</f>
        <v>3</v>
      </c>
      <c r="F88" s="56" cm="1">
        <f t="array" aca="1" ref="F88" ca="1">IF(ISNUMBER(_xll.VoseSimPercentile(Draw_Yel,$B88)),_xll.VoseSimPercentile(Draw_Yel,$B88),NA())</f>
        <v>9</v>
      </c>
      <c r="G88" s="56" cm="1">
        <f t="array" aca="1" ref="G88" ca="1">IF(ISNUMBER(_xll.VoseSimPercentile(Repl_Yel,$B88)),_xll.VoseSimPercentile(Repl_Yel,$B88),NA())</f>
        <v>9</v>
      </c>
    </row>
    <row r="89" spans="2:7" hidden="1" outlineLevel="1" x14ac:dyDescent="0.45">
      <c r="B89" s="55">
        <v>0.56999999999999995</v>
      </c>
      <c r="C89" s="55">
        <f t="shared" si="0"/>
        <v>0.43000000000000005</v>
      </c>
      <c r="D89" s="56" cm="1">
        <f t="array" aca="1" ref="D89" ca="1">IF(ISNUMBER(_xll.VoseSimPercentile(Draw_Red,$B89)),_xll.VoseSimPercentile(Draw_Red,$B89),NA())</f>
        <v>3</v>
      </c>
      <c r="E89" s="56" cm="1">
        <f t="array" aca="1" ref="E89" ca="1">IF(ISNUMBER(_xll.VoseSimPercentile(Repl_Red,$B89)),_xll.VoseSimPercentile(Repl_Red,$B89),NA())</f>
        <v>3</v>
      </c>
      <c r="F89" s="56" cm="1">
        <f t="array" aca="1" ref="F89" ca="1">IF(ISNUMBER(_xll.VoseSimPercentile(Draw_Yel,$B89)),_xll.VoseSimPercentile(Draw_Yel,$B89),NA())</f>
        <v>9</v>
      </c>
      <c r="G89" s="56" cm="1">
        <f t="array" aca="1" ref="G89" ca="1">IF(ISNUMBER(_xll.VoseSimPercentile(Repl_Yel,$B89)),_xll.VoseSimPercentile(Repl_Yel,$B89),NA())</f>
        <v>9</v>
      </c>
    </row>
    <row r="90" spans="2:7" hidden="1" outlineLevel="1" x14ac:dyDescent="0.45">
      <c r="B90" s="55">
        <v>0.59</v>
      </c>
      <c r="C90" s="55">
        <f t="shared" si="0"/>
        <v>0.41000000000000003</v>
      </c>
      <c r="D90" s="56" cm="1">
        <f t="array" aca="1" ref="D90" ca="1">IF(ISNUMBER(_xll.VoseSimPercentile(Draw_Red,$B90)),_xll.VoseSimPercentile(Draw_Red,$B90),NA())</f>
        <v>3</v>
      </c>
      <c r="E90" s="56" cm="1">
        <f t="array" aca="1" ref="E90" ca="1">IF(ISNUMBER(_xll.VoseSimPercentile(Repl_Red,$B90)),_xll.VoseSimPercentile(Repl_Red,$B90),NA())</f>
        <v>3</v>
      </c>
      <c r="F90" s="56" cm="1">
        <f t="array" aca="1" ref="F90" ca="1">IF(ISNUMBER(_xll.VoseSimPercentile(Draw_Yel,$B90)),_xll.VoseSimPercentile(Draw_Yel,$B90),NA())</f>
        <v>9</v>
      </c>
      <c r="G90" s="56" cm="1">
        <f t="array" aca="1" ref="G90" ca="1">IF(ISNUMBER(_xll.VoseSimPercentile(Repl_Yel,$B90)),_xll.VoseSimPercentile(Repl_Yel,$B90),NA())</f>
        <v>9</v>
      </c>
    </row>
    <row r="91" spans="2:7" hidden="1" outlineLevel="1" x14ac:dyDescent="0.45">
      <c r="B91" s="55">
        <v>0.61</v>
      </c>
      <c r="C91" s="55">
        <f t="shared" si="0"/>
        <v>0.39</v>
      </c>
      <c r="D91" s="56" cm="1">
        <f t="array" aca="1" ref="D91" ca="1">IF(ISNUMBER(_xll.VoseSimPercentile(Draw_Red,$B91)),_xll.VoseSimPercentile(Draw_Red,$B91),NA())</f>
        <v>3</v>
      </c>
      <c r="E91" s="56" cm="1">
        <f t="array" aca="1" ref="E91" ca="1">IF(ISNUMBER(_xll.VoseSimPercentile(Repl_Red,$B91)),_xll.VoseSimPercentile(Repl_Red,$B91),NA())</f>
        <v>3</v>
      </c>
      <c r="F91" s="56" cm="1">
        <f t="array" aca="1" ref="F91" ca="1">IF(ISNUMBER(_xll.VoseSimPercentile(Draw_Yel,$B91)),_xll.VoseSimPercentile(Draw_Yel,$B91),NA())</f>
        <v>10</v>
      </c>
      <c r="G91" s="56" cm="1">
        <f t="array" aca="1" ref="G91" ca="1">IF(ISNUMBER(_xll.VoseSimPercentile(Repl_Yel,$B91)),_xll.VoseSimPercentile(Repl_Yel,$B91),NA())</f>
        <v>10</v>
      </c>
    </row>
    <row r="92" spans="2:7" hidden="1" outlineLevel="1" x14ac:dyDescent="0.45">
      <c r="B92" s="55">
        <v>0.63</v>
      </c>
      <c r="C92" s="55">
        <f t="shared" si="0"/>
        <v>0.37</v>
      </c>
      <c r="D92" s="56" cm="1">
        <f t="array" aca="1" ref="D92" ca="1">IF(ISNUMBER(_xll.VoseSimPercentile(Draw_Red,$B92)),_xll.VoseSimPercentile(Draw_Red,$B92),NA())</f>
        <v>3</v>
      </c>
      <c r="E92" s="56" cm="1">
        <f t="array" aca="1" ref="E92" ca="1">IF(ISNUMBER(_xll.VoseSimPercentile(Repl_Red,$B92)),_xll.VoseSimPercentile(Repl_Red,$B92),NA())</f>
        <v>3</v>
      </c>
      <c r="F92" s="56" cm="1">
        <f t="array" aca="1" ref="F92" ca="1">IF(ISNUMBER(_xll.VoseSimPercentile(Draw_Yel,$B92)),_xll.VoseSimPercentile(Draw_Yel,$B92),NA())</f>
        <v>10</v>
      </c>
      <c r="G92" s="56" cm="1">
        <f t="array" aca="1" ref="G92" ca="1">IF(ISNUMBER(_xll.VoseSimPercentile(Repl_Yel,$B92)),_xll.VoseSimPercentile(Repl_Yel,$B92),NA())</f>
        <v>10</v>
      </c>
    </row>
    <row r="93" spans="2:7" hidden="1" outlineLevel="1" x14ac:dyDescent="0.45">
      <c r="B93" s="55">
        <v>0.65</v>
      </c>
      <c r="C93" s="55">
        <f t="shared" ref="C93:C124" si="1">1-B93</f>
        <v>0.35</v>
      </c>
      <c r="D93" s="56" cm="1">
        <f t="array" aca="1" ref="D93" ca="1">IF(ISNUMBER(_xll.VoseSimPercentile(Draw_Red,$B93)),_xll.VoseSimPercentile(Draw_Red,$B93),NA())</f>
        <v>3</v>
      </c>
      <c r="E93" s="56" cm="1">
        <f t="array" aca="1" ref="E93" ca="1">IF(ISNUMBER(_xll.VoseSimPercentile(Repl_Red,$B93)),_xll.VoseSimPercentile(Repl_Red,$B93),NA())</f>
        <v>3</v>
      </c>
      <c r="F93" s="56" cm="1">
        <f t="array" aca="1" ref="F93" ca="1">IF(ISNUMBER(_xll.VoseSimPercentile(Draw_Yel,$B93)),_xll.VoseSimPercentile(Draw_Yel,$B93),NA())</f>
        <v>10</v>
      </c>
      <c r="G93" s="56" cm="1">
        <f t="array" aca="1" ref="G93" ca="1">IF(ISNUMBER(_xll.VoseSimPercentile(Repl_Yel,$B93)),_xll.VoseSimPercentile(Repl_Yel,$B93),NA())</f>
        <v>10</v>
      </c>
    </row>
    <row r="94" spans="2:7" hidden="1" outlineLevel="1" x14ac:dyDescent="0.45">
      <c r="B94" s="55">
        <v>0.67</v>
      </c>
      <c r="C94" s="55">
        <f t="shared" si="1"/>
        <v>0.32999999999999996</v>
      </c>
      <c r="D94" s="56" cm="1">
        <f t="array" aca="1" ref="D94" ca="1">IF(ISNUMBER(_xll.VoseSimPercentile(Draw_Red,$B94)),_xll.VoseSimPercentile(Draw_Red,$B94),NA())</f>
        <v>4</v>
      </c>
      <c r="E94" s="56" cm="1">
        <f t="array" aca="1" ref="E94" ca="1">IF(ISNUMBER(_xll.VoseSimPercentile(Repl_Red,$B94)),_xll.VoseSimPercentile(Repl_Red,$B94),NA())</f>
        <v>4</v>
      </c>
      <c r="F94" s="56" cm="1">
        <f t="array" aca="1" ref="F94" ca="1">IF(ISNUMBER(_xll.VoseSimPercentile(Draw_Yel,$B94)),_xll.VoseSimPercentile(Draw_Yel,$B94),NA())</f>
        <v>10</v>
      </c>
      <c r="G94" s="56" cm="1">
        <f t="array" aca="1" ref="G94" ca="1">IF(ISNUMBER(_xll.VoseSimPercentile(Repl_Yel,$B94)),_xll.VoseSimPercentile(Repl_Yel,$B94),NA())</f>
        <v>10</v>
      </c>
    </row>
    <row r="95" spans="2:7" hidden="1" outlineLevel="1" x14ac:dyDescent="0.45">
      <c r="B95" s="55">
        <v>0.69</v>
      </c>
      <c r="C95" s="55">
        <f t="shared" si="1"/>
        <v>0.31000000000000005</v>
      </c>
      <c r="D95" s="56" cm="1">
        <f t="array" aca="1" ref="D95" ca="1">IF(ISNUMBER(_xll.VoseSimPercentile(Draw_Red,$B95)),_xll.VoseSimPercentile(Draw_Red,$B95),NA())</f>
        <v>4</v>
      </c>
      <c r="E95" s="56" cm="1">
        <f t="array" aca="1" ref="E95" ca="1">IF(ISNUMBER(_xll.VoseSimPercentile(Repl_Red,$B95)),_xll.VoseSimPercentile(Repl_Red,$B95),NA())</f>
        <v>4</v>
      </c>
      <c r="F95" s="56" cm="1">
        <f t="array" aca="1" ref="F95" ca="1">IF(ISNUMBER(_xll.VoseSimPercentile(Draw_Yel,$B95)),_xll.VoseSimPercentile(Draw_Yel,$B95),NA())</f>
        <v>10</v>
      </c>
      <c r="G95" s="56" cm="1">
        <f t="array" aca="1" ref="G95" ca="1">IF(ISNUMBER(_xll.VoseSimPercentile(Repl_Yel,$B95)),_xll.VoseSimPercentile(Repl_Yel,$B95),NA())</f>
        <v>10</v>
      </c>
    </row>
    <row r="96" spans="2:7" hidden="1" outlineLevel="1" x14ac:dyDescent="0.45">
      <c r="B96" s="55">
        <v>0.71</v>
      </c>
      <c r="C96" s="55">
        <f t="shared" si="1"/>
        <v>0.29000000000000004</v>
      </c>
      <c r="D96" s="56" cm="1">
        <f t="array" aca="1" ref="D96" ca="1">IF(ISNUMBER(_xll.VoseSimPercentile(Draw_Red,$B96)),_xll.VoseSimPercentile(Draw_Red,$B96),NA())</f>
        <v>4</v>
      </c>
      <c r="E96" s="56" cm="1">
        <f t="array" aca="1" ref="E96" ca="1">IF(ISNUMBER(_xll.VoseSimPercentile(Repl_Red,$B96)),_xll.VoseSimPercentile(Repl_Red,$B96),NA())</f>
        <v>4</v>
      </c>
      <c r="F96" s="56" cm="1">
        <f t="array" aca="1" ref="F96" ca="1">IF(ISNUMBER(_xll.VoseSimPercentile(Draw_Yel,$B96)),_xll.VoseSimPercentile(Draw_Yel,$B96),NA())</f>
        <v>10</v>
      </c>
      <c r="G96" s="56" cm="1">
        <f t="array" aca="1" ref="G96" ca="1">IF(ISNUMBER(_xll.VoseSimPercentile(Repl_Yel,$B96)),_xll.VoseSimPercentile(Repl_Yel,$B96),NA())</f>
        <v>10</v>
      </c>
    </row>
    <row r="97" spans="2:7" hidden="1" outlineLevel="1" x14ac:dyDescent="0.45">
      <c r="B97" s="55">
        <v>0.73</v>
      </c>
      <c r="C97" s="55">
        <f t="shared" si="1"/>
        <v>0.27</v>
      </c>
      <c r="D97" s="56" cm="1">
        <f t="array" aca="1" ref="D97" ca="1">IF(ISNUMBER(_xll.VoseSimPercentile(Draw_Red,$B97)),_xll.VoseSimPercentile(Draw_Red,$B97),NA())</f>
        <v>4</v>
      </c>
      <c r="E97" s="56" cm="1">
        <f t="array" aca="1" ref="E97" ca="1">IF(ISNUMBER(_xll.VoseSimPercentile(Repl_Red,$B97)),_xll.VoseSimPercentile(Repl_Red,$B97),NA())</f>
        <v>4</v>
      </c>
      <c r="F97" s="56" cm="1">
        <f t="array" aca="1" ref="F97" ca="1">IF(ISNUMBER(_xll.VoseSimPercentile(Draw_Yel,$B97)),_xll.VoseSimPercentile(Draw_Yel,$B97),NA())</f>
        <v>10</v>
      </c>
      <c r="G97" s="56" cm="1">
        <f t="array" aca="1" ref="G97" ca="1">IF(ISNUMBER(_xll.VoseSimPercentile(Repl_Yel,$B97)),_xll.VoseSimPercentile(Repl_Yel,$B97),NA())</f>
        <v>11</v>
      </c>
    </row>
    <row r="98" spans="2:7" hidden="1" outlineLevel="1" x14ac:dyDescent="0.45">
      <c r="B98" s="55">
        <v>0.75</v>
      </c>
      <c r="C98" s="55">
        <f t="shared" si="1"/>
        <v>0.25</v>
      </c>
      <c r="D98" s="56" cm="1">
        <f t="array" aca="1" ref="D98" ca="1">IF(ISNUMBER(_xll.VoseSimPercentile(Draw_Red,$B98)),_xll.VoseSimPercentile(Draw_Red,$B98),NA())</f>
        <v>4</v>
      </c>
      <c r="E98" s="56" cm="1">
        <f t="array" aca="1" ref="E98" ca="1">IF(ISNUMBER(_xll.VoseSimPercentile(Repl_Red,$B98)),_xll.VoseSimPercentile(Repl_Red,$B98),NA())</f>
        <v>4</v>
      </c>
      <c r="F98" s="56" cm="1">
        <f t="array" aca="1" ref="F98" ca="1">IF(ISNUMBER(_xll.VoseSimPercentile(Draw_Yel,$B98)),_xll.VoseSimPercentile(Draw_Yel,$B98),NA())</f>
        <v>10</v>
      </c>
      <c r="G98" s="56" cm="1">
        <f t="array" aca="1" ref="G98" ca="1">IF(ISNUMBER(_xll.VoseSimPercentile(Repl_Yel,$B98)),_xll.VoseSimPercentile(Repl_Yel,$B98),NA())</f>
        <v>11</v>
      </c>
    </row>
    <row r="99" spans="2:7" hidden="1" outlineLevel="1" x14ac:dyDescent="0.45">
      <c r="B99" s="55">
        <v>0.77</v>
      </c>
      <c r="C99" s="55">
        <f t="shared" si="1"/>
        <v>0.22999999999999998</v>
      </c>
      <c r="D99" s="56" cm="1">
        <f t="array" aca="1" ref="D99" ca="1">IF(ISNUMBER(_xll.VoseSimPercentile(Draw_Red,$B99)),_xll.VoseSimPercentile(Draw_Red,$B99),NA())</f>
        <v>4</v>
      </c>
      <c r="E99" s="56" cm="1">
        <f t="array" aca="1" ref="E99" ca="1">IF(ISNUMBER(_xll.VoseSimPercentile(Repl_Red,$B99)),_xll.VoseSimPercentile(Repl_Red,$B99),NA())</f>
        <v>4</v>
      </c>
      <c r="F99" s="56" cm="1">
        <f t="array" aca="1" ref="F99" ca="1">IF(ISNUMBER(_xll.VoseSimPercentile(Draw_Yel,$B99)),_xll.VoseSimPercentile(Draw_Yel,$B99),NA())</f>
        <v>11</v>
      </c>
      <c r="G99" s="56" cm="1">
        <f t="array" aca="1" ref="G99" ca="1">IF(ISNUMBER(_xll.VoseSimPercentile(Repl_Yel,$B99)),_xll.VoseSimPercentile(Repl_Yel,$B99),NA())</f>
        <v>11</v>
      </c>
    </row>
    <row r="100" spans="2:7" hidden="1" outlineLevel="1" x14ac:dyDescent="0.45">
      <c r="B100" s="55">
        <v>0.79</v>
      </c>
      <c r="C100" s="55">
        <f t="shared" si="1"/>
        <v>0.20999999999999996</v>
      </c>
      <c r="D100" s="56" cm="1">
        <f t="array" aca="1" ref="D100" ca="1">IF(ISNUMBER(_xll.VoseSimPercentile(Draw_Red,$B100)),_xll.VoseSimPercentile(Draw_Red,$B100),NA())</f>
        <v>4</v>
      </c>
      <c r="E100" s="56" cm="1">
        <f t="array" aca="1" ref="E100" ca="1">IF(ISNUMBER(_xll.VoseSimPercentile(Repl_Red,$B100)),_xll.VoseSimPercentile(Repl_Red,$B100),NA())</f>
        <v>4</v>
      </c>
      <c r="F100" s="56" cm="1">
        <f t="array" aca="1" ref="F100" ca="1">IF(ISNUMBER(_xll.VoseSimPercentile(Draw_Yel,$B100)),_xll.VoseSimPercentile(Draw_Yel,$B100),NA())</f>
        <v>11</v>
      </c>
      <c r="G100" s="56" cm="1">
        <f t="array" aca="1" ref="G100" ca="1">IF(ISNUMBER(_xll.VoseSimPercentile(Repl_Yel,$B100)),_xll.VoseSimPercentile(Repl_Yel,$B100),NA())</f>
        <v>11</v>
      </c>
    </row>
    <row r="101" spans="2:7" hidden="1" outlineLevel="1" x14ac:dyDescent="0.45">
      <c r="B101" s="55">
        <v>0.81</v>
      </c>
      <c r="C101" s="55">
        <f t="shared" si="1"/>
        <v>0.18999999999999995</v>
      </c>
      <c r="D101" s="56" cm="1">
        <f t="array" aca="1" ref="D101" ca="1">IF(ISNUMBER(_xll.VoseSimPercentile(Draw_Red,$B101)),_xll.VoseSimPercentile(Draw_Red,$B101),NA())</f>
        <v>4</v>
      </c>
      <c r="E101" s="56" cm="1">
        <f t="array" aca="1" ref="E101" ca="1">IF(ISNUMBER(_xll.VoseSimPercentile(Repl_Red,$B101)),_xll.VoseSimPercentile(Repl_Red,$B101),NA())</f>
        <v>4</v>
      </c>
      <c r="F101" s="56" cm="1">
        <f t="array" aca="1" ref="F101" ca="1">IF(ISNUMBER(_xll.VoseSimPercentile(Draw_Yel,$B101)),_xll.VoseSimPercentile(Draw_Yel,$B101),NA())</f>
        <v>11</v>
      </c>
      <c r="G101" s="56" cm="1">
        <f t="array" aca="1" ref="G101" ca="1">IF(ISNUMBER(_xll.VoseSimPercentile(Repl_Yel,$B101)),_xll.VoseSimPercentile(Repl_Yel,$B101),NA())</f>
        <v>11</v>
      </c>
    </row>
    <row r="102" spans="2:7" hidden="1" outlineLevel="1" x14ac:dyDescent="0.45">
      <c r="B102" s="55">
        <v>0.83</v>
      </c>
      <c r="C102" s="55">
        <f t="shared" si="1"/>
        <v>0.17000000000000004</v>
      </c>
      <c r="D102" s="56" cm="1">
        <f t="array" aca="1" ref="D102" ca="1">IF(ISNUMBER(_xll.VoseSimPercentile(Draw_Red,$B102)),_xll.VoseSimPercentile(Draw_Red,$B102),NA())</f>
        <v>4</v>
      </c>
      <c r="E102" s="56" cm="1">
        <f t="array" aca="1" ref="E102" ca="1">IF(ISNUMBER(_xll.VoseSimPercentile(Repl_Red,$B102)),_xll.VoseSimPercentile(Repl_Red,$B102),NA())</f>
        <v>4</v>
      </c>
      <c r="F102" s="56" cm="1">
        <f t="array" aca="1" ref="F102" ca="1">IF(ISNUMBER(_xll.VoseSimPercentile(Draw_Yel,$B102)),_xll.VoseSimPercentile(Draw_Yel,$B102),NA())</f>
        <v>11</v>
      </c>
      <c r="G102" s="56" cm="1">
        <f t="array" aca="1" ref="G102" ca="1">IF(ISNUMBER(_xll.VoseSimPercentile(Repl_Yel,$B102)),_xll.VoseSimPercentile(Repl_Yel,$B102),NA())</f>
        <v>11</v>
      </c>
    </row>
    <row r="103" spans="2:7" hidden="1" outlineLevel="1" x14ac:dyDescent="0.45">
      <c r="B103" s="55">
        <v>0.85</v>
      </c>
      <c r="C103" s="55">
        <f t="shared" si="1"/>
        <v>0.15000000000000002</v>
      </c>
      <c r="D103" s="56" cm="1">
        <f t="array" aca="1" ref="D103" ca="1">IF(ISNUMBER(_xll.VoseSimPercentile(Draw_Red,$B103)),_xll.VoseSimPercentile(Draw_Red,$B103),NA())</f>
        <v>4</v>
      </c>
      <c r="E103" s="56" cm="1">
        <f t="array" aca="1" ref="E103" ca="1">IF(ISNUMBER(_xll.VoseSimPercentile(Repl_Red,$B103)),_xll.VoseSimPercentile(Repl_Red,$B103),NA())</f>
        <v>5</v>
      </c>
      <c r="F103" s="56" cm="1">
        <f t="array" aca="1" ref="F103" ca="1">IF(ISNUMBER(_xll.VoseSimPercentile(Draw_Yel,$B103)),_xll.VoseSimPercentile(Draw_Yel,$B103),NA())</f>
        <v>11</v>
      </c>
      <c r="G103" s="56" cm="1">
        <f t="array" aca="1" ref="G103" ca="1">IF(ISNUMBER(_xll.VoseSimPercentile(Repl_Yel,$B103)),_xll.VoseSimPercentile(Repl_Yel,$B103),NA())</f>
        <v>12</v>
      </c>
    </row>
    <row r="104" spans="2:7" hidden="1" outlineLevel="1" x14ac:dyDescent="0.45">
      <c r="B104" s="55">
        <v>0.87</v>
      </c>
      <c r="C104" s="55">
        <f t="shared" si="1"/>
        <v>0.13</v>
      </c>
      <c r="D104" s="56" cm="1">
        <f t="array" aca="1" ref="D104" ca="1">IF(ISNUMBER(_xll.VoseSimPercentile(Draw_Red,$B104)),_xll.VoseSimPercentile(Draw_Red,$B104),NA())</f>
        <v>5</v>
      </c>
      <c r="E104" s="56" cm="1">
        <f t="array" aca="1" ref="E104" ca="1">IF(ISNUMBER(_xll.VoseSimPercentile(Repl_Red,$B104)),_xll.VoseSimPercentile(Repl_Red,$B104),NA())</f>
        <v>5</v>
      </c>
      <c r="F104" s="56" cm="1">
        <f t="array" aca="1" ref="F104" ca="1">IF(ISNUMBER(_xll.VoseSimPercentile(Draw_Yel,$B104)),_xll.VoseSimPercentile(Draw_Yel,$B104),NA())</f>
        <v>11</v>
      </c>
      <c r="G104" s="56" cm="1">
        <f t="array" aca="1" ref="G104" ca="1">IF(ISNUMBER(_xll.VoseSimPercentile(Repl_Yel,$B104)),_xll.VoseSimPercentile(Repl_Yel,$B104),NA())</f>
        <v>12</v>
      </c>
    </row>
    <row r="105" spans="2:7" hidden="1" outlineLevel="1" x14ac:dyDescent="0.45">
      <c r="B105" s="55">
        <v>0.89</v>
      </c>
      <c r="C105" s="55">
        <f t="shared" si="1"/>
        <v>0.10999999999999999</v>
      </c>
      <c r="D105" s="56" cm="1">
        <f t="array" aca="1" ref="D105" ca="1">IF(ISNUMBER(_xll.VoseSimPercentile(Draw_Red,$B105)),_xll.VoseSimPercentile(Draw_Red,$B105),NA())</f>
        <v>5</v>
      </c>
      <c r="E105" s="56" cm="1">
        <f t="array" aca="1" ref="E105" ca="1">IF(ISNUMBER(_xll.VoseSimPercentile(Repl_Red,$B105)),_xll.VoseSimPercentile(Repl_Red,$B105),NA())</f>
        <v>5</v>
      </c>
      <c r="F105" s="56" cm="1">
        <f t="array" aca="1" ref="F105" ca="1">IF(ISNUMBER(_xll.VoseSimPercentile(Draw_Yel,$B105)),_xll.VoseSimPercentile(Draw_Yel,$B105),NA())</f>
        <v>12</v>
      </c>
      <c r="G105" s="56" cm="1">
        <f t="array" aca="1" ref="G105" ca="1">IF(ISNUMBER(_xll.VoseSimPercentile(Repl_Yel,$B105)),_xll.VoseSimPercentile(Repl_Yel,$B105),NA())</f>
        <v>12</v>
      </c>
    </row>
    <row r="106" spans="2:7" hidden="1" outlineLevel="1" x14ac:dyDescent="0.45">
      <c r="B106" s="55">
        <v>0.91</v>
      </c>
      <c r="C106" s="55">
        <f t="shared" si="1"/>
        <v>8.9999999999999969E-2</v>
      </c>
      <c r="D106" s="56" cm="1">
        <f t="array" aca="1" ref="D106" ca="1">IF(ISNUMBER(_xll.VoseSimPercentile(Draw_Red,$B106)),_xll.VoseSimPercentile(Draw_Red,$B106),NA())</f>
        <v>5</v>
      </c>
      <c r="E106" s="56" cm="1">
        <f t="array" aca="1" ref="E106" ca="1">IF(ISNUMBER(_xll.VoseSimPercentile(Repl_Red,$B106)),_xll.VoseSimPercentile(Repl_Red,$B106),NA())</f>
        <v>5</v>
      </c>
      <c r="F106" s="56" cm="1">
        <f t="array" aca="1" ref="F106" ca="1">IF(ISNUMBER(_xll.VoseSimPercentile(Draw_Yel,$B106)),_xll.VoseSimPercentile(Draw_Yel,$B106),NA())</f>
        <v>12</v>
      </c>
      <c r="G106" s="56" cm="1">
        <f t="array" aca="1" ref="G106" ca="1">IF(ISNUMBER(_xll.VoseSimPercentile(Repl_Yel,$B106)),_xll.VoseSimPercentile(Repl_Yel,$B106),NA())</f>
        <v>12</v>
      </c>
    </row>
    <row r="107" spans="2:7" hidden="1" outlineLevel="1" x14ac:dyDescent="0.45">
      <c r="B107" s="55">
        <v>0.93</v>
      </c>
      <c r="C107" s="55">
        <f t="shared" si="1"/>
        <v>6.9999999999999951E-2</v>
      </c>
      <c r="D107" s="56" cm="1">
        <f t="array" aca="1" ref="D107" ca="1">IF(ISNUMBER(_xll.VoseSimPercentile(Draw_Red,$B107)),_xll.VoseSimPercentile(Draw_Red,$B107),NA())</f>
        <v>5</v>
      </c>
      <c r="E107" s="56" cm="1">
        <f t="array" aca="1" ref="E107" ca="1">IF(ISNUMBER(_xll.VoseSimPercentile(Repl_Red,$B107)),_xll.VoseSimPercentile(Repl_Red,$B107),NA())</f>
        <v>5</v>
      </c>
      <c r="F107" s="56" cm="1">
        <f t="array" aca="1" ref="F107" ca="1">IF(ISNUMBER(_xll.VoseSimPercentile(Draw_Yel,$B107)),_xll.VoseSimPercentile(Draw_Yel,$B107),NA())</f>
        <v>12</v>
      </c>
      <c r="G107" s="56" cm="1">
        <f t="array" aca="1" ref="G107" ca="1">IF(ISNUMBER(_xll.VoseSimPercentile(Repl_Yel,$B107)),_xll.VoseSimPercentile(Repl_Yel,$B107),NA())</f>
        <v>13</v>
      </c>
    </row>
    <row r="108" spans="2:7" hidden="1" outlineLevel="1" x14ac:dyDescent="0.45">
      <c r="B108" s="55">
        <v>0.95</v>
      </c>
      <c r="C108" s="55">
        <f t="shared" si="1"/>
        <v>5.0000000000000044E-2</v>
      </c>
      <c r="D108" s="56" cm="1">
        <f t="array" aca="1" ref="D108" ca="1">IF(ISNUMBER(_xll.VoseSimPercentile(Draw_Red,$B108)),_xll.VoseSimPercentile(Draw_Red,$B108),NA())</f>
        <v>5</v>
      </c>
      <c r="E108" s="56" cm="1">
        <f t="array" aca="1" ref="E108" ca="1">IF(ISNUMBER(_xll.VoseSimPercentile(Repl_Red,$B108)),_xll.VoseSimPercentile(Repl_Red,$B108),NA())</f>
        <v>6</v>
      </c>
      <c r="F108" s="56" cm="1">
        <f t="array" aca="1" ref="F108" ca="1">IF(ISNUMBER(_xll.VoseSimPercentile(Draw_Yel,$B108)),_xll.VoseSimPercentile(Draw_Yel,$B108),NA())</f>
        <v>12</v>
      </c>
      <c r="G108" s="56" cm="1">
        <f t="array" aca="1" ref="G108" ca="1">IF(ISNUMBER(_xll.VoseSimPercentile(Repl_Yel,$B108)),_xll.VoseSimPercentile(Repl_Yel,$B108),NA())</f>
        <v>13</v>
      </c>
    </row>
    <row r="109" spans="2:7" hidden="1" outlineLevel="1" x14ac:dyDescent="0.45">
      <c r="B109" s="55">
        <v>0.97</v>
      </c>
      <c r="C109" s="55">
        <f t="shared" si="1"/>
        <v>3.0000000000000027E-2</v>
      </c>
      <c r="D109" s="56" cm="1">
        <f t="array" aca="1" ref="D109" ca="1">IF(ISNUMBER(_xll.VoseSimPercentile(Draw_Red,$B109)),_xll.VoseSimPercentile(Draw_Red,$B109),NA())</f>
        <v>6</v>
      </c>
      <c r="E109" s="56" cm="1">
        <f t="array" aca="1" ref="E109" ca="1">IF(ISNUMBER(_xll.VoseSimPercentile(Repl_Red,$B109)),_xll.VoseSimPercentile(Repl_Red,$B109),NA())</f>
        <v>6</v>
      </c>
      <c r="F109" s="56" cm="1">
        <f t="array" aca="1" ref="F109" ca="1">IF(ISNUMBER(_xll.VoseSimPercentile(Draw_Yel,$B109)),_xll.VoseSimPercentile(Draw_Yel,$B109),NA())</f>
        <v>13</v>
      </c>
      <c r="G109" s="56" cm="1">
        <f t="array" aca="1" ref="G109" ca="1">IF(ISNUMBER(_xll.VoseSimPercentile(Repl_Yel,$B109)),_xll.VoseSimPercentile(Repl_Yel,$B109),NA())</f>
        <v>14</v>
      </c>
    </row>
    <row r="110" spans="2:7" hidden="1" outlineLevel="1" x14ac:dyDescent="0.45">
      <c r="B110" s="55">
        <v>0.99</v>
      </c>
      <c r="C110" s="55">
        <f t="shared" si="1"/>
        <v>1.0000000000000009E-2</v>
      </c>
      <c r="D110" s="56" cm="1">
        <f t="array" aca="1" ref="D110" ca="1">IF(ISNUMBER(_xll.VoseSimPercentile(Draw_Red,$B110)),_xll.VoseSimPercentile(Draw_Red,$B110),NA())</f>
        <v>6</v>
      </c>
      <c r="E110" s="56" cm="1">
        <f t="array" aca="1" ref="E110" ca="1">IF(ISNUMBER(_xll.VoseSimPercentile(Repl_Red,$B110)),_xll.VoseSimPercentile(Repl_Red,$B110),NA())</f>
        <v>7</v>
      </c>
      <c r="F110" s="56" cm="1">
        <f t="array" aca="1" ref="F110" ca="1">IF(ISNUMBER(_xll.VoseSimPercentile(Draw_Yel,$B110)),_xll.VoseSimPercentile(Draw_Yel,$B110),NA())</f>
        <v>14</v>
      </c>
      <c r="G110" s="56" cm="1">
        <f t="array" aca="1" ref="G110" ca="1">IF(ISNUMBER(_xll.VoseSimPercentile(Repl_Yel,$B110)),_xll.VoseSimPercentile(Repl_Yel,$B110),NA())</f>
        <v>15</v>
      </c>
    </row>
  </sheetData>
  <mergeCells count="4">
    <mergeCell ref="B52:G52"/>
    <mergeCell ref="B53:G53"/>
    <mergeCell ref="B54:G54"/>
    <mergeCell ref="B55:G55"/>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61:G110">
    <cfRule type="expression" dxfId="0" priority="3">
      <formula>ISNA(D61)</formula>
    </cfRule>
  </conditionalFormatting>
  <hyperlinks>
    <hyperlink ref="B4" location="'Draw'!A1" display="◂  Draw"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EB58C-2719-4592-854A-BC0BFD42AD49}">
  <dimension ref="A1:B1"/>
  <sheetViews>
    <sheetView workbookViewId="0"/>
  </sheetViews>
  <sheetFormatPr defaultRowHeight="14.25" x14ac:dyDescent="0.45"/>
  <sheetData>
    <row r="1" spans="1:2" x14ac:dyDescent="0.45">
      <c r="A1" s="61" t="s">
        <v>185</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A00AE-0B39-467E-8CBB-B0491F09B24E}">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018D-10A0-4F4A-875F-8A7D8EAEB4A7}">
  <dimension ref="B3:B122"/>
  <sheetViews>
    <sheetView workbookViewId="0"/>
  </sheetViews>
  <sheetFormatPr defaultRowHeight="14.25" x14ac:dyDescent="0.45"/>
  <sheetData>
    <row r="3" spans="2:2" x14ac:dyDescent="0.45">
      <c r="B3">
        <v>39</v>
      </c>
    </row>
    <row r="4" spans="2:2" x14ac:dyDescent="0.45">
      <c r="B4">
        <v>233</v>
      </c>
    </row>
    <row r="5" spans="2:2" x14ac:dyDescent="0.45">
      <c r="B5">
        <v>512</v>
      </c>
    </row>
    <row r="6" spans="2:2" x14ac:dyDescent="0.45">
      <c r="B6">
        <v>549</v>
      </c>
    </row>
    <row r="7" spans="2:2" x14ac:dyDescent="0.45">
      <c r="B7">
        <v>420</v>
      </c>
    </row>
    <row r="8" spans="2:2" x14ac:dyDescent="0.45">
      <c r="B8">
        <v>0</v>
      </c>
    </row>
    <row r="9" spans="2:2" x14ac:dyDescent="0.45">
      <c r="B9">
        <v>181</v>
      </c>
    </row>
    <row r="10" spans="2:2" x14ac:dyDescent="0.45">
      <c r="B10">
        <v>54</v>
      </c>
    </row>
    <row r="11" spans="2:2" x14ac:dyDescent="0.45">
      <c r="B11">
        <v>10</v>
      </c>
    </row>
    <row r="12" spans="2:2" x14ac:dyDescent="0.45">
      <c r="B12">
        <v>2</v>
      </c>
    </row>
    <row r="13" spans="2:2" x14ac:dyDescent="0.45">
      <c r="B13">
        <v>51</v>
      </c>
    </row>
    <row r="14" spans="2:2" x14ac:dyDescent="0.45">
      <c r="B14">
        <v>167</v>
      </c>
    </row>
    <row r="15" spans="2:2" x14ac:dyDescent="0.45">
      <c r="B15">
        <v>330</v>
      </c>
    </row>
    <row r="16" spans="2:2" x14ac:dyDescent="0.45">
      <c r="B16">
        <v>487</v>
      </c>
    </row>
    <row r="17" spans="2:2" x14ac:dyDescent="0.45">
      <c r="B17">
        <v>451</v>
      </c>
    </row>
    <row r="18" spans="2:2" x14ac:dyDescent="0.45">
      <c r="B18">
        <v>284</v>
      </c>
    </row>
    <row r="19" spans="2:2" x14ac:dyDescent="0.45">
      <c r="B19">
        <v>165</v>
      </c>
    </row>
    <row r="20" spans="2:2" x14ac:dyDescent="0.45">
      <c r="B20">
        <v>48</v>
      </c>
    </row>
    <row r="21" spans="2:2" x14ac:dyDescent="0.45">
      <c r="B21">
        <v>10</v>
      </c>
    </row>
    <row r="22" spans="2:2" x14ac:dyDescent="0.45">
      <c r="B22">
        <v>7</v>
      </c>
    </row>
    <row r="23" spans="2:2" x14ac:dyDescent="0.45">
      <c r="B23">
        <v>40</v>
      </c>
    </row>
    <row r="24" spans="2:2" x14ac:dyDescent="0.45">
      <c r="B24">
        <v>126</v>
      </c>
    </row>
    <row r="25" spans="2:2" x14ac:dyDescent="0.45">
      <c r="B25">
        <v>242</v>
      </c>
    </row>
    <row r="26" spans="2:2" x14ac:dyDescent="0.45">
      <c r="B26">
        <v>368</v>
      </c>
    </row>
    <row r="27" spans="2:2" x14ac:dyDescent="0.45">
      <c r="B27">
        <v>430</v>
      </c>
    </row>
    <row r="28" spans="2:2" x14ac:dyDescent="0.45">
      <c r="B28">
        <v>341</v>
      </c>
    </row>
    <row r="29" spans="2:2" x14ac:dyDescent="0.45">
      <c r="B29">
        <v>239</v>
      </c>
    </row>
    <row r="30" spans="2:2" x14ac:dyDescent="0.45">
      <c r="B30">
        <v>145</v>
      </c>
    </row>
    <row r="31" spans="2:2" x14ac:dyDescent="0.45">
      <c r="B31">
        <v>50</v>
      </c>
    </row>
    <row r="32" spans="2:2" x14ac:dyDescent="0.45">
      <c r="B32">
        <v>19</v>
      </c>
    </row>
    <row r="33" spans="2:2" x14ac:dyDescent="0.45">
      <c r="B33">
        <v>5</v>
      </c>
    </row>
    <row r="34" spans="2:2" x14ac:dyDescent="0.45">
      <c r="B34">
        <v>30</v>
      </c>
    </row>
    <row r="35" spans="2:2" x14ac:dyDescent="0.45">
      <c r="B35">
        <v>294</v>
      </c>
    </row>
    <row r="36" spans="2:2" x14ac:dyDescent="0.45">
      <c r="B36">
        <v>310</v>
      </c>
    </row>
    <row r="37" spans="2:2" x14ac:dyDescent="0.45">
      <c r="B37">
        <v>777</v>
      </c>
    </row>
    <row r="38" spans="2:2" x14ac:dyDescent="0.45">
      <c r="B38">
        <v>305</v>
      </c>
    </row>
    <row r="39" spans="2:2" x14ac:dyDescent="0.45">
      <c r="B39">
        <v>157</v>
      </c>
    </row>
    <row r="40" spans="2:2" x14ac:dyDescent="0.45">
      <c r="B40">
        <v>105</v>
      </c>
    </row>
    <row r="41" spans="2:2" x14ac:dyDescent="0.45">
      <c r="B41">
        <v>12</v>
      </c>
    </row>
    <row r="42" spans="2:2" x14ac:dyDescent="0.45">
      <c r="B42">
        <v>5</v>
      </c>
    </row>
    <row r="43" spans="2:2" x14ac:dyDescent="0.45">
      <c r="B43">
        <v>12</v>
      </c>
    </row>
    <row r="44" spans="2:2" x14ac:dyDescent="0.45">
      <c r="B44">
        <v>20</v>
      </c>
    </row>
    <row r="45" spans="2:2" x14ac:dyDescent="0.45">
      <c r="B45">
        <v>207</v>
      </c>
    </row>
    <row r="46" spans="2:2" x14ac:dyDescent="0.45">
      <c r="B46">
        <v>238</v>
      </c>
    </row>
    <row r="47" spans="2:2" x14ac:dyDescent="0.45">
      <c r="B47">
        <v>684</v>
      </c>
    </row>
    <row r="48" spans="2:2" x14ac:dyDescent="0.45">
      <c r="B48">
        <v>333</v>
      </c>
    </row>
    <row r="49" spans="2:2" x14ac:dyDescent="0.45">
      <c r="B49">
        <v>266</v>
      </c>
    </row>
    <row r="50" spans="2:2" x14ac:dyDescent="0.45">
      <c r="B50">
        <v>208</v>
      </c>
    </row>
    <row r="51" spans="2:2" x14ac:dyDescent="0.45">
      <c r="B51">
        <v>21</v>
      </c>
    </row>
    <row r="52" spans="2:2" x14ac:dyDescent="0.45">
      <c r="B52">
        <v>11</v>
      </c>
    </row>
    <row r="53" spans="2:2" x14ac:dyDescent="0.45">
      <c r="B53">
        <v>102</v>
      </c>
    </row>
    <row r="54" spans="2:2" x14ac:dyDescent="0.45">
      <c r="B54">
        <v>275</v>
      </c>
    </row>
    <row r="55" spans="2:2" x14ac:dyDescent="0.45">
      <c r="B55">
        <v>457</v>
      </c>
    </row>
    <row r="56" spans="2:2" x14ac:dyDescent="0.45">
      <c r="B56">
        <v>448</v>
      </c>
    </row>
    <row r="57" spans="2:2" x14ac:dyDescent="0.45">
      <c r="B57">
        <v>373</v>
      </c>
    </row>
    <row r="58" spans="2:2" x14ac:dyDescent="0.45">
      <c r="B58">
        <v>0</v>
      </c>
    </row>
    <row r="59" spans="2:2" x14ac:dyDescent="0.45">
      <c r="B59">
        <v>218</v>
      </c>
    </row>
    <row r="60" spans="2:2" x14ac:dyDescent="0.45">
      <c r="B60">
        <v>81</v>
      </c>
    </row>
    <row r="61" spans="2:2" x14ac:dyDescent="0.45">
      <c r="B61">
        <v>32</v>
      </c>
    </row>
    <row r="62" spans="2:2" x14ac:dyDescent="0.45">
      <c r="B62">
        <v>14</v>
      </c>
    </row>
    <row r="63" spans="2:2" x14ac:dyDescent="0.45">
      <c r="B63">
        <v>98</v>
      </c>
    </row>
    <row r="64" spans="2:2" x14ac:dyDescent="0.45">
      <c r="B64">
        <v>219</v>
      </c>
    </row>
    <row r="65" spans="2:2" x14ac:dyDescent="0.45">
      <c r="B65">
        <v>333</v>
      </c>
    </row>
    <row r="66" spans="2:2" x14ac:dyDescent="0.45">
      <c r="B66">
        <v>766</v>
      </c>
    </row>
    <row r="67" spans="2:2" x14ac:dyDescent="0.45">
      <c r="B67">
        <v>264</v>
      </c>
    </row>
    <row r="68" spans="2:2" x14ac:dyDescent="0.45">
      <c r="B68">
        <v>181</v>
      </c>
    </row>
    <row r="69" spans="2:2" x14ac:dyDescent="0.45">
      <c r="B69">
        <v>124</v>
      </c>
    </row>
    <row r="70" spans="2:2" x14ac:dyDescent="0.45">
      <c r="B70">
        <v>13</v>
      </c>
    </row>
    <row r="71" spans="2:2" x14ac:dyDescent="0.45">
      <c r="B71">
        <v>1</v>
      </c>
    </row>
    <row r="72" spans="2:2" x14ac:dyDescent="0.45">
      <c r="B72">
        <v>1</v>
      </c>
    </row>
    <row r="73" spans="2:2" x14ac:dyDescent="0.45">
      <c r="B73">
        <v>18</v>
      </c>
    </row>
    <row r="74" spans="2:2" x14ac:dyDescent="0.45">
      <c r="B74">
        <v>227</v>
      </c>
    </row>
    <row r="75" spans="2:2" x14ac:dyDescent="0.45">
      <c r="B75">
        <v>250</v>
      </c>
    </row>
    <row r="76" spans="2:2" x14ac:dyDescent="0.45">
      <c r="B76">
        <v>703</v>
      </c>
    </row>
    <row r="77" spans="2:2" x14ac:dyDescent="0.45">
      <c r="B77">
        <v>311</v>
      </c>
    </row>
    <row r="78" spans="2:2" x14ac:dyDescent="0.45">
      <c r="B78">
        <v>378</v>
      </c>
    </row>
    <row r="79" spans="2:2" x14ac:dyDescent="0.45">
      <c r="B79">
        <v>67</v>
      </c>
    </row>
    <row r="80" spans="2:2" x14ac:dyDescent="0.45">
      <c r="B80">
        <v>43</v>
      </c>
    </row>
    <row r="81" spans="2:2" x14ac:dyDescent="0.45">
      <c r="B81">
        <v>0</v>
      </c>
    </row>
    <row r="82" spans="2:2" x14ac:dyDescent="0.45">
      <c r="B82">
        <v>3</v>
      </c>
    </row>
    <row r="83" spans="2:2" x14ac:dyDescent="0.45">
      <c r="B83">
        <v>2</v>
      </c>
    </row>
    <row r="84" spans="2:2" x14ac:dyDescent="0.45">
      <c r="B84">
        <v>70</v>
      </c>
    </row>
    <row r="85" spans="2:2" x14ac:dyDescent="0.45">
      <c r="B85">
        <v>334</v>
      </c>
    </row>
    <row r="86" spans="2:2" x14ac:dyDescent="0.45">
      <c r="B86">
        <v>294</v>
      </c>
    </row>
    <row r="87" spans="2:2" x14ac:dyDescent="0.45">
      <c r="B87">
        <v>636</v>
      </c>
    </row>
    <row r="88" spans="2:2" x14ac:dyDescent="0.45">
      <c r="B88">
        <v>434</v>
      </c>
    </row>
    <row r="89" spans="2:2" x14ac:dyDescent="0.45">
      <c r="B89">
        <v>112</v>
      </c>
    </row>
    <row r="90" spans="2:2" x14ac:dyDescent="0.45">
      <c r="B90">
        <v>99</v>
      </c>
    </row>
    <row r="91" spans="2:2" x14ac:dyDescent="0.45">
      <c r="B91">
        <v>17</v>
      </c>
    </row>
    <row r="92" spans="2:2" x14ac:dyDescent="0.45">
      <c r="B92">
        <v>2</v>
      </c>
    </row>
    <row r="93" spans="2:2" x14ac:dyDescent="0.45">
      <c r="B93">
        <v>6</v>
      </c>
    </row>
    <row r="94" spans="2:2" x14ac:dyDescent="0.45">
      <c r="B94">
        <v>57</v>
      </c>
    </row>
    <row r="95" spans="2:2" x14ac:dyDescent="0.45">
      <c r="B95">
        <v>104</v>
      </c>
    </row>
    <row r="96" spans="2:2" x14ac:dyDescent="0.45">
      <c r="B96">
        <v>382</v>
      </c>
    </row>
    <row r="97" spans="2:2" x14ac:dyDescent="0.45">
      <c r="B97">
        <v>630</v>
      </c>
    </row>
    <row r="98" spans="2:2" x14ac:dyDescent="0.45">
      <c r="B98">
        <v>292</v>
      </c>
    </row>
    <row r="99" spans="2:2" x14ac:dyDescent="0.45">
      <c r="B99">
        <v>375</v>
      </c>
    </row>
    <row r="100" spans="2:2" x14ac:dyDescent="0.45">
      <c r="B100">
        <v>77</v>
      </c>
    </row>
    <row r="101" spans="2:2" x14ac:dyDescent="0.45">
      <c r="B101">
        <v>61</v>
      </c>
    </row>
    <row r="102" spans="2:2" x14ac:dyDescent="0.45">
      <c r="B102">
        <v>16</v>
      </c>
    </row>
    <row r="103" spans="2:2" x14ac:dyDescent="0.45">
      <c r="B103">
        <v>47</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1953</v>
      </c>
    </row>
    <row r="113" spans="2:2" x14ac:dyDescent="0.45">
      <c r="B113">
        <v>115</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1885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17C301C7-1C4A-4F5D-B06E-25A8CBF5AAD9}">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35</vt:i4>
      </vt:variant>
    </vt:vector>
  </HeadingPairs>
  <TitlesOfParts>
    <vt:vector size="42" baseType="lpstr">
      <vt:lpstr>About</vt:lpstr>
      <vt:lpstr>Inputs</vt:lpstr>
      <vt:lpstr>Draw</vt:lpstr>
      <vt:lpstr>Results</vt:lpstr>
      <vt:lpstr>ModelRiskDSN</vt:lpstr>
      <vt:lpstr>ModelRiskSYS1</vt:lpstr>
      <vt:lpstr>ModelRiskCharts</vt:lpstr>
      <vt:lpstr>AllHyp</vt:lpstr>
      <vt:lpstr>AllRep</vt:lpstr>
      <vt:lpstr>BagTotal</vt:lpstr>
      <vt:lpstr>Checks</vt:lpstr>
      <vt:lpstr>Draw_Blu</vt:lpstr>
      <vt:lpstr>Draw_Grn</vt:lpstr>
      <vt:lpstr>Draw_Red</vt:lpstr>
      <vt:lpstr>Draw_Wht</vt:lpstr>
      <vt:lpstr>Draw_Yel</vt:lpstr>
      <vt:lpstr>DrawHyp</vt:lpstr>
      <vt:lpstr>DrawRep</vt:lpstr>
      <vt:lpstr>N_Blu</vt:lpstr>
      <vt:lpstr>N_Grn</vt:lpstr>
      <vt:lpstr>N_Red</vt:lpstr>
      <vt:lpstr>N_Wht</vt:lpstr>
      <vt:lpstr>N_Yel</vt:lpstr>
      <vt:lpstr>Results!Print_Area</vt:lpstr>
      <vt:lpstr>Inputs!Print_Titles</vt:lpstr>
      <vt:lpstr>Results!Print_Titles</vt:lpstr>
      <vt:lpstr>Repl_Blu</vt:lpstr>
      <vt:lpstr>Repl_Grn</vt:lpstr>
      <vt:lpstr>Repl_Red</vt:lpstr>
      <vt:lpstr>Repl_Wht</vt:lpstr>
      <vt:lpstr>Repl_Yel</vt:lpstr>
      <vt:lpstr>SampleSize</vt:lpstr>
      <vt:lpstr>SdHyp_Blu</vt:lpstr>
      <vt:lpstr>SdHyp_Grn</vt:lpstr>
      <vt:lpstr>SdHyp_Red</vt:lpstr>
      <vt:lpstr>SdHyp_Wht</vt:lpstr>
      <vt:lpstr>SdHyp_Yel</vt:lpstr>
      <vt:lpstr>SdRep_Blu</vt:lpstr>
      <vt:lpstr>SdRep_Grn</vt:lpstr>
      <vt:lpstr>SdRep_Red</vt:lpstr>
      <vt:lpstr>SdRep_Wht</vt:lpstr>
      <vt:lpstr>SdRep_Yel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GU-18 Sampling from a Population of Several Groups</dc:title>
  <dc:subject>ModelRisk industry example library — General use</dc:subject>
  <dc:creator>Vose Software</dc:creator>
  <cp:keywords>ModelRisk; Monte Carlo; General use</cp:keywords>
  <dc:description>30 balls drawn from a bag of 100 in five colours: the counts of each colour, with and without replacement.</dc:description>
  <cp:lastModifiedBy>Timour Koupeev</cp:lastModifiedBy>
  <cp:lastPrinted>2026-10-07T14:58:15Z</cp:lastPrinted>
  <dcterms:created xsi:type="dcterms:W3CDTF">2026-10-07T14:52:11Z</dcterms:created>
  <dcterms:modified xsi:type="dcterms:W3CDTF">2026-10-07T14:58:18Z</dcterms:modified>
</cp:coreProperties>
</file>