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FFF71C3B-D55A-498E-B6A4-79B03C454883}"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ool" sheetId="3" r:id="rId3"/>
    <sheet name="Ceiling" sheetId="4" r:id="rId4"/>
    <sheet name="Results" sheetId="5" r:id="rId5"/>
    <sheet name="ModelRiskDSN" sheetId="6" state="hidden" r:id="rId6"/>
    <sheet name="ModelRiskSYS1" sheetId="7" state="hidden" r:id="rId7"/>
    <sheet name="ModelRiskCharts" sheetId="8" state="hidden" r:id="rId8"/>
  </sheets>
  <definedNames>
    <definedName name="A_1">Pool!$D$10</definedName>
    <definedName name="A_10">Pool!$D$19</definedName>
    <definedName name="A_2">Pool!$D$11</definedName>
    <definedName name="A_3">Pool!$D$12</definedName>
    <definedName name="A_4">Pool!$D$13</definedName>
    <definedName name="A_5">Pool!$D$14</definedName>
    <definedName name="A_6">Pool!$D$15</definedName>
    <definedName name="A_7">Pool!$D$16</definedName>
    <definedName name="A_8">Pool!$D$17</definedName>
    <definedName name="A_9">Pool!$D$18</definedName>
    <definedName name="B_1">Ceiling!$D$10</definedName>
    <definedName name="B_10">Ceiling!$D$19</definedName>
    <definedName name="B_2">Ceiling!$D$11</definedName>
    <definedName name="B_3">Ceiling!$D$12</definedName>
    <definedName name="B_4">Ceiling!$D$13</definedName>
    <definedName name="B_5">Ceiling!$D$14</definedName>
    <definedName name="B_6">Ceiling!$D$15</definedName>
    <definedName name="B_7">Ceiling!$D$16</definedName>
    <definedName name="B_8">Ceiling!$D$17</definedName>
    <definedName name="B_9">Ceiling!$D$18</definedName>
    <definedName name="Checks">Ceiling!$D$30:$D$31</definedName>
    <definedName name="HalfLife">Inputs!$D$19</definedName>
    <definedName name="HalfLife_Hi">Inputs!$H$19</definedName>
    <definedName name="HalfLife_Lo">Inputs!$F$19</definedName>
    <definedName name="HalfLife_Mean">Inputs!$I$19</definedName>
    <definedName name="HalfLife_ML">Inputs!$G$19</definedName>
    <definedName name="InputMeans">Inputs!$I$13:$I$19</definedName>
    <definedName name="PBuy">Inputs!$D$13</definedName>
    <definedName name="PBuy_Hi">Inputs!$H$13</definedName>
    <definedName name="PBuy_Lo">Inputs!$F$13</definedName>
    <definedName name="PBuy_Mean">Inputs!$I$13</definedName>
    <definedName name="PBuy_ML">Inputs!$G$13</definedName>
    <definedName name="PoolSize">Inputs!$D$11</definedName>
    <definedName name="PoolSize_Hi">Inputs!$H$11</definedName>
    <definedName name="PoolSize_Lo">Inputs!$F$11</definedName>
    <definedName name="PoolSize_ML">Inputs!$G$11</definedName>
    <definedName name="_xlnm.Print_Area" localSheetId="4">Results!$A$1:$R$45</definedName>
    <definedName name="_xlnm.Print_Titles" localSheetId="1">Inputs!$1:$4</definedName>
    <definedName name="_xlnm.Print_Titles" localSheetId="4">Results!$1:$4</definedName>
    <definedName name="Refill">Inputs!$D$12</definedName>
    <definedName name="SalesCeiling">Inputs!$D$18</definedName>
    <definedName name="SalesCeiling_Hi">Inputs!$H$18</definedName>
    <definedName name="SalesCeiling_Lo">Inputs!$F$18</definedName>
    <definedName name="SalesCeiling_Mean">Inputs!$I$18</definedName>
    <definedName name="SalesCeiling_ML">Inputs!$G$18</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eady">Pool!$F$26</definedName>
    <definedName name="TotalA">Pool!$F$25</definedName>
    <definedName name="TotalB">Ceiling!$D$25</definedName>
    <definedName name="Years90">Ceiling!$D$26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 l="1" a="1"/>
  <c r="D19" i="2" a="1"/>
  <c r="D18" i="2" a="1"/>
  <c r="D13" i="2" a="1"/>
  <c r="I13" i="2" a="1"/>
  <c r="I19" i="2" a="1"/>
  <c r="I18" i="2" a="1"/>
  <c r="I18" i="2" l="1"/>
  <c r="I19" i="2"/>
  <c r="I13" i="2"/>
  <c r="D13" i="2"/>
  <c r="D30" i="4" s="1"/>
  <c r="D18" i="2"/>
  <c r="D19" i="2"/>
  <c r="D11" i="2"/>
  <c r="C14" i="4" l="1"/>
  <c r="D14" i="4" s="1" a="1"/>
  <c r="D14" i="4" s="1"/>
  <c r="D26" i="4" a="1"/>
  <c r="D26" i="4" s="1"/>
  <c r="C12" i="4"/>
  <c r="D12" i="4" s="1" a="1"/>
  <c r="D12" i="4" s="1"/>
  <c r="C19" i="4"/>
  <c r="D19" i="4" s="1" a="1"/>
  <c r="D19" i="4" s="1"/>
  <c r="C16" i="4"/>
  <c r="D16" i="4" s="1" a="1"/>
  <c r="D16" i="4" s="1"/>
  <c r="D31" i="4"/>
  <c r="B7" i="5" s="1"/>
  <c r="C17" i="4"/>
  <c r="D17" i="4" s="1" a="1"/>
  <c r="D17" i="4" s="1"/>
  <c r="C15" i="4"/>
  <c r="D15" i="4" s="1" a="1"/>
  <c r="D15" i="4" s="1"/>
  <c r="C18" i="4"/>
  <c r="D18" i="4" s="1" a="1"/>
  <c r="D18" i="4" s="1"/>
  <c r="C10" i="4"/>
  <c r="D10" i="4" s="1" a="1"/>
  <c r="D10" i="4" s="1"/>
  <c r="C13" i="4"/>
  <c r="D13" i="4" s="1" a="1"/>
  <c r="D13" i="4" s="1"/>
  <c r="C11" i="4"/>
  <c r="D11" i="4" s="1" a="1"/>
  <c r="D11" i="4" s="1"/>
  <c r="F26" i="3"/>
  <c r="E19" i="3"/>
  <c r="C10" i="3"/>
  <c r="E10" i="3"/>
  <c r="E17" i="3"/>
  <c r="E15" i="3"/>
  <c r="E14" i="3"/>
  <c r="E18" i="3"/>
  <c r="E16" i="3"/>
  <c r="E13" i="3"/>
  <c r="E11" i="3"/>
  <c r="E12" i="3"/>
  <c r="E68" i="5" a="1"/>
  <c r="D68" i="5" a="1"/>
  <c r="C68" i="5" a="1"/>
  <c r="F68" i="5" a="1"/>
  <c r="F29" i="5" a="1"/>
  <c r="E29" i="5" a="1"/>
  <c r="C67" i="5" a="1"/>
  <c r="F67" i="5" a="1"/>
  <c r="D29" i="5" a="1"/>
  <c r="E67" i="5" a="1"/>
  <c r="G29" i="5" a="1"/>
  <c r="D67" i="5" a="1"/>
  <c r="D33" i="5" a="1"/>
  <c r="F65" i="5" a="1"/>
  <c r="E65" i="5" a="1"/>
  <c r="D65" i="5" a="1"/>
  <c r="C65" i="5" a="1"/>
  <c r="D72" i="5" a="1"/>
  <c r="E30" i="5" a="1"/>
  <c r="C72" i="5" a="1"/>
  <c r="F72" i="5" a="1"/>
  <c r="D30" i="5" a="1"/>
  <c r="G30" i="5" a="1"/>
  <c r="E72" i="5" a="1"/>
  <c r="F30" i="5" a="1"/>
  <c r="F69" i="5" a="1"/>
  <c r="E69" i="5" a="1"/>
  <c r="D69" i="5" a="1"/>
  <c r="C69" i="5" a="1"/>
  <c r="F71" i="5" a="1"/>
  <c r="E71" i="5" a="1"/>
  <c r="D71" i="5" a="1"/>
  <c r="C71" i="5" a="1"/>
  <c r="D70" i="5" a="1"/>
  <c r="C70" i="5" a="1"/>
  <c r="F70" i="5" a="1"/>
  <c r="E70" i="5" a="1"/>
  <c r="C63" i="5" a="1"/>
  <c r="E28" i="5" a="1"/>
  <c r="F63" i="5" a="1"/>
  <c r="D28" i="5" a="1"/>
  <c r="G28" i="5" a="1"/>
  <c r="E63" i="5" a="1"/>
  <c r="F28" i="5" a="1"/>
  <c r="D63" i="5" a="1"/>
  <c r="F66" i="5" a="1"/>
  <c r="E66" i="5" a="1"/>
  <c r="D66" i="5" a="1"/>
  <c r="C66" i="5" a="1"/>
  <c r="C64" i="5" a="1"/>
  <c r="F64" i="5" a="1"/>
  <c r="E64" i="5" a="1"/>
  <c r="D64" i="5" a="1"/>
  <c r="D17" i="5" a="1"/>
  <c r="D10" i="3" a="1"/>
  <c r="D17" i="5" l="1"/>
  <c r="D64" i="5"/>
  <c r="E64" i="5"/>
  <c r="F64" i="5"/>
  <c r="C64" i="5"/>
  <c r="C66" i="5"/>
  <c r="D66" i="5"/>
  <c r="E66" i="5"/>
  <c r="F66" i="5"/>
  <c r="D63" i="5"/>
  <c r="F28" i="5"/>
  <c r="E63" i="5"/>
  <c r="G28" i="5"/>
  <c r="D28" i="5"/>
  <c r="F63" i="5"/>
  <c r="E28" i="5"/>
  <c r="C63" i="5"/>
  <c r="E70" i="5"/>
  <c r="F70" i="5"/>
  <c r="C70" i="5"/>
  <c r="D70" i="5"/>
  <c r="C71" i="5"/>
  <c r="D71" i="5"/>
  <c r="E71" i="5"/>
  <c r="F71" i="5"/>
  <c r="C69" i="5"/>
  <c r="D69" i="5"/>
  <c r="E69" i="5"/>
  <c r="F69" i="5"/>
  <c r="F30" i="5"/>
  <c r="E72" i="5"/>
  <c r="G30" i="5"/>
  <c r="D30" i="5"/>
  <c r="F72" i="5"/>
  <c r="C72" i="5"/>
  <c r="E30" i="5"/>
  <c r="D72" i="5"/>
  <c r="C65" i="5"/>
  <c r="D65" i="5"/>
  <c r="E65" i="5"/>
  <c r="F65" i="5"/>
  <c r="D33" i="5"/>
  <c r="D67" i="5"/>
  <c r="G29" i="5"/>
  <c r="E67" i="5"/>
  <c r="D29" i="5"/>
  <c r="F67" i="5"/>
  <c r="C67" i="5"/>
  <c r="E29" i="5"/>
  <c r="F29" i="5"/>
  <c r="F68" i="5"/>
  <c r="C68" i="5"/>
  <c r="D68" i="5"/>
  <c r="E68" i="5"/>
  <c r="D20" i="4"/>
  <c r="D25" i="4" s="1" a="1"/>
  <c r="D25" i="4" s="1"/>
  <c r="D10" i="3"/>
  <c r="G31" i="5" a="1"/>
  <c r="F31" i="5" a="1"/>
  <c r="E31" i="5" a="1"/>
  <c r="D31" i="5" a="1"/>
  <c r="C51" i="5" a="1"/>
  <c r="F12" i="5" a="1"/>
  <c r="D51" i="5" a="1"/>
  <c r="F51" i="5" a="1"/>
  <c r="E12" i="5" a="1"/>
  <c r="E51" i="5" a="1"/>
  <c r="D12" i="5" a="1"/>
  <c r="G12" i="5" a="1"/>
  <c r="G12" i="5" l="1"/>
  <c r="D12" i="5"/>
  <c r="E51" i="5"/>
  <c r="E12" i="5"/>
  <c r="F51" i="5"/>
  <c r="D51" i="5"/>
  <c r="F12" i="5"/>
  <c r="C51" i="5"/>
  <c r="D31" i="5"/>
  <c r="E31" i="5"/>
  <c r="F31" i="5"/>
  <c r="G31" i="5"/>
  <c r="F10" i="3"/>
  <c r="C11" i="3" s="1"/>
  <c r="D11" i="3" a="1"/>
  <c r="D11" i="3" l="1"/>
  <c r="D52" i="5" a="1"/>
  <c r="E52" i="5" a="1"/>
  <c r="C52" i="5" a="1"/>
  <c r="F52" i="5" a="1"/>
  <c r="F52" i="5" l="1"/>
  <c r="C52" i="5"/>
  <c r="E52" i="5"/>
  <c r="D52" i="5"/>
  <c r="F11" i="3"/>
  <c r="C12" i="3" s="1"/>
  <c r="D12" i="3" a="1"/>
  <c r="D12" i="3" l="1"/>
  <c r="F12" i="3" s="1"/>
  <c r="C13" i="3" s="1"/>
  <c r="D53" i="5" a="1"/>
  <c r="C53" i="5" a="1"/>
  <c r="E53" i="5" a="1"/>
  <c r="F53" i="5" a="1"/>
  <c r="D13" i="3" a="1"/>
  <c r="D13" i="3" l="1"/>
  <c r="F53" i="5"/>
  <c r="E53" i="5"/>
  <c r="C53" i="5"/>
  <c r="D53" i="5"/>
  <c r="D54" i="5" a="1"/>
  <c r="E54" i="5" a="1"/>
  <c r="C54" i="5" a="1"/>
  <c r="F54" i="5" a="1"/>
  <c r="F54" i="5" l="1"/>
  <c r="C54" i="5"/>
  <c r="E54" i="5"/>
  <c r="D54" i="5"/>
  <c r="F13" i="3"/>
  <c r="C14" i="3" s="1"/>
  <c r="D14" i="3" a="1"/>
  <c r="D14" i="3" l="1"/>
  <c r="F14" i="3" s="1"/>
  <c r="C15" i="3" s="1"/>
  <c r="F13" i="5" a="1"/>
  <c r="D55" i="5" a="1"/>
  <c r="C55" i="5" a="1"/>
  <c r="F55" i="5" a="1"/>
  <c r="E13" i="5" a="1"/>
  <c r="E55" i="5" a="1"/>
  <c r="D13" i="5" a="1"/>
  <c r="G13" i="5" a="1"/>
  <c r="D15" i="3" a="1"/>
  <c r="D15" i="3" l="1"/>
  <c r="F15" i="3" s="1"/>
  <c r="C16" i="3" s="1"/>
  <c r="G13" i="5"/>
  <c r="D13" i="5"/>
  <c r="E55" i="5"/>
  <c r="E13" i="5"/>
  <c r="F55" i="5"/>
  <c r="C55" i="5"/>
  <c r="D55" i="5"/>
  <c r="F13" i="5"/>
  <c r="D56" i="5" a="1"/>
  <c r="E56" i="5" a="1"/>
  <c r="C56" i="5" a="1"/>
  <c r="F56" i="5" a="1"/>
  <c r="D16" i="3" a="1"/>
  <c r="D16" i="3" l="1"/>
  <c r="F16" i="3" s="1"/>
  <c r="C17" i="3" s="1"/>
  <c r="F56" i="5"/>
  <c r="C56" i="5"/>
  <c r="E56" i="5"/>
  <c r="D56" i="5"/>
  <c r="E57" i="5" a="1"/>
  <c r="D57" i="5" a="1"/>
  <c r="C57" i="5" a="1"/>
  <c r="F57" i="5" a="1"/>
  <c r="D17" i="3" a="1"/>
  <c r="D17" i="3" l="1"/>
  <c r="F17" i="3" s="1"/>
  <c r="C18" i="3" s="1"/>
  <c r="F57" i="5"/>
  <c r="C57" i="5"/>
  <c r="D57" i="5"/>
  <c r="E57" i="5"/>
  <c r="F58" i="5" a="1"/>
  <c r="E58" i="5" a="1"/>
  <c r="D58" i="5" a="1"/>
  <c r="C58" i="5" a="1"/>
  <c r="D18" i="3" a="1"/>
  <c r="D18" i="3" l="1"/>
  <c r="C58" i="5"/>
  <c r="D58" i="5"/>
  <c r="E58" i="5"/>
  <c r="F58" i="5"/>
  <c r="F18" i="3"/>
  <c r="C19" i="3" s="1"/>
  <c r="D59" i="5" a="1"/>
  <c r="C59" i="5" a="1"/>
  <c r="E59" i="5" a="1"/>
  <c r="F59" i="5" a="1"/>
  <c r="D19" i="3" a="1"/>
  <c r="D19" i="3" l="1"/>
  <c r="F59" i="5"/>
  <c r="E59" i="5"/>
  <c r="C59" i="5"/>
  <c r="D59" i="5"/>
  <c r="F19" i="3"/>
  <c r="D60" i="5" a="1"/>
  <c r="G14" i="5" a="1"/>
  <c r="C60" i="5" a="1"/>
  <c r="F14" i="5" a="1"/>
  <c r="F60" i="5" a="1"/>
  <c r="E14" i="5" a="1"/>
  <c r="D14" i="5" a="1"/>
  <c r="E60" i="5" a="1"/>
  <c r="E60" i="5" l="1"/>
  <c r="D14" i="5"/>
  <c r="E14" i="5"/>
  <c r="F60" i="5"/>
  <c r="F14" i="5"/>
  <c r="C60" i="5"/>
  <c r="G14" i="5"/>
  <c r="D60" i="5"/>
  <c r="D20" i="3"/>
  <c r="F25" i="3" s="1" a="1"/>
  <c r="F25" i="3" s="1"/>
  <c r="D15" i="5" a="1"/>
  <c r="B6" i="5" a="1"/>
  <c r="F15" i="5" a="1"/>
  <c r="G15" i="5" a="1"/>
  <c r="E15" i="5" a="1"/>
  <c r="E15" i="5" l="1"/>
  <c r="G15" i="5"/>
  <c r="F15" i="5"/>
  <c r="B6" i="5"/>
  <c r="D1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<sst xmlns="http://schemas.openxmlformats.org/spreadsheetml/2006/main" count="281" uniqueCount="195">
  <si>
    <t>Sales in a Limited Market</t>
  </si>
  <si>
    <t>ModelRisk example  ·  General use  ·  GU-15</t>
  </si>
  <si>
    <t>How do sales behave when the market is limited?  A pool of buyers that runs down, and growth towards a ceiling.</t>
  </si>
  <si>
    <t>Next:  Inputs  ▸</t>
  </si>
  <si>
    <t>Model card</t>
  </si>
  <si>
    <t>Industry</t>
  </si>
  <si>
    <t>General use</t>
  </si>
  <si>
    <t>Difficulty</t>
  </si>
  <si>
    <t>★☆☆☆☆   Two simple ways to keep a sales forecast inside its market: a pool of buyers that runs down, and a ceiling.</t>
  </si>
  <si>
    <t>Business question</t>
  </si>
  <si>
    <t>A home-security company sells two products. Its alarm system is bought once per household, from a pool of about 55,000 households in its region that new households keep topping up. Its new monitoring service grows towards a ceiling on annual sales. What will each sell over the next ten years, and what limits them?</t>
  </si>
  <si>
    <t>Who it is for</t>
  </si>
  <si>
    <t>Anyone forecasting sales in a market that can be saturated: durable goods, one-off services, new products.</t>
  </si>
  <si>
    <t>Main outputs</t>
  </si>
  <si>
    <t>Each product's sales by year at P10 / median / P90 and over ten years · the years the monitoring service needs to reach 90% of its ceiling.</t>
  </si>
  <si>
    <t>ModelRisk techniques</t>
  </si>
  <si>
    <t>A finite pool of buyers: each year VoseBinomial(pool, chance of buying) of them buy, and the pool is refilled by new households · a saturation curve: annual sales = (1 − 0.5^(year / half-life)) × ceiling · PERT inputs, one rounded to whole households · output ranges per product.</t>
  </si>
  <si>
    <t>File</t>
  </si>
  <si>
    <t>GU-15 Sales in a limited market  ·  Version 1.0  ·  October 2026  ·  re-issues the examples Finite Market and Sales With Maximum  ·  built with ModelRisk 10</t>
  </si>
  <si>
    <t>The business question</t>
  </si>
  <si>
    <t>A home-security company sells an alarm system that a household buys once. About 55,000 households in its region do not have one yet; each year a fifth of them might buy (anything from 10% to 35%), and new households arrive at about 10% of today's pool each year. Every sale shrinks the pool, so sales fall as the market saturates, down towards the flow of new households. The company's new monitoring service sells differently: its annual sales grow towards a ceiling of about 2,300 contracts a year, reaching half of it in about four years. The model forecasts both over ten years.</t>
  </si>
  <si>
    <t>How the model works</t>
  </si>
  <si>
    <t>Four sheets after this one, read from left to right. Each one feeds the next.</t>
  </si>
  <si>
    <t>1  Inputs</t>
  </si>
  <si>
    <t>For the alarm system, the households that might buy now (a PERT rounded to whole households), the share of that number added each year by new households, and the yearly chance that a potential buyer buys. For the monitoring service, the ceiling on annual sales and the years it takes to reach half of it.</t>
  </si>
  <si>
    <t>2  Pool</t>
  </si>
  <si>
    <t>Each year VoseBinomial(pool, chance) households buy. Next year's pool is this year's, minus the buyers, plus the new households.</t>
  </si>
  <si>
    <t>3  Ceiling</t>
  </si>
  <si>
    <t>Annual sales are (1 − 0.5^(year / half-life)) × ceiling: half of the ceiling after one half-life, three quarters after two.</t>
  </si>
  <si>
    <t>4  Results</t>
  </si>
  <si>
    <t>Each product's sales by year and over ten years.</t>
  </si>
  <si>
    <t>How to use it</t>
  </si>
  <si>
    <t>Step 1</t>
  </si>
  <si>
    <t>Set the pool, its refill, the chance of buying, the ceiling and the half-life on the Inputs sheet.</t>
  </si>
  <si>
    <t>Step 2</t>
  </si>
  <si>
    <t>Run a simulation from the ModelRisk ribbon (10,000 samples with a fixed seed are set).</t>
  </si>
  <si>
    <t>Step 3</t>
  </si>
  <si>
    <t>Use the pool when each customer buys once, and the ceiling when sales repeat but the market caps them.</t>
  </si>
  <si>
    <t>Workbook map</t>
  </si>
  <si>
    <t>Inputs</t>
  </si>
  <si>
    <t>Both products' inputs.</t>
  </si>
  <si>
    <t>Pool</t>
  </si>
  <si>
    <t>The alarm system year by year; outputs.</t>
  </si>
  <si>
    <t>Ceiling</t>
  </si>
  <si>
    <t>The monitoring service year by year; outputs and checks.</t>
  </si>
  <si>
    <t>Results</t>
  </si>
  <si>
    <t>Both forecasts.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</si>
  <si>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</si>
  <si>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</si>
  <si>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</si>
  <si>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</si>
  <si>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</si>
  <si>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</si>
  <si>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</si>
  <si>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</si>
  <si>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</si>
  <si>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</si>
  <si>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</si>
  <si>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</si>
  <si>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Units</t>
  </si>
  <si>
    <t>Households (alarm systems) and contracts (monitoring service) per year.</t>
  </si>
  <si>
    <t>Half-life</t>
  </si>
  <si>
    <t>The years until annual sales reach half of the ceiling.</t>
  </si>
  <si>
    <t>Key assumptions and limitations</t>
  </si>
  <si>
    <t>One chance per year</t>
  </si>
  <si>
    <t>The chance of buying is uncertain but the same every year and for every household.</t>
  </si>
  <si>
    <t>Refill</t>
  </si>
  <si>
    <t>New households arrive at a fixed share of today's pool each year; nobody leaves the pool unless they buy.</t>
  </si>
  <si>
    <t>The service's sales follow the curve exactly; the uncertainty is in its ceiling and half-life.</t>
  </si>
  <si>
    <t>Data</t>
  </si>
  <si>
    <t>The pool, refill and chance are those of ModelRisk's earlier Finite Market example; the ceiling and half-life those of its Sales With Maximum example.</t>
  </si>
  <si>
    <t>ModelRisk functions used</t>
  </si>
  <si>
    <t>VosePERT</t>
  </si>
  <si>
    <t>The pool, the chance of buying, the ceiling and the half-life.</t>
  </si>
  <si>
    <t>VoseBinomial</t>
  </si>
  <si>
    <t>How many of the pool's households buy in a year.</t>
  </si>
  <si>
    <t>VoseOutput</t>
  </si>
  <si>
    <t>Each product's annual sales as an output range, and the ten-year totals.</t>
  </si>
  <si>
    <t>VoseSimMean, VoseSimPercentile</t>
  </si>
  <si>
    <t>Statistics of the simulation and the bands.</t>
  </si>
  <si>
    <t>Further reading</t>
  </si>
  <si>
    <t>Market saturation</t>
  </si>
  <si>
    <t>Vose, D. (2008). Risk Analysis: A Quantitative Guide, 3rd edition. Wiley: forecasting sales in a finite market.</t>
  </si>
  <si>
    <t>© 2026 Vose Software   ·   www.vosesoftware.com   ·   An illustrative example: the figures are invented for teaching and do not describe a real company, project or asset.</t>
  </si>
  <si>
    <t>INPUTS   ·   Both products. Change only the yellow cells.</t>
  </si>
  <si>
    <t>◂  About</t>
  </si>
  <si>
    <t>Next:  Pool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</si>
  <si>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</si>
  <si>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Alarm system: the pool of buyers</t>
  </si>
  <si>
    <t>Households that might buy, the refill, and the yearly chance of buying.</t>
  </si>
  <si>
    <t>Assumption</t>
  </si>
  <si>
    <t>Unit</t>
  </si>
  <si>
    <t>Value in model</t>
  </si>
  <si>
    <t>Uncertainty</t>
  </si>
  <si>
    <t>Low</t>
  </si>
  <si>
    <t>Most likely</t>
  </si>
  <si>
    <t>High</t>
  </si>
  <si>
    <t>Mean</t>
  </si>
  <si>
    <t>Basis / source (illustrative)</t>
  </si>
  <si>
    <t>Households that might buy, today</t>
  </si>
  <si>
    <t>households</t>
  </si>
  <si>
    <t>PERT, rounded</t>
  </si>
  <si>
    <t>Rounded to whole households.</t>
  </si>
  <si>
    <t>New households each year, as a share of today's pool</t>
  </si>
  <si>
    <t>share</t>
  </si>
  <si>
    <t>Fixed</t>
  </si>
  <si>
    <t>About 5,500 a year.</t>
  </si>
  <si>
    <t>Chance a potential buyer buys in a year</t>
  </si>
  <si>
    <t>probability</t>
  </si>
  <si>
    <t>PERT</t>
  </si>
  <si>
    <t>The same every year: one draw per iteration.</t>
  </si>
  <si>
    <t>2   Monitoring service: growth to a ceiling</t>
  </si>
  <si>
    <t>The ceiling on annual sales and how fast sales approach it.</t>
  </si>
  <si>
    <t>Ceiling on annual sales</t>
  </si>
  <si>
    <t>contracts</t>
  </si>
  <si>
    <t>Years to reach half of the ceiling</t>
  </si>
  <si>
    <t>years</t>
  </si>
  <si>
    <t>POOL   ·   The alarm system: households that might buy, and those that do, year by year.</t>
  </si>
  <si>
    <t>◂  Inputs</t>
  </si>
  <si>
    <t>Next:  Ceiling  ▸</t>
  </si>
  <si>
    <t>1   Year by year</t>
  </si>
  <si>
    <t>Each year some of the pool buy; the pool shrinks by the buyers and grows by the new households.</t>
  </si>
  <si>
    <t>Year</t>
  </si>
  <si>
    <t>Pool at the start</t>
  </si>
  <si>
    <t>Buy this year</t>
  </si>
  <si>
    <t>New households</t>
  </si>
  <si>
    <t>Pool at the end</t>
  </si>
  <si>
    <t>How it is calculated</t>
  </si>
  <si>
    <t>Year 1's pool: households that might buy today (Inputs sheet)</t>
  </si>
  <si>
    <t>Buy this year: VoseBinomial(pool at the start, chance of buying)</t>
  </si>
  <si>
    <t>New households: refill share × today's pool</t>
  </si>
  <si>
    <t>Pool at the end = start − buyers + new households; it starts next year</t>
  </si>
  <si>
    <t>Total</t>
  </si>
  <si>
    <t>2   Value in this iteration</t>
  </si>
  <si>
    <t>Key outputs, recorded by ModelRisk at every sample (VoseOutput). Their statistics appear on the Results sheet.</t>
  </si>
  <si>
    <t>Output</t>
  </si>
  <si>
    <t>Value</t>
  </si>
  <si>
    <t>Meaning</t>
  </si>
  <si>
    <t>Alarm systems sold over ten years</t>
  </si>
  <si>
    <t>Long-run sales: the new households each year</t>
  </si>
  <si>
    <t>Once the pool is worn down, sales settle near the inflow of new households.</t>
  </si>
  <si>
    <t>CEILING   ·   The monitoring service: annual sales growing towards the ceiling.</t>
  </si>
  <si>
    <t>◂  Pool</t>
  </si>
  <si>
    <t>Next:  Results  ▸</t>
  </si>
  <si>
    <t>Annual sales = share of the ceiling reached × ceiling.</t>
  </si>
  <si>
    <t>Share of the ceiling</t>
  </si>
  <si>
    <t>Sales</t>
  </si>
  <si>
    <t>reached</t>
  </si>
  <si>
    <t>Share of the ceiling = 1 − 0.5^(year / half-life)</t>
  </si>
  <si>
    <t>Sales = share × ceiling, rounded to whole contracts</t>
  </si>
  <si>
    <t>Monitoring contracts sold over ten years</t>
  </si>
  <si>
    <t>Years to reach 90% of the ceiling</t>
  </si>
  <si>
    <t>Half-life × log2(10): about 3.3 half-lives.</t>
  </si>
  <si>
    <t>3   Model checks</t>
  </si>
  <si>
    <t>Should all read OK. A CHECK means an input has been set outside the range the model is built for.</t>
  </si>
  <si>
    <t>The chance of buying and the refill are between 0% and 100%</t>
  </si>
  <si>
    <t>The half-life is above 0</t>
  </si>
  <si>
    <t>RESULTS   ·   Filled in automatically from the last simulation. Run a simulation after changing any input.</t>
  </si>
  <si>
    <t>◂  Ceiling</t>
  </si>
  <si>
    <t>1   Alarm system: a pool that runs down</t>
  </si>
  <si>
    <t>Alarm systems sold per year — 10th / 50th / 90th percentile band</t>
  </si>
  <si>
    <t>Households buying each year, and over ten years.</t>
  </si>
  <si>
    <t>Measure</t>
  </si>
  <si>
    <t>10th pct</t>
  </si>
  <si>
    <t>Median</t>
  </si>
  <si>
    <t>90th pct</t>
  </si>
  <si>
    <t>Year 1</t>
  </si>
  <si>
    <t>Year 5</t>
  </si>
  <si>
    <t>Year 10</t>
  </si>
  <si>
    <t>Ten years</t>
  </si>
  <si>
    <t>Long-run sales: new households a year</t>
  </si>
  <si>
    <t>Monitoring contracts sold per year — 10th / 50th / 90th percentile band</t>
  </si>
  <si>
    <t>Contracts sold each year, and over ten years.</t>
  </si>
  <si>
    <t>Mean years to reach 90% of the ceiling</t>
  </si>
  <si>
    <t>3   How to read these results</t>
  </si>
  <si>
    <t>•  The alarm system's first year is very uncertain, because the chance of buying is: anything from about 8,000 to 15,000 households. By year ten the uncertainty has mostly gone: whatever the chance of buying, the pool has been worn down and sales settle near the 5,500 new households a year.</t>
  </si>
  <si>
    <t>•  So in a finite market a faster take-up brings sales forward rather than adding to them: it empties the pool sooner.</t>
  </si>
  <si>
    <t>•  The monitoring service's sales are still growing after ten years: with a half-life of about four years it takes over thirteen years to reach 90% of the ceiling. Its uncertainty comes from the ceiling and the half-life, not from chance.</t>
  </si>
  <si>
    <t>•  Use a pool when each customer buys once; use a ceiling when sales repeat but the market caps them.</t>
  </si>
  <si>
    <t>Chart data</t>
  </si>
  <si>
    <t>Statistics of the last simulation behind the charts and the ranking above. Grouped: click + in the left margin to show them.</t>
  </si>
  <si>
    <t>Period</t>
  </si>
  <si>
    <t>10th percentile</t>
  </si>
  <si>
    <t>90th percentile</t>
  </si>
  <si>
    <t>1</t>
  </si>
  <si>
    <t>2</t>
  </si>
  <si>
    <t>3</t>
  </si>
  <si>
    <t>4</t>
  </si>
  <si>
    <t>5</t>
  </si>
  <si>
    <t>6</t>
  </si>
  <si>
    <t>7</t>
  </si>
  <si>
    <t>8</t>
  </si>
  <si>
    <t>9</t>
  </si>
  <si>
    <t>10</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</si>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</sst>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quot;–&quot;_)"/>
    <numFmt numFmtId="165" formatCode="#,##0.0_);\(#,##0.0\);&quot;–&quot;_)"/>
    <numFmt numFmtId="166" formatCode="#,##0_);\(#,##0\);&quot;–&quot;_);&quot;–&quot;"/>
    <numFmt numFmtId="167" formatCode="#,##0.0_);\(#,##0.0\);&quot;–&quot;_);&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9" fontId="2" fillId="3" borderId="7" xfId="2" applyNumberFormat="1" applyBorder="1">
      <alignment horizontal="right" vertical="center"/>
    </xf>
    <xf numFmtId="9" fontId="3" fillId="0" borderId="8" xfId="3" applyNumberFormat="1" applyBorder="1">
      <alignment horizontal="right" vertical="center"/>
    </xf>
    <xf numFmtId="164" fontId="3" fillId="0" borderId="8" xfId="3"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4" fontId="4" fillId="4" borderId="9" xfId="4" applyNumberFormat="1" applyBorder="1">
      <alignment horizontal="right" vertical="center"/>
    </xf>
    <xf numFmtId="0" fontId="12" fillId="0" borderId="10" xfId="0" applyFont="1" applyBorder="1" applyAlignment="1">
      <alignment horizontal="left" vertical="center" indent="1"/>
    </xf>
    <xf numFmtId="0" fontId="0" fillId="0" borderId="10" xfId="0" applyBorder="1"/>
    <xf numFmtId="164" fontId="12" fillId="0" borderId="10"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165" fontId="4" fillId="4" borderId="9"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2" fillId="0" borderId="5" xfId="0" applyFont="1" applyBorder="1"/>
    <xf numFmtId="166" fontId="1" fillId="5" borderId="7" xfId="5" applyNumberFormat="1" applyBorder="1">
      <alignment horizontal="right" vertical="center"/>
    </xf>
    <xf numFmtId="167" fontId="1" fillId="5" borderId="7" xfId="5" applyNumberFormat="1" applyBorder="1">
      <alignment horizontal="right" vertical="center"/>
    </xf>
    <xf numFmtId="0" fontId="21" fillId="0" borderId="0" xfId="0" applyFont="1" applyAlignment="1">
      <alignment horizontal="left" vertical="center" indent="1"/>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Results!$B$51:$B$60</c:f>
              <c:strCache>
                <c:ptCount val="10"/>
                <c:pt idx="0">
                  <c:v>1</c:v>
                </c:pt>
                <c:pt idx="1">
                  <c:v>2</c:v>
                </c:pt>
                <c:pt idx="2">
                  <c:v>3</c:v>
                </c:pt>
                <c:pt idx="3">
                  <c:v>4</c:v>
                </c:pt>
                <c:pt idx="4">
                  <c:v>5</c:v>
                </c:pt>
                <c:pt idx="5">
                  <c:v>6</c:v>
                </c:pt>
                <c:pt idx="6">
                  <c:v>7</c:v>
                </c:pt>
                <c:pt idx="7">
                  <c:v>8</c:v>
                </c:pt>
                <c:pt idx="8">
                  <c:v>9</c:v>
                </c:pt>
                <c:pt idx="9">
                  <c:v>10</c:v>
                </c:pt>
              </c:strCache>
            </c:strRef>
          </c:cat>
          <c:val>
            <c:numRef>
              <c:f>Results!$E$51:$E$60</c:f>
              <c:numCache>
                <c:formatCode>#,##0.00</c:formatCode>
                <c:ptCount val="10"/>
                <c:pt idx="0">
                  <c:v>15021</c:v>
                </c:pt>
                <c:pt idx="1">
                  <c:v>12457</c:v>
                </c:pt>
                <c:pt idx="2">
                  <c:v>10595</c:v>
                </c:pt>
                <c:pt idx="3">
                  <c:v>9246</c:v>
                </c:pt>
                <c:pt idx="4">
                  <c:v>8328</c:v>
                </c:pt>
                <c:pt idx="5">
                  <c:v>7683</c:v>
                </c:pt>
                <c:pt idx="6">
                  <c:v>7235</c:v>
                </c:pt>
                <c:pt idx="7">
                  <c:v>6904</c:v>
                </c:pt>
                <c:pt idx="8">
                  <c:v>6659</c:v>
                </c:pt>
                <c:pt idx="9">
                  <c:v>6476</c:v>
                </c:pt>
              </c:numCache>
            </c:numRef>
          </c:val>
          <c:smooth val="0"/>
          <c:extLst>
            <c:ext xmlns:c16="http://schemas.microsoft.com/office/drawing/2014/chart" uri="{C3380CC4-5D6E-409C-BE32-E72D297353CC}">
              <c16:uniqueId val="{00000000-2C2A-4A94-AB6F-546D5A6AB939}"/>
            </c:ext>
          </c:extLst>
        </c:ser>
        <c:ser>
          <c:idx val="1"/>
          <c:order val="1"/>
          <c:tx>
            <c:v>Median</c:v>
          </c:tx>
          <c:spPr>
            <a:ln w="28575">
              <a:solidFill>
                <a:srgbClr val="0E4F92"/>
              </a:solidFill>
              <a:prstDash val="solid"/>
            </a:ln>
          </c:spPr>
          <c:marker>
            <c:symbol val="none"/>
          </c:marker>
          <c:cat>
            <c:strRef>
              <c:f>Results!$B$51:$B$60</c:f>
              <c:strCache>
                <c:ptCount val="10"/>
                <c:pt idx="0">
                  <c:v>1</c:v>
                </c:pt>
                <c:pt idx="1">
                  <c:v>2</c:v>
                </c:pt>
                <c:pt idx="2">
                  <c:v>3</c:v>
                </c:pt>
                <c:pt idx="3">
                  <c:v>4</c:v>
                </c:pt>
                <c:pt idx="4">
                  <c:v>5</c:v>
                </c:pt>
                <c:pt idx="5">
                  <c:v>6</c:v>
                </c:pt>
                <c:pt idx="6">
                  <c:v>7</c:v>
                </c:pt>
                <c:pt idx="7">
                  <c:v>8</c:v>
                </c:pt>
                <c:pt idx="8">
                  <c:v>9</c:v>
                </c:pt>
                <c:pt idx="9">
                  <c:v>10</c:v>
                </c:pt>
              </c:strCache>
            </c:strRef>
          </c:cat>
          <c:val>
            <c:numRef>
              <c:f>Results!$D$51:$D$60</c:f>
              <c:numCache>
                <c:formatCode>#,##0.00</c:formatCode>
                <c:ptCount val="10"/>
                <c:pt idx="0">
                  <c:v>11401</c:v>
                </c:pt>
                <c:pt idx="1">
                  <c:v>10178</c:v>
                </c:pt>
                <c:pt idx="2">
                  <c:v>9197</c:v>
                </c:pt>
                <c:pt idx="3">
                  <c:v>8409</c:v>
                </c:pt>
                <c:pt idx="4">
                  <c:v>7759</c:v>
                </c:pt>
                <c:pt idx="5">
                  <c:v>7247</c:v>
                </c:pt>
                <c:pt idx="6">
                  <c:v>6853</c:v>
                </c:pt>
                <c:pt idx="7">
                  <c:v>6552</c:v>
                </c:pt>
                <c:pt idx="8">
                  <c:v>6321</c:v>
                </c:pt>
                <c:pt idx="9">
                  <c:v>6150</c:v>
                </c:pt>
              </c:numCache>
            </c:numRef>
          </c:val>
          <c:smooth val="0"/>
          <c:extLst>
            <c:ext xmlns:c16="http://schemas.microsoft.com/office/drawing/2014/chart" uri="{C3380CC4-5D6E-409C-BE32-E72D297353CC}">
              <c16:uniqueId val="{00000001-2C2A-4A94-AB6F-546D5A6AB939}"/>
            </c:ext>
          </c:extLst>
        </c:ser>
        <c:ser>
          <c:idx val="2"/>
          <c:order val="2"/>
          <c:tx>
            <c:v>Mean</c:v>
          </c:tx>
          <c:spPr>
            <a:ln w="19050">
              <a:solidFill>
                <a:srgbClr val="B45309"/>
              </a:solidFill>
              <a:prstDash val="solid"/>
            </a:ln>
          </c:spPr>
          <c:marker>
            <c:symbol val="none"/>
          </c:marker>
          <c:cat>
            <c:strRef>
              <c:f>Results!$B$51:$B$60</c:f>
              <c:strCache>
                <c:ptCount val="10"/>
                <c:pt idx="0">
                  <c:v>1</c:v>
                </c:pt>
                <c:pt idx="1">
                  <c:v>2</c:v>
                </c:pt>
                <c:pt idx="2">
                  <c:v>3</c:v>
                </c:pt>
                <c:pt idx="3">
                  <c:v>4</c:v>
                </c:pt>
                <c:pt idx="4">
                  <c:v>5</c:v>
                </c:pt>
                <c:pt idx="5">
                  <c:v>6</c:v>
                </c:pt>
                <c:pt idx="6">
                  <c:v>7</c:v>
                </c:pt>
                <c:pt idx="7">
                  <c:v>8</c:v>
                </c:pt>
                <c:pt idx="8">
                  <c:v>9</c:v>
                </c:pt>
                <c:pt idx="9">
                  <c:v>10</c:v>
                </c:pt>
              </c:strCache>
            </c:strRef>
          </c:cat>
          <c:val>
            <c:numRef>
              <c:f>Results!$F$51:$F$60</c:f>
              <c:numCache>
                <c:formatCode>#,##0.00</c:formatCode>
                <c:ptCount val="10"/>
                <c:pt idx="0">
                  <c:v>11506.872993649682</c:v>
                </c:pt>
                <c:pt idx="1">
                  <c:v>10129.157607880394</c:v>
                </c:pt>
                <c:pt idx="2">
                  <c:v>9080.3961198059897</c:v>
                </c:pt>
                <c:pt idx="3">
                  <c:v>8276.5312265613284</c:v>
                </c:pt>
                <c:pt idx="4">
                  <c:v>7661.9156457822892</c:v>
                </c:pt>
                <c:pt idx="5">
                  <c:v>7190.4539226961351</c:v>
                </c:pt>
                <c:pt idx="6">
                  <c:v>6824.2057102855142</c:v>
                </c:pt>
                <c:pt idx="7">
                  <c:v>6539.9668983449174</c:v>
                </c:pt>
                <c:pt idx="8">
                  <c:v>6319.8672933646685</c:v>
                </c:pt>
                <c:pt idx="9">
                  <c:v>6148.6253312665631</c:v>
                </c:pt>
              </c:numCache>
            </c:numRef>
          </c:val>
          <c:smooth val="0"/>
          <c:extLst>
            <c:ext xmlns:c16="http://schemas.microsoft.com/office/drawing/2014/chart" uri="{C3380CC4-5D6E-409C-BE32-E72D297353CC}">
              <c16:uniqueId val="{00000002-2C2A-4A94-AB6F-546D5A6AB939}"/>
            </c:ext>
          </c:extLst>
        </c:ser>
        <c:ser>
          <c:idx val="3"/>
          <c:order val="3"/>
          <c:tx>
            <c:v>10th percentile</c:v>
          </c:tx>
          <c:spPr>
            <a:ln w="15875">
              <a:solidFill>
                <a:srgbClr val="0E4F92"/>
              </a:solidFill>
              <a:prstDash val="dash"/>
            </a:ln>
          </c:spPr>
          <c:marker>
            <c:symbol val="none"/>
          </c:marker>
          <c:cat>
            <c:strRef>
              <c:f>Results!$B$51:$B$60</c:f>
              <c:strCache>
                <c:ptCount val="10"/>
                <c:pt idx="0">
                  <c:v>1</c:v>
                </c:pt>
                <c:pt idx="1">
                  <c:v>2</c:v>
                </c:pt>
                <c:pt idx="2">
                  <c:v>3</c:v>
                </c:pt>
                <c:pt idx="3">
                  <c:v>4</c:v>
                </c:pt>
                <c:pt idx="4">
                  <c:v>5</c:v>
                </c:pt>
                <c:pt idx="5">
                  <c:v>6</c:v>
                </c:pt>
                <c:pt idx="6">
                  <c:v>7</c:v>
                </c:pt>
                <c:pt idx="7">
                  <c:v>8</c:v>
                </c:pt>
                <c:pt idx="8">
                  <c:v>9</c:v>
                </c:pt>
                <c:pt idx="9">
                  <c:v>10</c:v>
                </c:pt>
              </c:strCache>
            </c:strRef>
          </c:cat>
          <c:val>
            <c:numRef>
              <c:f>Results!$C$51:$C$60</c:f>
              <c:numCache>
                <c:formatCode>#,##0.00</c:formatCode>
                <c:ptCount val="10"/>
                <c:pt idx="0">
                  <c:v>8119</c:v>
                </c:pt>
                <c:pt idx="1">
                  <c:v>7712</c:v>
                </c:pt>
                <c:pt idx="2">
                  <c:v>7368</c:v>
                </c:pt>
                <c:pt idx="3">
                  <c:v>7085</c:v>
                </c:pt>
                <c:pt idx="4">
                  <c:v>6831</c:v>
                </c:pt>
                <c:pt idx="5">
                  <c:v>6603</c:v>
                </c:pt>
                <c:pt idx="6">
                  <c:v>6391</c:v>
                </c:pt>
                <c:pt idx="7">
                  <c:v>6178</c:v>
                </c:pt>
                <c:pt idx="8">
                  <c:v>5978</c:v>
                </c:pt>
                <c:pt idx="9">
                  <c:v>5825</c:v>
                </c:pt>
              </c:numCache>
            </c:numRef>
          </c:val>
          <c:smooth val="0"/>
          <c:extLst>
            <c:ext xmlns:c16="http://schemas.microsoft.com/office/drawing/2014/chart" uri="{C3380CC4-5D6E-409C-BE32-E72D297353CC}">
              <c16:uniqueId val="{00000003-2C2A-4A94-AB6F-546D5A6AB93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Households per year</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Results!$B$63:$B$72</c:f>
              <c:strCache>
                <c:ptCount val="10"/>
                <c:pt idx="0">
                  <c:v>1</c:v>
                </c:pt>
                <c:pt idx="1">
                  <c:v>2</c:v>
                </c:pt>
                <c:pt idx="2">
                  <c:v>3</c:v>
                </c:pt>
                <c:pt idx="3">
                  <c:v>4</c:v>
                </c:pt>
                <c:pt idx="4">
                  <c:v>5</c:v>
                </c:pt>
                <c:pt idx="5">
                  <c:v>6</c:v>
                </c:pt>
                <c:pt idx="6">
                  <c:v>7</c:v>
                </c:pt>
                <c:pt idx="7">
                  <c:v>8</c:v>
                </c:pt>
                <c:pt idx="8">
                  <c:v>9</c:v>
                </c:pt>
                <c:pt idx="9">
                  <c:v>10</c:v>
                </c:pt>
              </c:strCache>
            </c:strRef>
          </c:cat>
          <c:val>
            <c:numRef>
              <c:f>Results!$E$63:$E$72</c:f>
              <c:numCache>
                <c:formatCode>#,##0.00</c:formatCode>
                <c:ptCount val="10"/>
                <c:pt idx="0">
                  <c:v>460</c:v>
                </c:pt>
                <c:pt idx="1">
                  <c:v>846</c:v>
                </c:pt>
                <c:pt idx="2">
                  <c:v>1169</c:v>
                </c:pt>
                <c:pt idx="3">
                  <c:v>1441</c:v>
                </c:pt>
                <c:pt idx="4">
                  <c:v>1670</c:v>
                </c:pt>
                <c:pt idx="5">
                  <c:v>1863</c:v>
                </c:pt>
                <c:pt idx="6">
                  <c:v>2025</c:v>
                </c:pt>
                <c:pt idx="7">
                  <c:v>2161</c:v>
                </c:pt>
                <c:pt idx="8">
                  <c:v>2275</c:v>
                </c:pt>
                <c:pt idx="9">
                  <c:v>2371</c:v>
                </c:pt>
              </c:numCache>
            </c:numRef>
          </c:val>
          <c:smooth val="0"/>
          <c:extLst>
            <c:ext xmlns:c16="http://schemas.microsoft.com/office/drawing/2014/chart" uri="{C3380CC4-5D6E-409C-BE32-E72D297353CC}">
              <c16:uniqueId val="{00000000-D578-4B7D-931D-E6889A66C5E4}"/>
            </c:ext>
          </c:extLst>
        </c:ser>
        <c:ser>
          <c:idx val="1"/>
          <c:order val="1"/>
          <c:tx>
            <c:v>Median</c:v>
          </c:tx>
          <c:spPr>
            <a:ln w="28575">
              <a:solidFill>
                <a:srgbClr val="0E4F92"/>
              </a:solidFill>
              <a:prstDash val="solid"/>
            </a:ln>
          </c:spPr>
          <c:marker>
            <c:symbol val="none"/>
          </c:marker>
          <c:cat>
            <c:strRef>
              <c:f>Results!$B$63:$B$72</c:f>
              <c:strCache>
                <c:ptCount val="10"/>
                <c:pt idx="0">
                  <c:v>1</c:v>
                </c:pt>
                <c:pt idx="1">
                  <c:v>2</c:v>
                </c:pt>
                <c:pt idx="2">
                  <c:v>3</c:v>
                </c:pt>
                <c:pt idx="3">
                  <c:v>4</c:v>
                </c:pt>
                <c:pt idx="4">
                  <c:v>5</c:v>
                </c:pt>
                <c:pt idx="5">
                  <c:v>6</c:v>
                </c:pt>
                <c:pt idx="6">
                  <c:v>7</c:v>
                </c:pt>
                <c:pt idx="7">
                  <c:v>8</c:v>
                </c:pt>
                <c:pt idx="8">
                  <c:v>9</c:v>
                </c:pt>
                <c:pt idx="9">
                  <c:v>10</c:v>
                </c:pt>
              </c:strCache>
            </c:strRef>
          </c:cat>
          <c:val>
            <c:numRef>
              <c:f>Results!$D$63:$D$72</c:f>
              <c:numCache>
                <c:formatCode>#,##0.00</c:formatCode>
                <c:ptCount val="10"/>
                <c:pt idx="0">
                  <c:v>376</c:v>
                </c:pt>
                <c:pt idx="1">
                  <c:v>694</c:v>
                </c:pt>
                <c:pt idx="2">
                  <c:v>961</c:v>
                </c:pt>
                <c:pt idx="3">
                  <c:v>1186</c:v>
                </c:pt>
                <c:pt idx="4">
                  <c:v>1376</c:v>
                </c:pt>
                <c:pt idx="5">
                  <c:v>1537</c:v>
                </c:pt>
                <c:pt idx="6">
                  <c:v>1672</c:v>
                </c:pt>
                <c:pt idx="7">
                  <c:v>1786</c:v>
                </c:pt>
                <c:pt idx="8">
                  <c:v>1883</c:v>
                </c:pt>
                <c:pt idx="9">
                  <c:v>1965</c:v>
                </c:pt>
              </c:numCache>
            </c:numRef>
          </c:val>
          <c:smooth val="0"/>
          <c:extLst>
            <c:ext xmlns:c16="http://schemas.microsoft.com/office/drawing/2014/chart" uri="{C3380CC4-5D6E-409C-BE32-E72D297353CC}">
              <c16:uniqueId val="{00000001-D578-4B7D-931D-E6889A66C5E4}"/>
            </c:ext>
          </c:extLst>
        </c:ser>
        <c:ser>
          <c:idx val="2"/>
          <c:order val="2"/>
          <c:tx>
            <c:v>Mean</c:v>
          </c:tx>
          <c:spPr>
            <a:ln w="19050">
              <a:solidFill>
                <a:srgbClr val="B45309"/>
              </a:solidFill>
              <a:prstDash val="solid"/>
            </a:ln>
          </c:spPr>
          <c:marker>
            <c:symbol val="none"/>
          </c:marker>
          <c:cat>
            <c:strRef>
              <c:f>Results!$B$63:$B$72</c:f>
              <c:strCache>
                <c:ptCount val="10"/>
                <c:pt idx="0">
                  <c:v>1</c:v>
                </c:pt>
                <c:pt idx="1">
                  <c:v>2</c:v>
                </c:pt>
                <c:pt idx="2">
                  <c:v>3</c:v>
                </c:pt>
                <c:pt idx="3">
                  <c:v>4</c:v>
                </c:pt>
                <c:pt idx="4">
                  <c:v>5</c:v>
                </c:pt>
                <c:pt idx="5">
                  <c:v>6</c:v>
                </c:pt>
                <c:pt idx="6">
                  <c:v>7</c:v>
                </c:pt>
                <c:pt idx="7">
                  <c:v>8</c:v>
                </c:pt>
                <c:pt idx="8">
                  <c:v>9</c:v>
                </c:pt>
                <c:pt idx="9">
                  <c:v>10</c:v>
                </c:pt>
              </c:strCache>
            </c:strRef>
          </c:cat>
          <c:val>
            <c:numRef>
              <c:f>Results!$F$63:$F$72</c:f>
              <c:numCache>
                <c:formatCode>#,##0.00</c:formatCode>
                <c:ptCount val="10"/>
                <c:pt idx="0">
                  <c:v>382.2183609180459</c:v>
                </c:pt>
                <c:pt idx="1">
                  <c:v>704.25491274563728</c:v>
                </c:pt>
                <c:pt idx="2">
                  <c:v>975.61728086404321</c:v>
                </c:pt>
                <c:pt idx="3">
                  <c:v>1204.3189159457972</c:v>
                </c:pt>
                <c:pt idx="4">
                  <c:v>1397.0876043802191</c:v>
                </c:pt>
                <c:pt idx="5">
                  <c:v>1559.5862293114656</c:v>
                </c:pt>
                <c:pt idx="6">
                  <c:v>1696.5748787439372</c:v>
                </c:pt>
                <c:pt idx="7">
                  <c:v>1812.0975048752437</c:v>
                </c:pt>
                <c:pt idx="8">
                  <c:v>1909.5138756937847</c:v>
                </c:pt>
                <c:pt idx="9">
                  <c:v>1991.6744837241863</c:v>
                </c:pt>
              </c:numCache>
            </c:numRef>
          </c:val>
          <c:smooth val="0"/>
          <c:extLst>
            <c:ext xmlns:c16="http://schemas.microsoft.com/office/drawing/2014/chart" uri="{C3380CC4-5D6E-409C-BE32-E72D297353CC}">
              <c16:uniqueId val="{00000002-D578-4B7D-931D-E6889A66C5E4}"/>
            </c:ext>
          </c:extLst>
        </c:ser>
        <c:ser>
          <c:idx val="3"/>
          <c:order val="3"/>
          <c:tx>
            <c:v>10th percentile</c:v>
          </c:tx>
          <c:spPr>
            <a:ln w="15875">
              <a:solidFill>
                <a:srgbClr val="0E4F92"/>
              </a:solidFill>
              <a:prstDash val="dash"/>
            </a:ln>
          </c:spPr>
          <c:marker>
            <c:symbol val="none"/>
          </c:marker>
          <c:cat>
            <c:strRef>
              <c:f>Results!$B$63:$B$72</c:f>
              <c:strCache>
                <c:ptCount val="10"/>
                <c:pt idx="0">
                  <c:v>1</c:v>
                </c:pt>
                <c:pt idx="1">
                  <c:v>2</c:v>
                </c:pt>
                <c:pt idx="2">
                  <c:v>3</c:v>
                </c:pt>
                <c:pt idx="3">
                  <c:v>4</c:v>
                </c:pt>
                <c:pt idx="4">
                  <c:v>5</c:v>
                </c:pt>
                <c:pt idx="5">
                  <c:v>6</c:v>
                </c:pt>
                <c:pt idx="6">
                  <c:v>7</c:v>
                </c:pt>
                <c:pt idx="7">
                  <c:v>8</c:v>
                </c:pt>
                <c:pt idx="8">
                  <c:v>9</c:v>
                </c:pt>
                <c:pt idx="9">
                  <c:v>10</c:v>
                </c:pt>
              </c:strCache>
            </c:strRef>
          </c:cat>
          <c:val>
            <c:numRef>
              <c:f>Results!$C$63:$C$72</c:f>
              <c:numCache>
                <c:formatCode>#,##0.00</c:formatCode>
                <c:ptCount val="10"/>
                <c:pt idx="0">
                  <c:v>313</c:v>
                </c:pt>
                <c:pt idx="1">
                  <c:v>578</c:v>
                </c:pt>
                <c:pt idx="2">
                  <c:v>801</c:v>
                </c:pt>
                <c:pt idx="3">
                  <c:v>991</c:v>
                </c:pt>
                <c:pt idx="4">
                  <c:v>1150</c:v>
                </c:pt>
                <c:pt idx="5">
                  <c:v>1287</c:v>
                </c:pt>
                <c:pt idx="6">
                  <c:v>1401</c:v>
                </c:pt>
                <c:pt idx="7">
                  <c:v>1498</c:v>
                </c:pt>
                <c:pt idx="8">
                  <c:v>1579</c:v>
                </c:pt>
                <c:pt idx="9">
                  <c:v>1649</c:v>
                </c:pt>
              </c:numCache>
            </c:numRef>
          </c:val>
          <c:smooth val="0"/>
          <c:extLst>
            <c:ext xmlns:c16="http://schemas.microsoft.com/office/drawing/2014/chart" uri="{C3380CC4-5D6E-409C-BE32-E72D297353CC}">
              <c16:uniqueId val="{00000003-D578-4B7D-931D-E6889A66C5E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Contracts per year</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0"/>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3" t="s">
        <v>20</v>
      </c>
      <c r="C16" s="6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x14ac:dyDescent="0.45">
      <c r="B29" s="9" t="s">
        <v>25</v>
      </c>
      <c r="C29" s="10" t="s">
        <v>26</v>
      </c>
    </row>
    <row r="30" spans="2:3"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43</v>
      </c>
      <c r="C58" s="10" t="s">
        <v>68</v>
      </c>
    </row>
    <row r="59" spans="2:3" x14ac:dyDescent="0.45">
      <c r="B59" s="9" t="s">
        <v>69</v>
      </c>
      <c r="C59" s="10" t="s">
        <v>70</v>
      </c>
    </row>
    <row r="60" spans="2:3" ht="12" customHeight="1" x14ac:dyDescent="0.45"/>
    <row r="61" spans="2:3" ht="22.05" customHeight="1" x14ac:dyDescent="0.5">
      <c r="B61" s="7" t="s">
        <v>71</v>
      </c>
      <c r="C61" s="8"/>
    </row>
    <row r="62" spans="2:3" x14ac:dyDescent="0.45">
      <c r="B62" s="20" t="s">
        <v>72</v>
      </c>
      <c r="C62" s="10" t="s">
        <v>73</v>
      </c>
    </row>
    <row r="63" spans="2:3" x14ac:dyDescent="0.45">
      <c r="B63" s="20" t="s">
        <v>74</v>
      </c>
      <c r="C63" s="10" t="s">
        <v>75</v>
      </c>
    </row>
    <row r="64" spans="2:3" x14ac:dyDescent="0.45">
      <c r="B64" s="20" t="s">
        <v>76</v>
      </c>
      <c r="C64" s="10" t="s">
        <v>77</v>
      </c>
    </row>
    <row r="65" spans="2:3" ht="26.25" x14ac:dyDescent="0.45">
      <c r="B65" s="20" t="s">
        <v>78</v>
      </c>
      <c r="C65" s="10" t="s">
        <v>79</v>
      </c>
    </row>
    <row r="66" spans="2:3" ht="12" customHeight="1" x14ac:dyDescent="0.45"/>
    <row r="67" spans="2:3" ht="22.05" customHeight="1" x14ac:dyDescent="0.5">
      <c r="B67" s="7" t="s">
        <v>80</v>
      </c>
      <c r="C67" s="8"/>
    </row>
    <row r="68" spans="2:3" x14ac:dyDescent="0.45">
      <c r="B68" s="9" t="s">
        <v>81</v>
      </c>
      <c r="C68" s="10" t="s">
        <v>82</v>
      </c>
    </row>
    <row r="69" spans="2:3" ht="16.05" customHeight="1" x14ac:dyDescent="0.45"/>
    <row r="70" spans="2:3" x14ac:dyDescent="0.45">
      <c r="B70" s="61" t="s">
        <v>83</v>
      </c>
      <c r="C70" s="62"/>
    </row>
  </sheetData>
  <mergeCells count="2">
    <mergeCell ref="B70:C70"/>
    <mergeCell ref="B16:C16"/>
  </mergeCells>
  <hyperlinks>
    <hyperlink ref="D4" location="'Inputs'!A1" display="Next:  Inputs  ▸" xr:uid="{00000000-0004-0000-0000-000000000000}"/>
    <hyperlink ref="B39" location="'Inputs'!A1" display="Inputs" xr:uid="{00000000-0004-0000-0000-000001000000}"/>
    <hyperlink ref="B40" location="'Pool'!A1" display="Pool" xr:uid="{00000000-0004-0000-0000-000002000000}"/>
    <hyperlink ref="B41" location="'Ceiling'!A1" display="Ceiling"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84</v>
      </c>
      <c r="C3" s="1"/>
      <c r="D3" s="1"/>
      <c r="E3" s="1"/>
      <c r="F3" s="1"/>
      <c r="G3" s="1"/>
      <c r="H3" s="1"/>
      <c r="I3" s="1"/>
      <c r="J3" s="1"/>
    </row>
    <row r="4" spans="1:10" ht="20" customHeight="1" x14ac:dyDescent="0.45">
      <c r="A4" s="5"/>
      <c r="B4" s="22" t="s">
        <v>85</v>
      </c>
      <c r="C4" s="5"/>
      <c r="D4" s="5"/>
      <c r="E4" s="5"/>
      <c r="F4" s="5"/>
      <c r="G4" s="5"/>
      <c r="H4" s="5"/>
      <c r="I4" s="5"/>
      <c r="J4" s="6" t="s">
        <v>86</v>
      </c>
    </row>
    <row r="5" spans="1:10" ht="8" customHeight="1" x14ac:dyDescent="0.45"/>
    <row r="6" spans="1:10" ht="30" customHeight="1" x14ac:dyDescent="0.45">
      <c r="B6" s="64" t="s">
        <v>87</v>
      </c>
      <c r="C6" s="62"/>
      <c r="D6" s="62"/>
      <c r="E6" s="62"/>
      <c r="F6" s="62"/>
      <c r="G6" s="62"/>
      <c r="H6" s="62"/>
      <c r="I6" s="62"/>
      <c r="J6" s="62"/>
    </row>
    <row r="7" spans="1:10" ht="6" customHeight="1" x14ac:dyDescent="0.45"/>
    <row r="8" spans="1:10" ht="22.05" customHeight="1" x14ac:dyDescent="0.5">
      <c r="B8" s="7" t="s">
        <v>88</v>
      </c>
      <c r="C8" s="8"/>
      <c r="D8" s="8"/>
      <c r="E8" s="8"/>
      <c r="F8" s="8"/>
      <c r="G8" s="8"/>
      <c r="H8" s="8"/>
      <c r="I8" s="8"/>
      <c r="J8" s="8"/>
    </row>
    <row r="9" spans="1:10" ht="18" customHeight="1" x14ac:dyDescent="0.45">
      <c r="B9" s="13" t="s">
        <v>89</v>
      </c>
    </row>
    <row r="10" spans="1:10" ht="18" customHeight="1" x14ac:dyDescent="0.45">
      <c r="B10" s="23" t="s">
        <v>90</v>
      </c>
      <c r="C10" s="23" t="s">
        <v>91</v>
      </c>
      <c r="D10" s="24" t="s">
        <v>92</v>
      </c>
      <c r="E10" s="23" t="s">
        <v>93</v>
      </c>
      <c r="F10" s="24" t="s">
        <v>94</v>
      </c>
      <c r="G10" s="24" t="s">
        <v>95</v>
      </c>
      <c r="H10" s="24" t="s">
        <v>96</v>
      </c>
      <c r="I10" s="24" t="s">
        <v>97</v>
      </c>
      <c r="J10" s="23" t="s">
        <v>98</v>
      </c>
    </row>
    <row r="11" spans="1:10" x14ac:dyDescent="0.45">
      <c r="B11" s="25" t="s">
        <v>99</v>
      </c>
      <c r="C11" s="26" t="s">
        <v>100</v>
      </c>
      <c r="D11" s="27" cm="1">
        <f t="array" aca="1" ref="D11" ca="1">_xll.VoseInput("Households that might buy, today","households")+ROUND(_xll.VosePERT(F11,G11,H11),0)</f>
        <v>50463</v>
      </c>
      <c r="E11" s="26" t="s">
        <v>101</v>
      </c>
      <c r="F11" s="28">
        <v>50000</v>
      </c>
      <c r="G11" s="28">
        <v>55000</v>
      </c>
      <c r="H11" s="28">
        <v>60000</v>
      </c>
      <c r="I11" s="29"/>
      <c r="J11" s="30" t="s">
        <v>102</v>
      </c>
    </row>
    <row r="12" spans="1:10" x14ac:dyDescent="0.45">
      <c r="B12" s="25" t="s">
        <v>103</v>
      </c>
      <c r="C12" s="26" t="s">
        <v>104</v>
      </c>
      <c r="D12" s="31">
        <v>0.1</v>
      </c>
      <c r="E12" s="26" t="s">
        <v>105</v>
      </c>
      <c r="F12" s="29"/>
      <c r="G12" s="29"/>
      <c r="H12" s="29"/>
      <c r="I12" s="29"/>
      <c r="J12" s="30" t="s">
        <v>106</v>
      </c>
    </row>
    <row r="13" spans="1:10" x14ac:dyDescent="0.45">
      <c r="B13" s="25" t="s">
        <v>107</v>
      </c>
      <c r="C13" s="26" t="s">
        <v>108</v>
      </c>
      <c r="D13" s="32" cm="1">
        <f t="array" aca="1" ref="D13" ca="1">_xll.VoseInput("Chance a potential buyer buys in a year","probability")+_xll.VosePERT(F13,G13,H13)</f>
        <v>0.24804978821874699</v>
      </c>
      <c r="E13" s="26" t="s">
        <v>109</v>
      </c>
      <c r="F13" s="31">
        <v>0.1</v>
      </c>
      <c r="G13" s="31">
        <v>0.2</v>
      </c>
      <c r="H13" s="31">
        <v>0.35</v>
      </c>
      <c r="I13" s="33" cm="1">
        <f t="array" ref="I13">IF(AND(F13&lt;=G13,G13&lt;=H13,F13&lt;H13,F13&gt;=0,H13&lt;=1),_xll.VoseMean(_xll.VosePERTObject(F13,G13,H13)),"✗ range")</f>
        <v>0.20833333333333334</v>
      </c>
      <c r="J13" s="30" t="s">
        <v>110</v>
      </c>
    </row>
    <row r="14" spans="1:10" ht="8" customHeight="1" x14ac:dyDescent="0.45"/>
    <row r="15" spans="1:10" ht="22.05" customHeight="1" x14ac:dyDescent="0.5">
      <c r="B15" s="7" t="s">
        <v>111</v>
      </c>
      <c r="C15" s="8"/>
      <c r="D15" s="8"/>
      <c r="E15" s="8"/>
      <c r="F15" s="8"/>
      <c r="G15" s="8"/>
      <c r="H15" s="8"/>
      <c r="I15" s="8"/>
      <c r="J15" s="8"/>
    </row>
    <row r="16" spans="1:10" ht="18" customHeight="1" x14ac:dyDescent="0.45">
      <c r="B16" s="13" t="s">
        <v>112</v>
      </c>
    </row>
    <row r="17" spans="2:10" ht="18" customHeight="1" x14ac:dyDescent="0.45">
      <c r="B17" s="23" t="s">
        <v>90</v>
      </c>
      <c r="C17" s="23" t="s">
        <v>91</v>
      </c>
      <c r="D17" s="24" t="s">
        <v>92</v>
      </c>
      <c r="E17" s="23" t="s">
        <v>93</v>
      </c>
      <c r="F17" s="24" t="s">
        <v>94</v>
      </c>
      <c r="G17" s="24" t="s">
        <v>95</v>
      </c>
      <c r="H17" s="24" t="s">
        <v>96</v>
      </c>
      <c r="I17" s="24" t="s">
        <v>97</v>
      </c>
      <c r="J17" s="23" t="s">
        <v>98</v>
      </c>
    </row>
    <row r="18" spans="2:10" x14ac:dyDescent="0.45">
      <c r="B18" s="25" t="s">
        <v>113</v>
      </c>
      <c r="C18" s="26" t="s">
        <v>114</v>
      </c>
      <c r="D18" s="27" cm="1">
        <f t="array" aca="1" ref="D18" ca="1">_xll.VoseInput("Ceiling on annual sales","contracts")+_xll.VosePERT(F18,G18,H18)</f>
        <v>2446.6900150703673</v>
      </c>
      <c r="E18" s="26" t="s">
        <v>109</v>
      </c>
      <c r="F18" s="28">
        <v>1800</v>
      </c>
      <c r="G18" s="28">
        <v>2300</v>
      </c>
      <c r="H18" s="28">
        <v>3600</v>
      </c>
      <c r="I18" s="34" cm="1">
        <f t="array" ref="I18">IF(AND(F18&lt;=G18,G18&lt;=H18,F18&lt;H18),_xll.VoseMean(_xll.VosePERTObject(F18,G18,H18)),"✗ range")</f>
        <v>2433.3333333333335</v>
      </c>
      <c r="J18" s="30"/>
    </row>
    <row r="19" spans="2:10" x14ac:dyDescent="0.45">
      <c r="B19" s="25" t="s">
        <v>115</v>
      </c>
      <c r="C19" s="26" t="s">
        <v>116</v>
      </c>
      <c r="D19" s="35" cm="1">
        <f t="array" aca="1" ref="D19" ca="1">_xll.VoseInput("Years to reach half of the ceiling","years")+_xll.VosePERT(F19,G19,H19)</f>
        <v>4.4568246950842383</v>
      </c>
      <c r="E19" s="26" t="s">
        <v>109</v>
      </c>
      <c r="F19" s="36">
        <v>3.5</v>
      </c>
      <c r="G19" s="36">
        <v>4</v>
      </c>
      <c r="H19" s="36">
        <v>5</v>
      </c>
      <c r="I19" s="37" cm="1">
        <f t="array" ref="I19">IF(AND(F19&lt;=G19,G19&lt;=H19,F19&lt;H19),_xll.VoseMean(_xll.VosePERTObject(F19,G19,H19)),"✗ range")</f>
        <v>4.083333333333333</v>
      </c>
      <c r="J19" s="30"/>
    </row>
    <row r="20" spans="2:10" ht="8" customHeight="1" x14ac:dyDescent="0.45"/>
  </sheetData>
  <mergeCells count="1">
    <mergeCell ref="B6:J6"/>
  </mergeCells>
  <conditionalFormatting sqref="I13">
    <cfRule type="expression" dxfId="6" priority="1">
      <formula>LEFT($I13,1)="✗"</formula>
    </cfRule>
  </conditionalFormatting>
  <conditionalFormatting sqref="I18:I19">
    <cfRule type="expression" dxfId="5" priority="2">
      <formula>LEFT($I18,1)="✗"</formula>
    </cfRule>
  </conditionalFormatting>
  <dataValidations count="3">
    <dataValidation type="decimal" showErrorMessage="1" errorTitle="Probability" error="Enter a value between 0% and 100%." sqref="D12" xr:uid="{00000000-0002-0000-0100-000000000000}">
      <formula1>0</formula1>
      <formula2>1</formula2>
    </dataValidation>
    <dataValidation type="custom" showErrorMessage="1" errorTitle="PERT range" error="Low must be below High, with Most likely between them, all between 0% and 100%." sqref="F13:H13" xr:uid="{00000000-0002-0000-0100-000001000000}">
      <formula1>AND($F13&lt;=$G13,$G13&lt;=$H13,$F13&lt;$H13,$F13&gt;=0,$H13&lt;=1)</formula1>
    </dataValidation>
    <dataValidation type="custom" showErrorMessage="1" errorTitle="PERT range" error="Low must be below High, with Most likely between them." sqref="F18:H19" xr:uid="{00000000-0002-0000-0100-000002000000}">
      <formula1>AND($F18&lt;=$G18,$G18&lt;=$H18,$F18&lt;$H18)</formula1>
    </dataValidation>
  </dataValidations>
  <hyperlinks>
    <hyperlink ref="B4" location="'About'!A1" display="◂  About" xr:uid="{00000000-0004-0000-0100-000000000000}"/>
    <hyperlink ref="J4" location="'Pool'!A1" display="Next:  Pool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H27"/>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6" width="14" customWidth="1"/>
    <col min="7" max="7" width="2" customWidth="1"/>
    <col min="8" max="8" width="66"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117</v>
      </c>
      <c r="C3" s="1"/>
      <c r="D3" s="1"/>
      <c r="E3" s="1"/>
      <c r="F3" s="1"/>
      <c r="G3" s="1"/>
      <c r="H3" s="1"/>
    </row>
    <row r="4" spans="1:8" ht="20" customHeight="1" x14ac:dyDescent="0.45">
      <c r="A4" s="5"/>
      <c r="B4" s="22" t="s">
        <v>118</v>
      </c>
      <c r="C4" s="5"/>
      <c r="D4" s="5"/>
      <c r="E4" s="5"/>
      <c r="F4" s="5"/>
      <c r="G4" s="5"/>
      <c r="H4" s="6" t="s">
        <v>119</v>
      </c>
    </row>
    <row r="5" spans="1:8" ht="8" customHeight="1" x14ac:dyDescent="0.45"/>
    <row r="6" spans="1:8" ht="22.05" customHeight="1" x14ac:dyDescent="0.5">
      <c r="B6" s="7" t="s">
        <v>120</v>
      </c>
      <c r="C6" s="8"/>
      <c r="D6" s="8"/>
      <c r="E6" s="8"/>
      <c r="F6" s="8"/>
      <c r="G6" s="8"/>
      <c r="H6" s="8"/>
    </row>
    <row r="7" spans="1:8" ht="18" customHeight="1" x14ac:dyDescent="0.45">
      <c r="B7" s="13" t="s">
        <v>121</v>
      </c>
    </row>
    <row r="8" spans="1:8" ht="32" customHeight="1" x14ac:dyDescent="0.45">
      <c r="B8" s="38" t="s">
        <v>122</v>
      </c>
      <c r="C8" s="39" t="s">
        <v>123</v>
      </c>
      <c r="D8" s="39" t="s">
        <v>124</v>
      </c>
      <c r="E8" s="39" t="s">
        <v>125</v>
      </c>
      <c r="F8" s="39" t="s">
        <v>126</v>
      </c>
      <c r="G8" s="40"/>
      <c r="H8" s="38" t="s">
        <v>127</v>
      </c>
    </row>
    <row r="9" spans="1:8" x14ac:dyDescent="0.45">
      <c r="B9" s="41"/>
      <c r="C9" s="41" t="s">
        <v>100</v>
      </c>
      <c r="D9" s="41" t="s">
        <v>100</v>
      </c>
      <c r="E9" s="41" t="s">
        <v>100</v>
      </c>
      <c r="F9" s="41" t="s">
        <v>100</v>
      </c>
      <c r="G9" s="41"/>
      <c r="H9" s="41"/>
    </row>
    <row r="10" spans="1:8" x14ac:dyDescent="0.45">
      <c r="B10" s="42">
        <v>1</v>
      </c>
      <c r="C10" s="34">
        <f ca="1">PoolSize</f>
        <v>50463</v>
      </c>
      <c r="D10" s="43" cm="1">
        <f t="array" aca="1" ref="D10" ca="1">_xll.VoseOutput("Year 1","households","Alarm systems sold",1)+_xll.VoseBinomial(C10,PBuy)</f>
        <v>12438</v>
      </c>
      <c r="E10" s="34">
        <f t="shared" ref="E10:E19" ca="1" si="0">ROUND(PoolSize*Refill,0)</f>
        <v>5046</v>
      </c>
      <c r="F10" s="34">
        <f t="shared" ref="F10:F19" ca="1" si="1">C10-D10+E10</f>
        <v>43071</v>
      </c>
      <c r="G10" s="29"/>
      <c r="H10" s="26" t="s">
        <v>128</v>
      </c>
    </row>
    <row r="11" spans="1:8" x14ac:dyDescent="0.45">
      <c r="B11" s="42">
        <v>2</v>
      </c>
      <c r="C11" s="34">
        <f t="shared" ref="C11:C19" ca="1" si="2">F10</f>
        <v>43071</v>
      </c>
      <c r="D11" s="43" cm="1">
        <f t="array" aca="1" ref="D11" ca="1">_xll.VoseOutput("Year 2","households","Alarm systems sold",2)+_xll.VoseBinomial(C11,PBuy)</f>
        <v>10654</v>
      </c>
      <c r="E11" s="34">
        <f t="shared" ca="1" si="0"/>
        <v>5046</v>
      </c>
      <c r="F11" s="34">
        <f t="shared" ca="1" si="1"/>
        <v>37463</v>
      </c>
      <c r="G11" s="29"/>
      <c r="H11" s="26" t="s">
        <v>129</v>
      </c>
    </row>
    <row r="12" spans="1:8" x14ac:dyDescent="0.45">
      <c r="B12" s="42">
        <v>3</v>
      </c>
      <c r="C12" s="34">
        <f t="shared" ca="1" si="2"/>
        <v>37463</v>
      </c>
      <c r="D12" s="43" cm="1">
        <f t="array" aca="1" ref="D12" ca="1">_xll.VoseOutput("Year 3","households","Alarm systems sold",3)+_xll.VoseBinomial(C12,PBuy)</f>
        <v>9357</v>
      </c>
      <c r="E12" s="34">
        <f t="shared" ca="1" si="0"/>
        <v>5046</v>
      </c>
      <c r="F12" s="34">
        <f t="shared" ca="1" si="1"/>
        <v>33152</v>
      </c>
      <c r="G12" s="29"/>
      <c r="H12" s="26" t="s">
        <v>130</v>
      </c>
    </row>
    <row r="13" spans="1:8" x14ac:dyDescent="0.45">
      <c r="B13" s="42">
        <v>4</v>
      </c>
      <c r="C13" s="34">
        <f t="shared" ca="1" si="2"/>
        <v>33152</v>
      </c>
      <c r="D13" s="43" cm="1">
        <f t="array" aca="1" ref="D13" ca="1">_xll.VoseOutput("Year 4","households","Alarm systems sold",4)+_xll.VoseBinomial(C13,PBuy)</f>
        <v>8315</v>
      </c>
      <c r="E13" s="34">
        <f t="shared" ca="1" si="0"/>
        <v>5046</v>
      </c>
      <c r="F13" s="34">
        <f t="shared" ca="1" si="1"/>
        <v>29883</v>
      </c>
      <c r="G13" s="29"/>
      <c r="H13" s="26" t="s">
        <v>131</v>
      </c>
    </row>
    <row r="14" spans="1:8" x14ac:dyDescent="0.45">
      <c r="B14" s="42">
        <v>5</v>
      </c>
      <c r="C14" s="34">
        <f t="shared" ca="1" si="2"/>
        <v>29883</v>
      </c>
      <c r="D14" s="43" cm="1">
        <f t="array" aca="1" ref="D14" ca="1">_xll.VoseOutput("Year 5","households","Alarm systems sold",5)+_xll.VoseBinomial(C14,PBuy)</f>
        <v>7339</v>
      </c>
      <c r="E14" s="34">
        <f t="shared" ca="1" si="0"/>
        <v>5046</v>
      </c>
      <c r="F14" s="34">
        <f t="shared" ca="1" si="1"/>
        <v>27590</v>
      </c>
      <c r="G14" s="29"/>
      <c r="H14" s="29"/>
    </row>
    <row r="15" spans="1:8" x14ac:dyDescent="0.45">
      <c r="B15" s="42">
        <v>6</v>
      </c>
      <c r="C15" s="34">
        <f t="shared" ca="1" si="2"/>
        <v>27590</v>
      </c>
      <c r="D15" s="43" cm="1">
        <f t="array" aca="1" ref="D15" ca="1">_xll.VoseOutput("Year 6","households","Alarm systems sold",6)+_xll.VoseBinomial(C15,PBuy)</f>
        <v>6928</v>
      </c>
      <c r="E15" s="34">
        <f t="shared" ca="1" si="0"/>
        <v>5046</v>
      </c>
      <c r="F15" s="34">
        <f t="shared" ca="1" si="1"/>
        <v>25708</v>
      </c>
      <c r="G15" s="29"/>
      <c r="H15" s="29"/>
    </row>
    <row r="16" spans="1:8" x14ac:dyDescent="0.45">
      <c r="B16" s="42">
        <v>7</v>
      </c>
      <c r="C16" s="34">
        <f t="shared" ca="1" si="2"/>
        <v>25708</v>
      </c>
      <c r="D16" s="43" cm="1">
        <f t="array" aca="1" ref="D16" ca="1">_xll.VoseOutput("Year 7","households","Alarm systems sold",7)+_xll.VoseBinomial(C16,PBuy)</f>
        <v>6364</v>
      </c>
      <c r="E16" s="34">
        <f t="shared" ca="1" si="0"/>
        <v>5046</v>
      </c>
      <c r="F16" s="34">
        <f t="shared" ca="1" si="1"/>
        <v>24390</v>
      </c>
      <c r="G16" s="29"/>
      <c r="H16" s="29"/>
    </row>
    <row r="17" spans="2:8" x14ac:dyDescent="0.45">
      <c r="B17" s="42">
        <v>8</v>
      </c>
      <c r="C17" s="34">
        <f t="shared" ca="1" si="2"/>
        <v>24390</v>
      </c>
      <c r="D17" s="43" cm="1">
        <f t="array" aca="1" ref="D17" ca="1">_xll.VoseOutput("Year 8","households","Alarm systems sold",8)+_xll.VoseBinomial(C17,PBuy)</f>
        <v>5984</v>
      </c>
      <c r="E17" s="34">
        <f t="shared" ca="1" si="0"/>
        <v>5046</v>
      </c>
      <c r="F17" s="34">
        <f t="shared" ca="1" si="1"/>
        <v>23452</v>
      </c>
      <c r="G17" s="29"/>
      <c r="H17" s="29"/>
    </row>
    <row r="18" spans="2:8" x14ac:dyDescent="0.45">
      <c r="B18" s="42">
        <v>9</v>
      </c>
      <c r="C18" s="34">
        <f t="shared" ca="1" si="2"/>
        <v>23452</v>
      </c>
      <c r="D18" s="43" cm="1">
        <f t="array" aca="1" ref="D18" ca="1">_xll.VoseOutput("Year 9","households","Alarm systems sold",9)+_xll.VoseBinomial(C18,PBuy)</f>
        <v>5799</v>
      </c>
      <c r="E18" s="34">
        <f t="shared" ca="1" si="0"/>
        <v>5046</v>
      </c>
      <c r="F18" s="34">
        <f t="shared" ca="1" si="1"/>
        <v>22699</v>
      </c>
      <c r="G18" s="29"/>
      <c r="H18" s="29"/>
    </row>
    <row r="19" spans="2:8" x14ac:dyDescent="0.45">
      <c r="B19" s="42">
        <v>10</v>
      </c>
      <c r="C19" s="34">
        <f t="shared" ca="1" si="2"/>
        <v>22699</v>
      </c>
      <c r="D19" s="43" cm="1">
        <f t="array" aca="1" ref="D19" ca="1">_xll.VoseOutput("Year 10","households","Alarm systems sold",10)+_xll.VoseBinomial(C19,PBuy)</f>
        <v>5663</v>
      </c>
      <c r="E19" s="34">
        <f t="shared" ca="1" si="0"/>
        <v>5046</v>
      </c>
      <c r="F19" s="34">
        <f t="shared" ca="1" si="1"/>
        <v>22082</v>
      </c>
      <c r="G19" s="29"/>
      <c r="H19" s="29"/>
    </row>
    <row r="20" spans="2:8" x14ac:dyDescent="0.45">
      <c r="B20" s="44" t="s">
        <v>132</v>
      </c>
      <c r="C20" s="45"/>
      <c r="D20" s="46">
        <f ca="1">SUM(D10:D19)</f>
        <v>78841</v>
      </c>
      <c r="E20" s="45"/>
      <c r="F20" s="45"/>
      <c r="G20" s="45"/>
      <c r="H20" s="45"/>
    </row>
    <row r="21" spans="2:8" ht="8" customHeight="1" x14ac:dyDescent="0.45"/>
    <row r="22" spans="2:8" ht="22.05" customHeight="1" x14ac:dyDescent="0.5">
      <c r="B22" s="7" t="s">
        <v>133</v>
      </c>
      <c r="C22" s="8"/>
      <c r="D22" s="8"/>
      <c r="E22" s="8"/>
      <c r="F22" s="8"/>
      <c r="G22" s="8"/>
      <c r="H22" s="8"/>
    </row>
    <row r="23" spans="2:8" ht="18" customHeight="1" x14ac:dyDescent="0.45">
      <c r="B23" s="13" t="s">
        <v>134</v>
      </c>
    </row>
    <row r="24" spans="2:8" ht="18" customHeight="1" x14ac:dyDescent="0.45">
      <c r="B24" s="47" t="s">
        <v>135</v>
      </c>
      <c r="C24" s="5"/>
      <c r="D24" s="5"/>
      <c r="E24" s="47" t="s">
        <v>91</v>
      </c>
      <c r="F24" s="48" t="s">
        <v>136</v>
      </c>
      <c r="G24" s="5"/>
      <c r="H24" s="47" t="s">
        <v>137</v>
      </c>
    </row>
    <row r="25" spans="2:8" x14ac:dyDescent="0.45">
      <c r="B25" s="25" t="s">
        <v>138</v>
      </c>
      <c r="C25" s="29"/>
      <c r="D25" s="29"/>
      <c r="E25" s="26" t="s">
        <v>100</v>
      </c>
      <c r="F25" s="43" cm="1">
        <f t="array" aca="1" ref="F25" ca="1">_xll.VoseOutput("Alarm systems, ten years","households")+D20</f>
        <v>78841</v>
      </c>
      <c r="G25" s="29"/>
      <c r="H25" s="26"/>
    </row>
    <row r="26" spans="2:8" x14ac:dyDescent="0.45">
      <c r="B26" s="25" t="s">
        <v>139</v>
      </c>
      <c r="C26" s="29"/>
      <c r="D26" s="29"/>
      <c r="E26" s="26" t="s">
        <v>100</v>
      </c>
      <c r="F26" s="34">
        <f ca="1">ROUND(PoolSize*Refill,0)</f>
        <v>5046</v>
      </c>
      <c r="G26" s="29"/>
      <c r="H26" s="26" t="s">
        <v>140</v>
      </c>
    </row>
    <row r="27" spans="2:8" ht="8" customHeight="1" x14ac:dyDescent="0.45"/>
  </sheetData>
  <hyperlinks>
    <hyperlink ref="B4" location="'Inputs'!A1" display="◂  Inputs" xr:uid="{00000000-0004-0000-0200-000000000000}"/>
    <hyperlink ref="H4" location="'Ceiling'!A1" display="Next:  Ceiling  ▸" xr:uid="{00000000-0004-0000-0200-000001000000}"/>
  </hyperlinks>
  <printOptions horizontalCentered="1"/>
  <pageMargins left="0.4" right="0.4" top="0.5" bottom="0.6" header="0.25" footer="0.25"/>
  <pageSetup paperSize="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F3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4" width="16" customWidth="1"/>
    <col min="5" max="5" width="2" customWidth="1"/>
    <col min="6" max="6" width="7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141</v>
      </c>
      <c r="C3" s="1"/>
      <c r="D3" s="1"/>
      <c r="E3" s="1"/>
      <c r="F3" s="1"/>
    </row>
    <row r="4" spans="1:6" ht="20" customHeight="1" x14ac:dyDescent="0.45">
      <c r="A4" s="5"/>
      <c r="B4" s="22" t="s">
        <v>142</v>
      </c>
      <c r="C4" s="5"/>
      <c r="D4" s="5"/>
      <c r="E4" s="5"/>
      <c r="F4" s="6" t="s">
        <v>143</v>
      </c>
    </row>
    <row r="5" spans="1:6" ht="8" customHeight="1" x14ac:dyDescent="0.45"/>
    <row r="6" spans="1:6" ht="22.05" customHeight="1" x14ac:dyDescent="0.5">
      <c r="B6" s="7" t="s">
        <v>120</v>
      </c>
      <c r="C6" s="8"/>
      <c r="D6" s="8"/>
      <c r="E6" s="8"/>
      <c r="F6" s="8"/>
    </row>
    <row r="7" spans="1:6" ht="18" customHeight="1" x14ac:dyDescent="0.45">
      <c r="B7" s="13" t="s">
        <v>144</v>
      </c>
    </row>
    <row r="8" spans="1:6" ht="18" customHeight="1" x14ac:dyDescent="0.45">
      <c r="B8" s="49" t="s">
        <v>122</v>
      </c>
      <c r="C8" s="50" t="s">
        <v>145</v>
      </c>
      <c r="D8" s="50" t="s">
        <v>146</v>
      </c>
      <c r="E8" s="40"/>
      <c r="F8" s="49" t="s">
        <v>127</v>
      </c>
    </row>
    <row r="9" spans="1:6" x14ac:dyDescent="0.45">
      <c r="B9" s="41"/>
      <c r="C9" s="41" t="s">
        <v>147</v>
      </c>
      <c r="D9" s="41" t="s">
        <v>114</v>
      </c>
      <c r="E9" s="41"/>
      <c r="F9" s="41"/>
    </row>
    <row r="10" spans="1:6" x14ac:dyDescent="0.45">
      <c r="B10" s="42">
        <v>1</v>
      </c>
      <c r="C10" s="33">
        <f t="shared" ref="C10:C19" ca="1" si="0">1-0.5^(B10/HalfLife)</f>
        <v>0.14403423026552553</v>
      </c>
      <c r="D10" s="43" cm="1">
        <f t="array" aca="1" ref="D10" ca="1">_xll.VoseOutput("Year 1","contracts","Monitoring contracts sold",1)+ROUND(C10*SalesCeiling,0)</f>
        <v>352</v>
      </c>
      <c r="E10" s="29"/>
      <c r="F10" s="26" t="s">
        <v>148</v>
      </c>
    </row>
    <row r="11" spans="1:6" x14ac:dyDescent="0.45">
      <c r="B11" s="42">
        <v>2</v>
      </c>
      <c r="C11" s="33">
        <f t="shared" ca="1" si="0"/>
        <v>0.26732260104286865</v>
      </c>
      <c r="D11" s="43" cm="1">
        <f t="array" aca="1" ref="D11" ca="1">_xll.VoseOutput("Year 2","contracts","Monitoring contracts sold",2)+ROUND(C11*SalesCeiling,0)</f>
        <v>654</v>
      </c>
      <c r="E11" s="29"/>
      <c r="F11" s="26" t="s">
        <v>149</v>
      </c>
    </row>
    <row r="12" spans="1:6" x14ac:dyDescent="0.45">
      <c r="B12" s="42">
        <v>3</v>
      </c>
      <c r="C12" s="33">
        <f t="shared" ca="1" si="0"/>
        <v>0.37285322623460648</v>
      </c>
      <c r="D12" s="43" cm="1">
        <f t="array" aca="1" ref="D12" ca="1">_xll.VoseOutput("Year 3","contracts","Monitoring contracts sold",3)+ROUND(C12*SalesCeiling,0)</f>
        <v>912</v>
      </c>
      <c r="E12" s="29"/>
      <c r="F12" s="29"/>
    </row>
    <row r="13" spans="1:6" x14ac:dyDescent="0.45">
      <c r="B13" s="42">
        <v>4</v>
      </c>
      <c r="C13" s="33">
        <f t="shared" ca="1" si="0"/>
        <v>0.46318382905741262</v>
      </c>
      <c r="D13" s="43" cm="1">
        <f t="array" aca="1" ref="D13" ca="1">_xll.VoseOutput("Year 4","contracts","Monitoring contracts sold",4)+ROUND(C13*SalesCeiling,0)</f>
        <v>1133</v>
      </c>
      <c r="E13" s="29"/>
      <c r="F13" s="29"/>
    </row>
    <row r="14" spans="1:6" x14ac:dyDescent="0.45">
      <c r="B14" s="42">
        <v>5</v>
      </c>
      <c r="C14" s="33">
        <f t="shared" ca="1" si="0"/>
        <v>0.54050373303321497</v>
      </c>
      <c r="D14" s="43" cm="1">
        <f t="array" aca="1" ref="D14" ca="1">_xll.VoseOutput("Year 5","contracts","Monitoring contracts sold",5)+ROUND(C14*SalesCeiling,0)</f>
        <v>1322</v>
      </c>
      <c r="E14" s="29"/>
      <c r="F14" s="29"/>
    </row>
    <row r="15" spans="1:6" x14ac:dyDescent="0.45">
      <c r="B15" s="42">
        <v>6</v>
      </c>
      <c r="C15" s="33">
        <f t="shared" ca="1" si="0"/>
        <v>0.60668692415565828</v>
      </c>
      <c r="D15" s="43" cm="1">
        <f t="array" aca="1" ref="D15" ca="1">_xll.VoseOutput("Year 6","contracts","Monitoring contracts sold",6)+ROUND(C15*SalesCeiling,0)</f>
        <v>1484</v>
      </c>
      <c r="E15" s="29"/>
      <c r="F15" s="29"/>
    </row>
    <row r="16" spans="1:6" x14ac:dyDescent="0.45">
      <c r="B16" s="42">
        <v>7</v>
      </c>
      <c r="C16" s="33">
        <f t="shared" ca="1" si="0"/>
        <v>0.6633374702882644</v>
      </c>
      <c r="D16" s="43" cm="1">
        <f t="array" aca="1" ref="D16" ca="1">_xll.VoseOutput("Year 7","contracts","Monitoring contracts sold",7)+ROUND(C16*SalesCeiling,0)</f>
        <v>1623</v>
      </c>
      <c r="E16" s="29"/>
      <c r="F16" s="29"/>
    </row>
    <row r="17" spans="2:6" x14ac:dyDescent="0.45">
      <c r="B17" s="42">
        <v>8</v>
      </c>
      <c r="C17" s="33">
        <f t="shared" ca="1" si="0"/>
        <v>0.71182839861453884</v>
      </c>
      <c r="D17" s="43" cm="1">
        <f t="array" aca="1" ref="D17" ca="1">_xll.VoseOutput("Year 8","contracts","Monitoring contracts sold",8)+ROUND(C17*SalesCeiling,0)</f>
        <v>1742</v>
      </c>
      <c r="E17" s="29"/>
      <c r="F17" s="29"/>
    </row>
    <row r="18" spans="2:6" x14ac:dyDescent="0.45">
      <c r="B18" s="42">
        <v>9</v>
      </c>
      <c r="C18" s="33">
        <f t="shared" ca="1" si="0"/>
        <v>0.75333497340447764</v>
      </c>
      <c r="D18" s="43" cm="1">
        <f t="array" aca="1" ref="D18" ca="1">_xll.VoseOutput("Year 9","contracts","Monitoring contracts sold",9)+ROUND(C18*SalesCeiling,0)</f>
        <v>1843</v>
      </c>
      <c r="E18" s="29"/>
      <c r="F18" s="29"/>
    </row>
    <row r="19" spans="2:6" x14ac:dyDescent="0.45">
      <c r="B19" s="42">
        <v>10</v>
      </c>
      <c r="C19" s="33">
        <f t="shared" ca="1" si="0"/>
        <v>0.78886318064358907</v>
      </c>
      <c r="D19" s="43" cm="1">
        <f t="array" aca="1" ref="D19" ca="1">_xll.VoseOutput("Year 10","contracts","Monitoring contracts sold",10)+ROUND(C19*SalesCeiling,0)</f>
        <v>1930</v>
      </c>
      <c r="E19" s="29"/>
      <c r="F19" s="29"/>
    </row>
    <row r="20" spans="2:6" x14ac:dyDescent="0.45">
      <c r="B20" s="44" t="s">
        <v>132</v>
      </c>
      <c r="C20" s="45"/>
      <c r="D20" s="46">
        <f ca="1">SUM(D10:D19)</f>
        <v>12995</v>
      </c>
      <c r="E20" s="45"/>
      <c r="F20" s="45"/>
    </row>
    <row r="21" spans="2:6" ht="8" customHeight="1" x14ac:dyDescent="0.45"/>
    <row r="22" spans="2:6" ht="22.05" customHeight="1" x14ac:dyDescent="0.5">
      <c r="B22" s="7" t="s">
        <v>133</v>
      </c>
      <c r="C22" s="8"/>
      <c r="D22" s="8"/>
      <c r="E22" s="8"/>
      <c r="F22" s="8"/>
    </row>
    <row r="23" spans="2:6" ht="18" customHeight="1" x14ac:dyDescent="0.45">
      <c r="B23" s="13" t="s">
        <v>134</v>
      </c>
    </row>
    <row r="24" spans="2:6" ht="18" customHeight="1" x14ac:dyDescent="0.45">
      <c r="B24" s="47" t="s">
        <v>135</v>
      </c>
      <c r="C24" s="47" t="s">
        <v>91</v>
      </c>
      <c r="D24" s="48" t="s">
        <v>136</v>
      </c>
      <c r="E24" s="5"/>
      <c r="F24" s="47" t="s">
        <v>137</v>
      </c>
    </row>
    <row r="25" spans="2:6" x14ac:dyDescent="0.45">
      <c r="B25" s="25" t="s">
        <v>150</v>
      </c>
      <c r="C25" s="26" t="s">
        <v>114</v>
      </c>
      <c r="D25" s="43" cm="1">
        <f t="array" aca="1" ref="D25" ca="1">_xll.VoseOutput("Monitoring contracts, ten years","contracts")+D20</f>
        <v>12995</v>
      </c>
      <c r="E25" s="29"/>
      <c r="F25" s="26"/>
    </row>
    <row r="26" spans="2:6" x14ac:dyDescent="0.45">
      <c r="B26" s="25" t="s">
        <v>151</v>
      </c>
      <c r="C26" s="26" t="s">
        <v>116</v>
      </c>
      <c r="D26" s="51" cm="1">
        <f t="array" aca="1" ref="D26" ca="1">_xll.VoseOutput("Years to 90% of the ceiling","years")+HalfLife*LOG(10,2)</f>
        <v>14.805251168588134</v>
      </c>
      <c r="E26" s="29"/>
      <c r="F26" s="26" t="s">
        <v>152</v>
      </c>
    </row>
    <row r="27" spans="2:6" ht="8" customHeight="1" x14ac:dyDescent="0.45"/>
    <row r="28" spans="2:6" ht="22.05" customHeight="1" x14ac:dyDescent="0.5">
      <c r="B28" s="7" t="s">
        <v>153</v>
      </c>
      <c r="C28" s="8"/>
      <c r="D28" s="8"/>
      <c r="E28" s="8"/>
      <c r="F28" s="8"/>
    </row>
    <row r="29" spans="2:6" ht="18" customHeight="1" x14ac:dyDescent="0.45">
      <c r="B29" s="13" t="s">
        <v>154</v>
      </c>
    </row>
    <row r="30" spans="2:6" x14ac:dyDescent="0.45">
      <c r="B30" s="25" t="s">
        <v>155</v>
      </c>
      <c r="C30" s="29"/>
      <c r="D30" s="52" t="str">
        <f ca="1">IF(AND(PBuy&gt;=0,PBuy&lt;=1,Refill&gt;=0,Refill&lt;=1),"OK","CHECK")</f>
        <v>OK</v>
      </c>
      <c r="E30" s="29"/>
      <c r="F30" s="29"/>
    </row>
    <row r="31" spans="2:6" x14ac:dyDescent="0.45">
      <c r="B31" s="25" t="s">
        <v>156</v>
      </c>
      <c r="C31" s="29"/>
      <c r="D31" s="52" t="str">
        <f ca="1">IF(HalfLife&gt;0,"OK","CHECK")</f>
        <v>OK</v>
      </c>
      <c r="E31" s="29"/>
      <c r="F31" s="29"/>
    </row>
    <row r="32" spans="2:6" ht="14" customHeight="1" x14ac:dyDescent="0.45"/>
  </sheetData>
  <conditionalFormatting sqref="D30:D31">
    <cfRule type="expression" dxfId="4" priority="1">
      <formula>D30="CHECK"</formula>
    </cfRule>
  </conditionalFormatting>
  <hyperlinks>
    <hyperlink ref="B4" location="'Pool'!A1" display="◂  Pool" xr:uid="{00000000-0004-0000-0300-000000000000}"/>
    <hyperlink ref="F4" location="'Results'!A1" display="Next:  Results  ▸" xr:uid="{00000000-0004-0000-0300-000001000000}"/>
  </hyperlinks>
  <printOptions horizontalCentered="1"/>
  <pageMargins left="0.4" right="0.4" top="0.5" bottom="0.6" header="0.25" footer="0.25"/>
  <pageSetup paperSize="9"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7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157</v>
      </c>
      <c r="C3" s="1"/>
      <c r="D3" s="1"/>
      <c r="E3" s="1"/>
      <c r="F3" s="1"/>
      <c r="G3" s="1"/>
      <c r="H3" s="1"/>
      <c r="I3" s="1"/>
      <c r="J3" s="1"/>
      <c r="K3" s="1"/>
      <c r="L3" s="1"/>
      <c r="M3" s="1"/>
      <c r="N3" s="1"/>
      <c r="O3" s="1"/>
      <c r="P3" s="1"/>
      <c r="Q3" s="1"/>
      <c r="R3" s="1"/>
    </row>
    <row r="4" spans="1:18" ht="20" customHeight="1" x14ac:dyDescent="0.45">
      <c r="A4" s="5"/>
      <c r="B4" s="22" t="s">
        <v>158</v>
      </c>
      <c r="C4" s="5"/>
      <c r="D4" s="5"/>
      <c r="E4" s="5"/>
      <c r="F4" s="5"/>
      <c r="G4" s="5"/>
      <c r="H4" s="5"/>
      <c r="I4" s="5"/>
      <c r="J4" s="5"/>
      <c r="K4" s="5"/>
      <c r="L4" s="5"/>
      <c r="M4" s="5"/>
      <c r="N4" s="5"/>
      <c r="O4" s="5"/>
      <c r="P4" s="5"/>
      <c r="Q4" s="5"/>
      <c r="R4" s="5"/>
    </row>
    <row r="5" spans="1:18" ht="8" customHeight="1" x14ac:dyDescent="0.45"/>
    <row r="6" spans="1:18" ht="26" customHeight="1" x14ac:dyDescent="0.45">
      <c r="B6" s="53" t="str" cm="1">
        <f t="array" aca="1" ref="B6" ca="1">IF(ISNUMBER(_xll.VoseSimMean(TotalA)),"✔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4"/>
      <c r="D6" s="54"/>
      <c r="E6" s="54"/>
      <c r="F6" s="54"/>
      <c r="G6" s="54"/>
    </row>
    <row r="7" spans="1:18" x14ac:dyDescent="0.45">
      <c r="B7" s="55"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159</v>
      </c>
      <c r="C9" s="8"/>
      <c r="D9" s="8"/>
      <c r="E9" s="8"/>
      <c r="F9" s="8"/>
      <c r="G9" s="8"/>
      <c r="I9" s="56" t="s">
        <v>160</v>
      </c>
      <c r="J9" s="8"/>
      <c r="K9" s="8"/>
      <c r="L9" s="8"/>
      <c r="M9" s="8"/>
      <c r="N9" s="8"/>
      <c r="O9" s="8"/>
      <c r="P9" s="8"/>
      <c r="Q9" s="8"/>
      <c r="R9" s="8"/>
    </row>
    <row r="10" spans="1:18" ht="18" customHeight="1" x14ac:dyDescent="0.45">
      <c r="B10" s="13" t="s">
        <v>161</v>
      </c>
    </row>
    <row r="11" spans="1:18" ht="18" customHeight="1" x14ac:dyDescent="0.45">
      <c r="B11" s="23" t="s">
        <v>162</v>
      </c>
      <c r="C11" s="23" t="s">
        <v>91</v>
      </c>
      <c r="D11" s="24" t="s">
        <v>163</v>
      </c>
      <c r="E11" s="24" t="s">
        <v>164</v>
      </c>
      <c r="F11" s="24" t="s">
        <v>165</v>
      </c>
      <c r="G11" s="24" t="s">
        <v>97</v>
      </c>
    </row>
    <row r="12" spans="1:18" x14ac:dyDescent="0.45">
      <c r="B12" s="25" t="s">
        <v>166</v>
      </c>
      <c r="C12" s="26" t="s">
        <v>100</v>
      </c>
      <c r="D12" s="57" cm="1">
        <f t="array" aca="1" ref="D12" ca="1">_xll.VoseSimPercentile(A_1,0.1)</f>
        <v>8119</v>
      </c>
      <c r="E12" s="57" cm="1">
        <f t="array" aca="1" ref="E12" ca="1">_xll.VoseSimPercentile(A_1,0.5)</f>
        <v>11401</v>
      </c>
      <c r="F12" s="57" cm="1">
        <f t="array" aca="1" ref="F12" ca="1">_xll.VoseSimPercentile(A_1,0.9)</f>
        <v>15021</v>
      </c>
      <c r="G12" s="57" cm="1">
        <f t="array" aca="1" ref="G12" ca="1">_xll.VoseSimMean(A_1)</f>
        <v>11506.8878</v>
      </c>
    </row>
    <row r="13" spans="1:18" x14ac:dyDescent="0.45">
      <c r="B13" s="25" t="s">
        <v>167</v>
      </c>
      <c r="C13" s="26" t="s">
        <v>100</v>
      </c>
      <c r="D13" s="57" cm="1">
        <f t="array" aca="1" ref="D13" ca="1">_xll.VoseSimPercentile(A_5,0.1)</f>
        <v>6831</v>
      </c>
      <c r="E13" s="57" cm="1">
        <f t="array" aca="1" ref="E13" ca="1">_xll.VoseSimPercentile(A_5,0.5)</f>
        <v>7759</v>
      </c>
      <c r="F13" s="57" cm="1">
        <f t="array" aca="1" ref="F13" ca="1">_xll.VoseSimPercentile(A_5,0.9)</f>
        <v>8328</v>
      </c>
      <c r="G13" s="57" cm="1">
        <f t="array" aca="1" ref="G13" ca="1">_xll.VoseSimMean(A_5)</f>
        <v>7661.9441999999999</v>
      </c>
    </row>
    <row r="14" spans="1:18" x14ac:dyDescent="0.45">
      <c r="B14" s="25" t="s">
        <v>168</v>
      </c>
      <c r="C14" s="26" t="s">
        <v>100</v>
      </c>
      <c r="D14" s="57" cm="1">
        <f t="array" aca="1" ref="D14" ca="1">_xll.VoseSimPercentile(A_10,0.1)</f>
        <v>5825</v>
      </c>
      <c r="E14" s="57" cm="1">
        <f t="array" aca="1" ref="E14" ca="1">_xll.VoseSimPercentile(A_10,0.5)</f>
        <v>6150</v>
      </c>
      <c r="F14" s="57" cm="1">
        <f t="array" aca="1" ref="F14" ca="1">_xll.VoseSimPercentile(A_10,0.9)</f>
        <v>6476</v>
      </c>
      <c r="G14" s="57" cm="1">
        <f t="array" aca="1" ref="G14" ca="1">_xll.VoseSimMean(A_10)</f>
        <v>6148.6414999999997</v>
      </c>
    </row>
    <row r="15" spans="1:18" x14ac:dyDescent="0.45">
      <c r="B15" s="25" t="s">
        <v>169</v>
      </c>
      <c r="C15" s="26" t="s">
        <v>100</v>
      </c>
      <c r="D15" s="57" cm="1">
        <f t="array" aca="1" ref="D15" ca="1">_xll.VoseSimPercentile(TotalA,0.1)</f>
        <v>68688</v>
      </c>
      <c r="E15" s="57" cm="1">
        <f t="array" aca="1" ref="E15" ca="1">_xll.VoseSimPercentile(TotalA,0.5)</f>
        <v>80539</v>
      </c>
      <c r="F15" s="57" cm="1">
        <f t="array" aca="1" ref="F15" ca="1">_xll.VoseSimPercentile(TotalA,0.9)</f>
        <v>89267</v>
      </c>
      <c r="G15" s="57" cm="1">
        <f t="array" aca="1" ref="G15" ca="1">_xll.VoseSimMean(TotalA)</f>
        <v>79678.172399999996</v>
      </c>
    </row>
    <row r="16" spans="1:18" ht="18" customHeight="1" x14ac:dyDescent="0.45">
      <c r="B16" s="23" t="s">
        <v>162</v>
      </c>
      <c r="C16" s="23" t="s">
        <v>91</v>
      </c>
      <c r="D16" s="24" t="s">
        <v>136</v>
      </c>
      <c r="E16" s="5"/>
      <c r="F16" s="5"/>
      <c r="G16" s="5"/>
    </row>
    <row r="17" spans="2:18" x14ac:dyDescent="0.45">
      <c r="B17" s="25" t="s">
        <v>170</v>
      </c>
      <c r="C17" s="26" t="s">
        <v>100</v>
      </c>
      <c r="D17" s="57" cm="1">
        <f t="array" aca="1" ref="D17" ca="1">_xll.VoseSimMean(Steady)</f>
        <v>5501.7057000000004</v>
      </c>
      <c r="E17" s="29"/>
      <c r="F17" s="29"/>
      <c r="G17" s="29"/>
    </row>
    <row r="25" spans="2:18" ht="22.05" customHeight="1" x14ac:dyDescent="0.5">
      <c r="B25" s="7" t="s">
        <v>111</v>
      </c>
      <c r="C25" s="8"/>
      <c r="D25" s="8"/>
      <c r="E25" s="8"/>
      <c r="F25" s="8"/>
      <c r="G25" s="8"/>
      <c r="I25" s="56" t="s">
        <v>171</v>
      </c>
      <c r="J25" s="8"/>
      <c r="K25" s="8"/>
      <c r="L25" s="8"/>
      <c r="M25" s="8"/>
      <c r="N25" s="8"/>
      <c r="O25" s="8"/>
      <c r="P25" s="8"/>
      <c r="Q25" s="8"/>
      <c r="R25" s="8"/>
    </row>
    <row r="26" spans="2:18" ht="18" customHeight="1" x14ac:dyDescent="0.45">
      <c r="B26" s="13" t="s">
        <v>172</v>
      </c>
    </row>
    <row r="27" spans="2:18" ht="18" customHeight="1" x14ac:dyDescent="0.45">
      <c r="B27" s="23" t="s">
        <v>162</v>
      </c>
      <c r="C27" s="23" t="s">
        <v>91</v>
      </c>
      <c r="D27" s="24" t="s">
        <v>163</v>
      </c>
      <c r="E27" s="24" t="s">
        <v>164</v>
      </c>
      <c r="F27" s="24" t="s">
        <v>165</v>
      </c>
      <c r="G27" s="24" t="s">
        <v>97</v>
      </c>
    </row>
    <row r="28" spans="2:18" x14ac:dyDescent="0.45">
      <c r="B28" s="25" t="s">
        <v>166</v>
      </c>
      <c r="C28" s="26" t="s">
        <v>114</v>
      </c>
      <c r="D28" s="57" cm="1">
        <f t="array" aca="1" ref="D28" ca="1">_xll.VoseSimPercentile(B_1,0.1)</f>
        <v>313</v>
      </c>
      <c r="E28" s="57" cm="1">
        <f t="array" aca="1" ref="E28" ca="1">_xll.VoseSimPercentile(B_1,0.5)</f>
        <v>376</v>
      </c>
      <c r="F28" s="57" cm="1">
        <f t="array" aca="1" ref="F28" ca="1">_xll.VoseSimPercentile(B_1,0.9)</f>
        <v>460</v>
      </c>
      <c r="G28" s="57" cm="1">
        <f t="array" aca="1" ref="G28" ca="1">_xll.VoseSimMean(B_1)</f>
        <v>382.21570000000003</v>
      </c>
    </row>
    <row r="29" spans="2:18" x14ac:dyDescent="0.45">
      <c r="B29" s="25" t="s">
        <v>167</v>
      </c>
      <c r="C29" s="26" t="s">
        <v>114</v>
      </c>
      <c r="D29" s="57" cm="1">
        <f t="array" aca="1" ref="D29" ca="1">_xll.VoseSimPercentile(B_5,0.1)</f>
        <v>1150</v>
      </c>
      <c r="E29" s="57" cm="1">
        <f t="array" aca="1" ref="E29" ca="1">_xll.VoseSimPercentile(B_5,0.5)</f>
        <v>1376</v>
      </c>
      <c r="F29" s="57" cm="1">
        <f t="array" aca="1" ref="F29" ca="1">_xll.VoseSimPercentile(B_5,0.9)</f>
        <v>1670</v>
      </c>
      <c r="G29" s="57" cm="1">
        <f t="array" aca="1" ref="G29" ca="1">_xll.VoseSimMean(B_5)</f>
        <v>1397.0784000000001</v>
      </c>
    </row>
    <row r="30" spans="2:18" x14ac:dyDescent="0.45">
      <c r="B30" s="25" t="s">
        <v>168</v>
      </c>
      <c r="C30" s="26" t="s">
        <v>114</v>
      </c>
      <c r="D30" s="57" cm="1">
        <f t="array" aca="1" ref="D30" ca="1">_xll.VoseSimPercentile(B_10,0.1)</f>
        <v>1649</v>
      </c>
      <c r="E30" s="57" cm="1">
        <f t="array" aca="1" ref="E30" ca="1">_xll.VoseSimPercentile(B_10,0.5)</f>
        <v>1965</v>
      </c>
      <c r="F30" s="57" cm="1">
        <f t="array" aca="1" ref="F30" ca="1">_xll.VoseSimPercentile(B_10,0.9)</f>
        <v>2371</v>
      </c>
      <c r="G30" s="57" cm="1">
        <f t="array" aca="1" ref="G30" ca="1">_xll.VoseSimMean(B_10)</f>
        <v>1991.6621</v>
      </c>
    </row>
    <row r="31" spans="2:18" x14ac:dyDescent="0.45">
      <c r="B31" s="25" t="s">
        <v>169</v>
      </c>
      <c r="C31" s="26" t="s">
        <v>114</v>
      </c>
      <c r="D31" s="57" cm="1">
        <f t="array" aca="1" ref="D31" ca="1">_xll.VoseSimPercentile(TotalB,0.1)</f>
        <v>11248</v>
      </c>
      <c r="E31" s="57" cm="1">
        <f t="array" aca="1" ref="E31" ca="1">_xll.VoseSimPercentile(TotalB,0.5)</f>
        <v>13435</v>
      </c>
      <c r="F31" s="57" cm="1">
        <f t="array" aca="1" ref="F31" ca="1">_xll.VoseSimPercentile(TotalB,0.9)</f>
        <v>16280</v>
      </c>
      <c r="G31" s="57" cm="1">
        <f t="array" aca="1" ref="G31" ca="1">_xll.VoseSimMean(TotalB)</f>
        <v>13632.8559</v>
      </c>
    </row>
    <row r="32" spans="2:18" ht="18" customHeight="1" x14ac:dyDescent="0.45">
      <c r="B32" s="23" t="s">
        <v>162</v>
      </c>
      <c r="C32" s="23" t="s">
        <v>91</v>
      </c>
      <c r="D32" s="24" t="s">
        <v>136</v>
      </c>
      <c r="E32" s="5"/>
      <c r="F32" s="5"/>
      <c r="G32" s="5"/>
    </row>
    <row r="33" spans="2:7" x14ac:dyDescent="0.45">
      <c r="B33" s="25" t="s">
        <v>173</v>
      </c>
      <c r="C33" s="26" t="s">
        <v>116</v>
      </c>
      <c r="D33" s="58" cm="1">
        <f t="array" aca="1" ref="D33" ca="1">_xll.VoseSimMean(Years90)</f>
        <v>13.548048782497856</v>
      </c>
      <c r="E33" s="29"/>
      <c r="F33" s="29"/>
      <c r="G33" s="29"/>
    </row>
    <row r="41" spans="2:7" ht="22.05" customHeight="1" x14ac:dyDescent="0.5">
      <c r="B41" s="7" t="s">
        <v>174</v>
      </c>
      <c r="C41" s="8"/>
      <c r="D41" s="8"/>
      <c r="E41" s="8"/>
      <c r="F41" s="8"/>
      <c r="G41" s="8"/>
    </row>
    <row r="42" spans="2:7" ht="45" customHeight="1" x14ac:dyDescent="0.45">
      <c r="B42" s="63" t="s">
        <v>175</v>
      </c>
      <c r="C42" s="62"/>
      <c r="D42" s="62"/>
      <c r="E42" s="62"/>
      <c r="F42" s="62"/>
      <c r="G42" s="62"/>
    </row>
    <row r="43" spans="2:7" ht="19.05" customHeight="1" x14ac:dyDescent="0.45">
      <c r="B43" s="63" t="s">
        <v>176</v>
      </c>
      <c r="C43" s="62"/>
      <c r="D43" s="62"/>
      <c r="E43" s="62"/>
      <c r="F43" s="62"/>
      <c r="G43" s="62"/>
    </row>
    <row r="44" spans="2:7" ht="32" customHeight="1" x14ac:dyDescent="0.45">
      <c r="B44" s="63" t="s">
        <v>177</v>
      </c>
      <c r="C44" s="62"/>
      <c r="D44" s="62"/>
      <c r="E44" s="62"/>
      <c r="F44" s="62"/>
      <c r="G44" s="62"/>
    </row>
    <row r="45" spans="2:7" ht="19.05" customHeight="1" x14ac:dyDescent="0.45">
      <c r="B45" s="63" t="s">
        <v>178</v>
      </c>
      <c r="C45" s="62"/>
      <c r="D45" s="62"/>
      <c r="E45" s="62"/>
      <c r="F45" s="62"/>
      <c r="G45" s="62"/>
    </row>
    <row r="46" spans="2:7" ht="14" customHeight="1" x14ac:dyDescent="0.45"/>
    <row r="47" spans="2:7" ht="14" customHeight="1" x14ac:dyDescent="0.45"/>
    <row r="48" spans="2:7" ht="22.05" customHeight="1" x14ac:dyDescent="0.5">
      <c r="B48" s="7" t="s">
        <v>179</v>
      </c>
      <c r="C48" s="8"/>
      <c r="D48" s="8"/>
      <c r="E48" s="8"/>
      <c r="F48" s="8"/>
      <c r="G48" s="8"/>
    </row>
    <row r="49" spans="2:7" ht="18" customHeight="1" x14ac:dyDescent="0.45">
      <c r="B49" s="13" t="s">
        <v>180</v>
      </c>
    </row>
    <row r="50" spans="2:7" ht="28.05" hidden="1" customHeight="1" outlineLevel="1" x14ac:dyDescent="0.45">
      <c r="B50" s="23" t="s">
        <v>181</v>
      </c>
      <c r="C50" s="24" t="s">
        <v>182</v>
      </c>
      <c r="D50" s="24" t="s">
        <v>164</v>
      </c>
      <c r="E50" s="24" t="s">
        <v>183</v>
      </c>
      <c r="F50" s="24" t="s">
        <v>97</v>
      </c>
      <c r="G50" s="5"/>
    </row>
    <row r="51" spans="2:7" hidden="1" outlineLevel="1" x14ac:dyDescent="0.45">
      <c r="B51" s="59" t="s">
        <v>184</v>
      </c>
      <c r="C51" s="60" cm="1">
        <f t="array" aca="1" ref="C51" ca="1">IF(ISNUMBER(_xll.VoseSimPercentile(A_1,0.1)),_xll.VoseSimPercentile(A_1,0.1),NA())</f>
        <v>8119</v>
      </c>
      <c r="D51" s="60" cm="1">
        <f t="array" aca="1" ref="D51" ca="1">IF(ISNUMBER(_xll.VoseSimPercentile(A_1,0.5)),_xll.VoseSimPercentile(A_1,0.5),NA())</f>
        <v>11401</v>
      </c>
      <c r="E51" s="60" cm="1">
        <f t="array" aca="1" ref="E51" ca="1">IF(ISNUMBER(_xll.VoseSimPercentile(A_1,0.9)),_xll.VoseSimPercentile(A_1,0.9),NA())</f>
        <v>15021</v>
      </c>
      <c r="F51" s="60" cm="1">
        <f t="array" aca="1" ref="F51" ca="1">IF(ISNUMBER(_xll.VoseSimMean(A_1)),_xll.VoseSimMean(A_1),NA())</f>
        <v>11506.872993649682</v>
      </c>
    </row>
    <row r="52" spans="2:7" hidden="1" outlineLevel="1" x14ac:dyDescent="0.45">
      <c r="B52" s="59" t="s">
        <v>185</v>
      </c>
      <c r="C52" s="60" cm="1">
        <f t="array" aca="1" ref="C52" ca="1">IF(ISNUMBER(_xll.VoseSimPercentile(A_2,0.1)),_xll.VoseSimPercentile(A_2,0.1),NA())</f>
        <v>7712</v>
      </c>
      <c r="D52" s="60" cm="1">
        <f t="array" aca="1" ref="D52" ca="1">IF(ISNUMBER(_xll.VoseSimPercentile(A_2,0.5)),_xll.VoseSimPercentile(A_2,0.5),NA())</f>
        <v>10178</v>
      </c>
      <c r="E52" s="60" cm="1">
        <f t="array" aca="1" ref="E52" ca="1">IF(ISNUMBER(_xll.VoseSimPercentile(A_2,0.9)),_xll.VoseSimPercentile(A_2,0.9),NA())</f>
        <v>12457</v>
      </c>
      <c r="F52" s="60" cm="1">
        <f t="array" aca="1" ref="F52" ca="1">IF(ISNUMBER(_xll.VoseSimMean(A_2)),_xll.VoseSimMean(A_2),NA())</f>
        <v>10129.157607880394</v>
      </c>
    </row>
    <row r="53" spans="2:7" hidden="1" outlineLevel="1" x14ac:dyDescent="0.45">
      <c r="B53" s="59" t="s">
        <v>186</v>
      </c>
      <c r="C53" s="60" cm="1">
        <f t="array" aca="1" ref="C53" ca="1">IF(ISNUMBER(_xll.VoseSimPercentile(A_3,0.1)),_xll.VoseSimPercentile(A_3,0.1),NA())</f>
        <v>7368</v>
      </c>
      <c r="D53" s="60" cm="1">
        <f t="array" aca="1" ref="D53" ca="1">IF(ISNUMBER(_xll.VoseSimPercentile(A_3,0.5)),_xll.VoseSimPercentile(A_3,0.5),NA())</f>
        <v>9197</v>
      </c>
      <c r="E53" s="60" cm="1">
        <f t="array" aca="1" ref="E53" ca="1">IF(ISNUMBER(_xll.VoseSimPercentile(A_3,0.9)),_xll.VoseSimPercentile(A_3,0.9),NA())</f>
        <v>10595</v>
      </c>
      <c r="F53" s="60" cm="1">
        <f t="array" aca="1" ref="F53" ca="1">IF(ISNUMBER(_xll.VoseSimMean(A_3)),_xll.VoseSimMean(A_3),NA())</f>
        <v>9080.3961198059897</v>
      </c>
    </row>
    <row r="54" spans="2:7" hidden="1" outlineLevel="1" x14ac:dyDescent="0.45">
      <c r="B54" s="59" t="s">
        <v>187</v>
      </c>
      <c r="C54" s="60" cm="1">
        <f t="array" aca="1" ref="C54" ca="1">IF(ISNUMBER(_xll.VoseSimPercentile(A_4,0.1)),_xll.VoseSimPercentile(A_4,0.1),NA())</f>
        <v>7085</v>
      </c>
      <c r="D54" s="60" cm="1">
        <f t="array" aca="1" ref="D54" ca="1">IF(ISNUMBER(_xll.VoseSimPercentile(A_4,0.5)),_xll.VoseSimPercentile(A_4,0.5),NA())</f>
        <v>8409</v>
      </c>
      <c r="E54" s="60" cm="1">
        <f t="array" aca="1" ref="E54" ca="1">IF(ISNUMBER(_xll.VoseSimPercentile(A_4,0.9)),_xll.VoseSimPercentile(A_4,0.9),NA())</f>
        <v>9246</v>
      </c>
      <c r="F54" s="60" cm="1">
        <f t="array" aca="1" ref="F54" ca="1">IF(ISNUMBER(_xll.VoseSimMean(A_4)),_xll.VoseSimMean(A_4),NA())</f>
        <v>8276.5312265613284</v>
      </c>
    </row>
    <row r="55" spans="2:7" hidden="1" outlineLevel="1" x14ac:dyDescent="0.45">
      <c r="B55" s="59" t="s">
        <v>188</v>
      </c>
      <c r="C55" s="60" cm="1">
        <f t="array" aca="1" ref="C55" ca="1">IF(ISNUMBER(_xll.VoseSimPercentile(A_5,0.1)),_xll.VoseSimPercentile(A_5,0.1),NA())</f>
        <v>6831</v>
      </c>
      <c r="D55" s="60" cm="1">
        <f t="array" aca="1" ref="D55" ca="1">IF(ISNUMBER(_xll.VoseSimPercentile(A_5,0.5)),_xll.VoseSimPercentile(A_5,0.5),NA())</f>
        <v>7759</v>
      </c>
      <c r="E55" s="60" cm="1">
        <f t="array" aca="1" ref="E55" ca="1">IF(ISNUMBER(_xll.VoseSimPercentile(A_5,0.9)),_xll.VoseSimPercentile(A_5,0.9),NA())</f>
        <v>8328</v>
      </c>
      <c r="F55" s="60" cm="1">
        <f t="array" aca="1" ref="F55" ca="1">IF(ISNUMBER(_xll.VoseSimMean(A_5)),_xll.VoseSimMean(A_5),NA())</f>
        <v>7661.9156457822892</v>
      </c>
    </row>
    <row r="56" spans="2:7" hidden="1" outlineLevel="1" x14ac:dyDescent="0.45">
      <c r="B56" s="59" t="s">
        <v>189</v>
      </c>
      <c r="C56" s="60" cm="1">
        <f t="array" aca="1" ref="C56" ca="1">IF(ISNUMBER(_xll.VoseSimPercentile(A_6,0.1)),_xll.VoseSimPercentile(A_6,0.1),NA())</f>
        <v>6603</v>
      </c>
      <c r="D56" s="60" cm="1">
        <f t="array" aca="1" ref="D56" ca="1">IF(ISNUMBER(_xll.VoseSimPercentile(A_6,0.5)),_xll.VoseSimPercentile(A_6,0.5),NA())</f>
        <v>7247</v>
      </c>
      <c r="E56" s="60" cm="1">
        <f t="array" aca="1" ref="E56" ca="1">IF(ISNUMBER(_xll.VoseSimPercentile(A_6,0.9)),_xll.VoseSimPercentile(A_6,0.9),NA())</f>
        <v>7683</v>
      </c>
      <c r="F56" s="60" cm="1">
        <f t="array" aca="1" ref="F56" ca="1">IF(ISNUMBER(_xll.VoseSimMean(A_6)),_xll.VoseSimMean(A_6),NA())</f>
        <v>7190.4539226961351</v>
      </c>
    </row>
    <row r="57" spans="2:7" hidden="1" outlineLevel="1" x14ac:dyDescent="0.45">
      <c r="B57" s="59" t="s">
        <v>190</v>
      </c>
      <c r="C57" s="60" cm="1">
        <f t="array" aca="1" ref="C57" ca="1">IF(ISNUMBER(_xll.VoseSimPercentile(A_7,0.1)),_xll.VoseSimPercentile(A_7,0.1),NA())</f>
        <v>6391</v>
      </c>
      <c r="D57" s="60" cm="1">
        <f t="array" aca="1" ref="D57" ca="1">IF(ISNUMBER(_xll.VoseSimPercentile(A_7,0.5)),_xll.VoseSimPercentile(A_7,0.5),NA())</f>
        <v>6853</v>
      </c>
      <c r="E57" s="60" cm="1">
        <f t="array" aca="1" ref="E57" ca="1">IF(ISNUMBER(_xll.VoseSimPercentile(A_7,0.9)),_xll.VoseSimPercentile(A_7,0.9),NA())</f>
        <v>7235</v>
      </c>
      <c r="F57" s="60" cm="1">
        <f t="array" aca="1" ref="F57" ca="1">IF(ISNUMBER(_xll.VoseSimMean(A_7)),_xll.VoseSimMean(A_7),NA())</f>
        <v>6824.2057102855142</v>
      </c>
    </row>
    <row r="58" spans="2:7" hidden="1" outlineLevel="1" x14ac:dyDescent="0.45">
      <c r="B58" s="59" t="s">
        <v>191</v>
      </c>
      <c r="C58" s="60" cm="1">
        <f t="array" aca="1" ref="C58" ca="1">IF(ISNUMBER(_xll.VoseSimPercentile(A_8,0.1)),_xll.VoseSimPercentile(A_8,0.1),NA())</f>
        <v>6178</v>
      </c>
      <c r="D58" s="60" cm="1">
        <f t="array" aca="1" ref="D58" ca="1">IF(ISNUMBER(_xll.VoseSimPercentile(A_8,0.5)),_xll.VoseSimPercentile(A_8,0.5),NA())</f>
        <v>6552</v>
      </c>
      <c r="E58" s="60" cm="1">
        <f t="array" aca="1" ref="E58" ca="1">IF(ISNUMBER(_xll.VoseSimPercentile(A_8,0.9)),_xll.VoseSimPercentile(A_8,0.9),NA())</f>
        <v>6904</v>
      </c>
      <c r="F58" s="60" cm="1">
        <f t="array" aca="1" ref="F58" ca="1">IF(ISNUMBER(_xll.VoseSimMean(A_8)),_xll.VoseSimMean(A_8),NA())</f>
        <v>6539.9668983449174</v>
      </c>
    </row>
    <row r="59" spans="2:7" hidden="1" outlineLevel="1" x14ac:dyDescent="0.45">
      <c r="B59" s="59" t="s">
        <v>192</v>
      </c>
      <c r="C59" s="60" cm="1">
        <f t="array" aca="1" ref="C59" ca="1">IF(ISNUMBER(_xll.VoseSimPercentile(A_9,0.1)),_xll.VoseSimPercentile(A_9,0.1),NA())</f>
        <v>5978</v>
      </c>
      <c r="D59" s="60" cm="1">
        <f t="array" aca="1" ref="D59" ca="1">IF(ISNUMBER(_xll.VoseSimPercentile(A_9,0.5)),_xll.VoseSimPercentile(A_9,0.5),NA())</f>
        <v>6321</v>
      </c>
      <c r="E59" s="60" cm="1">
        <f t="array" aca="1" ref="E59" ca="1">IF(ISNUMBER(_xll.VoseSimPercentile(A_9,0.9)),_xll.VoseSimPercentile(A_9,0.9),NA())</f>
        <v>6659</v>
      </c>
      <c r="F59" s="60" cm="1">
        <f t="array" aca="1" ref="F59" ca="1">IF(ISNUMBER(_xll.VoseSimMean(A_9)),_xll.VoseSimMean(A_9),NA())</f>
        <v>6319.8672933646685</v>
      </c>
    </row>
    <row r="60" spans="2:7" hidden="1" outlineLevel="1" x14ac:dyDescent="0.45">
      <c r="B60" s="59" t="s">
        <v>193</v>
      </c>
      <c r="C60" s="60" cm="1">
        <f t="array" aca="1" ref="C60" ca="1">IF(ISNUMBER(_xll.VoseSimPercentile(A_10,0.1)),_xll.VoseSimPercentile(A_10,0.1),NA())</f>
        <v>5825</v>
      </c>
      <c r="D60" s="60" cm="1">
        <f t="array" aca="1" ref="D60" ca="1">IF(ISNUMBER(_xll.VoseSimPercentile(A_10,0.5)),_xll.VoseSimPercentile(A_10,0.5),NA())</f>
        <v>6150</v>
      </c>
      <c r="E60" s="60" cm="1">
        <f t="array" aca="1" ref="E60" ca="1">IF(ISNUMBER(_xll.VoseSimPercentile(A_10,0.9)),_xll.VoseSimPercentile(A_10,0.9),NA())</f>
        <v>6476</v>
      </c>
      <c r="F60" s="60" cm="1">
        <f t="array" aca="1" ref="F60" ca="1">IF(ISNUMBER(_xll.VoseSimMean(A_10)),_xll.VoseSimMean(A_10),NA())</f>
        <v>6148.6253312665631</v>
      </c>
    </row>
    <row r="61" spans="2:7" hidden="1" outlineLevel="1" x14ac:dyDescent="0.45"/>
    <row r="62" spans="2:7" ht="28.05" hidden="1" customHeight="1" outlineLevel="1" x14ac:dyDescent="0.45">
      <c r="B62" s="23" t="s">
        <v>181</v>
      </c>
      <c r="C62" s="24" t="s">
        <v>182</v>
      </c>
      <c r="D62" s="24" t="s">
        <v>164</v>
      </c>
      <c r="E62" s="24" t="s">
        <v>183</v>
      </c>
      <c r="F62" s="24" t="s">
        <v>97</v>
      </c>
      <c r="G62" s="5"/>
    </row>
    <row r="63" spans="2:7" hidden="1" outlineLevel="1" x14ac:dyDescent="0.45">
      <c r="B63" s="59" t="s">
        <v>184</v>
      </c>
      <c r="C63" s="60" cm="1">
        <f t="array" aca="1" ref="C63" ca="1">IF(ISNUMBER(_xll.VoseSimPercentile(B_1,0.1)),_xll.VoseSimPercentile(B_1,0.1),NA())</f>
        <v>313</v>
      </c>
      <c r="D63" s="60" cm="1">
        <f t="array" aca="1" ref="D63" ca="1">IF(ISNUMBER(_xll.VoseSimPercentile(B_1,0.5)),_xll.VoseSimPercentile(B_1,0.5),NA())</f>
        <v>376</v>
      </c>
      <c r="E63" s="60" cm="1">
        <f t="array" aca="1" ref="E63" ca="1">IF(ISNUMBER(_xll.VoseSimPercentile(B_1,0.9)),_xll.VoseSimPercentile(B_1,0.9),NA())</f>
        <v>460</v>
      </c>
      <c r="F63" s="60" cm="1">
        <f t="array" aca="1" ref="F63" ca="1">IF(ISNUMBER(_xll.VoseSimMean(B_1)),_xll.VoseSimMean(B_1),NA())</f>
        <v>382.2183609180459</v>
      </c>
    </row>
    <row r="64" spans="2:7" hidden="1" outlineLevel="1" x14ac:dyDescent="0.45">
      <c r="B64" s="59" t="s">
        <v>185</v>
      </c>
      <c r="C64" s="60" cm="1">
        <f t="array" aca="1" ref="C64" ca="1">IF(ISNUMBER(_xll.VoseSimPercentile(B_2,0.1)),_xll.VoseSimPercentile(B_2,0.1),NA())</f>
        <v>578</v>
      </c>
      <c r="D64" s="60" cm="1">
        <f t="array" aca="1" ref="D64" ca="1">IF(ISNUMBER(_xll.VoseSimPercentile(B_2,0.5)),_xll.VoseSimPercentile(B_2,0.5),NA())</f>
        <v>694</v>
      </c>
      <c r="E64" s="60" cm="1">
        <f t="array" aca="1" ref="E64" ca="1">IF(ISNUMBER(_xll.VoseSimPercentile(B_2,0.9)),_xll.VoseSimPercentile(B_2,0.9),NA())</f>
        <v>846</v>
      </c>
      <c r="F64" s="60" cm="1">
        <f t="array" aca="1" ref="F64" ca="1">IF(ISNUMBER(_xll.VoseSimMean(B_2)),_xll.VoseSimMean(B_2),NA())</f>
        <v>704.25491274563728</v>
      </c>
    </row>
    <row r="65" spans="2:6" hidden="1" outlineLevel="1" x14ac:dyDescent="0.45">
      <c r="B65" s="59" t="s">
        <v>186</v>
      </c>
      <c r="C65" s="60" cm="1">
        <f t="array" aca="1" ref="C65" ca="1">IF(ISNUMBER(_xll.VoseSimPercentile(B_3,0.1)),_xll.VoseSimPercentile(B_3,0.1),NA())</f>
        <v>801</v>
      </c>
      <c r="D65" s="60" cm="1">
        <f t="array" aca="1" ref="D65" ca="1">IF(ISNUMBER(_xll.VoseSimPercentile(B_3,0.5)),_xll.VoseSimPercentile(B_3,0.5),NA())</f>
        <v>961</v>
      </c>
      <c r="E65" s="60" cm="1">
        <f t="array" aca="1" ref="E65" ca="1">IF(ISNUMBER(_xll.VoseSimPercentile(B_3,0.9)),_xll.VoseSimPercentile(B_3,0.9),NA())</f>
        <v>1169</v>
      </c>
      <c r="F65" s="60" cm="1">
        <f t="array" aca="1" ref="F65" ca="1">IF(ISNUMBER(_xll.VoseSimMean(B_3)),_xll.VoseSimMean(B_3),NA())</f>
        <v>975.61728086404321</v>
      </c>
    </row>
    <row r="66" spans="2:6" hidden="1" outlineLevel="1" x14ac:dyDescent="0.45">
      <c r="B66" s="59" t="s">
        <v>187</v>
      </c>
      <c r="C66" s="60" cm="1">
        <f t="array" aca="1" ref="C66" ca="1">IF(ISNUMBER(_xll.VoseSimPercentile(B_4,0.1)),_xll.VoseSimPercentile(B_4,0.1),NA())</f>
        <v>991</v>
      </c>
      <c r="D66" s="60" cm="1">
        <f t="array" aca="1" ref="D66" ca="1">IF(ISNUMBER(_xll.VoseSimPercentile(B_4,0.5)),_xll.VoseSimPercentile(B_4,0.5),NA())</f>
        <v>1186</v>
      </c>
      <c r="E66" s="60" cm="1">
        <f t="array" aca="1" ref="E66" ca="1">IF(ISNUMBER(_xll.VoseSimPercentile(B_4,0.9)),_xll.VoseSimPercentile(B_4,0.9),NA())</f>
        <v>1441</v>
      </c>
      <c r="F66" s="60" cm="1">
        <f t="array" aca="1" ref="F66" ca="1">IF(ISNUMBER(_xll.VoseSimMean(B_4)),_xll.VoseSimMean(B_4),NA())</f>
        <v>1204.3189159457972</v>
      </c>
    </row>
    <row r="67" spans="2:6" hidden="1" outlineLevel="1" x14ac:dyDescent="0.45">
      <c r="B67" s="59" t="s">
        <v>188</v>
      </c>
      <c r="C67" s="60" cm="1">
        <f t="array" aca="1" ref="C67" ca="1">IF(ISNUMBER(_xll.VoseSimPercentile(B_5,0.1)),_xll.VoseSimPercentile(B_5,0.1),NA())</f>
        <v>1150</v>
      </c>
      <c r="D67" s="60" cm="1">
        <f t="array" aca="1" ref="D67" ca="1">IF(ISNUMBER(_xll.VoseSimPercentile(B_5,0.5)),_xll.VoseSimPercentile(B_5,0.5),NA())</f>
        <v>1376</v>
      </c>
      <c r="E67" s="60" cm="1">
        <f t="array" aca="1" ref="E67" ca="1">IF(ISNUMBER(_xll.VoseSimPercentile(B_5,0.9)),_xll.VoseSimPercentile(B_5,0.9),NA())</f>
        <v>1670</v>
      </c>
      <c r="F67" s="60" cm="1">
        <f t="array" aca="1" ref="F67" ca="1">IF(ISNUMBER(_xll.VoseSimMean(B_5)),_xll.VoseSimMean(B_5),NA())</f>
        <v>1397.0876043802191</v>
      </c>
    </row>
    <row r="68" spans="2:6" hidden="1" outlineLevel="1" x14ac:dyDescent="0.45">
      <c r="B68" s="59" t="s">
        <v>189</v>
      </c>
      <c r="C68" s="60" cm="1">
        <f t="array" aca="1" ref="C68" ca="1">IF(ISNUMBER(_xll.VoseSimPercentile(B_6,0.1)),_xll.VoseSimPercentile(B_6,0.1),NA())</f>
        <v>1287</v>
      </c>
      <c r="D68" s="60" cm="1">
        <f t="array" aca="1" ref="D68" ca="1">IF(ISNUMBER(_xll.VoseSimPercentile(B_6,0.5)),_xll.VoseSimPercentile(B_6,0.5),NA())</f>
        <v>1537</v>
      </c>
      <c r="E68" s="60" cm="1">
        <f t="array" aca="1" ref="E68" ca="1">IF(ISNUMBER(_xll.VoseSimPercentile(B_6,0.9)),_xll.VoseSimPercentile(B_6,0.9),NA())</f>
        <v>1863</v>
      </c>
      <c r="F68" s="60" cm="1">
        <f t="array" aca="1" ref="F68" ca="1">IF(ISNUMBER(_xll.VoseSimMean(B_6)),_xll.VoseSimMean(B_6),NA())</f>
        <v>1559.5862293114656</v>
      </c>
    </row>
    <row r="69" spans="2:6" hidden="1" outlineLevel="1" x14ac:dyDescent="0.45">
      <c r="B69" s="59" t="s">
        <v>190</v>
      </c>
      <c r="C69" s="60" cm="1">
        <f t="array" aca="1" ref="C69" ca="1">IF(ISNUMBER(_xll.VoseSimPercentile(B_7,0.1)),_xll.VoseSimPercentile(B_7,0.1),NA())</f>
        <v>1401</v>
      </c>
      <c r="D69" s="60" cm="1">
        <f t="array" aca="1" ref="D69" ca="1">IF(ISNUMBER(_xll.VoseSimPercentile(B_7,0.5)),_xll.VoseSimPercentile(B_7,0.5),NA())</f>
        <v>1672</v>
      </c>
      <c r="E69" s="60" cm="1">
        <f t="array" aca="1" ref="E69" ca="1">IF(ISNUMBER(_xll.VoseSimPercentile(B_7,0.9)),_xll.VoseSimPercentile(B_7,0.9),NA())</f>
        <v>2025</v>
      </c>
      <c r="F69" s="60" cm="1">
        <f t="array" aca="1" ref="F69" ca="1">IF(ISNUMBER(_xll.VoseSimMean(B_7)),_xll.VoseSimMean(B_7),NA())</f>
        <v>1696.5748787439372</v>
      </c>
    </row>
    <row r="70" spans="2:6" hidden="1" outlineLevel="1" x14ac:dyDescent="0.45">
      <c r="B70" s="59" t="s">
        <v>191</v>
      </c>
      <c r="C70" s="60" cm="1">
        <f t="array" aca="1" ref="C70" ca="1">IF(ISNUMBER(_xll.VoseSimPercentile(B_8,0.1)),_xll.VoseSimPercentile(B_8,0.1),NA())</f>
        <v>1498</v>
      </c>
      <c r="D70" s="60" cm="1">
        <f t="array" aca="1" ref="D70" ca="1">IF(ISNUMBER(_xll.VoseSimPercentile(B_8,0.5)),_xll.VoseSimPercentile(B_8,0.5),NA())</f>
        <v>1786</v>
      </c>
      <c r="E70" s="60" cm="1">
        <f t="array" aca="1" ref="E70" ca="1">IF(ISNUMBER(_xll.VoseSimPercentile(B_8,0.9)),_xll.VoseSimPercentile(B_8,0.9),NA())</f>
        <v>2161</v>
      </c>
      <c r="F70" s="60" cm="1">
        <f t="array" aca="1" ref="F70" ca="1">IF(ISNUMBER(_xll.VoseSimMean(B_8)),_xll.VoseSimMean(B_8),NA())</f>
        <v>1812.0975048752437</v>
      </c>
    </row>
    <row r="71" spans="2:6" hidden="1" outlineLevel="1" x14ac:dyDescent="0.45">
      <c r="B71" s="59" t="s">
        <v>192</v>
      </c>
      <c r="C71" s="60" cm="1">
        <f t="array" aca="1" ref="C71" ca="1">IF(ISNUMBER(_xll.VoseSimPercentile(B_9,0.1)),_xll.VoseSimPercentile(B_9,0.1),NA())</f>
        <v>1579</v>
      </c>
      <c r="D71" s="60" cm="1">
        <f t="array" aca="1" ref="D71" ca="1">IF(ISNUMBER(_xll.VoseSimPercentile(B_9,0.5)),_xll.VoseSimPercentile(B_9,0.5),NA())</f>
        <v>1883</v>
      </c>
      <c r="E71" s="60" cm="1">
        <f t="array" aca="1" ref="E71" ca="1">IF(ISNUMBER(_xll.VoseSimPercentile(B_9,0.9)),_xll.VoseSimPercentile(B_9,0.9),NA())</f>
        <v>2275</v>
      </c>
      <c r="F71" s="60" cm="1">
        <f t="array" aca="1" ref="F71" ca="1">IF(ISNUMBER(_xll.VoseSimMean(B_9)),_xll.VoseSimMean(B_9),NA())</f>
        <v>1909.5138756937847</v>
      </c>
    </row>
    <row r="72" spans="2:6" hidden="1" outlineLevel="1" x14ac:dyDescent="0.45">
      <c r="B72" s="59" t="s">
        <v>193</v>
      </c>
      <c r="C72" s="60" cm="1">
        <f t="array" aca="1" ref="C72" ca="1">IF(ISNUMBER(_xll.VoseSimPercentile(B_10,0.1)),_xll.VoseSimPercentile(B_10,0.1),NA())</f>
        <v>1649</v>
      </c>
      <c r="D72" s="60" cm="1">
        <f t="array" aca="1" ref="D72" ca="1">IF(ISNUMBER(_xll.VoseSimPercentile(B_10,0.5)),_xll.VoseSimPercentile(B_10,0.5),NA())</f>
        <v>1965</v>
      </c>
      <c r="E72" s="60" cm="1">
        <f t="array" aca="1" ref="E72" ca="1">IF(ISNUMBER(_xll.VoseSimPercentile(B_10,0.9)),_xll.VoseSimPercentile(B_10,0.9),NA())</f>
        <v>2371</v>
      </c>
      <c r="F72" s="60" cm="1">
        <f t="array" aca="1" ref="F72" ca="1">IF(ISNUMBER(_xll.VoseSimMean(B_10)),_xll.VoseSimMean(B_10),NA())</f>
        <v>1991.6744837241863</v>
      </c>
    </row>
  </sheetData>
  <mergeCells count="4">
    <mergeCell ref="B44:G44"/>
    <mergeCell ref="B43:G43"/>
    <mergeCell ref="B42:G42"/>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51:F60">
    <cfRule type="expression" dxfId="1" priority="3">
      <formula>ISNA(C51)</formula>
    </cfRule>
  </conditionalFormatting>
  <conditionalFormatting sqref="C63:F72">
    <cfRule type="expression" dxfId="0" priority="4">
      <formula>ISNA(C63)</formula>
    </cfRule>
  </conditionalFormatting>
  <hyperlinks>
    <hyperlink ref="B4" location="'Ceiling'!A1" display="◂  Ceiling"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8DD73-354A-4334-B295-5633074800E2}">
  <dimension ref="A1:B1"/>
  <sheetViews>
    <sheetView workbookViewId="0"/>
  </sheetViews>
  <sheetFormatPr defaultRowHeight="14.25" x14ac:dyDescent="0.45"/>
  <sheetData>
    <row r="1" spans="1:2" x14ac:dyDescent="0.45">
      <c r="A1" s="65" t="s">
        <v>194</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6F3EF-D941-416F-97A8-1F409FF88F4F}">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C4693-51CE-4C85-A083-42C323F292A6}">
  <dimension ref="B3:B272"/>
  <sheetViews>
    <sheetView workbookViewId="0"/>
  </sheetViews>
  <sheetFormatPr defaultRowHeight="14.25" x14ac:dyDescent="0.45"/>
  <sheetData>
    <row r="3" spans="2:2" x14ac:dyDescent="0.45">
      <c r="B3">
        <v>47</v>
      </c>
    </row>
    <row r="4" spans="2:2" x14ac:dyDescent="0.45">
      <c r="B4">
        <v>241</v>
      </c>
    </row>
    <row r="5" spans="2:2" x14ac:dyDescent="0.45">
      <c r="B5">
        <v>406</v>
      </c>
    </row>
    <row r="6" spans="2:2" x14ac:dyDescent="0.45">
      <c r="B6">
        <v>435</v>
      </c>
    </row>
    <row r="7" spans="2:2" x14ac:dyDescent="0.45">
      <c r="B7">
        <v>370</v>
      </c>
    </row>
    <row r="8" spans="2:2" x14ac:dyDescent="0.45">
      <c r="B8">
        <v>239</v>
      </c>
    </row>
    <row r="9" spans="2:2" x14ac:dyDescent="0.45">
      <c r="B9">
        <v>137</v>
      </c>
    </row>
    <row r="10" spans="2:2" x14ac:dyDescent="0.45">
      <c r="B10">
        <v>83</v>
      </c>
    </row>
    <row r="11" spans="2:2" x14ac:dyDescent="0.45">
      <c r="B11">
        <v>33</v>
      </c>
    </row>
    <row r="12" spans="2:2" x14ac:dyDescent="0.45">
      <c r="B12">
        <v>9</v>
      </c>
    </row>
    <row r="13" spans="2:2" x14ac:dyDescent="0.45">
      <c r="B13">
        <v>48</v>
      </c>
    </row>
    <row r="14" spans="2:2" x14ac:dyDescent="0.45">
      <c r="B14">
        <v>242</v>
      </c>
    </row>
    <row r="15" spans="2:2" x14ac:dyDescent="0.45">
      <c r="B15">
        <v>408</v>
      </c>
    </row>
    <row r="16" spans="2:2" x14ac:dyDescent="0.45">
      <c r="B16">
        <v>437</v>
      </c>
    </row>
    <row r="17" spans="2:2" x14ac:dyDescent="0.45">
      <c r="B17">
        <v>367</v>
      </c>
    </row>
    <row r="18" spans="2:2" x14ac:dyDescent="0.45">
      <c r="B18">
        <v>234</v>
      </c>
    </row>
    <row r="19" spans="2:2" x14ac:dyDescent="0.45">
      <c r="B19">
        <v>137</v>
      </c>
    </row>
    <row r="20" spans="2:2" x14ac:dyDescent="0.45">
      <c r="B20">
        <v>85</v>
      </c>
    </row>
    <row r="21" spans="2:2" x14ac:dyDescent="0.45">
      <c r="B21">
        <v>33</v>
      </c>
    </row>
    <row r="22" spans="2:2" x14ac:dyDescent="0.45">
      <c r="B22">
        <v>9</v>
      </c>
    </row>
    <row r="23" spans="2:2" x14ac:dyDescent="0.45">
      <c r="B23">
        <v>47</v>
      </c>
    </row>
    <row r="24" spans="2:2" x14ac:dyDescent="0.45">
      <c r="B24">
        <v>250</v>
      </c>
    </row>
    <row r="25" spans="2:2" x14ac:dyDescent="0.45">
      <c r="B25">
        <v>401</v>
      </c>
    </row>
    <row r="26" spans="2:2" x14ac:dyDescent="0.45">
      <c r="B26">
        <v>430</v>
      </c>
    </row>
    <row r="27" spans="2:2" x14ac:dyDescent="0.45">
      <c r="B27">
        <v>374</v>
      </c>
    </row>
    <row r="28" spans="2:2" x14ac:dyDescent="0.45">
      <c r="B28">
        <v>230</v>
      </c>
    </row>
    <row r="29" spans="2:2" x14ac:dyDescent="0.45">
      <c r="B29">
        <v>141</v>
      </c>
    </row>
    <row r="30" spans="2:2" x14ac:dyDescent="0.45">
      <c r="B30">
        <v>81</v>
      </c>
    </row>
    <row r="31" spans="2:2" x14ac:dyDescent="0.45">
      <c r="B31">
        <v>37</v>
      </c>
    </row>
    <row r="32" spans="2:2" x14ac:dyDescent="0.45">
      <c r="B32">
        <v>9</v>
      </c>
    </row>
    <row r="33" spans="2:2" x14ac:dyDescent="0.45">
      <c r="B33">
        <v>50</v>
      </c>
    </row>
    <row r="34" spans="2:2" x14ac:dyDescent="0.45">
      <c r="B34">
        <v>259</v>
      </c>
    </row>
    <row r="35" spans="2:2" x14ac:dyDescent="0.45">
      <c r="B35">
        <v>396</v>
      </c>
    </row>
    <row r="36" spans="2:2" x14ac:dyDescent="0.45">
      <c r="B36">
        <v>426</v>
      </c>
    </row>
    <row r="37" spans="2:2" x14ac:dyDescent="0.45">
      <c r="B37">
        <v>360</v>
      </c>
    </row>
    <row r="38" spans="2:2" x14ac:dyDescent="0.45">
      <c r="B38">
        <v>236</v>
      </c>
    </row>
    <row r="39" spans="2:2" x14ac:dyDescent="0.45">
      <c r="B39">
        <v>144</v>
      </c>
    </row>
    <row r="40" spans="2:2" x14ac:dyDescent="0.45">
      <c r="B40">
        <v>84</v>
      </c>
    </row>
    <row r="41" spans="2:2" x14ac:dyDescent="0.45">
      <c r="B41">
        <v>36</v>
      </c>
    </row>
    <row r="42" spans="2:2" x14ac:dyDescent="0.45">
      <c r="B42">
        <v>9</v>
      </c>
    </row>
    <row r="43" spans="2:2" x14ac:dyDescent="0.45">
      <c r="B43">
        <v>54</v>
      </c>
    </row>
    <row r="44" spans="2:2" x14ac:dyDescent="0.45">
      <c r="B44">
        <v>258</v>
      </c>
    </row>
    <row r="45" spans="2:2" x14ac:dyDescent="0.45">
      <c r="B45">
        <v>392</v>
      </c>
    </row>
    <row r="46" spans="2:2" x14ac:dyDescent="0.45">
      <c r="B46">
        <v>433</v>
      </c>
    </row>
    <row r="47" spans="2:2" x14ac:dyDescent="0.45">
      <c r="B47">
        <v>349</v>
      </c>
    </row>
    <row r="48" spans="2:2" x14ac:dyDescent="0.45">
      <c r="B48">
        <v>234</v>
      </c>
    </row>
    <row r="49" spans="2:2" x14ac:dyDescent="0.45">
      <c r="B49">
        <v>148</v>
      </c>
    </row>
    <row r="50" spans="2:2" x14ac:dyDescent="0.45">
      <c r="B50">
        <v>83</v>
      </c>
    </row>
    <row r="51" spans="2:2" x14ac:dyDescent="0.45">
      <c r="B51">
        <v>39</v>
      </c>
    </row>
    <row r="52" spans="2:2" x14ac:dyDescent="0.45">
      <c r="B52">
        <v>10</v>
      </c>
    </row>
    <row r="53" spans="2:2" x14ac:dyDescent="0.45">
      <c r="B53">
        <v>54</v>
      </c>
    </row>
    <row r="54" spans="2:2" x14ac:dyDescent="0.45">
      <c r="B54">
        <v>263</v>
      </c>
    </row>
    <row r="55" spans="2:2" x14ac:dyDescent="0.45">
      <c r="B55">
        <v>391</v>
      </c>
    </row>
    <row r="56" spans="2:2" x14ac:dyDescent="0.45">
      <c r="B56">
        <v>428</v>
      </c>
    </row>
    <row r="57" spans="2:2" x14ac:dyDescent="0.45">
      <c r="B57">
        <v>346</v>
      </c>
    </row>
    <row r="58" spans="2:2" x14ac:dyDescent="0.45">
      <c r="B58">
        <v>237</v>
      </c>
    </row>
    <row r="59" spans="2:2" x14ac:dyDescent="0.45">
      <c r="B59">
        <v>149</v>
      </c>
    </row>
    <row r="60" spans="2:2" x14ac:dyDescent="0.45">
      <c r="B60">
        <v>83</v>
      </c>
    </row>
    <row r="61" spans="2:2" x14ac:dyDescent="0.45">
      <c r="B61">
        <v>37</v>
      </c>
    </row>
    <row r="62" spans="2:2" x14ac:dyDescent="0.45">
      <c r="B62">
        <v>12</v>
      </c>
    </row>
    <row r="63" spans="2:2" x14ac:dyDescent="0.45">
      <c r="B63">
        <v>58</v>
      </c>
    </row>
    <row r="64" spans="2:2" x14ac:dyDescent="0.45">
      <c r="B64">
        <v>265</v>
      </c>
    </row>
    <row r="65" spans="2:2" x14ac:dyDescent="0.45">
      <c r="B65">
        <v>392</v>
      </c>
    </row>
    <row r="66" spans="2:2" x14ac:dyDescent="0.45">
      <c r="B66">
        <v>422</v>
      </c>
    </row>
    <row r="67" spans="2:2" x14ac:dyDescent="0.45">
      <c r="B67">
        <v>341</v>
      </c>
    </row>
    <row r="68" spans="2:2" x14ac:dyDescent="0.45">
      <c r="B68">
        <v>241</v>
      </c>
    </row>
    <row r="69" spans="2:2" x14ac:dyDescent="0.45">
      <c r="B69">
        <v>147</v>
      </c>
    </row>
    <row r="70" spans="2:2" x14ac:dyDescent="0.45">
      <c r="B70">
        <v>86</v>
      </c>
    </row>
    <row r="71" spans="2:2" x14ac:dyDescent="0.45">
      <c r="B71">
        <v>36</v>
      </c>
    </row>
    <row r="72" spans="2:2" x14ac:dyDescent="0.45">
      <c r="B72">
        <v>12</v>
      </c>
    </row>
    <row r="73" spans="2:2" x14ac:dyDescent="0.45">
      <c r="B73">
        <v>60</v>
      </c>
    </row>
    <row r="74" spans="2:2" x14ac:dyDescent="0.45">
      <c r="B74">
        <v>273</v>
      </c>
    </row>
    <row r="75" spans="2:2" x14ac:dyDescent="0.45">
      <c r="B75">
        <v>387</v>
      </c>
    </row>
    <row r="76" spans="2:2" x14ac:dyDescent="0.45">
      <c r="B76">
        <v>416</v>
      </c>
    </row>
    <row r="77" spans="2:2" x14ac:dyDescent="0.45">
      <c r="B77">
        <v>336</v>
      </c>
    </row>
    <row r="78" spans="2:2" x14ac:dyDescent="0.45">
      <c r="B78">
        <v>248</v>
      </c>
    </row>
    <row r="79" spans="2:2" x14ac:dyDescent="0.45">
      <c r="B79">
        <v>144</v>
      </c>
    </row>
    <row r="80" spans="2:2" x14ac:dyDescent="0.45">
      <c r="B80">
        <v>82</v>
      </c>
    </row>
    <row r="81" spans="2:2" x14ac:dyDescent="0.45">
      <c r="B81">
        <v>42</v>
      </c>
    </row>
    <row r="82" spans="2:2" x14ac:dyDescent="0.45">
      <c r="B82">
        <v>12</v>
      </c>
    </row>
    <row r="83" spans="2:2" x14ac:dyDescent="0.45">
      <c r="B83">
        <v>61</v>
      </c>
    </row>
    <row r="84" spans="2:2" x14ac:dyDescent="0.45">
      <c r="B84">
        <v>276</v>
      </c>
    </row>
    <row r="85" spans="2:2" x14ac:dyDescent="0.45">
      <c r="B85">
        <v>387</v>
      </c>
    </row>
    <row r="86" spans="2:2" x14ac:dyDescent="0.45">
      <c r="B86">
        <v>419</v>
      </c>
    </row>
    <row r="87" spans="2:2" x14ac:dyDescent="0.45">
      <c r="B87">
        <v>325</v>
      </c>
    </row>
    <row r="88" spans="2:2" x14ac:dyDescent="0.45">
      <c r="B88">
        <v>248</v>
      </c>
    </row>
    <row r="89" spans="2:2" x14ac:dyDescent="0.45">
      <c r="B89">
        <v>146</v>
      </c>
    </row>
    <row r="90" spans="2:2" x14ac:dyDescent="0.45">
      <c r="B90">
        <v>82</v>
      </c>
    </row>
    <row r="91" spans="2:2" x14ac:dyDescent="0.45">
      <c r="B91">
        <v>42</v>
      </c>
    </row>
    <row r="92" spans="2:2" x14ac:dyDescent="0.45">
      <c r="B92">
        <v>14</v>
      </c>
    </row>
    <row r="93" spans="2:2" x14ac:dyDescent="0.45">
      <c r="B93">
        <v>65</v>
      </c>
    </row>
    <row r="94" spans="2:2" x14ac:dyDescent="0.45">
      <c r="B94">
        <v>286</v>
      </c>
    </row>
    <row r="95" spans="2:2" x14ac:dyDescent="0.45">
      <c r="B95">
        <v>380</v>
      </c>
    </row>
    <row r="96" spans="2:2" x14ac:dyDescent="0.45">
      <c r="B96">
        <v>414</v>
      </c>
    </row>
    <row r="97" spans="2:2" x14ac:dyDescent="0.45">
      <c r="B97">
        <v>322</v>
      </c>
    </row>
    <row r="98" spans="2:2" x14ac:dyDescent="0.45">
      <c r="B98">
        <v>248</v>
      </c>
    </row>
    <row r="99" spans="2:2" x14ac:dyDescent="0.45">
      <c r="B99">
        <v>145</v>
      </c>
    </row>
    <row r="100" spans="2:2" x14ac:dyDescent="0.45">
      <c r="B100">
        <v>82</v>
      </c>
    </row>
    <row r="101" spans="2:2" x14ac:dyDescent="0.45">
      <c r="B101">
        <v>43</v>
      </c>
    </row>
    <row r="102" spans="2:2" x14ac:dyDescent="0.45">
      <c r="B102">
        <v>15</v>
      </c>
    </row>
    <row r="103" spans="2:2" x14ac:dyDescent="0.45">
      <c r="B103">
        <v>56</v>
      </c>
    </row>
    <row r="104" spans="2:2" x14ac:dyDescent="0.45">
      <c r="B104">
        <v>264</v>
      </c>
    </row>
    <row r="105" spans="2:2" x14ac:dyDescent="0.45">
      <c r="B105">
        <v>393</v>
      </c>
    </row>
    <row r="106" spans="2:2" x14ac:dyDescent="0.45">
      <c r="B106">
        <v>423</v>
      </c>
    </row>
    <row r="107" spans="2:2" x14ac:dyDescent="0.45">
      <c r="B107">
        <v>347</v>
      </c>
    </row>
    <row r="108" spans="2:2" x14ac:dyDescent="0.45">
      <c r="B108">
        <v>234</v>
      </c>
    </row>
    <row r="109" spans="2:2" x14ac:dyDescent="0.45">
      <c r="B109">
        <v>151</v>
      </c>
    </row>
    <row r="110" spans="2:2" x14ac:dyDescent="0.45">
      <c r="B110">
        <v>83</v>
      </c>
    </row>
    <row r="111" spans="2:2" x14ac:dyDescent="0.45">
      <c r="B111">
        <v>37</v>
      </c>
    </row>
    <row r="112" spans="2:2" x14ac:dyDescent="0.45">
      <c r="B112">
        <v>12</v>
      </c>
    </row>
    <row r="113" spans="2:2" x14ac:dyDescent="0.45">
      <c r="B113">
        <v>86</v>
      </c>
    </row>
    <row r="114" spans="2:2" x14ac:dyDescent="0.45">
      <c r="B114">
        <v>228</v>
      </c>
    </row>
    <row r="115" spans="2:2" x14ac:dyDescent="0.45">
      <c r="B115">
        <v>324</v>
      </c>
    </row>
    <row r="116" spans="2:2" x14ac:dyDescent="0.45">
      <c r="B116">
        <v>338</v>
      </c>
    </row>
    <row r="117" spans="2:2" x14ac:dyDescent="0.45">
      <c r="B117">
        <v>346</v>
      </c>
    </row>
    <row r="118" spans="2:2" x14ac:dyDescent="0.45">
      <c r="B118">
        <v>282</v>
      </c>
    </row>
    <row r="119" spans="2:2" x14ac:dyDescent="0.45">
      <c r="B119">
        <v>212</v>
      </c>
    </row>
    <row r="120" spans="2:2" x14ac:dyDescent="0.45">
      <c r="B120">
        <v>120</v>
      </c>
    </row>
    <row r="121" spans="2:2" x14ac:dyDescent="0.45">
      <c r="B121">
        <v>56</v>
      </c>
    </row>
    <row r="122" spans="2:2" x14ac:dyDescent="0.45">
      <c r="B122">
        <v>8</v>
      </c>
    </row>
    <row r="123" spans="2:2" x14ac:dyDescent="0.45">
      <c r="B123">
        <v>19</v>
      </c>
    </row>
    <row r="124" spans="2:2" x14ac:dyDescent="0.45">
      <c r="B124">
        <v>94</v>
      </c>
    </row>
    <row r="125" spans="2:2" x14ac:dyDescent="0.45">
      <c r="B125">
        <v>210</v>
      </c>
    </row>
    <row r="126" spans="2:2" x14ac:dyDescent="0.45">
      <c r="B126">
        <v>283</v>
      </c>
    </row>
    <row r="127" spans="2:2" x14ac:dyDescent="0.45">
      <c r="B127">
        <v>327</v>
      </c>
    </row>
    <row r="128" spans="2:2" x14ac:dyDescent="0.45">
      <c r="B128">
        <v>354</v>
      </c>
    </row>
    <row r="129" spans="2:2" x14ac:dyDescent="0.45">
      <c r="B129">
        <v>288</v>
      </c>
    </row>
    <row r="130" spans="2:2" x14ac:dyDescent="0.45">
      <c r="B130">
        <v>218</v>
      </c>
    </row>
    <row r="131" spans="2:2" x14ac:dyDescent="0.45">
      <c r="B131">
        <v>145</v>
      </c>
    </row>
    <row r="132" spans="2:2" x14ac:dyDescent="0.45">
      <c r="B132">
        <v>62</v>
      </c>
    </row>
    <row r="133" spans="2:2" x14ac:dyDescent="0.45">
      <c r="B133">
        <v>75</v>
      </c>
    </row>
    <row r="134" spans="2:2" x14ac:dyDescent="0.45">
      <c r="B134">
        <v>184</v>
      </c>
    </row>
    <row r="135" spans="2:2" x14ac:dyDescent="0.45">
      <c r="B135">
        <v>299</v>
      </c>
    </row>
    <row r="136" spans="2:2" x14ac:dyDescent="0.45">
      <c r="B136">
        <v>341</v>
      </c>
    </row>
    <row r="137" spans="2:2" x14ac:dyDescent="0.45">
      <c r="B137">
        <v>339</v>
      </c>
    </row>
    <row r="138" spans="2:2" x14ac:dyDescent="0.45">
      <c r="B138">
        <v>317</v>
      </c>
    </row>
    <row r="139" spans="2:2" x14ac:dyDescent="0.45">
      <c r="B139">
        <v>255</v>
      </c>
    </row>
    <row r="140" spans="2:2" x14ac:dyDescent="0.45">
      <c r="B140">
        <v>126</v>
      </c>
    </row>
    <row r="141" spans="2:2" x14ac:dyDescent="0.45">
      <c r="B141">
        <v>49</v>
      </c>
    </row>
    <row r="142" spans="2:2" x14ac:dyDescent="0.45">
      <c r="B142">
        <v>15</v>
      </c>
    </row>
    <row r="143" spans="2:2" x14ac:dyDescent="0.45">
      <c r="B143">
        <v>131</v>
      </c>
    </row>
    <row r="144" spans="2:2" x14ac:dyDescent="0.45">
      <c r="B144">
        <v>294</v>
      </c>
    </row>
    <row r="145" spans="2:2" x14ac:dyDescent="0.45">
      <c r="B145">
        <v>384</v>
      </c>
    </row>
    <row r="146" spans="2:2" x14ac:dyDescent="0.45">
      <c r="B146">
        <v>387</v>
      </c>
    </row>
    <row r="147" spans="2:2" x14ac:dyDescent="0.45">
      <c r="B147">
        <v>289</v>
      </c>
    </row>
    <row r="148" spans="2:2" x14ac:dyDescent="0.45">
      <c r="B148">
        <v>224</v>
      </c>
    </row>
    <row r="149" spans="2:2" x14ac:dyDescent="0.45">
      <c r="B149">
        <v>151</v>
      </c>
    </row>
    <row r="150" spans="2:2" x14ac:dyDescent="0.45">
      <c r="B150">
        <v>85</v>
      </c>
    </row>
    <row r="151" spans="2:2" x14ac:dyDescent="0.45">
      <c r="B151">
        <v>44</v>
      </c>
    </row>
    <row r="152" spans="2:2" x14ac:dyDescent="0.45">
      <c r="B152">
        <v>11</v>
      </c>
    </row>
    <row r="153" spans="2:2" x14ac:dyDescent="0.45">
      <c r="B153">
        <v>86</v>
      </c>
    </row>
    <row r="154" spans="2:2" x14ac:dyDescent="0.45">
      <c r="B154">
        <v>228</v>
      </c>
    </row>
    <row r="155" spans="2:2" x14ac:dyDescent="0.45">
      <c r="B155">
        <v>324</v>
      </c>
    </row>
    <row r="156" spans="2:2" x14ac:dyDescent="0.45">
      <c r="B156">
        <v>338</v>
      </c>
    </row>
    <row r="157" spans="2:2" x14ac:dyDescent="0.45">
      <c r="B157">
        <v>346</v>
      </c>
    </row>
    <row r="158" spans="2:2" x14ac:dyDescent="0.45">
      <c r="B158">
        <v>282</v>
      </c>
    </row>
    <row r="159" spans="2:2" x14ac:dyDescent="0.45">
      <c r="B159">
        <v>212</v>
      </c>
    </row>
    <row r="160" spans="2:2" x14ac:dyDescent="0.45">
      <c r="B160">
        <v>120</v>
      </c>
    </row>
    <row r="161" spans="2:2" x14ac:dyDescent="0.45">
      <c r="B161">
        <v>56</v>
      </c>
    </row>
    <row r="162" spans="2:2" x14ac:dyDescent="0.45">
      <c r="B162">
        <v>8</v>
      </c>
    </row>
    <row r="163" spans="2:2" x14ac:dyDescent="0.45">
      <c r="B163">
        <v>72</v>
      </c>
    </row>
    <row r="164" spans="2:2" x14ac:dyDescent="0.45">
      <c r="B164">
        <v>199</v>
      </c>
    </row>
    <row r="165" spans="2:2" x14ac:dyDescent="0.45">
      <c r="B165">
        <v>312</v>
      </c>
    </row>
    <row r="166" spans="2:2" x14ac:dyDescent="0.45">
      <c r="B166">
        <v>361</v>
      </c>
    </row>
    <row r="167" spans="2:2" x14ac:dyDescent="0.45">
      <c r="B167">
        <v>377</v>
      </c>
    </row>
    <row r="168" spans="2:2" x14ac:dyDescent="0.45">
      <c r="B168">
        <v>293</v>
      </c>
    </row>
    <row r="169" spans="2:2" x14ac:dyDescent="0.45">
      <c r="B169">
        <v>229</v>
      </c>
    </row>
    <row r="170" spans="2:2" x14ac:dyDescent="0.45">
      <c r="B170">
        <v>107</v>
      </c>
    </row>
    <row r="171" spans="2:2" x14ac:dyDescent="0.45">
      <c r="B171">
        <v>41</v>
      </c>
    </row>
    <row r="172" spans="2:2" x14ac:dyDescent="0.45">
      <c r="B172">
        <v>9</v>
      </c>
    </row>
    <row r="173" spans="2:2" x14ac:dyDescent="0.45">
      <c r="B173">
        <v>51</v>
      </c>
    </row>
    <row r="174" spans="2:2" x14ac:dyDescent="0.45">
      <c r="B174">
        <v>124</v>
      </c>
    </row>
    <row r="175" spans="2:2" x14ac:dyDescent="0.45">
      <c r="B175">
        <v>230</v>
      </c>
    </row>
    <row r="176" spans="2:2" x14ac:dyDescent="0.45">
      <c r="B176">
        <v>295</v>
      </c>
    </row>
    <row r="177" spans="2:2" x14ac:dyDescent="0.45">
      <c r="B177">
        <v>345</v>
      </c>
    </row>
    <row r="178" spans="2:2" x14ac:dyDescent="0.45">
      <c r="B178">
        <v>352</v>
      </c>
    </row>
    <row r="179" spans="2:2" x14ac:dyDescent="0.45">
      <c r="B179">
        <v>318</v>
      </c>
    </row>
    <row r="180" spans="2:2" x14ac:dyDescent="0.45">
      <c r="B180">
        <v>195</v>
      </c>
    </row>
    <row r="181" spans="2:2" x14ac:dyDescent="0.45">
      <c r="B181">
        <v>73</v>
      </c>
    </row>
    <row r="182" spans="2:2" x14ac:dyDescent="0.45">
      <c r="B182">
        <v>17</v>
      </c>
    </row>
    <row r="183" spans="2:2" x14ac:dyDescent="0.45">
      <c r="B183">
        <v>26</v>
      </c>
    </row>
    <row r="184" spans="2:2" x14ac:dyDescent="0.45">
      <c r="B184">
        <v>66</v>
      </c>
    </row>
    <row r="185" spans="2:2" x14ac:dyDescent="0.45">
      <c r="B185">
        <v>136</v>
      </c>
    </row>
    <row r="186" spans="2:2" x14ac:dyDescent="0.45">
      <c r="B186">
        <v>225</v>
      </c>
    </row>
    <row r="187" spans="2:2" x14ac:dyDescent="0.45">
      <c r="B187">
        <v>277</v>
      </c>
    </row>
    <row r="188" spans="2:2" x14ac:dyDescent="0.45">
      <c r="B188">
        <v>374</v>
      </c>
    </row>
    <row r="189" spans="2:2" x14ac:dyDescent="0.45">
      <c r="B189">
        <v>384</v>
      </c>
    </row>
    <row r="190" spans="2:2" x14ac:dyDescent="0.45">
      <c r="B190">
        <v>338</v>
      </c>
    </row>
    <row r="191" spans="2:2" x14ac:dyDescent="0.45">
      <c r="B191">
        <v>147</v>
      </c>
    </row>
    <row r="192" spans="2:2" x14ac:dyDescent="0.45">
      <c r="B192">
        <v>27</v>
      </c>
    </row>
    <row r="193" spans="2:2" x14ac:dyDescent="0.45">
      <c r="B193">
        <v>16</v>
      </c>
    </row>
    <row r="194" spans="2:2" x14ac:dyDescent="0.45">
      <c r="B194">
        <v>44</v>
      </c>
    </row>
    <row r="195" spans="2:2" x14ac:dyDescent="0.45">
      <c r="B195">
        <v>92</v>
      </c>
    </row>
    <row r="196" spans="2:2" x14ac:dyDescent="0.45">
      <c r="B196">
        <v>157</v>
      </c>
    </row>
    <row r="197" spans="2:2" x14ac:dyDescent="0.45">
      <c r="B197">
        <v>229</v>
      </c>
    </row>
    <row r="198" spans="2:2" x14ac:dyDescent="0.45">
      <c r="B198">
        <v>337</v>
      </c>
    </row>
    <row r="199" spans="2:2" x14ac:dyDescent="0.45">
      <c r="B199">
        <v>423</v>
      </c>
    </row>
    <row r="200" spans="2:2" x14ac:dyDescent="0.45">
      <c r="B200">
        <v>437</v>
      </c>
    </row>
    <row r="201" spans="2:2" x14ac:dyDescent="0.45">
      <c r="B201">
        <v>220</v>
      </c>
    </row>
    <row r="202" spans="2:2" x14ac:dyDescent="0.45">
      <c r="B202">
        <v>45</v>
      </c>
    </row>
    <row r="203" spans="2:2" x14ac:dyDescent="0.45">
      <c r="B203">
        <v>13</v>
      </c>
    </row>
    <row r="204" spans="2:2" x14ac:dyDescent="0.45">
      <c r="B204">
        <v>38</v>
      </c>
    </row>
    <row r="205" spans="2:2" x14ac:dyDescent="0.45">
      <c r="B205">
        <v>67</v>
      </c>
    </row>
    <row r="206" spans="2:2" x14ac:dyDescent="0.45">
      <c r="B206">
        <v>119</v>
      </c>
    </row>
    <row r="207" spans="2:2" x14ac:dyDescent="0.45">
      <c r="B207">
        <v>200</v>
      </c>
    </row>
    <row r="208" spans="2:2" x14ac:dyDescent="0.45">
      <c r="B208">
        <v>298</v>
      </c>
    </row>
    <row r="209" spans="2:2" x14ac:dyDescent="0.45">
      <c r="B209">
        <v>491</v>
      </c>
    </row>
    <row r="210" spans="2:2" x14ac:dyDescent="0.45">
      <c r="B210">
        <v>470</v>
      </c>
    </row>
    <row r="211" spans="2:2" x14ac:dyDescent="0.45">
      <c r="B211">
        <v>256</v>
      </c>
    </row>
    <row r="212" spans="2:2" x14ac:dyDescent="0.45">
      <c r="B212">
        <v>48</v>
      </c>
    </row>
    <row r="213" spans="2:2" x14ac:dyDescent="0.45">
      <c r="B213">
        <v>13</v>
      </c>
    </row>
    <row r="214" spans="2:2" x14ac:dyDescent="0.45">
      <c r="B214">
        <v>23</v>
      </c>
    </row>
    <row r="215" spans="2:2" x14ac:dyDescent="0.45">
      <c r="B215">
        <v>50</v>
      </c>
    </row>
    <row r="216" spans="2:2" x14ac:dyDescent="0.45">
      <c r="B216">
        <v>107</v>
      </c>
    </row>
    <row r="217" spans="2:2" x14ac:dyDescent="0.45">
      <c r="B217">
        <v>177</v>
      </c>
    </row>
    <row r="218" spans="2:2" x14ac:dyDescent="0.45">
      <c r="B218">
        <v>372</v>
      </c>
    </row>
    <row r="219" spans="2:2" x14ac:dyDescent="0.45">
      <c r="B219">
        <v>539</v>
      </c>
    </row>
    <row r="220" spans="2:2" x14ac:dyDescent="0.45">
      <c r="B220">
        <v>476</v>
      </c>
    </row>
    <row r="221" spans="2:2" x14ac:dyDescent="0.45">
      <c r="B221">
        <v>206</v>
      </c>
    </row>
    <row r="222" spans="2:2" x14ac:dyDescent="0.45">
      <c r="B222">
        <v>37</v>
      </c>
    </row>
    <row r="223" spans="2:2" x14ac:dyDescent="0.45">
      <c r="B223">
        <v>13</v>
      </c>
    </row>
    <row r="224" spans="2:2" x14ac:dyDescent="0.45">
      <c r="B224">
        <v>22</v>
      </c>
    </row>
    <row r="225" spans="2:2" x14ac:dyDescent="0.45">
      <c r="B225">
        <v>47</v>
      </c>
    </row>
    <row r="226" spans="2:2" x14ac:dyDescent="0.45">
      <c r="B226">
        <v>109</v>
      </c>
    </row>
    <row r="227" spans="2:2" x14ac:dyDescent="0.45">
      <c r="B227">
        <v>290</v>
      </c>
    </row>
    <row r="228" spans="2:2" x14ac:dyDescent="0.45">
      <c r="B228">
        <v>456</v>
      </c>
    </row>
    <row r="229" spans="2:2" x14ac:dyDescent="0.45">
      <c r="B229">
        <v>516</v>
      </c>
    </row>
    <row r="230" spans="2:2" x14ac:dyDescent="0.45">
      <c r="B230">
        <v>375</v>
      </c>
    </row>
    <row r="231" spans="2:2" x14ac:dyDescent="0.45">
      <c r="B231">
        <v>149</v>
      </c>
    </row>
    <row r="232" spans="2:2" x14ac:dyDescent="0.45">
      <c r="B232">
        <v>23</v>
      </c>
    </row>
    <row r="233" spans="2:2" x14ac:dyDescent="0.45">
      <c r="B233">
        <v>6</v>
      </c>
    </row>
    <row r="234" spans="2:2" x14ac:dyDescent="0.45">
      <c r="B234">
        <v>20</v>
      </c>
    </row>
    <row r="235" spans="2:2" x14ac:dyDescent="0.45">
      <c r="B235">
        <v>33</v>
      </c>
    </row>
    <row r="236" spans="2:2" x14ac:dyDescent="0.45">
      <c r="B236">
        <v>116</v>
      </c>
    </row>
    <row r="237" spans="2:2" x14ac:dyDescent="0.45">
      <c r="B237">
        <v>309</v>
      </c>
    </row>
    <row r="238" spans="2:2" x14ac:dyDescent="0.45">
      <c r="B238">
        <v>453</v>
      </c>
    </row>
    <row r="239" spans="2:2" x14ac:dyDescent="0.45">
      <c r="B239">
        <v>510</v>
      </c>
    </row>
    <row r="240" spans="2:2" x14ac:dyDescent="0.45">
      <c r="B240">
        <v>339</v>
      </c>
    </row>
    <row r="241" spans="2:2" x14ac:dyDescent="0.45">
      <c r="B241">
        <v>182</v>
      </c>
    </row>
    <row r="242" spans="2:2" x14ac:dyDescent="0.45">
      <c r="B242">
        <v>32</v>
      </c>
    </row>
    <row r="243" spans="2:2" x14ac:dyDescent="0.45">
      <c r="B243">
        <v>4</v>
      </c>
    </row>
    <row r="244" spans="2:2" x14ac:dyDescent="0.45">
      <c r="B244">
        <v>19</v>
      </c>
    </row>
    <row r="245" spans="2:2" x14ac:dyDescent="0.45">
      <c r="B245">
        <v>59</v>
      </c>
    </row>
    <row r="246" spans="2:2" x14ac:dyDescent="0.45">
      <c r="B246">
        <v>191</v>
      </c>
    </row>
    <row r="247" spans="2:2" x14ac:dyDescent="0.45">
      <c r="B247">
        <v>355</v>
      </c>
    </row>
    <row r="248" spans="2:2" x14ac:dyDescent="0.45">
      <c r="B248">
        <v>457</v>
      </c>
    </row>
    <row r="249" spans="2:2" x14ac:dyDescent="0.45">
      <c r="B249">
        <v>438</v>
      </c>
    </row>
    <row r="250" spans="2:2" x14ac:dyDescent="0.45">
      <c r="B250">
        <v>308</v>
      </c>
    </row>
    <row r="251" spans="2:2" x14ac:dyDescent="0.45">
      <c r="B251">
        <v>140</v>
      </c>
    </row>
    <row r="252" spans="2:2" x14ac:dyDescent="0.45">
      <c r="B252">
        <v>29</v>
      </c>
    </row>
    <row r="253" spans="2:2" x14ac:dyDescent="0.45">
      <c r="B253">
        <v>19</v>
      </c>
    </row>
    <row r="254" spans="2:2" x14ac:dyDescent="0.45">
      <c r="B254">
        <v>69</v>
      </c>
    </row>
    <row r="255" spans="2:2" x14ac:dyDescent="0.45">
      <c r="B255">
        <v>180</v>
      </c>
    </row>
    <row r="256" spans="2:2" x14ac:dyDescent="0.45">
      <c r="B256">
        <v>353</v>
      </c>
    </row>
    <row r="257" spans="2:2" x14ac:dyDescent="0.45">
      <c r="B257">
        <v>443</v>
      </c>
    </row>
    <row r="258" spans="2:2" x14ac:dyDescent="0.45">
      <c r="B258">
        <v>410</v>
      </c>
    </row>
    <row r="259" spans="2:2" x14ac:dyDescent="0.45">
      <c r="B259">
        <v>282</v>
      </c>
    </row>
    <row r="260" spans="2:2" x14ac:dyDescent="0.45">
      <c r="B260">
        <v>181</v>
      </c>
    </row>
    <row r="261" spans="2:2" x14ac:dyDescent="0.45">
      <c r="B261">
        <v>57</v>
      </c>
    </row>
    <row r="262" spans="2:2" x14ac:dyDescent="0.45">
      <c r="B262">
        <v>6</v>
      </c>
    </row>
    <row r="263" spans="2:2" x14ac:dyDescent="0.45">
      <c r="B263">
        <v>24</v>
      </c>
    </row>
    <row r="264" spans="2:2" x14ac:dyDescent="0.45">
      <c r="B264">
        <v>53</v>
      </c>
    </row>
    <row r="265" spans="2:2" x14ac:dyDescent="0.45">
      <c r="B265">
        <v>118</v>
      </c>
    </row>
    <row r="266" spans="2:2" x14ac:dyDescent="0.45">
      <c r="B266">
        <v>200</v>
      </c>
    </row>
    <row r="267" spans="2:2" x14ac:dyDescent="0.45">
      <c r="B267">
        <v>257</v>
      </c>
    </row>
    <row r="268" spans="2:2" x14ac:dyDescent="0.45">
      <c r="B268">
        <v>391</v>
      </c>
    </row>
    <row r="269" spans="2:2" x14ac:dyDescent="0.45">
      <c r="B269">
        <v>419</v>
      </c>
    </row>
    <row r="270" spans="2:2" x14ac:dyDescent="0.45">
      <c r="B270">
        <v>337</v>
      </c>
    </row>
    <row r="271" spans="2:2" x14ac:dyDescent="0.45">
      <c r="B271">
        <v>166</v>
      </c>
    </row>
    <row r="272" spans="2:2" x14ac:dyDescent="0.45">
      <c r="B272">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F0D40593-D1BF-4C36-88B3-E6E0ECF2693C}">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49</vt:i4>
      </vt:variant>
    </vt:vector>
  </HeadingPairs>
  <TitlesOfParts>
    <vt:vector size="57" baseType="lpstr">
      <vt:lpstr>About</vt:lpstr>
      <vt:lpstr>Inputs</vt:lpstr>
      <vt:lpstr>Pool</vt:lpstr>
      <vt:lpstr>Ceiling</vt:lpstr>
      <vt:lpstr>Results</vt:lpstr>
      <vt:lpstr>ModelRiskDSN</vt:lpstr>
      <vt:lpstr>ModelRiskSYS1</vt:lpstr>
      <vt:lpstr>ModelRiskCharts</vt:lpstr>
      <vt:lpstr>A_1</vt:lpstr>
      <vt:lpstr>A_10</vt:lpstr>
      <vt:lpstr>A_2</vt:lpstr>
      <vt:lpstr>A_3</vt:lpstr>
      <vt:lpstr>A_4</vt:lpstr>
      <vt:lpstr>A_5</vt:lpstr>
      <vt:lpstr>A_6</vt:lpstr>
      <vt:lpstr>A_7</vt:lpstr>
      <vt:lpstr>A_8</vt:lpstr>
      <vt:lpstr>A_9</vt:lpstr>
      <vt:lpstr>B_1</vt:lpstr>
      <vt:lpstr>B_10</vt:lpstr>
      <vt:lpstr>B_2</vt:lpstr>
      <vt:lpstr>B_3</vt:lpstr>
      <vt:lpstr>B_4</vt:lpstr>
      <vt:lpstr>B_5</vt:lpstr>
      <vt:lpstr>B_6</vt:lpstr>
      <vt:lpstr>B_7</vt:lpstr>
      <vt:lpstr>B_8</vt:lpstr>
      <vt:lpstr>B_9</vt:lpstr>
      <vt:lpstr>Checks</vt:lpstr>
      <vt:lpstr>HalfLife</vt:lpstr>
      <vt:lpstr>HalfLife_Hi</vt:lpstr>
      <vt:lpstr>HalfLife_Lo</vt:lpstr>
      <vt:lpstr>HalfLife_Mean</vt:lpstr>
      <vt:lpstr>HalfLife_ML</vt:lpstr>
      <vt:lpstr>InputMeans</vt:lpstr>
      <vt:lpstr>PBuy</vt:lpstr>
      <vt:lpstr>PBuy_Hi</vt:lpstr>
      <vt:lpstr>PBuy_Lo</vt:lpstr>
      <vt:lpstr>PBuy_Mean</vt:lpstr>
      <vt:lpstr>PBuy_ML</vt:lpstr>
      <vt:lpstr>PoolSize</vt:lpstr>
      <vt:lpstr>PoolSize_Hi</vt:lpstr>
      <vt:lpstr>PoolSize_Lo</vt:lpstr>
      <vt:lpstr>PoolSize_ML</vt:lpstr>
      <vt:lpstr>Results!Print_Area</vt:lpstr>
      <vt:lpstr>Inputs!Print_Titles</vt:lpstr>
      <vt:lpstr>Results!Print_Titles</vt:lpstr>
      <vt:lpstr>Refill</vt:lpstr>
      <vt:lpstr>SalesCeiling</vt:lpstr>
      <vt:lpstr>SalesCeiling_Hi</vt:lpstr>
      <vt:lpstr>SalesCeiling_Lo</vt:lpstr>
      <vt:lpstr>SalesCeiling_Mean</vt:lpstr>
      <vt:lpstr>SalesCeiling_ML</vt:lpstr>
      <vt:lpstr>Steady</vt:lpstr>
      <vt:lpstr>TotalA</vt:lpstr>
      <vt:lpstr>TotalB</vt:lpstr>
      <vt:lpstr>Years90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GU-15 Sales in a Limited Market</dc:title>
  <dc:subject>ModelRisk industry example library — General use</dc:subject>
  <dc:creator>Vose Software</dc:creator>
  <cp:keywords>ModelRisk; Monte Carlo; General use</cp:keywords>
  <dc:description>A pool of buyers that runs down, and sales growing to a ceiling: two ways to keep a forecast inside its market.</dc:description>
  <cp:lastModifiedBy>Timour Koupeev</cp:lastModifiedBy>
  <cp:lastPrinted>2026-10-07T14:00:50Z</cp:lastPrinted>
  <dcterms:created xsi:type="dcterms:W3CDTF">2026-10-07T13:59:47Z</dcterms:created>
  <dcterms:modified xsi:type="dcterms:W3CDTF">2026-10-07T14:00:52Z</dcterms:modified>
</cp:coreProperties>
</file>