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General use\"/>
    </mc:Choice>
  </mc:AlternateContent>
  <xr:revisionPtr revIDLastSave="0" documentId="8_{8E9294F9-81E7-44E9-875F-3727955E034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Data" sheetId="3" r:id="rId3"/>
    <sheet name="Forecast" sheetId="4" r:id="rId4"/>
    <sheet name="Results" sheetId="5" r:id="rId5"/>
    <sheet name="ModelRiskDSN" sheetId="6" state="hidden" r:id="rId6"/>
    <sheet name="ModelRiskSYS1" sheetId="7" state="hidden" r:id="rId7"/>
    <sheet name="ModelRiskCharts" sheetId="8" state="hidden" r:id="rId8"/>
  </sheets>
  <definedNames>
    <definedName name="BestLead">Data!$D$31</definedName>
    <definedName name="Checks">Forecast!$D$38:$D$39</definedName>
    <definedName name="ExpTotal">Forecast!$D$34</definedName>
    <definedName name="Fc_1">Forecast!$E$18</definedName>
    <definedName name="Fc_10">Forecast!$E$27</definedName>
    <definedName name="Fc_11">Forecast!$E$28</definedName>
    <definedName name="Fc_2">Forecast!$E$19</definedName>
    <definedName name="Fc_3">Forecast!$E$20</definedName>
    <definedName name="Fc_4">Forecast!$E$21</definedName>
    <definedName name="Fc_5">Forecast!$E$22</definedName>
    <definedName name="Fc_6">Forecast!$E$23</definedName>
    <definedName name="Fc_7">Forecast!$E$24</definedName>
    <definedName name="Fc_8">Forecast!$E$25</definedName>
    <definedName name="Fc_9">Forecast!$E$26</definedName>
    <definedName name="Lead">Inputs!$D$11</definedName>
    <definedName name="LeadTable">Data!$B$10:$B$30</definedName>
    <definedName name="LineIntercept">Forecast!$D$11</definedName>
    <definedName name="LineScatter">Forecast!$D$12</definedName>
    <definedName name="LineSlope">Forecast!$D$10</definedName>
    <definedName name="Pairs">Forecast!$D$8</definedName>
    <definedName name="Permits">Data!$C$37:$C$126</definedName>
    <definedName name="_xlnm.Print_Area" localSheetId="4">Results!$A$1:$R$29</definedName>
    <definedName name="_xlnm.Print_Titles" localSheetId="1">Inputs!$1:$4</definedName>
    <definedName name="_xlnm.Print_Titles" localSheetId="4">Results!$1:$4</definedName>
    <definedName name="RsqLead">Forecast!$D$9</definedName>
    <definedName name="RsqTable">Data!$D$10:$D$30</definedName>
    <definedName name="Sales">Data!$D$37:$D$126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al">Forecast!$D$33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4" l="1" a="1"/>
  <c r="C28" i="4" s="1"/>
  <c r="C27" i="4" a="1"/>
  <c r="C27" i="4" s="1"/>
  <c r="C26" i="4" a="1"/>
  <c r="C26" i="4"/>
  <c r="D26" i="4" s="1"/>
  <c r="C25" i="4" a="1"/>
  <c r="C25" i="4"/>
  <c r="C24" i="4" a="1"/>
  <c r="C24" i="4" s="1"/>
  <c r="C23" i="4" a="1"/>
  <c r="C23" i="4" s="1"/>
  <c r="C22" i="4" a="1"/>
  <c r="C22" i="4"/>
  <c r="C21" i="4" a="1"/>
  <c r="C21" i="4"/>
  <c r="D21" i="4" s="1"/>
  <c r="C20" i="4" a="1"/>
  <c r="C20" i="4" s="1"/>
  <c r="C19" i="4" a="1"/>
  <c r="C19" i="4" s="1"/>
  <c r="D19" i="4" s="1"/>
  <c r="C18" i="4" a="1"/>
  <c r="C18" i="4"/>
  <c r="D13" i="5"/>
  <c r="D38" i="4"/>
  <c r="D12" i="4"/>
  <c r="D15" i="5" s="1"/>
  <c r="D11" i="4"/>
  <c r="D22" i="4" s="1"/>
  <c r="D10" i="4"/>
  <c r="D9" i="4"/>
  <c r="D14" i="5" s="1"/>
  <c r="D8" i="4"/>
  <c r="D30" i="3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E21" i="4" a="1"/>
  <c r="E22" i="4" a="1"/>
  <c r="E19" i="4" a="1"/>
  <c r="E26" i="4" a="1"/>
  <c r="D31" i="3" l="1"/>
  <c r="D24" i="4"/>
  <c r="D27" i="4"/>
  <c r="E26" i="4"/>
  <c r="E19" i="4"/>
  <c r="E22" i="4"/>
  <c r="E21" i="4"/>
  <c r="D20" i="4"/>
  <c r="D18" i="4"/>
  <c r="D23" i="4"/>
  <c r="D28" i="4"/>
  <c r="D25" i="4"/>
  <c r="E24" i="4" a="1"/>
  <c r="E27" i="4" a="1"/>
  <c r="F36" i="5" a="1"/>
  <c r="E36" i="5" a="1"/>
  <c r="D36" i="5" a="1"/>
  <c r="C36" i="5" a="1"/>
  <c r="E38" i="5" a="1"/>
  <c r="F38" i="5" a="1"/>
  <c r="D38" i="5" a="1"/>
  <c r="C38" i="5" a="1"/>
  <c r="F43" i="5" a="1"/>
  <c r="E43" i="5" a="1"/>
  <c r="D43" i="5" a="1"/>
  <c r="C43" i="5" a="1"/>
  <c r="D39" i="5" a="1"/>
  <c r="C39" i="5" a="1"/>
  <c r="E39" i="5" a="1"/>
  <c r="F39" i="5" a="1"/>
  <c r="E23" i="4" a="1"/>
  <c r="E25" i="4" a="1"/>
  <c r="E28" i="4" a="1"/>
  <c r="E18" i="4" a="1"/>
  <c r="E20" i="4" a="1"/>
  <c r="E27" i="4" l="1"/>
  <c r="E24" i="4"/>
  <c r="D12" i="5"/>
  <c r="D39" i="4"/>
  <c r="B7" i="5" s="1"/>
  <c r="F39" i="5"/>
  <c r="E39" i="5"/>
  <c r="C39" i="5"/>
  <c r="D39" i="5"/>
  <c r="C43" i="5"/>
  <c r="D43" i="5"/>
  <c r="E43" i="5"/>
  <c r="F43" i="5"/>
  <c r="C38" i="5"/>
  <c r="D38" i="5"/>
  <c r="F38" i="5"/>
  <c r="E38" i="5"/>
  <c r="C36" i="5"/>
  <c r="D36" i="5"/>
  <c r="E36" i="5"/>
  <c r="F36" i="5"/>
  <c r="E20" i="4"/>
  <c r="E18" i="4"/>
  <c r="E28" i="4"/>
  <c r="E25" i="4"/>
  <c r="E23" i="4"/>
  <c r="D34" i="4"/>
  <c r="D44" i="5" a="1"/>
  <c r="F44" i="5" a="1"/>
  <c r="E44" i="5" a="1"/>
  <c r="C44" i="5" a="1"/>
  <c r="F41" i="5" a="1"/>
  <c r="C41" i="5" a="1"/>
  <c r="E41" i="5" a="1"/>
  <c r="D41" i="5" a="1"/>
  <c r="D37" i="5" a="1"/>
  <c r="E37" i="5" a="1"/>
  <c r="C37" i="5" a="1"/>
  <c r="F37" i="5" a="1"/>
  <c r="F45" i="5" a="1"/>
  <c r="D45" i="5" a="1"/>
  <c r="C45" i="5" a="1"/>
  <c r="D21" i="5" a="1"/>
  <c r="E21" i="5" a="1"/>
  <c r="F21" i="5" a="1"/>
  <c r="G21" i="5" a="1"/>
  <c r="E45" i="5" a="1"/>
  <c r="D35" i="5" a="1"/>
  <c r="F19" i="5" a="1"/>
  <c r="C35" i="5" a="1"/>
  <c r="D19" i="5" a="1"/>
  <c r="G19" i="5" a="1"/>
  <c r="E19" i="5" a="1"/>
  <c r="E35" i="5" a="1"/>
  <c r="F35" i="5" a="1"/>
  <c r="D42" i="5" a="1"/>
  <c r="E42" i="5" a="1"/>
  <c r="F42" i="5" a="1"/>
  <c r="C42" i="5" a="1"/>
  <c r="D20" i="5" a="1"/>
  <c r="F20" i="5" a="1"/>
  <c r="D40" i="5" a="1"/>
  <c r="E40" i="5" a="1"/>
  <c r="E20" i="5" a="1"/>
  <c r="G20" i="5" a="1"/>
  <c r="C40" i="5" a="1"/>
  <c r="F40" i="5" a="1"/>
  <c r="D41" i="5" l="1"/>
  <c r="E41" i="5"/>
  <c r="C41" i="5"/>
  <c r="F41" i="5"/>
  <c r="C44" i="5"/>
  <c r="E44" i="5"/>
  <c r="F44" i="5"/>
  <c r="D44" i="5"/>
  <c r="F40" i="5"/>
  <c r="C40" i="5"/>
  <c r="G20" i="5"/>
  <c r="E20" i="5"/>
  <c r="E40" i="5"/>
  <c r="D40" i="5"/>
  <c r="F20" i="5"/>
  <c r="D20" i="5"/>
  <c r="C42" i="5"/>
  <c r="F42" i="5"/>
  <c r="E42" i="5"/>
  <c r="D42" i="5"/>
  <c r="F35" i="5"/>
  <c r="E35" i="5"/>
  <c r="E19" i="5"/>
  <c r="G19" i="5"/>
  <c r="D19" i="5"/>
  <c r="C35" i="5"/>
  <c r="F19" i="5"/>
  <c r="D35" i="5"/>
  <c r="E45" i="5"/>
  <c r="G21" i="5"/>
  <c r="F21" i="5"/>
  <c r="E21" i="5"/>
  <c r="D21" i="5"/>
  <c r="C45" i="5"/>
  <c r="D45" i="5"/>
  <c r="F45" i="5"/>
  <c r="F37" i="5"/>
  <c r="C37" i="5"/>
  <c r="E37" i="5"/>
  <c r="D37" i="5"/>
  <c r="D33" i="4" a="1"/>
  <c r="D33" i="4" s="1"/>
  <c r="G22" i="5" a="1"/>
  <c r="D22" i="5" a="1"/>
  <c r="F22" i="5" a="1"/>
  <c r="E22" i="5" a="1"/>
  <c r="B6" i="5" a="1"/>
  <c r="B6" i="5" l="1"/>
  <c r="E22" i="5"/>
  <c r="F22" i="5"/>
  <c r="D22" i="5"/>
  <c r="G2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<sst xmlns="http://schemas.openxmlformats.org/spreadsheetml/2006/main" count="235" uniqueCount="199">
  <si>
    <t>Forecast from a Leading Indicator</t>
  </si>
  <si>
    <t>ModelRisk example  ·  General use  ·  GU-14</t>
  </si>
  <si>
    <t>Can this year's building permits forecast next year's cement sales?  A forecast from a leading indicator.</t>
  </si>
  <si>
    <t>Next:  Inputs  ▸</t>
  </si>
  <si>
    <t>Model card</t>
  </si>
  <si>
    <t>Industry</t>
  </si>
  <si>
    <t>General use</t>
  </si>
  <si>
    <t>Difficulty</t>
  </si>
  <si>
    <t>★★☆☆☆   A regression on a lagged indicator: find the lead, fit the line, forecast with the residual scatter.</t>
  </si>
  <si>
    <t>Business question</t>
  </si>
  <si>
    <t>A cement supplier has 90 months of its sales and of building permits issued in its region. Permits seem to lead sales by about a year. How long is the lead, how good is the relationship, and what do the permits already issued say about sales over the next eleven months?</t>
  </si>
  <si>
    <t>Who it is for</t>
  </si>
  <si>
    <t>Forecasters with an indicator that moves ahead of the quantity they need: orders, permits, enquiries, claims notified.</t>
  </si>
  <si>
    <t>Main outputs</t>
  </si>
  <si>
    <t>R² of the relationship for every lead from 0 to 20 months · the fitted line and its scatter · sales in each of the next eleven months at P10 / median / P90, and their total.</t>
  </si>
  <si>
    <t>ModelRisk techniques</t>
  </si>
  <si>
    <t>Lagged regression with INDEX-defined ranges (RSQ, SLOPE, INTERCEPT, STEYX) · the lead chosen by the highest R² · forecasts VoseNormal(slope × X(t − lead) + intercept, STEYX) using indicator values already observed · an output range for the forecast.</t>
  </si>
  <si>
    <t>File</t>
  </si>
  <si>
    <t>GU-14 Forecast from a leading indicator  ·  Version 1.0  ·  October 2026  ·  re-issues the example Leading Indicator  ·  built with ModelRisk 10</t>
  </si>
  <si>
    <t>The business question</t>
  </si>
  <si>
    <t>A cement supplier wants to plan its production for the coming year. Construction starts a while after a building permit is issued, so permits ought to tell it something about future cement sales. It has 90 months of both. Comparing sales with permits issued 0 to 20 months earlier shows one lead that fits far better than the others: sales follow permits by about eleven months. A straight line through those pairs explains most of the variation in sales, and because the permits for the next eleven months' sales have already been issued, they give a forecast with only the line's scatter as uncertainty.</t>
  </si>
  <si>
    <t>How the model works</t>
  </si>
  <si>
    <t>Four sheets after this one, read from left to right. Each one feeds the next.</t>
  </si>
  <si>
    <t>1  Inputs</t>
  </si>
  <si>
    <t>The lead in months, chosen from the table of R² on the Data sheet (11 for these data).</t>
  </si>
  <si>
    <t>2  Data</t>
  </si>
  <si>
    <t>The history, and for every lead from 0 to 20 the R² between permits and the sales that many months later. INDEX picks the matching ranges, so the table needs no OFFSET.</t>
  </si>
  <si>
    <t>3  Forecast</t>
  </si>
  <si>
    <t>SLOPE, INTERCEPT and STEYX of sales on permits at the chosen lead; each forecast month's sales are VoseNormal(slope × the permits issued 'lead' months earlier + intercept, STEYX).</t>
  </si>
  <si>
    <t>4  Results</t>
  </si>
  <si>
    <t>The best lead and its R², the fitted line, and the forecast's percentiles and band.</t>
  </si>
  <si>
    <t>How to use it</t>
  </si>
  <si>
    <t>Step 1</t>
  </si>
  <si>
    <t>Replace the history on the Data sheet with your own indicator and quantity.</t>
  </si>
  <si>
    <t>Step 2</t>
  </si>
  <si>
    <t>Read the R² table, and set the lead with the highest R² on the Inputs sheet (11 or more for this layout).</t>
  </si>
  <si>
    <t>Step 3</t>
  </si>
  <si>
    <t>Run a simulation from the ModelRisk ribbon (10,000 samples with a fixed seed are set).</t>
  </si>
  <si>
    <t>Step 4</t>
  </si>
  <si>
    <t>Plan on the band, not the line: the scatter around the line is the forecast's uncertainty.</t>
  </si>
  <si>
    <t>Workbook map</t>
  </si>
  <si>
    <t>Inputs</t>
  </si>
  <si>
    <t>The lead.</t>
  </si>
  <si>
    <t>Data</t>
  </si>
  <si>
    <t>History and R² for every lead, with a chart.</t>
  </si>
  <si>
    <t>Forecast</t>
  </si>
  <si>
    <t>The fitted line and the next eleven months; outputs and checks.</t>
  </si>
  <si>
    <t>Results</t>
  </si>
  <si>
    <t>Lead, fit and forecast.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</si>
  <si>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</si>
  <si>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</si>
  <si>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</si>
  <si>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</si>
  <si>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</si>
  <si>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</si>
  <si>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</si>
  <si>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</si>
  <si>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</si>
  <si>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</si>
  <si>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</si>
  <si>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</si>
  <si>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Permits</t>
  </si>
  <si>
    <t>Building permits issued per month.</t>
  </si>
  <si>
    <t>Sales</t>
  </si>
  <si>
    <t>Cement sales, thousand tonnes per month.</t>
  </si>
  <si>
    <t>Lead</t>
  </si>
  <si>
    <t>Sales in month t are compared with permits in month t − lead.</t>
  </si>
  <si>
    <t>Months</t>
  </si>
  <si>
    <t>Month 0 is the last month of data; months 1 to 11 are forecast.</t>
  </si>
  <si>
    <t>Key assumptions and limitations</t>
  </si>
  <si>
    <t>Linear</t>
  </si>
  <si>
    <t>Sales are a straight-line function of permits issued 'lead' months earlier, plus Normal scatter.</t>
  </si>
  <si>
    <t>Stable</t>
  </si>
  <si>
    <t>The relationship and the lead stay as they were over the 90 months.</t>
  </si>
  <si>
    <t>Known parameters</t>
  </si>
  <si>
    <t>The line's slope and intercept are taken as known: with 79 pairs and R² near 0.97 their uncertainty is small next to the scatter.</t>
  </si>
  <si>
    <t>The 90 months of data are those of ModelRisk's earlier Leading Indicator example.</t>
  </si>
  <si>
    <t>ModelRisk functions used</t>
  </si>
  <si>
    <t>RSQ, SLOPE, INTERCEPT, STEYX  (Excel)</t>
  </si>
  <si>
    <t>The relationship's strength, its line and the scatter around it.</t>
  </si>
  <si>
    <t>VoseNormal</t>
  </si>
  <si>
    <t>Each forecast month's sales around the line.</t>
  </si>
  <si>
    <t>VoseOutput</t>
  </si>
  <si>
    <t>The eleven forecast months as an output range, and their total.</t>
  </si>
  <si>
    <t>VoseSimPercentile</t>
  </si>
  <si>
    <t>The forecast's percentiles and band.</t>
  </si>
  <si>
    <t>Further reading</t>
  </si>
  <si>
    <t>Leading indicators</t>
  </si>
  <si>
    <t>Vose, D. (2008). Risk Analysis: A Quantitative Guide, 3rd edition. Wiley: forecasting with leading indicators.</t>
  </si>
  <si>
    <t>© 2026 Vose Software   ·   www.vosesoftware.com   ·   An illustrative example: the figures are invented for teaching and do not describe a real company, project or asset.</t>
  </si>
  <si>
    <t>INPUTS   ·   The lead. The history is on the Data sheet. Change only the yellow cells.</t>
  </si>
  <si>
    <t>◂  About</t>
  </si>
  <si>
    <t>Next:  Data  ▸</t>
  </si>
  <si>
    <t>How to read this sheet:  yellow cells are inputs.</t>
  </si>
  <si>
    <t>1   The lead</t>
  </si>
  <si>
    <t>How many months sales follow permits. Read it from the R² table on the Data sheet.</t>
  </si>
  <si>
    <t>Assumption</t>
  </si>
  <si>
    <t>Unit</t>
  </si>
  <si>
    <t>Value in model</t>
  </si>
  <si>
    <t>Uncertainty</t>
  </si>
  <si>
    <t>Basis / source (illustrative)</t>
  </si>
  <si>
    <t>Lead used for the forecast</t>
  </si>
  <si>
    <t>months</t>
  </si>
  <si>
    <t>Fixed</t>
  </si>
  <si>
    <t>The highest R² for these data. The forecast table needs a lead of at least 11.</t>
  </si>
  <si>
    <t>DATA   ·   90 months of building permits and cement sales, and how well permits predict sales at every lead.</t>
  </si>
  <si>
    <t>◂  Inputs</t>
  </si>
  <si>
    <t>Next:  Forecast  ▸</t>
  </si>
  <si>
    <t>1   How well permits predict sales, lead by lead</t>
  </si>
  <si>
    <t>R² between permits in month t and sales in month t + lead, for every lead from 0 to 20 months.</t>
  </si>
  <si>
    <t>Pairs</t>
  </si>
  <si>
    <t>R²</t>
  </si>
  <si>
    <t>How it is calculated</t>
  </si>
  <si>
    <t>R² = RSQ(sales from month lead + 1 on, permits up to month 90 − lead)</t>
  </si>
  <si>
    <t>INDEX(range, a):INDEX(range, b) picks the matching part of each column</t>
  </si>
  <si>
    <t>The highest R² (green) marks the lead</t>
  </si>
  <si>
    <t>Best lead</t>
  </si>
  <si>
    <t>2   History</t>
  </si>
  <si>
    <t>Yellow cells are inputs: 90 months of permits and sales. Month 0 is the latest.</t>
  </si>
  <si>
    <t>Month</t>
  </si>
  <si>
    <t>per month</t>
  </si>
  <si>
    <t>kt per month</t>
  </si>
  <si>
    <t>FORECAST   ·   The line at the chosen lead, and the next eleven months of sales.</t>
  </si>
  <si>
    <t>◂  Data</t>
  </si>
  <si>
    <t>Next:  Results  ▸</t>
  </si>
  <si>
    <t>1   The fitted line</t>
  </si>
  <si>
    <t>Sales in month t against permits in month t − lead, over every pair the history allows.</t>
  </si>
  <si>
    <t>Pairs of months used</t>
  </si>
  <si>
    <t>pairs</t>
  </si>
  <si>
    <t>Share of the variation in sales the line explains</t>
  </si>
  <si>
    <t>Slope</t>
  </si>
  <si>
    <t>kt per permit</t>
  </si>
  <si>
    <t>SLOPE, INTERCEPT and STEYX of the same pairs</t>
  </si>
  <si>
    <t>Intercept</t>
  </si>
  <si>
    <t>kt</t>
  </si>
  <si>
    <t>Standard error of a forecast month  (STEYX)</t>
  </si>
  <si>
    <t>The scatter of sales around the line</t>
  </si>
  <si>
    <t>2   The next eleven months</t>
  </si>
  <si>
    <t>Each month's sales: the line at the permits issued 'lead' months earlier, plus Normal scatter.</t>
  </si>
  <si>
    <t>Permits used</t>
  </si>
  <si>
    <t>Expected sales</t>
  </si>
  <si>
    <t>this iteration</t>
  </si>
  <si>
    <t>Permits used: issued 'lead' months before this month (already known)</t>
  </si>
  <si>
    <t>Expected sales = slope × permits used + intercept</t>
  </si>
  <si>
    <t>Sales = VoseNormal(expected, STEYX), an output range 'Sales forecast'</t>
  </si>
  <si>
    <t>3   Value in this iteration</t>
  </si>
  <si>
    <t>Key outputs, recorded by ModelRisk at every sample (VoseOutput). Their statistics appear on the Results sheet.</t>
  </si>
  <si>
    <t>Output</t>
  </si>
  <si>
    <t>Value</t>
  </si>
  <si>
    <t>Meaning</t>
  </si>
  <si>
    <t>Sales over the eleven months</t>
  </si>
  <si>
    <t>Expected sales over the eleven months</t>
  </si>
  <si>
    <t>The line alone.</t>
  </si>
  <si>
    <t>4   Model checks</t>
  </si>
  <si>
    <t>Should all read OK. A CHECK means an input has been set outside the range the model is built for.</t>
  </si>
  <si>
    <t>The lead is at least 11, so the permits used are already known</t>
  </si>
  <si>
    <t>The lead used has the highest R² in the table</t>
  </si>
  <si>
    <t>RESULTS   ·   Filled in automatically from the last simulation. Run a simulation after changing any input.</t>
  </si>
  <si>
    <t>◂  Forecast</t>
  </si>
  <si>
    <t>1   The lead and the line</t>
  </si>
  <si>
    <t>Cement sales forecast — 10th / 50th / 90th percentile band</t>
  </si>
  <si>
    <t>From the Data and Forecast sheets.</t>
  </si>
  <si>
    <t>Measure</t>
  </si>
  <si>
    <t>Lead with the highest R²</t>
  </si>
  <si>
    <t>Lead used  (Inputs sheet)</t>
  </si>
  <si>
    <t>R² at the lead used</t>
  </si>
  <si>
    <t>Standard error of a forecast month</t>
  </si>
  <si>
    <t>2   Sales forecast</t>
  </si>
  <si>
    <t>Sales in months 1, 6 and 11, and over all eleven.</t>
  </si>
  <si>
    <t>10th pct</t>
  </si>
  <si>
    <t>Median</t>
  </si>
  <si>
    <t>90th pct</t>
  </si>
  <si>
    <t>Mean</t>
  </si>
  <si>
    <t>Month 1</t>
  </si>
  <si>
    <t>Month 6</t>
  </si>
  <si>
    <t>Month 11</t>
  </si>
  <si>
    <t>Eleven months</t>
  </si>
  <si>
    <t>3   How to read these results</t>
  </si>
  <si>
    <t>•  R² rises to about 0.97 at a lead of eleven months and falls away on both sides: sales follow permits by about a year, and at the right lead the line explains almost all of their variation.</t>
  </si>
  <si>
    <t>•  Because the permits for the next eleven months' sales have already been issued, the forecast needs no forecast of the indicator: its only uncertainty is the scatter around the line, about 0.16 kt a month.</t>
  </si>
  <si>
    <t>•  Permits rose steeply over the last year, so the line forecasts sales rising from about 5.2 to about 6.5 kt a month: a jump from the 4.5 to 5 kt of recent months that the permits already issued make likely.</t>
  </si>
  <si>
    <t>•  Beyond eleven months the permits are not yet known; a longer forecast would need a forecast of permits, with its own uncertainty.</t>
  </si>
  <si>
    <t>Chart data</t>
  </si>
  <si>
    <t>Statistics of the last simulation behind the charts and the ranking above. Grouped: click + in the left margin to show them.</t>
  </si>
  <si>
    <t>Period</t>
  </si>
  <si>
    <t>10th percentile</t>
  </si>
  <si>
    <t>90th percentile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</si>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</sst>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_);\(#,##0.0\);&quot;–&quot;_)"/>
    <numFmt numFmtId="166" formatCode="0.000000"/>
    <numFmt numFmtId="167" formatCode="0.0000"/>
    <numFmt numFmtId="168" formatCode="0.00;\-0.00;0.00;&quot;–&quot;"/>
    <numFmt numFmtId="169" formatCode="#,##0.0_);\(#,##0.0\);&quot;–&quot;_);&quot;–&quot;"/>
  </numFmts>
  <fonts count="23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b/>
      <sz val="10"/>
      <color rgb="FF15803D"/>
      <name val="Calibri"/>
    </font>
    <font>
      <sz val="10"/>
      <color rgb="FF3F5876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1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2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8" fillId="0" borderId="0" xfId="0" applyFont="1" applyAlignment="1">
      <alignment horizontal="left" vertical="center" indent="1"/>
    </xf>
    <xf numFmtId="165" fontId="1" fillId="2" borderId="7" xfId="1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5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22" fillId="0" borderId="5" xfId="0" applyFont="1" applyBorder="1"/>
    <xf numFmtId="0" fontId="11" fillId="0" borderId="6" xfId="0" applyFont="1" applyBorder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21" fillId="0" borderId="0" xfId="0" applyFont="1" applyAlignment="1">
      <alignment horizontal="left" vertical="center" indent="1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5"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15803D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R²</c:v>
          </c:tx>
          <c:spPr>
            <a:ln w="220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Data!$B$10:$B$30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Data!$D$10:$D$30</c:f>
              <c:numCache>
                <c:formatCode>0.000</c:formatCode>
                <c:ptCount val="21"/>
                <c:pt idx="0">
                  <c:v>1.4427504145325649E-4</c:v>
                </c:pt>
                <c:pt idx="1">
                  <c:v>4.5067159538661195E-3</c:v>
                </c:pt>
                <c:pt idx="2">
                  <c:v>1.8044432474466104E-2</c:v>
                </c:pt>
                <c:pt idx="3">
                  <c:v>4.7861421729018416E-2</c:v>
                </c:pt>
                <c:pt idx="4">
                  <c:v>9.6007485953366764E-2</c:v>
                </c:pt>
                <c:pt idx="5">
                  <c:v>0.14739103495179132</c:v>
                </c:pt>
                <c:pt idx="6">
                  <c:v>0.23823874226790759</c:v>
                </c:pt>
                <c:pt idx="7">
                  <c:v>0.36265444375960926</c:v>
                </c:pt>
                <c:pt idx="8">
                  <c:v>0.52604581881851986</c:v>
                </c:pt>
                <c:pt idx="9">
                  <c:v>0.68951763505087182</c:v>
                </c:pt>
                <c:pt idx="10">
                  <c:v>0.84795418612152085</c:v>
                </c:pt>
                <c:pt idx="11">
                  <c:v>0.97149230158392497</c:v>
                </c:pt>
                <c:pt idx="12">
                  <c:v>0.86055076699825361</c:v>
                </c:pt>
                <c:pt idx="13">
                  <c:v>0.72599078024639241</c:v>
                </c:pt>
                <c:pt idx="14">
                  <c:v>0.57400915127838958</c:v>
                </c:pt>
                <c:pt idx="15">
                  <c:v>0.39978270844805858</c:v>
                </c:pt>
                <c:pt idx="16">
                  <c:v>0.24487389556613567</c:v>
                </c:pt>
                <c:pt idx="17">
                  <c:v>0.14520872084850461</c:v>
                </c:pt>
                <c:pt idx="18">
                  <c:v>7.5299124947491983E-2</c:v>
                </c:pt>
                <c:pt idx="19">
                  <c:v>3.666312759086577E-2</c:v>
                </c:pt>
                <c:pt idx="20">
                  <c:v>1.2349379264472087E-2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C7-4679-958C-F69921368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Lead (months)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R²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0"/>
        <c:crosses val="min"/>
        <c:crossBetween val="midCat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90th percentile</c:v>
          </c:tx>
          <c:spPr>
            <a:ln w="15875">
              <a:solidFill>
                <a:srgbClr val="0E4F92"/>
              </a:solidFill>
              <a:prstDash val="dash"/>
            </a:ln>
          </c:spPr>
          <c:marker>
            <c:symbol val="none"/>
          </c:marker>
          <c:cat>
            <c:strRef>
              <c:f>Results!$B$35:$B$45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Results!$E$35:$E$45</c:f>
              <c:numCache>
                <c:formatCode>#,##0.00</c:formatCode>
                <c:ptCount val="11"/>
                <c:pt idx="0">
                  <c:v>5.4564238372618439</c:v>
                </c:pt>
                <c:pt idx="1">
                  <c:v>5.3333877901913009</c:v>
                </c:pt>
                <c:pt idx="2">
                  <c:v>5.6671554871309011</c:v>
                </c:pt>
                <c:pt idx="3">
                  <c:v>5.4787165467871981</c:v>
                </c:pt>
                <c:pt idx="4">
                  <c:v>5.6649741974461483</c:v>
                </c:pt>
                <c:pt idx="5">
                  <c:v>5.8303179405777907</c:v>
                </c:pt>
                <c:pt idx="6">
                  <c:v>5.9193356354215254</c:v>
                </c:pt>
                <c:pt idx="7">
                  <c:v>6.3156431234822961</c:v>
                </c:pt>
                <c:pt idx="8">
                  <c:v>6.5201018334604059</c:v>
                </c:pt>
                <c:pt idx="9">
                  <c:v>6.7698873436026492</c:v>
                </c:pt>
                <c:pt idx="10">
                  <c:v>6.693297273547234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D-4978-A2BC-1D9678477BCF}"/>
            </c:ext>
          </c:extLst>
        </c:ser>
        <c:ser>
          <c:idx val="1"/>
          <c:order val="1"/>
          <c:tx>
            <c:v>Median</c:v>
          </c:tx>
          <c:spPr>
            <a:ln w="28575">
              <a:solidFill>
                <a:srgbClr val="0E4F92"/>
              </a:solidFill>
              <a:prstDash val="solid"/>
            </a:ln>
          </c:spPr>
          <c:marker>
            <c:symbol val="none"/>
          </c:marker>
          <c:cat>
            <c:strRef>
              <c:f>Results!$B$35:$B$45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Results!$D$35:$D$45</c:f>
              <c:numCache>
                <c:formatCode>#,##0.00</c:formatCode>
                <c:ptCount val="11"/>
                <c:pt idx="0">
                  <c:v>5.2421972983662251</c:v>
                </c:pt>
                <c:pt idx="1">
                  <c:v>5.1220312359599509</c:v>
                </c:pt>
                <c:pt idx="2">
                  <c:v>5.4554504395332692</c:v>
                </c:pt>
                <c:pt idx="3">
                  <c:v>5.2694781982975671</c:v>
                </c:pt>
                <c:pt idx="4">
                  <c:v>5.4615799139368955</c:v>
                </c:pt>
                <c:pt idx="5">
                  <c:v>5.6205785607185943</c:v>
                </c:pt>
                <c:pt idx="6">
                  <c:v>5.7075975717972902</c:v>
                </c:pt>
                <c:pt idx="7">
                  <c:v>6.1070034813569043</c:v>
                </c:pt>
                <c:pt idx="8">
                  <c:v>6.3064232828886562</c:v>
                </c:pt>
                <c:pt idx="9">
                  <c:v>6.5548722466745977</c:v>
                </c:pt>
                <c:pt idx="10">
                  <c:v>6.4818202131361602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D-4978-A2BC-1D9678477BCF}"/>
            </c:ext>
          </c:extLst>
        </c:ser>
        <c:ser>
          <c:idx val="2"/>
          <c:order val="2"/>
          <c:tx>
            <c:v>Mean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strRef>
              <c:f>Results!$B$35:$B$45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Results!$F$35:$F$45</c:f>
              <c:numCache>
                <c:formatCode>#,##0.00</c:formatCode>
                <c:ptCount val="11"/>
                <c:pt idx="0">
                  <c:v>5.2424141406112561</c:v>
                </c:pt>
                <c:pt idx="1">
                  <c:v>5.121908858103704</c:v>
                </c:pt>
                <c:pt idx="2">
                  <c:v>5.4560658912705966</c:v>
                </c:pt>
                <c:pt idx="3">
                  <c:v>5.2680549108870682</c:v>
                </c:pt>
                <c:pt idx="4">
                  <c:v>5.4600108716622495</c:v>
                </c:pt>
                <c:pt idx="5">
                  <c:v>5.6200068316099339</c:v>
                </c:pt>
                <c:pt idx="6">
                  <c:v>5.7088665503777944</c:v>
                </c:pt>
                <c:pt idx="7">
                  <c:v>6.1060275329879836</c:v>
                </c:pt>
                <c:pt idx="8">
                  <c:v>6.3100651544339241</c:v>
                </c:pt>
                <c:pt idx="9">
                  <c:v>6.5558977936526341</c:v>
                </c:pt>
                <c:pt idx="10">
                  <c:v>6.4832085758522577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7D-4978-A2BC-1D9678477BCF}"/>
            </c:ext>
          </c:extLst>
        </c:ser>
        <c:ser>
          <c:idx val="3"/>
          <c:order val="3"/>
          <c:tx>
            <c:v>10th percentile</c:v>
          </c:tx>
          <c:spPr>
            <a:ln w="15875">
              <a:solidFill>
                <a:srgbClr val="0E4F92"/>
              </a:solidFill>
              <a:prstDash val="dash"/>
            </a:ln>
          </c:spPr>
          <c:marker>
            <c:symbol val="none"/>
          </c:marker>
          <c:cat>
            <c:strRef>
              <c:f>Results!$B$35:$B$45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strCache>
            </c:strRef>
          </c:cat>
          <c:val>
            <c:numRef>
              <c:f>Results!$C$35:$C$45</c:f>
              <c:numCache>
                <c:formatCode>#,##0.00</c:formatCode>
                <c:ptCount val="11"/>
                <c:pt idx="0">
                  <c:v>5.0283174446370991</c:v>
                </c:pt>
                <c:pt idx="1">
                  <c:v>4.9074537614882088</c:v>
                </c:pt>
                <c:pt idx="2">
                  <c:v>5.2424748125360852</c:v>
                </c:pt>
                <c:pt idx="3">
                  <c:v>5.056155446809373</c:v>
                </c:pt>
                <c:pt idx="4">
                  <c:v>5.2540803053724643</c:v>
                </c:pt>
                <c:pt idx="5">
                  <c:v>5.4133619189641422</c:v>
                </c:pt>
                <c:pt idx="6">
                  <c:v>5.5002284414822524</c:v>
                </c:pt>
                <c:pt idx="7">
                  <c:v>5.8939345102332146</c:v>
                </c:pt>
                <c:pt idx="8">
                  <c:v>6.1035247361128411</c:v>
                </c:pt>
                <c:pt idx="9">
                  <c:v>6.3457131159713995</c:v>
                </c:pt>
                <c:pt idx="10">
                  <c:v>6.2722743140046511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7D-4978-A2BC-1D9678477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(kt per month)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</xdr:row>
      <xdr:rowOff>0</xdr:rowOff>
    </xdr:from>
    <xdr:ext cx="4680000" cy="230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57" t="s">
        <v>20</v>
      </c>
      <c r="C16" s="58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x14ac:dyDescent="0.45">
      <c r="B31" s="9" t="s">
        <v>29</v>
      </c>
      <c r="C31" s="10" t="s">
        <v>30</v>
      </c>
    </row>
    <row r="32" spans="2:3" ht="12" customHeight="1" x14ac:dyDescent="0.45"/>
    <row r="33" spans="2:3" ht="22.05" customHeight="1" x14ac:dyDescent="0.5">
      <c r="B33" s="7" t="s">
        <v>31</v>
      </c>
      <c r="C33" s="8"/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ht="12" customHeight="1" x14ac:dyDescent="0.45"/>
    <row r="39" spans="2:3" ht="22.05" customHeight="1" x14ac:dyDescent="0.5">
      <c r="B39" s="7" t="s">
        <v>40</v>
      </c>
      <c r="C39" s="8"/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x14ac:dyDescent="0.45">
      <c r="B43" s="14" t="s">
        <v>47</v>
      </c>
      <c r="C43" s="10" t="s">
        <v>48</v>
      </c>
    </row>
    <row r="44" spans="2:3" ht="12" customHeight="1" x14ac:dyDescent="0.45"/>
    <row r="45" spans="2:3" ht="22.05" customHeight="1" x14ac:dyDescent="0.5">
      <c r="B45" s="7" t="s">
        <v>49</v>
      </c>
      <c r="C45" s="8"/>
    </row>
    <row r="46" spans="2:3" x14ac:dyDescent="0.45">
      <c r="B46" s="15" t="s">
        <v>50</v>
      </c>
      <c r="C46" s="12" t="s">
        <v>51</v>
      </c>
    </row>
    <row r="47" spans="2:3" x14ac:dyDescent="0.45">
      <c r="B47" s="16" t="s">
        <v>52</v>
      </c>
      <c r="C47" s="12" t="s">
        <v>53</v>
      </c>
    </row>
    <row r="48" spans="2:3" x14ac:dyDescent="0.45">
      <c r="B48" s="17" t="s">
        <v>54</v>
      </c>
      <c r="C48" s="12" t="s">
        <v>55</v>
      </c>
    </row>
    <row r="49" spans="2:3" x14ac:dyDescent="0.45">
      <c r="B49" s="18" t="s">
        <v>56</v>
      </c>
      <c r="C49" s="12" t="s">
        <v>57</v>
      </c>
    </row>
    <row r="50" spans="2:3" x14ac:dyDescent="0.45">
      <c r="B50" s="19" t="s">
        <v>58</v>
      </c>
      <c r="C50" s="12" t="s">
        <v>59</v>
      </c>
    </row>
    <row r="51" spans="2:3" ht="12" customHeight="1" x14ac:dyDescent="0.45"/>
    <row r="52" spans="2:3" ht="22.05" customHeight="1" x14ac:dyDescent="0.5">
      <c r="B52" s="7" t="s">
        <v>60</v>
      </c>
      <c r="C52" s="8"/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x14ac:dyDescent="0.45">
      <c r="B56" s="9" t="s">
        <v>67</v>
      </c>
      <c r="C56" s="10" t="s">
        <v>68</v>
      </c>
    </row>
    <row r="57" spans="2:3" ht="12" customHeight="1" x14ac:dyDescent="0.45"/>
    <row r="58" spans="2:3" ht="22.05" customHeight="1" x14ac:dyDescent="0.5">
      <c r="B58" s="7" t="s">
        <v>69</v>
      </c>
      <c r="C58" s="8"/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x14ac:dyDescent="0.45">
      <c r="B62" s="9" t="s">
        <v>43</v>
      </c>
      <c r="C62" s="10" t="s">
        <v>76</v>
      </c>
    </row>
    <row r="63" spans="2:3" ht="12" customHeight="1" x14ac:dyDescent="0.45"/>
    <row r="64" spans="2:3" ht="22.05" customHeight="1" x14ac:dyDescent="0.5">
      <c r="B64" s="7" t="s">
        <v>77</v>
      </c>
      <c r="C64" s="8"/>
    </row>
    <row r="65" spans="2:3" ht="26.25" x14ac:dyDescent="0.45">
      <c r="B65" s="20" t="s">
        <v>78</v>
      </c>
      <c r="C65" s="10" t="s">
        <v>79</v>
      </c>
    </row>
    <row r="66" spans="2:3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x14ac:dyDescent="0.45">
      <c r="B68" s="20" t="s">
        <v>84</v>
      </c>
      <c r="C68" s="10" t="s">
        <v>85</v>
      </c>
    </row>
    <row r="69" spans="2:3" ht="12" customHeight="1" x14ac:dyDescent="0.45"/>
    <row r="70" spans="2:3" ht="22.05" customHeight="1" x14ac:dyDescent="0.5">
      <c r="B70" s="7" t="s">
        <v>86</v>
      </c>
      <c r="C70" s="8"/>
    </row>
    <row r="71" spans="2:3" x14ac:dyDescent="0.45">
      <c r="B71" s="9" t="s">
        <v>87</v>
      </c>
      <c r="C71" s="10" t="s">
        <v>88</v>
      </c>
    </row>
    <row r="72" spans="2:3" ht="16.05" customHeight="1" x14ac:dyDescent="0.45"/>
    <row r="73" spans="2:3" x14ac:dyDescent="0.45">
      <c r="B73" s="59" t="s">
        <v>89</v>
      </c>
      <c r="C73" s="58"/>
    </row>
  </sheetData>
  <mergeCells count="2">
    <mergeCell ref="B16:C16"/>
    <mergeCell ref="B73:C73"/>
  </mergeCells>
  <hyperlinks>
    <hyperlink ref="D4" location="'Inputs'!A1" display="Next:  Inputs  ▸" xr:uid="{00000000-0004-0000-0000-000000000000}"/>
    <hyperlink ref="B40" location="'Inputs'!A1" display="Inputs" xr:uid="{00000000-0004-0000-0000-000001000000}"/>
    <hyperlink ref="B41" location="'Data'!A1" display="Data" xr:uid="{00000000-0004-0000-0000-000002000000}"/>
    <hyperlink ref="B42" location="'Forecast'!A1" display="Forecast" xr:uid="{00000000-0004-0000-0000-000003000000}"/>
    <hyperlink ref="B43" location="'Results'!A1" display="Results" xr:uid="{00000000-0004-0000-0000-000004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1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90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91</v>
      </c>
      <c r="C4" s="5"/>
      <c r="D4" s="5"/>
      <c r="E4" s="5"/>
      <c r="F4" s="5"/>
      <c r="G4" s="5"/>
      <c r="H4" s="5"/>
      <c r="I4" s="5"/>
      <c r="J4" s="6" t="s">
        <v>92</v>
      </c>
    </row>
    <row r="5" spans="1:10" ht="8" customHeight="1" x14ac:dyDescent="0.45"/>
    <row r="6" spans="1:10" ht="20" customHeight="1" x14ac:dyDescent="0.45">
      <c r="B6" s="60" t="s">
        <v>93</v>
      </c>
      <c r="C6" s="58"/>
      <c r="D6" s="58"/>
      <c r="E6" s="58"/>
      <c r="F6" s="58"/>
      <c r="G6" s="58"/>
      <c r="H6" s="58"/>
      <c r="I6" s="58"/>
      <c r="J6" s="58"/>
    </row>
    <row r="7" spans="1:10" ht="6" customHeight="1" x14ac:dyDescent="0.45"/>
    <row r="8" spans="1:10" ht="22.05" customHeight="1" x14ac:dyDescent="0.5">
      <c r="B8" s="7" t="s">
        <v>94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95</v>
      </c>
    </row>
    <row r="10" spans="1:10" ht="18" customHeight="1" x14ac:dyDescent="0.45">
      <c r="B10" s="23" t="s">
        <v>96</v>
      </c>
      <c r="C10" s="23" t="s">
        <v>97</v>
      </c>
      <c r="D10" s="24" t="s">
        <v>98</v>
      </c>
      <c r="E10" s="23" t="s">
        <v>99</v>
      </c>
      <c r="F10" s="5"/>
      <c r="G10" s="5"/>
      <c r="H10" s="5"/>
      <c r="I10" s="5"/>
      <c r="J10" s="23" t="s">
        <v>100</v>
      </c>
    </row>
    <row r="11" spans="1:10" x14ac:dyDescent="0.45">
      <c r="B11" s="25" t="s">
        <v>101</v>
      </c>
      <c r="C11" s="26" t="s">
        <v>102</v>
      </c>
      <c r="D11" s="27">
        <v>11</v>
      </c>
      <c r="E11" s="26" t="s">
        <v>103</v>
      </c>
      <c r="F11" s="28"/>
      <c r="G11" s="28"/>
      <c r="H11" s="28"/>
      <c r="I11" s="28"/>
      <c r="J11" s="29" t="s">
        <v>104</v>
      </c>
    </row>
    <row r="12" spans="1:10" ht="8" customHeight="1" x14ac:dyDescent="0.45"/>
  </sheetData>
  <mergeCells count="1">
    <mergeCell ref="B6:J6"/>
  </mergeCells>
  <dataValidations count="1">
    <dataValidation type="whole" showErrorMessage="1" errorTitle="Whole number" error="Enter a whole number." sqref="D11" xr:uid="{00000000-0002-0000-0100-000000000000}">
      <formula1>0</formula1>
      <formula2>1000000</formula2>
    </dataValidation>
  </dataValidations>
  <hyperlinks>
    <hyperlink ref="B4" location="'About'!A1" display="◂  About" xr:uid="{00000000-0004-0000-0100-000000000000}"/>
    <hyperlink ref="J4" location="'Data'!A1" display="Next:  Data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J126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9" customWidth="1"/>
    <col min="3" max="4" width="12" customWidth="1"/>
    <col min="5" max="5" width="2" customWidth="1"/>
    <col min="6" max="8" width="10" customWidth="1"/>
    <col min="9" max="9" width="2" customWidth="1"/>
    <col min="10" max="10" width="60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105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106</v>
      </c>
      <c r="C4" s="5"/>
      <c r="D4" s="5"/>
      <c r="E4" s="5"/>
      <c r="F4" s="5"/>
      <c r="G4" s="5"/>
      <c r="H4" s="5"/>
      <c r="I4" s="5"/>
      <c r="J4" s="6" t="s">
        <v>107</v>
      </c>
    </row>
    <row r="5" spans="1:10" ht="8" customHeight="1" x14ac:dyDescent="0.45"/>
    <row r="6" spans="1:10" ht="22.05" customHeight="1" x14ac:dyDescent="0.5">
      <c r="B6" s="7" t="s">
        <v>108</v>
      </c>
      <c r="C6" s="8"/>
      <c r="D6" s="8"/>
      <c r="E6" s="8"/>
      <c r="F6" s="8"/>
      <c r="G6" s="8"/>
      <c r="H6" s="8"/>
      <c r="I6" s="8"/>
      <c r="J6" s="8"/>
    </row>
    <row r="7" spans="1:10" ht="18" customHeight="1" x14ac:dyDescent="0.45">
      <c r="B7" s="13" t="s">
        <v>109</v>
      </c>
    </row>
    <row r="8" spans="1:10" ht="18" customHeight="1" x14ac:dyDescent="0.45">
      <c r="B8" s="30" t="s">
        <v>65</v>
      </c>
      <c r="C8" s="31" t="s">
        <v>110</v>
      </c>
      <c r="D8" s="31" t="s">
        <v>111</v>
      </c>
      <c r="E8" s="32"/>
      <c r="F8" s="32"/>
      <c r="G8" s="32"/>
      <c r="H8" s="32"/>
      <c r="I8" s="32"/>
      <c r="J8" s="30" t="s">
        <v>112</v>
      </c>
    </row>
    <row r="9" spans="1:10" x14ac:dyDescent="0.45">
      <c r="B9" s="33" t="s">
        <v>102</v>
      </c>
      <c r="C9" s="33"/>
      <c r="D9" s="33"/>
      <c r="E9" s="33"/>
      <c r="F9" s="33"/>
      <c r="G9" s="33"/>
      <c r="H9" s="33"/>
      <c r="I9" s="33"/>
      <c r="J9" s="33"/>
    </row>
    <row r="10" spans="1:10" x14ac:dyDescent="0.45">
      <c r="B10" s="34">
        <v>0</v>
      </c>
      <c r="C10" s="35">
        <f t="shared" ref="C10:C30" si="0">90-B10</f>
        <v>90</v>
      </c>
      <c r="D10" s="36">
        <f>RSQ(INDEX(Sales,B10+1):INDEX(Sales,90),INDEX(Permits,1):INDEX(Permits,90-B10))</f>
        <v>1.4427504145325649E-4</v>
      </c>
      <c r="J10" s="37" t="s">
        <v>113</v>
      </c>
    </row>
    <row r="11" spans="1:10" x14ac:dyDescent="0.45">
      <c r="B11" s="34">
        <v>1</v>
      </c>
      <c r="C11" s="35">
        <f t="shared" si="0"/>
        <v>89</v>
      </c>
      <c r="D11" s="36">
        <f>RSQ(INDEX(Sales,B11+1):INDEX(Sales,90),INDEX(Permits,1):INDEX(Permits,90-B11))</f>
        <v>4.5067159538661195E-3</v>
      </c>
      <c r="J11" s="37" t="s">
        <v>114</v>
      </c>
    </row>
    <row r="12" spans="1:10" x14ac:dyDescent="0.45">
      <c r="B12" s="34">
        <v>2</v>
      </c>
      <c r="C12" s="35">
        <f t="shared" si="0"/>
        <v>88</v>
      </c>
      <c r="D12" s="36">
        <f>RSQ(INDEX(Sales,B12+1):INDEX(Sales,90),INDEX(Permits,1):INDEX(Permits,90-B12))</f>
        <v>1.8044432474466104E-2</v>
      </c>
      <c r="J12" s="37" t="s">
        <v>115</v>
      </c>
    </row>
    <row r="13" spans="1:10" x14ac:dyDescent="0.45">
      <c r="B13" s="34">
        <v>3</v>
      </c>
      <c r="C13" s="35">
        <f t="shared" si="0"/>
        <v>87</v>
      </c>
      <c r="D13" s="36">
        <f>RSQ(INDEX(Sales,B13+1):INDEX(Sales,90),INDEX(Permits,1):INDEX(Permits,90-B13))</f>
        <v>4.7861421729018416E-2</v>
      </c>
    </row>
    <row r="14" spans="1:10" x14ac:dyDescent="0.45">
      <c r="B14" s="34">
        <v>4</v>
      </c>
      <c r="C14" s="35">
        <f t="shared" si="0"/>
        <v>86</v>
      </c>
      <c r="D14" s="36">
        <f>RSQ(INDEX(Sales,B14+1):INDEX(Sales,90),INDEX(Permits,1):INDEX(Permits,90-B14))</f>
        <v>9.6007485953366764E-2</v>
      </c>
    </row>
    <row r="15" spans="1:10" x14ac:dyDescent="0.45">
      <c r="B15" s="34">
        <v>5</v>
      </c>
      <c r="C15" s="35">
        <f t="shared" si="0"/>
        <v>85</v>
      </c>
      <c r="D15" s="36">
        <f>RSQ(INDEX(Sales,B15+1):INDEX(Sales,90),INDEX(Permits,1):INDEX(Permits,90-B15))</f>
        <v>0.14739103495179132</v>
      </c>
    </row>
    <row r="16" spans="1:10" x14ac:dyDescent="0.45">
      <c r="B16" s="34">
        <v>6</v>
      </c>
      <c r="C16" s="35">
        <f t="shared" si="0"/>
        <v>84</v>
      </c>
      <c r="D16" s="36">
        <f>RSQ(INDEX(Sales,B16+1):INDEX(Sales,90),INDEX(Permits,1):INDEX(Permits,90-B16))</f>
        <v>0.23823874226790759</v>
      </c>
    </row>
    <row r="17" spans="2:4" x14ac:dyDescent="0.45">
      <c r="B17" s="34">
        <v>7</v>
      </c>
      <c r="C17" s="35">
        <f t="shared" si="0"/>
        <v>83</v>
      </c>
      <c r="D17" s="36">
        <f>RSQ(INDEX(Sales,B17+1):INDEX(Sales,90),INDEX(Permits,1):INDEX(Permits,90-B17))</f>
        <v>0.36265444375960926</v>
      </c>
    </row>
    <row r="18" spans="2:4" x14ac:dyDescent="0.45">
      <c r="B18" s="34">
        <v>8</v>
      </c>
      <c r="C18" s="35">
        <f t="shared" si="0"/>
        <v>82</v>
      </c>
      <c r="D18" s="36">
        <f>RSQ(INDEX(Sales,B18+1):INDEX(Sales,90),INDEX(Permits,1):INDEX(Permits,90-B18))</f>
        <v>0.52604581881851986</v>
      </c>
    </row>
    <row r="19" spans="2:4" x14ac:dyDescent="0.45">
      <c r="B19" s="34">
        <v>9</v>
      </c>
      <c r="C19" s="35">
        <f t="shared" si="0"/>
        <v>81</v>
      </c>
      <c r="D19" s="36">
        <f>RSQ(INDEX(Sales,B19+1):INDEX(Sales,90),INDEX(Permits,1):INDEX(Permits,90-B19))</f>
        <v>0.68951763505087182</v>
      </c>
    </row>
    <row r="20" spans="2:4" x14ac:dyDescent="0.45">
      <c r="B20" s="34">
        <v>10</v>
      </c>
      <c r="C20" s="35">
        <f t="shared" si="0"/>
        <v>80</v>
      </c>
      <c r="D20" s="36">
        <f>RSQ(INDEX(Sales,B20+1):INDEX(Sales,90),INDEX(Permits,1):INDEX(Permits,90-B20))</f>
        <v>0.84795418612152085</v>
      </c>
    </row>
    <row r="21" spans="2:4" x14ac:dyDescent="0.45">
      <c r="B21" s="34">
        <v>11</v>
      </c>
      <c r="C21" s="35">
        <f t="shared" si="0"/>
        <v>79</v>
      </c>
      <c r="D21" s="36">
        <f>RSQ(INDEX(Sales,B21+1):INDEX(Sales,90),INDEX(Permits,1):INDEX(Permits,90-B21))</f>
        <v>0.97149230158392497</v>
      </c>
    </row>
    <row r="22" spans="2:4" x14ac:dyDescent="0.45">
      <c r="B22" s="34">
        <v>12</v>
      </c>
      <c r="C22" s="35">
        <f t="shared" si="0"/>
        <v>78</v>
      </c>
      <c r="D22" s="36">
        <f>RSQ(INDEX(Sales,B22+1):INDEX(Sales,90),INDEX(Permits,1):INDEX(Permits,90-B22))</f>
        <v>0.86055076699825361</v>
      </c>
    </row>
    <row r="23" spans="2:4" x14ac:dyDescent="0.45">
      <c r="B23" s="34">
        <v>13</v>
      </c>
      <c r="C23" s="35">
        <f t="shared" si="0"/>
        <v>77</v>
      </c>
      <c r="D23" s="36">
        <f>RSQ(INDEX(Sales,B23+1):INDEX(Sales,90),INDEX(Permits,1):INDEX(Permits,90-B23))</f>
        <v>0.72599078024639241</v>
      </c>
    </row>
    <row r="24" spans="2:4" x14ac:dyDescent="0.45">
      <c r="B24" s="34">
        <v>14</v>
      </c>
      <c r="C24" s="35">
        <f t="shared" si="0"/>
        <v>76</v>
      </c>
      <c r="D24" s="36">
        <f>RSQ(INDEX(Sales,B24+1):INDEX(Sales,90),INDEX(Permits,1):INDEX(Permits,90-B24))</f>
        <v>0.57400915127838958</v>
      </c>
    </row>
    <row r="25" spans="2:4" x14ac:dyDescent="0.45">
      <c r="B25" s="34">
        <v>15</v>
      </c>
      <c r="C25" s="35">
        <f t="shared" si="0"/>
        <v>75</v>
      </c>
      <c r="D25" s="36">
        <f>RSQ(INDEX(Sales,B25+1):INDEX(Sales,90),INDEX(Permits,1):INDEX(Permits,90-B25))</f>
        <v>0.39978270844805858</v>
      </c>
    </row>
    <row r="26" spans="2:4" x14ac:dyDescent="0.45">
      <c r="B26" s="34">
        <v>16</v>
      </c>
      <c r="C26" s="35">
        <f t="shared" si="0"/>
        <v>74</v>
      </c>
      <c r="D26" s="36">
        <f>RSQ(INDEX(Sales,B26+1):INDEX(Sales,90),INDEX(Permits,1):INDEX(Permits,90-B26))</f>
        <v>0.24487389556613567</v>
      </c>
    </row>
    <row r="27" spans="2:4" x14ac:dyDescent="0.45">
      <c r="B27" s="34">
        <v>17</v>
      </c>
      <c r="C27" s="35">
        <f t="shared" si="0"/>
        <v>73</v>
      </c>
      <c r="D27" s="36">
        <f>RSQ(INDEX(Sales,B27+1):INDEX(Sales,90),INDEX(Permits,1):INDEX(Permits,90-B27))</f>
        <v>0.14520872084850461</v>
      </c>
    </row>
    <row r="28" spans="2:4" x14ac:dyDescent="0.45">
      <c r="B28" s="34">
        <v>18</v>
      </c>
      <c r="C28" s="35">
        <f t="shared" si="0"/>
        <v>72</v>
      </c>
      <c r="D28" s="36">
        <f>RSQ(INDEX(Sales,B28+1):INDEX(Sales,90),INDEX(Permits,1):INDEX(Permits,90-B28))</f>
        <v>7.5299124947491983E-2</v>
      </c>
    </row>
    <row r="29" spans="2:4" x14ac:dyDescent="0.45">
      <c r="B29" s="34">
        <v>19</v>
      </c>
      <c r="C29" s="35">
        <f t="shared" si="0"/>
        <v>71</v>
      </c>
      <c r="D29" s="36">
        <f>RSQ(INDEX(Sales,B29+1):INDEX(Sales,90),INDEX(Permits,1):INDEX(Permits,90-B29))</f>
        <v>3.666312759086577E-2</v>
      </c>
    </row>
    <row r="30" spans="2:4" x14ac:dyDescent="0.45">
      <c r="B30" s="34">
        <v>20</v>
      </c>
      <c r="C30" s="35">
        <f t="shared" si="0"/>
        <v>70</v>
      </c>
      <c r="D30" s="36">
        <f>RSQ(INDEX(Sales,B30+1):INDEX(Sales,90),INDEX(Permits,1):INDEX(Permits,90-B30))</f>
        <v>1.2349379264472087E-2</v>
      </c>
    </row>
    <row r="31" spans="2:4" x14ac:dyDescent="0.45">
      <c r="B31" s="34" t="s">
        <v>116</v>
      </c>
      <c r="C31" s="28"/>
      <c r="D31" s="35">
        <f>INDEX(LeadTable,MATCH(MAX(RsqTable),RsqTable,0))</f>
        <v>11</v>
      </c>
    </row>
    <row r="32" spans="2:4" ht="8" customHeight="1" x14ac:dyDescent="0.45"/>
    <row r="33" spans="2:10" ht="22.05" customHeight="1" x14ac:dyDescent="0.5">
      <c r="B33" s="7" t="s">
        <v>117</v>
      </c>
      <c r="C33" s="8"/>
      <c r="D33" s="8"/>
      <c r="E33" s="8"/>
      <c r="F33" s="8"/>
      <c r="G33" s="8"/>
      <c r="H33" s="8"/>
      <c r="I33" s="8"/>
      <c r="J33" s="8"/>
    </row>
    <row r="34" spans="2:10" ht="18" customHeight="1" x14ac:dyDescent="0.45">
      <c r="B34" s="13" t="s">
        <v>118</v>
      </c>
    </row>
    <row r="35" spans="2:10" ht="18" customHeight="1" x14ac:dyDescent="0.45">
      <c r="B35" s="30" t="s">
        <v>119</v>
      </c>
      <c r="C35" s="31" t="s">
        <v>61</v>
      </c>
      <c r="D35" s="31" t="s">
        <v>63</v>
      </c>
    </row>
    <row r="36" spans="2:10" x14ac:dyDescent="0.45">
      <c r="B36" s="33"/>
      <c r="C36" s="33" t="s">
        <v>120</v>
      </c>
      <c r="D36" s="33" t="s">
        <v>121</v>
      </c>
    </row>
    <row r="37" spans="2:10" x14ac:dyDescent="0.45">
      <c r="B37" s="34">
        <v>-89</v>
      </c>
      <c r="C37" s="38">
        <v>101.21146899999999</v>
      </c>
      <c r="D37" s="39">
        <v>4.8698750000000004</v>
      </c>
    </row>
    <row r="38" spans="2:10" x14ac:dyDescent="0.45">
      <c r="B38" s="34">
        <v>-88</v>
      </c>
      <c r="C38" s="38">
        <v>92.033085</v>
      </c>
      <c r="D38" s="39">
        <v>4.2425649999999999</v>
      </c>
    </row>
    <row r="39" spans="2:10" x14ac:dyDescent="0.45">
      <c r="B39" s="34">
        <v>-87</v>
      </c>
      <c r="C39" s="38">
        <v>97.449657999999999</v>
      </c>
      <c r="D39" s="39">
        <v>5.1726229999999997</v>
      </c>
    </row>
    <row r="40" spans="2:10" x14ac:dyDescent="0.45">
      <c r="B40" s="34">
        <v>-86</v>
      </c>
      <c r="C40" s="38">
        <v>95.490869000000004</v>
      </c>
      <c r="D40" s="39">
        <v>4.811102</v>
      </c>
    </row>
    <row r="41" spans="2:10" x14ac:dyDescent="0.45">
      <c r="B41" s="34">
        <v>-85</v>
      </c>
      <c r="C41" s="38">
        <v>99.555913000000004</v>
      </c>
      <c r="D41" s="39">
        <v>4.3630040000000001</v>
      </c>
    </row>
    <row r="42" spans="2:10" x14ac:dyDescent="0.45">
      <c r="B42" s="34">
        <v>-84</v>
      </c>
      <c r="C42" s="38">
        <v>108.45325800000001</v>
      </c>
      <c r="D42" s="39">
        <v>4.9572130000000003</v>
      </c>
    </row>
    <row r="43" spans="2:10" x14ac:dyDescent="0.45">
      <c r="B43" s="34">
        <v>-83</v>
      </c>
      <c r="C43" s="38">
        <v>121.451731</v>
      </c>
      <c r="D43" s="39">
        <v>5.4564959999999996</v>
      </c>
    </row>
    <row r="44" spans="2:10" x14ac:dyDescent="0.45">
      <c r="B44" s="34">
        <v>-82</v>
      </c>
      <c r="C44" s="38">
        <v>131.03087400000001</v>
      </c>
      <c r="D44" s="39">
        <v>4.8522930000000004</v>
      </c>
    </row>
    <row r="45" spans="2:10" x14ac:dyDescent="0.45">
      <c r="B45" s="34">
        <v>-81</v>
      </c>
      <c r="C45" s="38">
        <v>138.070302</v>
      </c>
      <c r="D45" s="39">
        <v>5.7639269999999998</v>
      </c>
    </row>
    <row r="46" spans="2:10" x14ac:dyDescent="0.45">
      <c r="B46" s="34">
        <v>-80</v>
      </c>
      <c r="C46" s="38">
        <v>131.759199</v>
      </c>
      <c r="D46" s="39">
        <v>4.9345850000000002</v>
      </c>
    </row>
    <row r="47" spans="2:10" x14ac:dyDescent="0.45">
      <c r="B47" s="34">
        <v>-79</v>
      </c>
      <c r="C47" s="38">
        <v>127.047853</v>
      </c>
      <c r="D47" s="39">
        <v>4.716412</v>
      </c>
    </row>
    <row r="48" spans="2:10" x14ac:dyDescent="0.45">
      <c r="B48" s="34">
        <v>-78</v>
      </c>
      <c r="C48" s="38">
        <v>120.598501</v>
      </c>
      <c r="D48" s="39">
        <v>4.5222980000000002</v>
      </c>
    </row>
    <row r="49" spans="2:4" x14ac:dyDescent="0.45">
      <c r="B49" s="34">
        <v>-77</v>
      </c>
      <c r="C49" s="38">
        <v>137.60420300000001</v>
      </c>
      <c r="D49" s="39">
        <v>4.0754380000000001</v>
      </c>
    </row>
    <row r="50" spans="2:4" x14ac:dyDescent="0.45">
      <c r="B50" s="34">
        <v>-76</v>
      </c>
      <c r="C50" s="38">
        <v>131.693521</v>
      </c>
      <c r="D50" s="39">
        <v>4.6222310000000002</v>
      </c>
    </row>
    <row r="51" spans="2:4" x14ac:dyDescent="0.45">
      <c r="B51" s="34">
        <v>-75</v>
      </c>
      <c r="C51" s="38">
        <v>143.33786900000001</v>
      </c>
      <c r="D51" s="39">
        <v>4.2315360000000002</v>
      </c>
    </row>
    <row r="52" spans="2:4" x14ac:dyDescent="0.45">
      <c r="B52" s="34">
        <v>-74</v>
      </c>
      <c r="C52" s="38">
        <v>163.86578700000001</v>
      </c>
      <c r="D52" s="39">
        <v>3.9888240000000001</v>
      </c>
    </row>
    <row r="53" spans="2:4" x14ac:dyDescent="0.45">
      <c r="B53" s="34">
        <v>-73</v>
      </c>
      <c r="C53" s="38">
        <v>163.85972000000001</v>
      </c>
      <c r="D53" s="39">
        <v>4.9250480000000003</v>
      </c>
    </row>
    <row r="54" spans="2:4" x14ac:dyDescent="0.45">
      <c r="B54" s="34">
        <v>-72</v>
      </c>
      <c r="C54" s="38">
        <v>163.88515899999999</v>
      </c>
      <c r="D54" s="39">
        <v>5.2835729999999996</v>
      </c>
    </row>
    <row r="55" spans="2:4" x14ac:dyDescent="0.45">
      <c r="B55" s="34">
        <v>-71</v>
      </c>
      <c r="C55" s="38">
        <v>156.30449100000001</v>
      </c>
      <c r="D55" s="39">
        <v>6.2637809999999998</v>
      </c>
    </row>
    <row r="56" spans="2:4" x14ac:dyDescent="0.45">
      <c r="B56" s="34">
        <v>-70</v>
      </c>
      <c r="C56" s="38">
        <v>155.13953100000001</v>
      </c>
      <c r="D56" s="39">
        <v>6.0310920000000001</v>
      </c>
    </row>
    <row r="57" spans="2:4" x14ac:dyDescent="0.45">
      <c r="B57" s="34">
        <v>-69</v>
      </c>
      <c r="C57" s="38">
        <v>137.41691499999999</v>
      </c>
      <c r="D57" s="39">
        <v>6.1467530000000004</v>
      </c>
    </row>
    <row r="58" spans="2:4" x14ac:dyDescent="0.45">
      <c r="B58" s="34">
        <v>-68</v>
      </c>
      <c r="C58" s="38">
        <v>135.535664</v>
      </c>
      <c r="D58" s="39">
        <v>5.6773199999999999</v>
      </c>
    </row>
    <row r="59" spans="2:4" x14ac:dyDescent="0.45">
      <c r="B59" s="34">
        <v>-67</v>
      </c>
      <c r="C59" s="38">
        <v>128.197992</v>
      </c>
      <c r="D59" s="39">
        <v>5.443416</v>
      </c>
    </row>
    <row r="60" spans="2:4" x14ac:dyDescent="0.45">
      <c r="B60" s="34">
        <v>-66</v>
      </c>
      <c r="C60" s="38">
        <v>119.19240499999999</v>
      </c>
      <c r="D60" s="39">
        <v>6.4947720000000002</v>
      </c>
    </row>
    <row r="61" spans="2:4" x14ac:dyDescent="0.45">
      <c r="B61" s="34">
        <v>-65</v>
      </c>
      <c r="C61" s="38">
        <v>106.973816</v>
      </c>
      <c r="D61" s="39">
        <v>6.0402870000000002</v>
      </c>
    </row>
    <row r="62" spans="2:4" x14ac:dyDescent="0.45">
      <c r="B62" s="34">
        <v>-64</v>
      </c>
      <c r="C62" s="38">
        <v>107.036402</v>
      </c>
      <c r="D62" s="39">
        <v>6.1137810000000004</v>
      </c>
    </row>
    <row r="63" spans="2:4" x14ac:dyDescent="0.45">
      <c r="B63" s="34">
        <v>-63</v>
      </c>
      <c r="C63" s="38">
        <v>105.194469</v>
      </c>
      <c r="D63" s="39">
        <v>7.5328749999999998</v>
      </c>
    </row>
    <row r="64" spans="2:4" x14ac:dyDescent="0.45">
      <c r="B64" s="34">
        <v>-62</v>
      </c>
      <c r="C64" s="38">
        <v>101.73817200000001</v>
      </c>
      <c r="D64" s="39">
        <v>7.2568720000000004</v>
      </c>
    </row>
    <row r="65" spans="2:4" x14ac:dyDescent="0.45">
      <c r="B65" s="34">
        <v>-61</v>
      </c>
      <c r="C65" s="38">
        <v>108.232163</v>
      </c>
      <c r="D65" s="39">
        <v>7.0466199999999999</v>
      </c>
    </row>
    <row r="66" spans="2:4" x14ac:dyDescent="0.45">
      <c r="B66" s="34">
        <v>-60</v>
      </c>
      <c r="C66" s="38">
        <v>102.941941</v>
      </c>
      <c r="D66" s="39">
        <v>7.3313290000000002</v>
      </c>
    </row>
    <row r="67" spans="2:4" x14ac:dyDescent="0.45">
      <c r="B67" s="34">
        <v>-59</v>
      </c>
      <c r="C67" s="38">
        <v>114.810318</v>
      </c>
      <c r="D67" s="39">
        <v>7.236218</v>
      </c>
    </row>
    <row r="68" spans="2:4" x14ac:dyDescent="0.45">
      <c r="B68" s="34">
        <v>-58</v>
      </c>
      <c r="C68" s="38">
        <v>126.679883</v>
      </c>
      <c r="D68" s="39">
        <v>6.5014580000000004</v>
      </c>
    </row>
    <row r="69" spans="2:4" x14ac:dyDescent="0.45">
      <c r="B69" s="34">
        <v>-57</v>
      </c>
      <c r="C69" s="38">
        <v>136.836646</v>
      </c>
      <c r="D69" s="39">
        <v>6.2662880000000003</v>
      </c>
    </row>
    <row r="70" spans="2:4" x14ac:dyDescent="0.45">
      <c r="B70" s="34">
        <v>-56</v>
      </c>
      <c r="C70" s="38">
        <v>132.805398</v>
      </c>
      <c r="D70" s="39">
        <v>5.6985440000000001</v>
      </c>
    </row>
    <row r="71" spans="2:4" x14ac:dyDescent="0.45">
      <c r="B71" s="34">
        <v>-55</v>
      </c>
      <c r="C71" s="38">
        <v>129.94394800000001</v>
      </c>
      <c r="D71" s="39">
        <v>5.2715199999999998</v>
      </c>
    </row>
    <row r="72" spans="2:4" x14ac:dyDescent="0.45">
      <c r="B72" s="34">
        <v>-54</v>
      </c>
      <c r="C72" s="38">
        <v>132.61499699999999</v>
      </c>
      <c r="D72" s="39">
        <v>4.8209650000000002</v>
      </c>
    </row>
    <row r="73" spans="2:4" x14ac:dyDescent="0.45">
      <c r="B73" s="34">
        <v>-53</v>
      </c>
      <c r="C73" s="38">
        <v>130.79697999999999</v>
      </c>
      <c r="D73" s="39">
        <v>5.1316620000000004</v>
      </c>
    </row>
    <row r="74" spans="2:4" x14ac:dyDescent="0.45">
      <c r="B74" s="34">
        <v>-52</v>
      </c>
      <c r="C74" s="38">
        <v>132.98162300000001</v>
      </c>
      <c r="D74" s="39">
        <v>4.6619729999999997</v>
      </c>
    </row>
    <row r="75" spans="2:4" x14ac:dyDescent="0.45">
      <c r="B75" s="34">
        <v>-51</v>
      </c>
      <c r="C75" s="38">
        <v>140.37993299999999</v>
      </c>
      <c r="D75" s="39">
        <v>4.9987149999999998</v>
      </c>
    </row>
    <row r="76" spans="2:4" x14ac:dyDescent="0.45">
      <c r="B76" s="34">
        <v>-50</v>
      </c>
      <c r="C76" s="38">
        <v>142.84121099999999</v>
      </c>
      <c r="D76" s="39">
        <v>5.0451180000000004</v>
      </c>
    </row>
    <row r="77" spans="2:4" x14ac:dyDescent="0.45">
      <c r="B77" s="34">
        <v>-49</v>
      </c>
      <c r="C77" s="38">
        <v>146.265951</v>
      </c>
      <c r="D77" s="39">
        <v>4.7122809999999999</v>
      </c>
    </row>
    <row r="78" spans="2:4" x14ac:dyDescent="0.45">
      <c r="B78" s="34">
        <v>-48</v>
      </c>
      <c r="C78" s="38">
        <v>142.662812</v>
      </c>
      <c r="D78" s="39">
        <v>5.182264</v>
      </c>
    </row>
    <row r="79" spans="2:4" x14ac:dyDescent="0.45">
      <c r="B79" s="34">
        <v>-47</v>
      </c>
      <c r="C79" s="38">
        <v>145.95327800000001</v>
      </c>
      <c r="D79" s="39">
        <v>5.9044699999999999</v>
      </c>
    </row>
    <row r="80" spans="2:4" x14ac:dyDescent="0.45">
      <c r="B80" s="34">
        <v>-46</v>
      </c>
      <c r="C80" s="38">
        <v>144.953924</v>
      </c>
      <c r="D80" s="39">
        <v>6.0928269999999998</v>
      </c>
    </row>
    <row r="81" spans="2:4" x14ac:dyDescent="0.45">
      <c r="B81" s="34">
        <v>-45</v>
      </c>
      <c r="C81" s="38">
        <v>152.956817</v>
      </c>
      <c r="D81" s="39">
        <v>5.8603430000000003</v>
      </c>
    </row>
    <row r="82" spans="2:4" x14ac:dyDescent="0.45">
      <c r="B82" s="34">
        <v>-44</v>
      </c>
      <c r="C82" s="38">
        <v>144.36240000000001</v>
      </c>
      <c r="D82" s="39">
        <v>5.900925</v>
      </c>
    </row>
    <row r="83" spans="2:4" x14ac:dyDescent="0.45">
      <c r="B83" s="34">
        <v>-43</v>
      </c>
      <c r="C83" s="38">
        <v>147.96813</v>
      </c>
      <c r="D83" s="39">
        <v>6.1837970000000002</v>
      </c>
    </row>
    <row r="84" spans="2:4" x14ac:dyDescent="0.45">
      <c r="B84" s="34">
        <v>-42</v>
      </c>
      <c r="C84" s="38">
        <v>149.360434</v>
      </c>
      <c r="D84" s="39">
        <v>5.78864</v>
      </c>
    </row>
    <row r="85" spans="2:4" x14ac:dyDescent="0.45">
      <c r="B85" s="34">
        <v>-41</v>
      </c>
      <c r="C85" s="38">
        <v>140.62292199999999</v>
      </c>
      <c r="D85" s="39">
        <v>6.0891859999999998</v>
      </c>
    </row>
    <row r="86" spans="2:4" x14ac:dyDescent="0.45">
      <c r="B86" s="34">
        <v>-40</v>
      </c>
      <c r="C86" s="38">
        <v>137.95451199999999</v>
      </c>
      <c r="D86" s="39">
        <v>6.4206859999999999</v>
      </c>
    </row>
    <row r="87" spans="2:4" x14ac:dyDescent="0.45">
      <c r="B87" s="34">
        <v>-39</v>
      </c>
      <c r="C87" s="38">
        <v>134.88495499999999</v>
      </c>
      <c r="D87" s="39">
        <v>6.3361390000000002</v>
      </c>
    </row>
    <row r="88" spans="2:4" x14ac:dyDescent="0.45">
      <c r="B88" s="34">
        <v>-38</v>
      </c>
      <c r="C88" s="38">
        <v>134.17984999999999</v>
      </c>
      <c r="D88" s="39">
        <v>6.6322130000000001</v>
      </c>
    </row>
    <row r="89" spans="2:4" x14ac:dyDescent="0.45">
      <c r="B89" s="34">
        <v>-37</v>
      </c>
      <c r="C89" s="38">
        <v>136.59191899999999</v>
      </c>
      <c r="D89" s="39">
        <v>6.5885109999999996</v>
      </c>
    </row>
    <row r="90" spans="2:4" x14ac:dyDescent="0.45">
      <c r="B90" s="34">
        <v>-36</v>
      </c>
      <c r="C90" s="38">
        <v>145.640747</v>
      </c>
      <c r="D90" s="39">
        <v>6.7076390000000004</v>
      </c>
    </row>
    <row r="91" spans="2:4" x14ac:dyDescent="0.45">
      <c r="B91" s="34">
        <v>-35</v>
      </c>
      <c r="C91" s="38">
        <v>141.63970599999999</v>
      </c>
      <c r="D91" s="39">
        <v>6.699478</v>
      </c>
    </row>
    <row r="92" spans="2:4" x14ac:dyDescent="0.45">
      <c r="B92" s="34">
        <v>-34</v>
      </c>
      <c r="C92" s="38">
        <v>135.02639099999999</v>
      </c>
      <c r="D92" s="39">
        <v>6.9511969999999996</v>
      </c>
    </row>
    <row r="93" spans="2:4" x14ac:dyDescent="0.45">
      <c r="B93" s="34">
        <v>-33</v>
      </c>
      <c r="C93" s="38">
        <v>126.83778599999999</v>
      </c>
      <c r="D93" s="39">
        <v>6.5238420000000001</v>
      </c>
    </row>
    <row r="94" spans="2:4" x14ac:dyDescent="0.45">
      <c r="B94" s="34">
        <v>-32</v>
      </c>
      <c r="C94" s="38">
        <v>127.314429</v>
      </c>
      <c r="D94" s="39">
        <v>6.7707600000000001</v>
      </c>
    </row>
    <row r="95" spans="2:4" x14ac:dyDescent="0.45">
      <c r="B95" s="34">
        <v>-31</v>
      </c>
      <c r="C95" s="38">
        <v>109.259563</v>
      </c>
      <c r="D95" s="39">
        <v>6.6244670000000001</v>
      </c>
    </row>
    <row r="96" spans="2:4" x14ac:dyDescent="0.45">
      <c r="B96" s="34">
        <v>-30</v>
      </c>
      <c r="C96" s="38">
        <v>101.78001</v>
      </c>
      <c r="D96" s="39">
        <v>6.442717</v>
      </c>
    </row>
    <row r="97" spans="2:4" x14ac:dyDescent="0.45">
      <c r="B97" s="34">
        <v>-29</v>
      </c>
      <c r="C97" s="38">
        <v>102.11981900000001</v>
      </c>
      <c r="D97" s="39">
        <v>6.2218980000000004</v>
      </c>
    </row>
    <row r="98" spans="2:4" x14ac:dyDescent="0.45">
      <c r="B98" s="34">
        <v>-28</v>
      </c>
      <c r="C98" s="38">
        <v>100.045542</v>
      </c>
      <c r="D98" s="39">
        <v>6.1413479999999998</v>
      </c>
    </row>
    <row r="99" spans="2:4" x14ac:dyDescent="0.45">
      <c r="B99" s="34">
        <v>-27</v>
      </c>
      <c r="C99" s="38">
        <v>91.713768999999999</v>
      </c>
      <c r="D99" s="39">
        <v>5.8358970000000001</v>
      </c>
    </row>
    <row r="100" spans="2:4" x14ac:dyDescent="0.45">
      <c r="B100" s="34">
        <v>-26</v>
      </c>
      <c r="C100" s="38">
        <v>87.077978999999999</v>
      </c>
      <c r="D100" s="39">
        <v>6.4391449999999999</v>
      </c>
    </row>
    <row r="101" spans="2:4" x14ac:dyDescent="0.45">
      <c r="B101" s="34">
        <v>-25</v>
      </c>
      <c r="C101" s="38">
        <v>87.970354999999998</v>
      </c>
      <c r="D101" s="39">
        <v>6.6830540000000003</v>
      </c>
    </row>
    <row r="102" spans="2:4" x14ac:dyDescent="0.45">
      <c r="B102" s="34">
        <v>-24</v>
      </c>
      <c r="C102" s="38">
        <v>95.958326</v>
      </c>
      <c r="D102" s="39">
        <v>6.553032</v>
      </c>
    </row>
    <row r="103" spans="2:4" x14ac:dyDescent="0.45">
      <c r="B103" s="34">
        <v>-23</v>
      </c>
      <c r="C103" s="38">
        <v>96.668711999999999</v>
      </c>
      <c r="D103" s="39">
        <v>6.1322809999999999</v>
      </c>
    </row>
    <row r="104" spans="2:4" x14ac:dyDescent="0.45">
      <c r="B104" s="34">
        <v>-22</v>
      </c>
      <c r="C104" s="38">
        <v>97.193487000000005</v>
      </c>
      <c r="D104" s="39">
        <v>5.6708939999999997</v>
      </c>
    </row>
    <row r="105" spans="2:4" x14ac:dyDescent="0.45">
      <c r="B105" s="34">
        <v>-21</v>
      </c>
      <c r="C105" s="38">
        <v>95.952926000000005</v>
      </c>
      <c r="D105" s="39">
        <v>5.8460770000000002</v>
      </c>
    </row>
    <row r="106" spans="2:4" x14ac:dyDescent="0.45">
      <c r="B106" s="34">
        <v>-20</v>
      </c>
      <c r="C106" s="38">
        <v>99.930822000000006</v>
      </c>
      <c r="D106" s="39">
        <v>5.112012</v>
      </c>
    </row>
    <row r="107" spans="2:4" x14ac:dyDescent="0.45">
      <c r="B107" s="34">
        <v>-19</v>
      </c>
      <c r="C107" s="38">
        <v>97.294922999999997</v>
      </c>
      <c r="D107" s="39">
        <v>4.4733549999999997</v>
      </c>
    </row>
    <row r="108" spans="2:4" x14ac:dyDescent="0.45">
      <c r="B108" s="34">
        <v>-18</v>
      </c>
      <c r="C108" s="38">
        <v>106.24805499999999</v>
      </c>
      <c r="D108" s="39">
        <v>4.6149979999999999</v>
      </c>
    </row>
    <row r="109" spans="2:4" x14ac:dyDescent="0.45">
      <c r="B109" s="34">
        <v>-17</v>
      </c>
      <c r="C109" s="38">
        <v>103.55327</v>
      </c>
      <c r="D109" s="39">
        <v>4.5427939999999998</v>
      </c>
    </row>
    <row r="110" spans="2:4" x14ac:dyDescent="0.45">
      <c r="B110" s="34">
        <v>-16</v>
      </c>
      <c r="C110" s="38">
        <v>109.847267</v>
      </c>
      <c r="D110" s="39">
        <v>4.0877400000000002</v>
      </c>
    </row>
    <row r="111" spans="2:4" x14ac:dyDescent="0.45">
      <c r="B111" s="34">
        <v>-15</v>
      </c>
      <c r="C111" s="38">
        <v>101.216983</v>
      </c>
      <c r="D111" s="39">
        <v>3.8385210000000001</v>
      </c>
    </row>
    <row r="112" spans="2:4" x14ac:dyDescent="0.45">
      <c r="B112" s="34">
        <v>-14</v>
      </c>
      <c r="C112" s="38">
        <v>102.182698</v>
      </c>
      <c r="D112" s="39">
        <v>3.9300920000000001</v>
      </c>
    </row>
    <row r="113" spans="2:4" x14ac:dyDescent="0.45">
      <c r="B113" s="34">
        <v>-13</v>
      </c>
      <c r="C113" s="38">
        <v>107.169426</v>
      </c>
      <c r="D113" s="39">
        <v>4.3564559999999997</v>
      </c>
    </row>
    <row r="114" spans="2:4" x14ac:dyDescent="0.45">
      <c r="B114" s="34">
        <v>-12</v>
      </c>
      <c r="C114" s="38">
        <v>104.129965</v>
      </c>
      <c r="D114" s="39">
        <v>4.445106</v>
      </c>
    </row>
    <row r="115" spans="2:4" x14ac:dyDescent="0.45">
      <c r="B115" s="34">
        <v>-11</v>
      </c>
      <c r="C115" s="38">
        <v>109.32861200000001</v>
      </c>
      <c r="D115" s="39">
        <v>4.569051</v>
      </c>
    </row>
    <row r="116" spans="2:4" x14ac:dyDescent="0.45">
      <c r="B116" s="34">
        <v>-10</v>
      </c>
      <c r="C116" s="38">
        <v>115.47299700000001</v>
      </c>
      <c r="D116" s="39">
        <v>4.2097189999999998</v>
      </c>
    </row>
    <row r="117" spans="2:4" x14ac:dyDescent="0.45">
      <c r="B117" s="34">
        <v>-9</v>
      </c>
      <c r="C117" s="38">
        <v>112.762525</v>
      </c>
      <c r="D117" s="39">
        <v>4.6095480000000002</v>
      </c>
    </row>
    <row r="118" spans="2:4" x14ac:dyDescent="0.45">
      <c r="B118" s="34">
        <v>-8</v>
      </c>
      <c r="C118" s="38">
        <v>120.137691</v>
      </c>
      <c r="D118" s="39">
        <v>4.599666</v>
      </c>
    </row>
    <row r="119" spans="2:4" x14ac:dyDescent="0.45">
      <c r="B119" s="34">
        <v>-7</v>
      </c>
      <c r="C119" s="38">
        <v>115.999033</v>
      </c>
      <c r="D119" s="39">
        <v>4.7125779999999997</v>
      </c>
    </row>
    <row r="120" spans="2:4" x14ac:dyDescent="0.45">
      <c r="B120" s="34">
        <v>-6</v>
      </c>
      <c r="C120" s="38">
        <v>120.25057</v>
      </c>
      <c r="D120" s="39">
        <v>4.6583119999999996</v>
      </c>
    </row>
    <row r="121" spans="2:4" x14ac:dyDescent="0.45">
      <c r="B121" s="34">
        <v>-5</v>
      </c>
      <c r="C121" s="38">
        <v>123.735416</v>
      </c>
      <c r="D121" s="39">
        <v>5.028219</v>
      </c>
    </row>
    <row r="122" spans="2:4" x14ac:dyDescent="0.45">
      <c r="B122" s="34">
        <v>-4</v>
      </c>
      <c r="C122" s="38">
        <v>125.71617000000001</v>
      </c>
      <c r="D122" s="39">
        <v>4.5422359999999999</v>
      </c>
    </row>
    <row r="123" spans="2:4" x14ac:dyDescent="0.45">
      <c r="B123" s="34">
        <v>-3</v>
      </c>
      <c r="C123" s="38">
        <v>134.39296300000001</v>
      </c>
      <c r="D123" s="39">
        <v>4.8038020000000001</v>
      </c>
    </row>
    <row r="124" spans="2:4" x14ac:dyDescent="0.45">
      <c r="B124" s="34">
        <v>-2</v>
      </c>
      <c r="C124" s="38">
        <v>138.84343100000001</v>
      </c>
      <c r="D124" s="39">
        <v>4.9737520000000002</v>
      </c>
    </row>
    <row r="125" spans="2:4" x14ac:dyDescent="0.45">
      <c r="B125" s="34">
        <v>-1</v>
      </c>
      <c r="C125" s="38">
        <v>144.303493</v>
      </c>
      <c r="D125" s="39">
        <v>4.6983879999999996</v>
      </c>
    </row>
    <row r="126" spans="2:4" x14ac:dyDescent="0.45">
      <c r="B126" s="34">
        <v>0</v>
      </c>
      <c r="C126" s="38">
        <v>142.662756</v>
      </c>
      <c r="D126" s="39">
        <v>4.859146</v>
      </c>
    </row>
  </sheetData>
  <conditionalFormatting sqref="D10:D30">
    <cfRule type="expression" dxfId="4" priority="1">
      <formula>D10=MAX($D$10:$D$30)</formula>
    </cfRule>
  </conditionalFormatting>
  <hyperlinks>
    <hyperlink ref="B4" location="'Inputs'!A1" display="◂  Inputs" xr:uid="{00000000-0004-0000-0200-000000000000}"/>
    <hyperlink ref="J4" location="'Forecast'!A1" display="Next:  Forecast  ▸" xr:uid="{00000000-0004-0000-0200-000001000000}"/>
  </hyperlinks>
  <printOptions horizontalCentered="1"/>
  <pageMargins left="0.4" right="0.4" top="0.5" bottom="0.6" header="0.25" footer="0.25"/>
  <pageSetup paperSize="9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G40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0" customWidth="1"/>
    <col min="3" max="5" width="13" customWidth="1"/>
    <col min="6" max="6" width="2" customWidth="1"/>
    <col min="7" max="7" width="64" customWidth="1"/>
  </cols>
  <sheetData>
    <row r="1" spans="1:7" ht="6" customHeight="1" x14ac:dyDescent="0.45"/>
    <row r="2" spans="1:7" ht="30" customHeight="1" x14ac:dyDescent="0.45">
      <c r="A2" s="1"/>
      <c r="B2" s="21" t="s">
        <v>0</v>
      </c>
      <c r="C2" s="1"/>
      <c r="D2" s="1"/>
      <c r="E2" s="1"/>
      <c r="F2" s="1"/>
      <c r="G2" s="3" t="s">
        <v>1</v>
      </c>
    </row>
    <row r="3" spans="1:7" ht="20" customHeight="1" x14ac:dyDescent="0.45">
      <c r="A3" s="1"/>
      <c r="B3" s="4" t="s">
        <v>122</v>
      </c>
      <c r="C3" s="1"/>
      <c r="D3" s="1"/>
      <c r="E3" s="1"/>
      <c r="F3" s="1"/>
      <c r="G3" s="1"/>
    </row>
    <row r="4" spans="1:7" ht="20" customHeight="1" x14ac:dyDescent="0.45">
      <c r="A4" s="5"/>
      <c r="B4" s="22" t="s">
        <v>123</v>
      </c>
      <c r="C4" s="5"/>
      <c r="D4" s="5"/>
      <c r="E4" s="5"/>
      <c r="F4" s="5"/>
      <c r="G4" s="6" t="s">
        <v>124</v>
      </c>
    </row>
    <row r="5" spans="1:7" ht="8" customHeight="1" x14ac:dyDescent="0.45"/>
    <row r="6" spans="1:7" ht="22.05" customHeight="1" x14ac:dyDescent="0.5">
      <c r="B6" s="7" t="s">
        <v>125</v>
      </c>
      <c r="C6" s="8"/>
      <c r="D6" s="8"/>
      <c r="E6" s="8"/>
      <c r="F6" s="8"/>
      <c r="G6" s="8"/>
    </row>
    <row r="7" spans="1:7" ht="18" customHeight="1" x14ac:dyDescent="0.45">
      <c r="B7" s="13" t="s">
        <v>126</v>
      </c>
    </row>
    <row r="8" spans="1:7" x14ac:dyDescent="0.45">
      <c r="B8" s="25" t="s">
        <v>127</v>
      </c>
      <c r="C8" s="26" t="s">
        <v>128</v>
      </c>
      <c r="D8" s="35">
        <f>90-Lead</f>
        <v>79</v>
      </c>
      <c r="E8" s="28"/>
      <c r="F8" s="28"/>
      <c r="G8" s="28"/>
    </row>
    <row r="9" spans="1:7" x14ac:dyDescent="0.45">
      <c r="B9" s="25" t="s">
        <v>111</v>
      </c>
      <c r="C9" s="26"/>
      <c r="D9" s="36">
        <f>RSQ(INDEX(Sales,Lead+1):INDEX(Sales,90),INDEX(Permits,1):INDEX(Permits,90-Lead))</f>
        <v>0.97149230158392497</v>
      </c>
      <c r="E9" s="28"/>
      <c r="F9" s="28"/>
      <c r="G9" s="26" t="s">
        <v>129</v>
      </c>
    </row>
    <row r="10" spans="1:7" x14ac:dyDescent="0.45">
      <c r="B10" s="25" t="s">
        <v>130</v>
      </c>
      <c r="C10" s="26" t="s">
        <v>131</v>
      </c>
      <c r="D10" s="40">
        <f>SLOPE(INDEX(Sales,Lead+1):INDEX(Sales,90),INDEX(Permits,1):INDEX(Permits,90-Lead))</f>
        <v>4.5557290499800583E-2</v>
      </c>
      <c r="E10" s="28"/>
      <c r="F10" s="28"/>
      <c r="G10" s="26" t="s">
        <v>132</v>
      </c>
    </row>
    <row r="11" spans="1:7" x14ac:dyDescent="0.45">
      <c r="B11" s="25" t="s">
        <v>133</v>
      </c>
      <c r="C11" s="26" t="s">
        <v>134</v>
      </c>
      <c r="D11" s="41">
        <f>INTERCEPT(INDEX(Sales,Lead+1):INDEX(Sales,90),INDEX(Permits,1):INDEX(Permits,90-Lead))</f>
        <v>-1.78179964212557E-2</v>
      </c>
      <c r="E11" s="28"/>
      <c r="F11" s="28"/>
      <c r="G11" s="28"/>
    </row>
    <row r="12" spans="1:7" x14ac:dyDescent="0.45">
      <c r="B12" s="25" t="s">
        <v>135</v>
      </c>
      <c r="C12" s="26" t="s">
        <v>134</v>
      </c>
      <c r="D12" s="41">
        <f>STEYX(INDEX(Sales,Lead+1):INDEX(Sales,90),INDEX(Permits,1):INDEX(Permits,90-Lead))</f>
        <v>0.16350114216180459</v>
      </c>
      <c r="E12" s="28"/>
      <c r="F12" s="28"/>
      <c r="G12" s="26" t="s">
        <v>136</v>
      </c>
    </row>
    <row r="13" spans="1:7" ht="8" customHeight="1" x14ac:dyDescent="0.45"/>
    <row r="14" spans="1:7" ht="22.05" customHeight="1" x14ac:dyDescent="0.5">
      <c r="B14" s="7" t="s">
        <v>137</v>
      </c>
      <c r="C14" s="8"/>
      <c r="D14" s="8"/>
      <c r="E14" s="8"/>
      <c r="F14" s="8"/>
      <c r="G14" s="8"/>
    </row>
    <row r="15" spans="1:7" ht="18" customHeight="1" x14ac:dyDescent="0.45">
      <c r="B15" s="13" t="s">
        <v>138</v>
      </c>
    </row>
    <row r="16" spans="1:7" ht="18" customHeight="1" x14ac:dyDescent="0.45">
      <c r="B16" s="30" t="s">
        <v>119</v>
      </c>
      <c r="C16" s="31" t="s">
        <v>139</v>
      </c>
      <c r="D16" s="31" t="s">
        <v>140</v>
      </c>
      <c r="E16" s="31" t="s">
        <v>63</v>
      </c>
      <c r="F16" s="32"/>
      <c r="G16" s="30" t="s">
        <v>112</v>
      </c>
    </row>
    <row r="17" spans="2:7" x14ac:dyDescent="0.45">
      <c r="B17" s="33"/>
      <c r="C17" s="33" t="s">
        <v>120</v>
      </c>
      <c r="D17" s="33" t="s">
        <v>134</v>
      </c>
      <c r="E17" s="33" t="s">
        <v>141</v>
      </c>
      <c r="F17" s="33"/>
      <c r="G17" s="33"/>
    </row>
    <row r="18" spans="2:7" x14ac:dyDescent="0.45">
      <c r="B18" s="34">
        <v>1</v>
      </c>
      <c r="C18" s="42" cm="1">
        <f t="array" ref="C18">INDEX(Permits,90+B18-Lead)</f>
        <v>115.47299700000001</v>
      </c>
      <c r="D18" s="36">
        <f t="shared" ref="D18:D28" si="0">LineSlope*C18+LineIntercept</f>
        <v>5.2428188727903455</v>
      </c>
      <c r="E18" s="43" cm="1">
        <f t="array" aca="1" ref="E18" ca="1">_xll.VoseOutput("Month 1","kt","Sales forecast",1)+_xll.VoseNormal(D18,LineScatter)</f>
        <v>5.6146802520592969</v>
      </c>
      <c r="F18" s="28"/>
      <c r="G18" s="26" t="s">
        <v>142</v>
      </c>
    </row>
    <row r="19" spans="2:7" x14ac:dyDescent="0.45">
      <c r="B19" s="34">
        <v>2</v>
      </c>
      <c r="C19" s="42" cm="1">
        <f t="array" ref="C19">INDEX(Permits,90+B19-Lead)</f>
        <v>112.762525</v>
      </c>
      <c r="D19" s="36">
        <f t="shared" si="0"/>
        <v>5.1193371124947697</v>
      </c>
      <c r="E19" s="43" cm="1">
        <f t="array" aca="1" ref="E19" ca="1">_xll.VoseOutput("Month 2","kt","Sales forecast",2)+_xll.VoseNormal(D19,LineScatter)</f>
        <v>5.2718346984404061</v>
      </c>
      <c r="F19" s="28"/>
      <c r="G19" s="26" t="s">
        <v>143</v>
      </c>
    </row>
    <row r="20" spans="2:7" x14ac:dyDescent="0.45">
      <c r="B20" s="34">
        <v>3</v>
      </c>
      <c r="C20" s="42" cm="1">
        <f t="array" ref="C20">INDEX(Permits,90+B20-Lead)</f>
        <v>120.137691</v>
      </c>
      <c r="D20" s="36">
        <f t="shared" si="0"/>
        <v>5.4553296924410226</v>
      </c>
      <c r="E20" s="43" cm="1">
        <f t="array" aca="1" ref="E20" ca="1">_xll.VoseOutput("Month 3","kt","Sales forecast",3)+_xll.VoseNormal(D20,LineScatter)</f>
        <v>5.5774856463098903</v>
      </c>
      <c r="F20" s="28"/>
      <c r="G20" s="26" t="s">
        <v>144</v>
      </c>
    </row>
    <row r="21" spans="2:7" x14ac:dyDescent="0.45">
      <c r="B21" s="34">
        <v>4</v>
      </c>
      <c r="C21" s="42" cm="1">
        <f t="array" ref="C21">INDEX(Permits,90+B21-Lead)</f>
        <v>115.999033</v>
      </c>
      <c r="D21" s="36">
        <f t="shared" si="0"/>
        <v>5.2667836476556982</v>
      </c>
      <c r="E21" s="43" cm="1">
        <f t="array" aca="1" ref="E21" ca="1">_xll.VoseOutput("Month 4","kt","Sales forecast",4)+_xll.VoseNormal(D21,LineScatter)</f>
        <v>5.2691073108401465</v>
      </c>
      <c r="F21" s="28"/>
      <c r="G21" s="26"/>
    </row>
    <row r="22" spans="2:7" x14ac:dyDescent="0.45">
      <c r="B22" s="34">
        <v>5</v>
      </c>
      <c r="C22" s="42" cm="1">
        <f t="array" ref="C22">INDEX(Permits,90+B22-Lead)</f>
        <v>120.25057</v>
      </c>
      <c r="D22" s="36">
        <f t="shared" si="0"/>
        <v>5.4604721538353491</v>
      </c>
      <c r="E22" s="43" cm="1">
        <f t="array" aca="1" ref="E22" ca="1">_xll.VoseOutput("Month 5","kt","Sales forecast",5)+_xll.VoseNormal(D22,LineScatter)</f>
        <v>5.2969362273986267</v>
      </c>
      <c r="F22" s="28"/>
      <c r="G22" s="26"/>
    </row>
    <row r="23" spans="2:7" x14ac:dyDescent="0.45">
      <c r="B23" s="34">
        <v>6</v>
      </c>
      <c r="C23" s="42" cm="1">
        <f t="array" ref="C23">INDEX(Permits,90+B23-Lead)</f>
        <v>123.735416</v>
      </c>
      <c r="D23" s="36">
        <f t="shared" si="0"/>
        <v>5.6192322954044176</v>
      </c>
      <c r="E23" s="43" cm="1">
        <f t="array" aca="1" ref="E23" ca="1">_xll.VoseOutput("Month 6","kt","Sales forecast",6)+_xll.VoseNormal(D23,LineScatter)</f>
        <v>5.6462172659342649</v>
      </c>
      <c r="F23" s="28"/>
      <c r="G23" s="26"/>
    </row>
    <row r="24" spans="2:7" x14ac:dyDescent="0.45">
      <c r="B24" s="34">
        <v>7</v>
      </c>
      <c r="C24" s="42" cm="1">
        <f t="array" ref="C24">INDEX(Permits,90+B24-Lead)</f>
        <v>125.71617000000001</v>
      </c>
      <c r="D24" s="36">
        <f t="shared" si="0"/>
        <v>5.7094700807910597</v>
      </c>
      <c r="E24" s="43" cm="1">
        <f t="array" aca="1" ref="E24" ca="1">_xll.VoseOutput("Month 7","kt","Sales forecast",7)+_xll.VoseNormal(D24,LineScatter)</f>
        <v>5.8755371962347054</v>
      </c>
      <c r="F24" s="28"/>
      <c r="G24" s="26"/>
    </row>
    <row r="25" spans="2:7" x14ac:dyDescent="0.45">
      <c r="B25" s="34">
        <v>8</v>
      </c>
      <c r="C25" s="42" cm="1">
        <f t="array" ref="C25">INDEX(Permits,90+B25-Lead)</f>
        <v>134.39296300000001</v>
      </c>
      <c r="D25" s="36">
        <f t="shared" si="0"/>
        <v>6.1047612600986962</v>
      </c>
      <c r="E25" s="43" cm="1">
        <f t="array" aca="1" ref="E25" ca="1">_xll.VoseOutput("Month 8","kt","Sales forecast",8)+_xll.VoseNormal(D25,LineScatter)</f>
        <v>5.9949183170263556</v>
      </c>
      <c r="F25" s="28"/>
      <c r="G25" s="26"/>
    </row>
    <row r="26" spans="2:7" x14ac:dyDescent="0.45">
      <c r="B26" s="34">
        <v>9</v>
      </c>
      <c r="C26" s="42" cm="1">
        <f t="array" ref="C26">INDEX(Permits,90+B26-Lead)</f>
        <v>138.84343100000001</v>
      </c>
      <c r="D26" s="36">
        <f t="shared" si="0"/>
        <v>6.3075125236347622</v>
      </c>
      <c r="E26" s="43" cm="1">
        <f t="array" aca="1" ref="E26" ca="1">_xll.VoseOutput("Month 9","kt","Sales forecast",9)+_xll.VoseNormal(D26,LineScatter)</f>
        <v>6.2734035028863717</v>
      </c>
      <c r="F26" s="28"/>
      <c r="G26" s="26"/>
    </row>
    <row r="27" spans="2:7" x14ac:dyDescent="0.45">
      <c r="B27" s="34">
        <v>10</v>
      </c>
      <c r="C27" s="42" cm="1">
        <f t="array" ref="C27">INDEX(Permits,90+B27-Lead)</f>
        <v>144.303493</v>
      </c>
      <c r="D27" s="36">
        <f t="shared" si="0"/>
        <v>6.5562581543156844</v>
      </c>
      <c r="E27" s="43" cm="1">
        <f t="array" aca="1" ref="E27" ca="1">_xll.VoseOutput("Month 10","kt","Sales forecast",10)+_xll.VoseNormal(D27,LineScatter)</f>
        <v>6.32899065936867</v>
      </c>
      <c r="F27" s="28"/>
      <c r="G27" s="26"/>
    </row>
    <row r="28" spans="2:7" x14ac:dyDescent="0.45">
      <c r="B28" s="34">
        <v>11</v>
      </c>
      <c r="C28" s="42" cm="1">
        <f t="array" ref="C28">INDEX(Permits,90+B28-Lead)</f>
        <v>142.662756</v>
      </c>
      <c r="D28" s="36">
        <f t="shared" si="0"/>
        <v>6.4815106221729133</v>
      </c>
      <c r="E28" s="43" cm="1">
        <f t="array" aca="1" ref="E28" ca="1">_xll.VoseOutput("Month 11","kt","Sales forecast",11)+_xll.VoseNormal(D28,LineScatter)</f>
        <v>6.5348404486076515</v>
      </c>
      <c r="F28" s="28"/>
      <c r="G28" s="26"/>
    </row>
    <row r="29" spans="2:7" ht="8" customHeight="1" x14ac:dyDescent="0.45"/>
    <row r="30" spans="2:7" ht="22.05" customHeight="1" x14ac:dyDescent="0.5">
      <c r="B30" s="7" t="s">
        <v>145</v>
      </c>
      <c r="C30" s="8"/>
      <c r="D30" s="8"/>
      <c r="E30" s="8"/>
      <c r="F30" s="8"/>
      <c r="G30" s="8"/>
    </row>
    <row r="31" spans="2:7" ht="18" customHeight="1" x14ac:dyDescent="0.45">
      <c r="B31" s="13" t="s">
        <v>146</v>
      </c>
    </row>
    <row r="32" spans="2:7" ht="18" customHeight="1" x14ac:dyDescent="0.45">
      <c r="B32" s="44" t="s">
        <v>147</v>
      </c>
      <c r="C32" s="44" t="s">
        <v>97</v>
      </c>
      <c r="D32" s="45" t="s">
        <v>148</v>
      </c>
      <c r="E32" s="5"/>
      <c r="F32" s="5"/>
      <c r="G32" s="44" t="s">
        <v>149</v>
      </c>
    </row>
    <row r="33" spans="2:7" x14ac:dyDescent="0.45">
      <c r="B33" s="25" t="s">
        <v>150</v>
      </c>
      <c r="C33" s="26" t="s">
        <v>134</v>
      </c>
      <c r="D33" s="46" cm="1">
        <f t="array" aca="1" ref="D33" ca="1">_xll.VoseOutput("Sales over 11 months","kt")+SUM(E18:E28)</f>
        <v>63.68395152510638</v>
      </c>
      <c r="E33" s="28"/>
      <c r="F33" s="28"/>
      <c r="G33" s="26"/>
    </row>
    <row r="34" spans="2:7" x14ac:dyDescent="0.45">
      <c r="B34" s="25" t="s">
        <v>151</v>
      </c>
      <c r="C34" s="26" t="s">
        <v>134</v>
      </c>
      <c r="D34" s="42">
        <f>SUM(D18:D28)</f>
        <v>63.323486415634719</v>
      </c>
      <c r="E34" s="28"/>
      <c r="F34" s="28"/>
      <c r="G34" s="26" t="s">
        <v>152</v>
      </c>
    </row>
    <row r="35" spans="2:7" ht="8" customHeight="1" x14ac:dyDescent="0.45"/>
    <row r="36" spans="2:7" ht="22.05" customHeight="1" x14ac:dyDescent="0.5">
      <c r="B36" s="7" t="s">
        <v>153</v>
      </c>
      <c r="C36" s="8"/>
      <c r="D36" s="8"/>
      <c r="E36" s="8"/>
      <c r="F36" s="8"/>
      <c r="G36" s="8"/>
    </row>
    <row r="37" spans="2:7" ht="18" customHeight="1" x14ac:dyDescent="0.45">
      <c r="B37" s="13" t="s">
        <v>154</v>
      </c>
    </row>
    <row r="38" spans="2:7" x14ac:dyDescent="0.45">
      <c r="B38" s="25" t="s">
        <v>155</v>
      </c>
      <c r="C38" s="28"/>
      <c r="D38" s="47" t="str">
        <f>IF(Lead&gt;=11,"OK","CHECK")</f>
        <v>OK</v>
      </c>
      <c r="E38" s="28"/>
      <c r="F38" s="28"/>
      <c r="G38" s="28"/>
    </row>
    <row r="39" spans="2:7" x14ac:dyDescent="0.45">
      <c r="B39" s="25" t="s">
        <v>156</v>
      </c>
      <c r="C39" s="28"/>
      <c r="D39" s="47" t="str">
        <f>IF(Lead=BestLead,"OK","CHECK")</f>
        <v>OK</v>
      </c>
      <c r="E39" s="28"/>
      <c r="F39" s="28"/>
      <c r="G39" s="28"/>
    </row>
    <row r="40" spans="2:7" ht="14" customHeight="1" x14ac:dyDescent="0.45"/>
  </sheetData>
  <conditionalFormatting sqref="D38:D39">
    <cfRule type="expression" dxfId="3" priority="1">
      <formula>D38="CHECK"</formula>
    </cfRule>
  </conditionalFormatting>
  <hyperlinks>
    <hyperlink ref="B4" location="'Data'!A1" display="◂  Data" xr:uid="{00000000-0004-0000-0300-000000000000}"/>
    <hyperlink ref="G4" location="'Results'!A1" display="Next:  Results  ▸" xr:uid="{00000000-0004-0000-0300-000001000000}"/>
  </hyperlinks>
  <printOptions horizontalCentered="1"/>
  <pageMargins left="0.4" right="0.4" top="0.5" bottom="0.6" header="0.25" footer="0.25"/>
  <pageSetup paperSize="9" scale="94" fitToHeight="0" orientation="landscape" r:id="rId1"/>
  <headerFooter>
    <oddFooter>&amp;L&amp;K3F5876&amp;8&amp;F · &amp;A&amp;R&amp;K3F5876&amp;8Page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5803D"/>
    <outlinePr summaryBelow="0"/>
    <pageSetUpPr fitToPage="1"/>
  </sheetPr>
  <dimension ref="A1:R45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157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158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8" t="str" cm="1">
        <f t="array" aca="1" ref="B6" ca="1">IF(ISNUMBER(_xll.VoseSimMean(Total)),"✔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49"/>
      <c r="D6" s="49"/>
      <c r="E6" s="49"/>
      <c r="F6" s="49"/>
      <c r="G6" s="49"/>
    </row>
    <row r="7" spans="1:18" x14ac:dyDescent="0.45">
      <c r="B7" s="37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159</v>
      </c>
      <c r="C9" s="8"/>
      <c r="D9" s="8"/>
      <c r="E9" s="8"/>
      <c r="F9" s="8"/>
      <c r="G9" s="8"/>
      <c r="I9" s="50" t="s">
        <v>160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161</v>
      </c>
    </row>
    <row r="11" spans="1:18" ht="18" customHeight="1" x14ac:dyDescent="0.45">
      <c r="B11" s="23" t="s">
        <v>162</v>
      </c>
      <c r="C11" s="23" t="s">
        <v>97</v>
      </c>
      <c r="D11" s="24" t="s">
        <v>148</v>
      </c>
      <c r="E11" s="5"/>
      <c r="F11" s="5"/>
      <c r="G11" s="5"/>
    </row>
    <row r="12" spans="1:18" x14ac:dyDescent="0.45">
      <c r="B12" s="51" t="s">
        <v>163</v>
      </c>
      <c r="C12" s="26" t="s">
        <v>102</v>
      </c>
      <c r="D12" s="35">
        <f>BestLead</f>
        <v>11</v>
      </c>
      <c r="E12" s="28"/>
      <c r="F12" s="28"/>
      <c r="G12" s="28"/>
    </row>
    <row r="13" spans="1:18" x14ac:dyDescent="0.45">
      <c r="B13" s="52" t="s">
        <v>164</v>
      </c>
      <c r="C13" s="26" t="s">
        <v>102</v>
      </c>
      <c r="D13" s="35">
        <f>Lead</f>
        <v>11</v>
      </c>
      <c r="E13" s="28"/>
      <c r="F13" s="28"/>
      <c r="G13" s="28"/>
    </row>
    <row r="14" spans="1:18" x14ac:dyDescent="0.45">
      <c r="B14" s="52" t="s">
        <v>165</v>
      </c>
      <c r="C14" s="26"/>
      <c r="D14" s="36">
        <f>RsqLead</f>
        <v>0.97149230158392497</v>
      </c>
      <c r="E14" s="28"/>
      <c r="F14" s="28"/>
      <c r="G14" s="28"/>
    </row>
    <row r="15" spans="1:18" x14ac:dyDescent="0.45">
      <c r="B15" s="52" t="s">
        <v>166</v>
      </c>
      <c r="C15" s="26" t="s">
        <v>134</v>
      </c>
      <c r="D15" s="36">
        <f>LineScatter</f>
        <v>0.16350114216180459</v>
      </c>
      <c r="E15" s="28"/>
      <c r="F15" s="28"/>
      <c r="G15" s="28"/>
    </row>
    <row r="16" spans="1:18" ht="22.05" customHeight="1" x14ac:dyDescent="0.5">
      <c r="B16" s="7" t="s">
        <v>167</v>
      </c>
      <c r="C16" s="8"/>
      <c r="D16" s="8"/>
      <c r="E16" s="8"/>
      <c r="F16" s="8"/>
      <c r="G16" s="8"/>
    </row>
    <row r="17" spans="2:7" ht="18" customHeight="1" x14ac:dyDescent="0.45">
      <c r="B17" s="13" t="s">
        <v>168</v>
      </c>
    </row>
    <row r="18" spans="2:7" ht="18" customHeight="1" x14ac:dyDescent="0.45">
      <c r="B18" s="23" t="s">
        <v>162</v>
      </c>
      <c r="C18" s="23" t="s">
        <v>97</v>
      </c>
      <c r="D18" s="24" t="s">
        <v>169</v>
      </c>
      <c r="E18" s="24" t="s">
        <v>170</v>
      </c>
      <c r="F18" s="24" t="s">
        <v>171</v>
      </c>
      <c r="G18" s="24" t="s">
        <v>172</v>
      </c>
    </row>
    <row r="19" spans="2:7" x14ac:dyDescent="0.45">
      <c r="B19" s="25" t="s">
        <v>173</v>
      </c>
      <c r="C19" s="26" t="s">
        <v>134</v>
      </c>
      <c r="D19" s="53" cm="1">
        <f t="array" aca="1" ref="D19" ca="1">_xll.VoseSimPercentile(Fc_1,0.1)</f>
        <v>5.0283174446370991</v>
      </c>
      <c r="E19" s="53" cm="1">
        <f t="array" aca="1" ref="E19" ca="1">_xll.VoseSimPercentile(Fc_1,0.5)</f>
        <v>5.2421972983662251</v>
      </c>
      <c r="F19" s="53" cm="1">
        <f t="array" aca="1" ref="F19" ca="1">_xll.VoseSimPercentile(Fc_1,0.9)</f>
        <v>5.4564238372618439</v>
      </c>
      <c r="G19" s="53" cm="1">
        <f t="array" aca="1" ref="G19" ca="1">_xll.VoseSimMean(Fc_1)</f>
        <v>5.2424249713690614</v>
      </c>
    </row>
    <row r="20" spans="2:7" x14ac:dyDescent="0.45">
      <c r="B20" s="25" t="s">
        <v>174</v>
      </c>
      <c r="C20" s="26" t="s">
        <v>134</v>
      </c>
      <c r="D20" s="53" cm="1">
        <f t="array" aca="1" ref="D20" ca="1">_xll.VoseSimPercentile(Fc_6,0.1)</f>
        <v>5.4133619189641422</v>
      </c>
      <c r="E20" s="53" cm="1">
        <f t="array" aca="1" ref="E20" ca="1">_xll.VoseSimPercentile(Fc_6,0.5)</f>
        <v>5.6205785607185943</v>
      </c>
      <c r="F20" s="53" cm="1">
        <f t="array" aca="1" ref="F20" ca="1">_xll.VoseSimPercentile(Fc_6,0.9)</f>
        <v>5.8303179405777907</v>
      </c>
      <c r="G20" s="53" cm="1">
        <f t="array" aca="1" ref="G20" ca="1">_xll.VoseSimMean(Fc_6)</f>
        <v>5.6200104748276338</v>
      </c>
    </row>
    <row r="21" spans="2:7" x14ac:dyDescent="0.45">
      <c r="B21" s="25" t="s">
        <v>175</v>
      </c>
      <c r="C21" s="26" t="s">
        <v>134</v>
      </c>
      <c r="D21" s="53" cm="1">
        <f t="array" aca="1" ref="D21" ca="1">_xll.VoseSimPercentile(Fc_11,0.1)</f>
        <v>6.2722743140046511</v>
      </c>
      <c r="E21" s="53" cm="1">
        <f t="array" aca="1" ref="E21" ca="1">_xll.VoseSimPercentile(Fc_11,0.5)</f>
        <v>6.4818202131361602</v>
      </c>
      <c r="F21" s="53" cm="1">
        <f t="array" aca="1" ref="F21" ca="1">_xll.VoseSimPercentile(Fc_11,0.9)</f>
        <v>6.693297273547234</v>
      </c>
      <c r="G21" s="53" cm="1">
        <f t="array" aca="1" ref="G21" ca="1">_xll.VoseSimMean(Fc_11)</f>
        <v>6.4832222513975193</v>
      </c>
    </row>
    <row r="22" spans="2:7" x14ac:dyDescent="0.45">
      <c r="B22" s="25" t="s">
        <v>176</v>
      </c>
      <c r="C22" s="26" t="s">
        <v>134</v>
      </c>
      <c r="D22" s="54" cm="1">
        <f t="array" aca="1" ref="D22" ca="1">_xll.VoseSimPercentile(Total,0.1)</f>
        <v>62.6408429008995</v>
      </c>
      <c r="E22" s="54" cm="1">
        <f t="array" aca="1" ref="E22" ca="1">_xll.VoseSimPercentile(Total,0.5)</f>
        <v>63.333130036488789</v>
      </c>
      <c r="F22" s="54" cm="1">
        <f t="array" aca="1" ref="F22" ca="1">_xll.VoseSimPercentile(Total,0.9)</f>
        <v>64.030276478410158</v>
      </c>
      <c r="G22" s="54" cm="1">
        <f t="array" aca="1" ref="G22" ca="1">_xll.VoseSimMean(Total)</f>
        <v>63.332571027741452</v>
      </c>
    </row>
    <row r="23" spans="2:7" ht="8" customHeight="1" x14ac:dyDescent="0.45"/>
    <row r="25" spans="2:7" ht="22.05" customHeight="1" x14ac:dyDescent="0.5">
      <c r="B25" s="7" t="s">
        <v>177</v>
      </c>
      <c r="C25" s="8"/>
      <c r="D25" s="8"/>
      <c r="E25" s="8"/>
      <c r="F25" s="8"/>
      <c r="G25" s="8"/>
    </row>
    <row r="26" spans="2:7" ht="32" customHeight="1" x14ac:dyDescent="0.45">
      <c r="B26" s="57" t="s">
        <v>178</v>
      </c>
      <c r="C26" s="58"/>
      <c r="D26" s="58"/>
      <c r="E26" s="58"/>
      <c r="F26" s="58"/>
      <c r="G26" s="58"/>
    </row>
    <row r="27" spans="2:7" ht="32" customHeight="1" x14ac:dyDescent="0.45">
      <c r="B27" s="57" t="s">
        <v>179</v>
      </c>
      <c r="C27" s="58"/>
      <c r="D27" s="58"/>
      <c r="E27" s="58"/>
      <c r="F27" s="58"/>
      <c r="G27" s="58"/>
    </row>
    <row r="28" spans="2:7" ht="32" customHeight="1" x14ac:dyDescent="0.45">
      <c r="B28" s="57" t="s">
        <v>180</v>
      </c>
      <c r="C28" s="58"/>
      <c r="D28" s="58"/>
      <c r="E28" s="58"/>
      <c r="F28" s="58"/>
      <c r="G28" s="58"/>
    </row>
    <row r="29" spans="2:7" ht="32" customHeight="1" x14ac:dyDescent="0.45">
      <c r="B29" s="57" t="s">
        <v>181</v>
      </c>
      <c r="C29" s="58"/>
      <c r="D29" s="58"/>
      <c r="E29" s="58"/>
      <c r="F29" s="58"/>
      <c r="G29" s="58"/>
    </row>
    <row r="30" spans="2:7" ht="14" customHeight="1" x14ac:dyDescent="0.45"/>
    <row r="31" spans="2:7" ht="14" customHeight="1" x14ac:dyDescent="0.45"/>
    <row r="32" spans="2:7" ht="22.05" customHeight="1" x14ac:dyDescent="0.5">
      <c r="B32" s="7" t="s">
        <v>182</v>
      </c>
      <c r="C32" s="8"/>
      <c r="D32" s="8"/>
      <c r="E32" s="8"/>
      <c r="F32" s="8"/>
      <c r="G32" s="8"/>
    </row>
    <row r="33" spans="2:7" ht="18" customHeight="1" x14ac:dyDescent="0.45">
      <c r="B33" s="13" t="s">
        <v>183</v>
      </c>
    </row>
    <row r="34" spans="2:7" ht="28.05" hidden="1" customHeight="1" outlineLevel="1" x14ac:dyDescent="0.45">
      <c r="B34" s="23" t="s">
        <v>184</v>
      </c>
      <c r="C34" s="24" t="s">
        <v>185</v>
      </c>
      <c r="D34" s="24" t="s">
        <v>170</v>
      </c>
      <c r="E34" s="24" t="s">
        <v>186</v>
      </c>
      <c r="F34" s="24" t="s">
        <v>172</v>
      </c>
      <c r="G34" s="5"/>
    </row>
    <row r="35" spans="2:7" hidden="1" outlineLevel="1" x14ac:dyDescent="0.45">
      <c r="B35" s="55" t="s">
        <v>187</v>
      </c>
      <c r="C35" s="56" cm="1">
        <f t="array" aca="1" ref="C35" ca="1">IF(ISNUMBER(_xll.VoseSimPercentile(Fc_1,0.1)),_xll.VoseSimPercentile(Fc_1,0.1),NA())</f>
        <v>5.0283174446370991</v>
      </c>
      <c r="D35" s="56" cm="1">
        <f t="array" aca="1" ref="D35" ca="1">IF(ISNUMBER(_xll.VoseSimPercentile(Fc_1,0.5)),_xll.VoseSimPercentile(Fc_1,0.5),NA())</f>
        <v>5.2421972983662251</v>
      </c>
      <c r="E35" s="56" cm="1">
        <f t="array" aca="1" ref="E35" ca="1">IF(ISNUMBER(_xll.VoseSimPercentile(Fc_1,0.9)),_xll.VoseSimPercentile(Fc_1,0.9),NA())</f>
        <v>5.4564238372618439</v>
      </c>
      <c r="F35" s="56" cm="1">
        <f t="array" aca="1" ref="F35" ca="1">IF(ISNUMBER(_xll.VoseSimMean(Fc_1)),_xll.VoseSimMean(Fc_1),NA())</f>
        <v>5.2424141406112561</v>
      </c>
    </row>
    <row r="36" spans="2:7" hidden="1" outlineLevel="1" x14ac:dyDescent="0.45">
      <c r="B36" s="55" t="s">
        <v>188</v>
      </c>
      <c r="C36" s="56" cm="1">
        <f t="array" aca="1" ref="C36" ca="1">IF(ISNUMBER(_xll.VoseSimPercentile(Fc_2,0.1)),_xll.VoseSimPercentile(Fc_2,0.1),NA())</f>
        <v>4.9074537614882088</v>
      </c>
      <c r="D36" s="56" cm="1">
        <f t="array" aca="1" ref="D36" ca="1">IF(ISNUMBER(_xll.VoseSimPercentile(Fc_2,0.5)),_xll.VoseSimPercentile(Fc_2,0.5),NA())</f>
        <v>5.1220312359599509</v>
      </c>
      <c r="E36" s="56" cm="1">
        <f t="array" aca="1" ref="E36" ca="1">IF(ISNUMBER(_xll.VoseSimPercentile(Fc_2,0.9)),_xll.VoseSimPercentile(Fc_2,0.9),NA())</f>
        <v>5.3333877901913009</v>
      </c>
      <c r="F36" s="56" cm="1">
        <f t="array" aca="1" ref="F36" ca="1">IF(ISNUMBER(_xll.VoseSimMean(Fc_2)),_xll.VoseSimMean(Fc_2),NA())</f>
        <v>5.121908858103704</v>
      </c>
    </row>
    <row r="37" spans="2:7" hidden="1" outlineLevel="1" x14ac:dyDescent="0.45">
      <c r="B37" s="55" t="s">
        <v>189</v>
      </c>
      <c r="C37" s="56" cm="1">
        <f t="array" aca="1" ref="C37" ca="1">IF(ISNUMBER(_xll.VoseSimPercentile(Fc_3,0.1)),_xll.VoseSimPercentile(Fc_3,0.1),NA())</f>
        <v>5.2424748125360852</v>
      </c>
      <c r="D37" s="56" cm="1">
        <f t="array" aca="1" ref="D37" ca="1">IF(ISNUMBER(_xll.VoseSimPercentile(Fc_3,0.5)),_xll.VoseSimPercentile(Fc_3,0.5),NA())</f>
        <v>5.4554504395332692</v>
      </c>
      <c r="E37" s="56" cm="1">
        <f t="array" aca="1" ref="E37" ca="1">IF(ISNUMBER(_xll.VoseSimPercentile(Fc_3,0.9)),_xll.VoseSimPercentile(Fc_3,0.9),NA())</f>
        <v>5.6671554871309011</v>
      </c>
      <c r="F37" s="56" cm="1">
        <f t="array" aca="1" ref="F37" ca="1">IF(ISNUMBER(_xll.VoseSimMean(Fc_3)),_xll.VoseSimMean(Fc_3),NA())</f>
        <v>5.4560658912705966</v>
      </c>
    </row>
    <row r="38" spans="2:7" hidden="1" outlineLevel="1" x14ac:dyDescent="0.45">
      <c r="B38" s="55" t="s">
        <v>190</v>
      </c>
      <c r="C38" s="56" cm="1">
        <f t="array" aca="1" ref="C38" ca="1">IF(ISNUMBER(_xll.VoseSimPercentile(Fc_4,0.1)),_xll.VoseSimPercentile(Fc_4,0.1),NA())</f>
        <v>5.056155446809373</v>
      </c>
      <c r="D38" s="56" cm="1">
        <f t="array" aca="1" ref="D38" ca="1">IF(ISNUMBER(_xll.VoseSimPercentile(Fc_4,0.5)),_xll.VoseSimPercentile(Fc_4,0.5),NA())</f>
        <v>5.2694781982975671</v>
      </c>
      <c r="E38" s="56" cm="1">
        <f t="array" aca="1" ref="E38" ca="1">IF(ISNUMBER(_xll.VoseSimPercentile(Fc_4,0.9)),_xll.VoseSimPercentile(Fc_4,0.9),NA())</f>
        <v>5.4787165467871981</v>
      </c>
      <c r="F38" s="56" cm="1">
        <f t="array" aca="1" ref="F38" ca="1">IF(ISNUMBER(_xll.VoseSimMean(Fc_4)),_xll.VoseSimMean(Fc_4),NA())</f>
        <v>5.2680549108870682</v>
      </c>
    </row>
    <row r="39" spans="2:7" hidden="1" outlineLevel="1" x14ac:dyDescent="0.45">
      <c r="B39" s="55" t="s">
        <v>191</v>
      </c>
      <c r="C39" s="56" cm="1">
        <f t="array" aca="1" ref="C39" ca="1">IF(ISNUMBER(_xll.VoseSimPercentile(Fc_5,0.1)),_xll.VoseSimPercentile(Fc_5,0.1),NA())</f>
        <v>5.2540803053724643</v>
      </c>
      <c r="D39" s="56" cm="1">
        <f t="array" aca="1" ref="D39" ca="1">IF(ISNUMBER(_xll.VoseSimPercentile(Fc_5,0.5)),_xll.VoseSimPercentile(Fc_5,0.5),NA())</f>
        <v>5.4615799139368955</v>
      </c>
      <c r="E39" s="56" cm="1">
        <f t="array" aca="1" ref="E39" ca="1">IF(ISNUMBER(_xll.VoseSimPercentile(Fc_5,0.9)),_xll.VoseSimPercentile(Fc_5,0.9),NA())</f>
        <v>5.6649741974461483</v>
      </c>
      <c r="F39" s="56" cm="1">
        <f t="array" aca="1" ref="F39" ca="1">IF(ISNUMBER(_xll.VoseSimMean(Fc_5)),_xll.VoseSimMean(Fc_5),NA())</f>
        <v>5.4600108716622495</v>
      </c>
    </row>
    <row r="40" spans="2:7" hidden="1" outlineLevel="1" x14ac:dyDescent="0.45">
      <c r="B40" s="55" t="s">
        <v>192</v>
      </c>
      <c r="C40" s="56" cm="1">
        <f t="array" aca="1" ref="C40" ca="1">IF(ISNUMBER(_xll.VoseSimPercentile(Fc_6,0.1)),_xll.VoseSimPercentile(Fc_6,0.1),NA())</f>
        <v>5.4133619189641422</v>
      </c>
      <c r="D40" s="56" cm="1">
        <f t="array" aca="1" ref="D40" ca="1">IF(ISNUMBER(_xll.VoseSimPercentile(Fc_6,0.5)),_xll.VoseSimPercentile(Fc_6,0.5),NA())</f>
        <v>5.6205785607185943</v>
      </c>
      <c r="E40" s="56" cm="1">
        <f t="array" aca="1" ref="E40" ca="1">IF(ISNUMBER(_xll.VoseSimPercentile(Fc_6,0.9)),_xll.VoseSimPercentile(Fc_6,0.9),NA())</f>
        <v>5.8303179405777907</v>
      </c>
      <c r="F40" s="56" cm="1">
        <f t="array" aca="1" ref="F40" ca="1">IF(ISNUMBER(_xll.VoseSimMean(Fc_6)),_xll.VoseSimMean(Fc_6),NA())</f>
        <v>5.6200068316099339</v>
      </c>
    </row>
    <row r="41" spans="2:7" hidden="1" outlineLevel="1" x14ac:dyDescent="0.45">
      <c r="B41" s="55" t="s">
        <v>193</v>
      </c>
      <c r="C41" s="56" cm="1">
        <f t="array" aca="1" ref="C41" ca="1">IF(ISNUMBER(_xll.VoseSimPercentile(Fc_7,0.1)),_xll.VoseSimPercentile(Fc_7,0.1),NA())</f>
        <v>5.5002284414822524</v>
      </c>
      <c r="D41" s="56" cm="1">
        <f t="array" aca="1" ref="D41" ca="1">IF(ISNUMBER(_xll.VoseSimPercentile(Fc_7,0.5)),_xll.VoseSimPercentile(Fc_7,0.5),NA())</f>
        <v>5.7075975717972902</v>
      </c>
      <c r="E41" s="56" cm="1">
        <f t="array" aca="1" ref="E41" ca="1">IF(ISNUMBER(_xll.VoseSimPercentile(Fc_7,0.9)),_xll.VoseSimPercentile(Fc_7,0.9),NA())</f>
        <v>5.9193356354215254</v>
      </c>
      <c r="F41" s="56" cm="1">
        <f t="array" aca="1" ref="F41" ca="1">IF(ISNUMBER(_xll.VoseSimMean(Fc_7)),_xll.VoseSimMean(Fc_7),NA())</f>
        <v>5.7088665503777944</v>
      </c>
    </row>
    <row r="42" spans="2:7" hidden="1" outlineLevel="1" x14ac:dyDescent="0.45">
      <c r="B42" s="55" t="s">
        <v>194</v>
      </c>
      <c r="C42" s="56" cm="1">
        <f t="array" aca="1" ref="C42" ca="1">IF(ISNUMBER(_xll.VoseSimPercentile(Fc_8,0.1)),_xll.VoseSimPercentile(Fc_8,0.1),NA())</f>
        <v>5.8939345102332146</v>
      </c>
      <c r="D42" s="56" cm="1">
        <f t="array" aca="1" ref="D42" ca="1">IF(ISNUMBER(_xll.VoseSimPercentile(Fc_8,0.5)),_xll.VoseSimPercentile(Fc_8,0.5),NA())</f>
        <v>6.1070034813569043</v>
      </c>
      <c r="E42" s="56" cm="1">
        <f t="array" aca="1" ref="E42" ca="1">IF(ISNUMBER(_xll.VoseSimPercentile(Fc_8,0.9)),_xll.VoseSimPercentile(Fc_8,0.9),NA())</f>
        <v>6.3156431234822961</v>
      </c>
      <c r="F42" s="56" cm="1">
        <f t="array" aca="1" ref="F42" ca="1">IF(ISNUMBER(_xll.VoseSimMean(Fc_8)),_xll.VoseSimMean(Fc_8),NA())</f>
        <v>6.1060275329879836</v>
      </c>
    </row>
    <row r="43" spans="2:7" hidden="1" outlineLevel="1" x14ac:dyDescent="0.45">
      <c r="B43" s="55" t="s">
        <v>195</v>
      </c>
      <c r="C43" s="56" cm="1">
        <f t="array" aca="1" ref="C43" ca="1">IF(ISNUMBER(_xll.VoseSimPercentile(Fc_9,0.1)),_xll.VoseSimPercentile(Fc_9,0.1),NA())</f>
        <v>6.1035247361128411</v>
      </c>
      <c r="D43" s="56" cm="1">
        <f t="array" aca="1" ref="D43" ca="1">IF(ISNUMBER(_xll.VoseSimPercentile(Fc_9,0.5)),_xll.VoseSimPercentile(Fc_9,0.5),NA())</f>
        <v>6.3064232828886562</v>
      </c>
      <c r="E43" s="56" cm="1">
        <f t="array" aca="1" ref="E43" ca="1">IF(ISNUMBER(_xll.VoseSimPercentile(Fc_9,0.9)),_xll.VoseSimPercentile(Fc_9,0.9),NA())</f>
        <v>6.5201018334604059</v>
      </c>
      <c r="F43" s="56" cm="1">
        <f t="array" aca="1" ref="F43" ca="1">IF(ISNUMBER(_xll.VoseSimMean(Fc_9)),_xll.VoseSimMean(Fc_9),NA())</f>
        <v>6.3100651544339241</v>
      </c>
    </row>
    <row r="44" spans="2:7" hidden="1" outlineLevel="1" x14ac:dyDescent="0.45">
      <c r="B44" s="55" t="s">
        <v>196</v>
      </c>
      <c r="C44" s="56" cm="1">
        <f t="array" aca="1" ref="C44" ca="1">IF(ISNUMBER(_xll.VoseSimPercentile(Fc_10,0.1)),_xll.VoseSimPercentile(Fc_10,0.1),NA())</f>
        <v>6.3457131159713995</v>
      </c>
      <c r="D44" s="56" cm="1">
        <f t="array" aca="1" ref="D44" ca="1">IF(ISNUMBER(_xll.VoseSimPercentile(Fc_10,0.5)),_xll.VoseSimPercentile(Fc_10,0.5),NA())</f>
        <v>6.5548722466745977</v>
      </c>
      <c r="E44" s="56" cm="1">
        <f t="array" aca="1" ref="E44" ca="1">IF(ISNUMBER(_xll.VoseSimPercentile(Fc_10,0.9)),_xll.VoseSimPercentile(Fc_10,0.9),NA())</f>
        <v>6.7698873436026492</v>
      </c>
      <c r="F44" s="56" cm="1">
        <f t="array" aca="1" ref="F44" ca="1">IF(ISNUMBER(_xll.VoseSimMean(Fc_10)),_xll.VoseSimMean(Fc_10),NA())</f>
        <v>6.5558977936526341</v>
      </c>
    </row>
    <row r="45" spans="2:7" hidden="1" outlineLevel="1" x14ac:dyDescent="0.45">
      <c r="B45" s="55" t="s">
        <v>197</v>
      </c>
      <c r="C45" s="56" cm="1">
        <f t="array" aca="1" ref="C45" ca="1">IF(ISNUMBER(_xll.VoseSimPercentile(Fc_11,0.1)),_xll.VoseSimPercentile(Fc_11,0.1),NA())</f>
        <v>6.2722743140046511</v>
      </c>
      <c r="D45" s="56" cm="1">
        <f t="array" aca="1" ref="D45" ca="1">IF(ISNUMBER(_xll.VoseSimPercentile(Fc_11,0.5)),_xll.VoseSimPercentile(Fc_11,0.5),NA())</f>
        <v>6.4818202131361602</v>
      </c>
      <c r="E45" s="56" cm="1">
        <f t="array" aca="1" ref="E45" ca="1">IF(ISNUMBER(_xll.VoseSimPercentile(Fc_11,0.9)),_xll.VoseSimPercentile(Fc_11,0.9),NA())</f>
        <v>6.693297273547234</v>
      </c>
      <c r="F45" s="56" cm="1">
        <f t="array" aca="1" ref="F45" ca="1">IF(ISNUMBER(_xll.VoseSimMean(Fc_11)),_xll.VoseSimMean(Fc_11),NA())</f>
        <v>6.4832085758522577</v>
      </c>
    </row>
  </sheetData>
  <mergeCells count="4">
    <mergeCell ref="B26:G26"/>
    <mergeCell ref="B28:G28"/>
    <mergeCell ref="B27:G27"/>
    <mergeCell ref="B29:G29"/>
  </mergeCells>
  <conditionalFormatting sqref="B7">
    <cfRule type="expression" dxfId="2" priority="2">
      <formula>LEFT($B$7,1)="✗"</formula>
    </cfRule>
  </conditionalFormatting>
  <conditionalFormatting sqref="B6:G6">
    <cfRule type="expression" dxfId="1" priority="1">
      <formula>LEFT($B$6,1)&lt;&gt;"✔"</formula>
    </cfRule>
  </conditionalFormatting>
  <conditionalFormatting sqref="C35:F45">
    <cfRule type="expression" dxfId="0" priority="3">
      <formula>ISNA(C35)</formula>
    </cfRule>
  </conditionalFormatting>
  <hyperlinks>
    <hyperlink ref="B4" location="'Forecast'!A1" display="◂  Forecast" xr:uid="{00000000-0004-0000-04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21E5-5D38-4FB0-BABB-20E5C32B29C7}">
  <dimension ref="A1:B1"/>
  <sheetViews>
    <sheetView workbookViewId="0"/>
  </sheetViews>
  <sheetFormatPr defaultRowHeight="14.25" x14ac:dyDescent="0.45"/>
  <sheetData>
    <row r="1" spans="1:2" x14ac:dyDescent="0.45">
      <c r="A1" s="61" t="s">
        <v>198</v>
      </c>
      <c r="B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E0C3C-77D0-4094-9199-F5694FEB4F6B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DC84-B047-4231-A4D7-768D7D3EE733}">
  <dimension ref="B3:B122"/>
  <sheetViews>
    <sheetView workbookViewId="0"/>
  </sheetViews>
  <sheetFormatPr defaultRowHeight="14.25" x14ac:dyDescent="0.45"/>
  <sheetData>
    <row r="3" spans="2:2" x14ac:dyDescent="0.45">
      <c r="B3">
        <v>9</v>
      </c>
    </row>
    <row r="4" spans="2:2" x14ac:dyDescent="0.45">
      <c r="B4">
        <v>51</v>
      </c>
    </row>
    <row r="5" spans="2:2" x14ac:dyDescent="0.45">
      <c r="B5">
        <v>205</v>
      </c>
    </row>
    <row r="6" spans="2:2" x14ac:dyDescent="0.45">
      <c r="B6">
        <v>432</v>
      </c>
    </row>
    <row r="7" spans="2:2" x14ac:dyDescent="0.45">
      <c r="B7">
        <v>538</v>
      </c>
    </row>
    <row r="8" spans="2:2" x14ac:dyDescent="0.45">
      <c r="B8">
        <v>471</v>
      </c>
    </row>
    <row r="9" spans="2:2" x14ac:dyDescent="0.45">
      <c r="B9">
        <v>216</v>
      </c>
    </row>
    <row r="10" spans="2:2" x14ac:dyDescent="0.45">
      <c r="B10">
        <v>65</v>
      </c>
    </row>
    <row r="11" spans="2:2" x14ac:dyDescent="0.45">
      <c r="B11">
        <v>9</v>
      </c>
    </row>
    <row r="12" spans="2:2" x14ac:dyDescent="0.45">
      <c r="B12">
        <v>4</v>
      </c>
    </row>
    <row r="13" spans="2:2" x14ac:dyDescent="0.45">
      <c r="B13">
        <v>4</v>
      </c>
    </row>
    <row r="14" spans="2:2" x14ac:dyDescent="0.45">
      <c r="B14">
        <v>28</v>
      </c>
    </row>
    <row r="15" spans="2:2" x14ac:dyDescent="0.45">
      <c r="B15">
        <v>139</v>
      </c>
    </row>
    <row r="16" spans="2:2" x14ac:dyDescent="0.45">
      <c r="B16">
        <v>277</v>
      </c>
    </row>
    <row r="17" spans="2:2" x14ac:dyDescent="0.45">
      <c r="B17">
        <v>431</v>
      </c>
    </row>
    <row r="18" spans="2:2" x14ac:dyDescent="0.45">
      <c r="B18">
        <v>529</v>
      </c>
    </row>
    <row r="19" spans="2:2" x14ac:dyDescent="0.45">
      <c r="B19">
        <v>352</v>
      </c>
    </row>
    <row r="20" spans="2:2" x14ac:dyDescent="0.45">
      <c r="B20">
        <v>164</v>
      </c>
    </row>
    <row r="21" spans="2:2" x14ac:dyDescent="0.45">
      <c r="B21">
        <v>64</v>
      </c>
    </row>
    <row r="22" spans="2:2" x14ac:dyDescent="0.45">
      <c r="B22">
        <v>12</v>
      </c>
    </row>
    <row r="23" spans="2:2" x14ac:dyDescent="0.45">
      <c r="B23">
        <v>6</v>
      </c>
    </row>
    <row r="24" spans="2:2" x14ac:dyDescent="0.45">
      <c r="B24">
        <v>28</v>
      </c>
    </row>
    <row r="25" spans="2:2" x14ac:dyDescent="0.45">
      <c r="B25">
        <v>116</v>
      </c>
    </row>
    <row r="26" spans="2:2" x14ac:dyDescent="0.45">
      <c r="B26">
        <v>262</v>
      </c>
    </row>
    <row r="27" spans="2:2" x14ac:dyDescent="0.45">
      <c r="B27">
        <v>453</v>
      </c>
    </row>
    <row r="28" spans="2:2" x14ac:dyDescent="0.45">
      <c r="B28">
        <v>493</v>
      </c>
    </row>
    <row r="29" spans="2:2" x14ac:dyDescent="0.45">
      <c r="B29">
        <v>375</v>
      </c>
    </row>
    <row r="30" spans="2:2" x14ac:dyDescent="0.45">
      <c r="B30">
        <v>188</v>
      </c>
    </row>
    <row r="31" spans="2:2" x14ac:dyDescent="0.45">
      <c r="B31">
        <v>60</v>
      </c>
    </row>
    <row r="32" spans="2:2" x14ac:dyDescent="0.45">
      <c r="B32">
        <v>19</v>
      </c>
    </row>
    <row r="33" spans="2:2" x14ac:dyDescent="0.45">
      <c r="B33">
        <v>7</v>
      </c>
    </row>
    <row r="34" spans="2:2" x14ac:dyDescent="0.45">
      <c r="B34">
        <v>36</v>
      </c>
    </row>
    <row r="35" spans="2:2" x14ac:dyDescent="0.45">
      <c r="B35">
        <v>128</v>
      </c>
    </row>
    <row r="36" spans="2:2" x14ac:dyDescent="0.45">
      <c r="B36">
        <v>298</v>
      </c>
    </row>
    <row r="37" spans="2:2" x14ac:dyDescent="0.45">
      <c r="B37">
        <v>426</v>
      </c>
    </row>
    <row r="38" spans="2:2" x14ac:dyDescent="0.45">
      <c r="B38">
        <v>505</v>
      </c>
    </row>
    <row r="39" spans="2:2" x14ac:dyDescent="0.45">
      <c r="B39">
        <v>342</v>
      </c>
    </row>
    <row r="40" spans="2:2" x14ac:dyDescent="0.45">
      <c r="B40">
        <v>182</v>
      </c>
    </row>
    <row r="41" spans="2:2" x14ac:dyDescent="0.45">
      <c r="B41">
        <v>61</v>
      </c>
    </row>
    <row r="42" spans="2:2" x14ac:dyDescent="0.45">
      <c r="B42">
        <v>15</v>
      </c>
    </row>
    <row r="43" spans="2:2" x14ac:dyDescent="0.45">
      <c r="B43">
        <v>10</v>
      </c>
    </row>
    <row r="44" spans="2:2" x14ac:dyDescent="0.45">
      <c r="B44">
        <v>35</v>
      </c>
    </row>
    <row r="45" spans="2:2" x14ac:dyDescent="0.45">
      <c r="B45">
        <v>111</v>
      </c>
    </row>
    <row r="46" spans="2:2" x14ac:dyDescent="0.45">
      <c r="B46">
        <v>314</v>
      </c>
    </row>
    <row r="47" spans="2:2" x14ac:dyDescent="0.45">
      <c r="B47">
        <v>476</v>
      </c>
    </row>
    <row r="48" spans="2:2" x14ac:dyDescent="0.45">
      <c r="B48">
        <v>495</v>
      </c>
    </row>
    <row r="49" spans="2:2" x14ac:dyDescent="0.45">
      <c r="B49">
        <v>371</v>
      </c>
    </row>
    <row r="50" spans="2:2" x14ac:dyDescent="0.45">
      <c r="B50">
        <v>153</v>
      </c>
    </row>
    <row r="51" spans="2:2" x14ac:dyDescent="0.45">
      <c r="B51">
        <v>29</v>
      </c>
    </row>
    <row r="52" spans="2:2" x14ac:dyDescent="0.45">
      <c r="B52">
        <v>6</v>
      </c>
    </row>
    <row r="53" spans="2:2" x14ac:dyDescent="0.45">
      <c r="B53">
        <v>8</v>
      </c>
    </row>
    <row r="54" spans="2:2" x14ac:dyDescent="0.45">
      <c r="B54">
        <v>39</v>
      </c>
    </row>
    <row r="55" spans="2:2" x14ac:dyDescent="0.45">
      <c r="B55">
        <v>149</v>
      </c>
    </row>
    <row r="56" spans="2:2" x14ac:dyDescent="0.45">
      <c r="B56">
        <v>356</v>
      </c>
    </row>
    <row r="57" spans="2:2" x14ac:dyDescent="0.45">
      <c r="B57">
        <v>569</v>
      </c>
    </row>
    <row r="58" spans="2:2" x14ac:dyDescent="0.45">
      <c r="B58">
        <v>524</v>
      </c>
    </row>
    <row r="59" spans="2:2" x14ac:dyDescent="0.45">
      <c r="B59">
        <v>249</v>
      </c>
    </row>
    <row r="60" spans="2:2" x14ac:dyDescent="0.45">
      <c r="B60">
        <v>84</v>
      </c>
    </row>
    <row r="61" spans="2:2" x14ac:dyDescent="0.45">
      <c r="B61">
        <v>21</v>
      </c>
    </row>
    <row r="62" spans="2:2" x14ac:dyDescent="0.45">
      <c r="B62">
        <v>1</v>
      </c>
    </row>
    <row r="63" spans="2:2" x14ac:dyDescent="0.45">
      <c r="B63">
        <v>2</v>
      </c>
    </row>
    <row r="64" spans="2:2" x14ac:dyDescent="0.45">
      <c r="B64">
        <v>19</v>
      </c>
    </row>
    <row r="65" spans="2:2" x14ac:dyDescent="0.45">
      <c r="B65">
        <v>82</v>
      </c>
    </row>
    <row r="66" spans="2:2" x14ac:dyDescent="0.45">
      <c r="B66">
        <v>242</v>
      </c>
    </row>
    <row r="67" spans="2:2" x14ac:dyDescent="0.45">
      <c r="B67">
        <v>453</v>
      </c>
    </row>
    <row r="68" spans="2:2" x14ac:dyDescent="0.45">
      <c r="B68">
        <v>563</v>
      </c>
    </row>
    <row r="69" spans="2:2" x14ac:dyDescent="0.45">
      <c r="B69">
        <v>369</v>
      </c>
    </row>
    <row r="70" spans="2:2" x14ac:dyDescent="0.45">
      <c r="B70">
        <v>191</v>
      </c>
    </row>
    <row r="71" spans="2:2" x14ac:dyDescent="0.45">
      <c r="B71">
        <v>66</v>
      </c>
    </row>
    <row r="72" spans="2:2" x14ac:dyDescent="0.45">
      <c r="B72">
        <v>13</v>
      </c>
    </row>
    <row r="73" spans="2:2" x14ac:dyDescent="0.45">
      <c r="B73">
        <v>6</v>
      </c>
    </row>
    <row r="74" spans="2:2" x14ac:dyDescent="0.45">
      <c r="B74">
        <v>31</v>
      </c>
    </row>
    <row r="75" spans="2:2" x14ac:dyDescent="0.45">
      <c r="B75">
        <v>110</v>
      </c>
    </row>
    <row r="76" spans="2:2" x14ac:dyDescent="0.45">
      <c r="B76">
        <v>260</v>
      </c>
    </row>
    <row r="77" spans="2:2" x14ac:dyDescent="0.45">
      <c r="B77">
        <v>423</v>
      </c>
    </row>
    <row r="78" spans="2:2" x14ac:dyDescent="0.45">
      <c r="B78">
        <v>512</v>
      </c>
    </row>
    <row r="79" spans="2:2" x14ac:dyDescent="0.45">
      <c r="B79">
        <v>409</v>
      </c>
    </row>
    <row r="80" spans="2:2" x14ac:dyDescent="0.45">
      <c r="B80">
        <v>187</v>
      </c>
    </row>
    <row r="81" spans="2:2" x14ac:dyDescent="0.45">
      <c r="B81">
        <v>47</v>
      </c>
    </row>
    <row r="82" spans="2:2" x14ac:dyDescent="0.45">
      <c r="B82">
        <v>15</v>
      </c>
    </row>
    <row r="83" spans="2:2" x14ac:dyDescent="0.45">
      <c r="B83">
        <v>8</v>
      </c>
    </row>
    <row r="84" spans="2:2" x14ac:dyDescent="0.45">
      <c r="B84">
        <v>36</v>
      </c>
    </row>
    <row r="85" spans="2:2" x14ac:dyDescent="0.45">
      <c r="B85">
        <v>133</v>
      </c>
    </row>
    <row r="86" spans="2:2" x14ac:dyDescent="0.45">
      <c r="B86">
        <v>353</v>
      </c>
    </row>
    <row r="87" spans="2:2" x14ac:dyDescent="0.45">
      <c r="B87">
        <v>549</v>
      </c>
    </row>
    <row r="88" spans="2:2" x14ac:dyDescent="0.45">
      <c r="B88">
        <v>487</v>
      </c>
    </row>
    <row r="89" spans="2:2" x14ac:dyDescent="0.45">
      <c r="B89">
        <v>287</v>
      </c>
    </row>
    <row r="90" spans="2:2" x14ac:dyDescent="0.45">
      <c r="B90">
        <v>106</v>
      </c>
    </row>
    <row r="91" spans="2:2" x14ac:dyDescent="0.45">
      <c r="B91">
        <v>37</v>
      </c>
    </row>
    <row r="92" spans="2:2" x14ac:dyDescent="0.45">
      <c r="B92">
        <v>4</v>
      </c>
    </row>
    <row r="93" spans="2:2" x14ac:dyDescent="0.45">
      <c r="B93">
        <v>14</v>
      </c>
    </row>
    <row r="94" spans="2:2" x14ac:dyDescent="0.45">
      <c r="B94">
        <v>69</v>
      </c>
    </row>
    <row r="95" spans="2:2" x14ac:dyDescent="0.45">
      <c r="B95">
        <v>232</v>
      </c>
    </row>
    <row r="96" spans="2:2" x14ac:dyDescent="0.45">
      <c r="B96">
        <v>461</v>
      </c>
    </row>
    <row r="97" spans="2:2" x14ac:dyDescent="0.45">
      <c r="B97">
        <v>535</v>
      </c>
    </row>
    <row r="98" spans="2:2" x14ac:dyDescent="0.45">
      <c r="B98">
        <v>415</v>
      </c>
    </row>
    <row r="99" spans="2:2" x14ac:dyDescent="0.45">
      <c r="B99">
        <v>202</v>
      </c>
    </row>
    <row r="100" spans="2:2" x14ac:dyDescent="0.45">
      <c r="B100">
        <v>55</v>
      </c>
    </row>
    <row r="101" spans="2:2" x14ac:dyDescent="0.45">
      <c r="B101">
        <v>15</v>
      </c>
    </row>
    <row r="102" spans="2:2" x14ac:dyDescent="0.45">
      <c r="B102">
        <v>2</v>
      </c>
    </row>
    <row r="103" spans="2:2" x14ac:dyDescent="0.45">
      <c r="B103">
        <v>2</v>
      </c>
    </row>
    <row r="104" spans="2:2" x14ac:dyDescent="0.45">
      <c r="B104">
        <v>18</v>
      </c>
    </row>
    <row r="105" spans="2:2" x14ac:dyDescent="0.45">
      <c r="B105">
        <v>76</v>
      </c>
    </row>
    <row r="106" spans="2:2" x14ac:dyDescent="0.45">
      <c r="B106">
        <v>284</v>
      </c>
    </row>
    <row r="107" spans="2:2" x14ac:dyDescent="0.45">
      <c r="B107">
        <v>483</v>
      </c>
    </row>
    <row r="108" spans="2:2" x14ac:dyDescent="0.45">
      <c r="B108">
        <v>563</v>
      </c>
    </row>
    <row r="109" spans="2:2" x14ac:dyDescent="0.45">
      <c r="B109">
        <v>409</v>
      </c>
    </row>
    <row r="110" spans="2:2" x14ac:dyDescent="0.45">
      <c r="B110">
        <v>129</v>
      </c>
    </row>
    <row r="111" spans="2:2" x14ac:dyDescent="0.45">
      <c r="B111">
        <v>30</v>
      </c>
    </row>
    <row r="112" spans="2:2" x14ac:dyDescent="0.45">
      <c r="B112">
        <v>6</v>
      </c>
    </row>
    <row r="113" spans="2:2" x14ac:dyDescent="0.45">
      <c r="B113">
        <v>4</v>
      </c>
    </row>
    <row r="114" spans="2:2" x14ac:dyDescent="0.45">
      <c r="B114">
        <v>41</v>
      </c>
    </row>
    <row r="115" spans="2:2" x14ac:dyDescent="0.45">
      <c r="B115">
        <v>131</v>
      </c>
    </row>
    <row r="116" spans="2:2" x14ac:dyDescent="0.45">
      <c r="B116">
        <v>353</v>
      </c>
    </row>
    <row r="117" spans="2:2" x14ac:dyDescent="0.45">
      <c r="B117">
        <v>515</v>
      </c>
    </row>
    <row r="118" spans="2:2" x14ac:dyDescent="0.45">
      <c r="B118">
        <v>483</v>
      </c>
    </row>
    <row r="119" spans="2:2" x14ac:dyDescent="0.45">
      <c r="B119">
        <v>331</v>
      </c>
    </row>
    <row r="120" spans="2:2" x14ac:dyDescent="0.45">
      <c r="B120">
        <v>109</v>
      </c>
    </row>
    <row r="121" spans="2:2" x14ac:dyDescent="0.45">
      <c r="B121">
        <v>25</v>
      </c>
    </row>
    <row r="122" spans="2:2" x14ac:dyDescent="0.45">
      <c r="B122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401E3B15-437A-44C4-AA9D-41FF61BD7FF2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28</vt:i4>
      </vt:variant>
    </vt:vector>
  </HeadingPairs>
  <TitlesOfParts>
    <vt:vector size="36" baseType="lpstr">
      <vt:lpstr>About</vt:lpstr>
      <vt:lpstr>Inputs</vt:lpstr>
      <vt:lpstr>Data</vt:lpstr>
      <vt:lpstr>Forecast</vt:lpstr>
      <vt:lpstr>Results</vt:lpstr>
      <vt:lpstr>ModelRiskDSN</vt:lpstr>
      <vt:lpstr>ModelRiskSYS1</vt:lpstr>
      <vt:lpstr>ModelRiskCharts</vt:lpstr>
      <vt:lpstr>BestLead</vt:lpstr>
      <vt:lpstr>Checks</vt:lpstr>
      <vt:lpstr>ExpTotal</vt:lpstr>
      <vt:lpstr>Fc_1</vt:lpstr>
      <vt:lpstr>Fc_10</vt:lpstr>
      <vt:lpstr>Fc_11</vt:lpstr>
      <vt:lpstr>Fc_2</vt:lpstr>
      <vt:lpstr>Fc_3</vt:lpstr>
      <vt:lpstr>Fc_4</vt:lpstr>
      <vt:lpstr>Fc_5</vt:lpstr>
      <vt:lpstr>Fc_6</vt:lpstr>
      <vt:lpstr>Fc_7</vt:lpstr>
      <vt:lpstr>Fc_8</vt:lpstr>
      <vt:lpstr>Fc_9</vt:lpstr>
      <vt:lpstr>Lead</vt:lpstr>
      <vt:lpstr>LeadTable</vt:lpstr>
      <vt:lpstr>LineIntercept</vt:lpstr>
      <vt:lpstr>LineScatter</vt:lpstr>
      <vt:lpstr>LineSlope</vt:lpstr>
      <vt:lpstr>Pairs</vt:lpstr>
      <vt:lpstr>Permits</vt:lpstr>
      <vt:lpstr>Results!Print_Area</vt:lpstr>
      <vt:lpstr>Inputs!Print_Titles</vt:lpstr>
      <vt:lpstr>Results!Print_Titles</vt:lpstr>
      <vt:lpstr>RsqLead</vt:lpstr>
      <vt:lpstr>RsqTable</vt:lpstr>
      <vt:lpstr>Sales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GU-14 Forecast from a Leading Indicator</dc:title>
  <dc:subject>ModelRisk industry example library — General use</dc:subject>
  <dc:creator>Vose Software</dc:creator>
  <cp:keywords>ModelRisk; Monte Carlo; General use</cp:keywords>
  <dc:description>Building permits leading cement sales by 11 months: find the lead, fit the line, forecast the next 11 months.</dc:description>
  <cp:lastModifiedBy>Timour Koupeev</cp:lastModifiedBy>
  <cp:lastPrinted>2026-10-07T13:57:10Z</cp:lastPrinted>
  <dcterms:created xsi:type="dcterms:W3CDTF">2026-10-07T13:55:37Z</dcterms:created>
  <dcterms:modified xsi:type="dcterms:W3CDTF">2026-10-07T13:57:11Z</dcterms:modified>
</cp:coreProperties>
</file>