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22EE602E-A7B3-436C-8182-4A25FA760B9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Months" sheetId="3" r:id="rId3"/>
    <sheet name="Results" sheetId="4" r:id="rId4"/>
    <sheet name="ModelRiskDSN" sheetId="5" state="hidden" r:id="rId5"/>
    <sheet name="ModelRiskSYS1" sheetId="6" state="hidden" r:id="rId6"/>
    <sheet name="ModelRiskCharts" sheetId="7" state="hidden" r:id="rId7"/>
  </sheets>
  <definedNames>
    <definedName name="AtCap">Months!$H$10:$H$29</definedName>
    <definedName name="AtFloor">Months!$I$10:$I$29</definedName>
    <definedName name="Bnd_1">Months!$G$10</definedName>
    <definedName name="Bnd_10">Months!$G$19</definedName>
    <definedName name="Bnd_11">Months!$G$20</definedName>
    <definedName name="Bnd_12">Months!$G$21</definedName>
    <definedName name="Bnd_13">Months!$G$22</definedName>
    <definedName name="Bnd_14">Months!$G$23</definedName>
    <definedName name="Bnd_15">Months!$G$24</definedName>
    <definedName name="Bnd_16">Months!$G$25</definedName>
    <definedName name="Bnd_17">Months!$G$26</definedName>
    <definedName name="Bnd_18">Months!$G$27</definedName>
    <definedName name="Bnd_19">Months!$G$28</definedName>
    <definedName name="Bnd_2">Months!$G$11</definedName>
    <definedName name="Bnd_20">Months!$G$29</definedName>
    <definedName name="Bnd_3">Months!$G$12</definedName>
    <definedName name="Bnd_4">Months!$G$13</definedName>
    <definedName name="Bnd_5">Months!$G$14</definedName>
    <definedName name="Bnd_6">Months!$G$15</definedName>
    <definedName name="Bnd_7">Months!$G$16</definedName>
    <definedName name="Bnd_8">Months!$G$17</definedName>
    <definedName name="Bnd_9">Months!$G$18</definedName>
    <definedName name="CapChange">Inputs!$D$19</definedName>
    <definedName name="CapNow">Months!$F$37</definedName>
    <definedName name="CapStart">Inputs!$D$18</definedName>
    <definedName name="Checks">Months!$F$42:$F$43</definedName>
    <definedName name="Drift">Inputs!$D$12</definedName>
    <definedName name="EverCap">Months!$F$36</definedName>
    <definedName name="EverFloor">Months!$F$38</definedName>
    <definedName name="FinalB">Months!$F$34</definedName>
    <definedName name="FinalU">Months!$F$35</definedName>
    <definedName name="FloorChange">Inputs!$D$21</definedName>
    <definedName name="FloorStart">Inputs!$D$20</definedName>
    <definedName name="_xlnm.Print_Area" localSheetId="3">Results!$A$1:$R$45</definedName>
    <definedName name="_xlnm.Print_Titles" localSheetId="1">Inputs!$1:$4</definedName>
    <definedName name="_xlnm.Print_Titles" localSheetId="3">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Inputs!$D$11</definedName>
    <definedName name="Vol">Inputs!$D$13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3" l="1" a="1"/>
  <c r="G10" i="3" s="1"/>
  <c r="F10" i="3" a="1"/>
  <c r="F10" i="3" s="1"/>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D29" i="3"/>
  <c r="G122" i="4"/>
  <c r="C29" i="3"/>
  <c r="H122" i="4" s="1"/>
  <c r="D28" i="3"/>
  <c r="G121" i="4" s="1"/>
  <c r="C28" i="3"/>
  <c r="H121" i="4"/>
  <c r="D27" i="3"/>
  <c r="G120" i="4"/>
  <c r="C27" i="3"/>
  <c r="H120" i="4" s="1"/>
  <c r="D26" i="3"/>
  <c r="G119" i="4" s="1"/>
  <c r="C26" i="3"/>
  <c r="H119" i="4"/>
  <c r="D25" i="3"/>
  <c r="G118" i="4"/>
  <c r="C25" i="3"/>
  <c r="H118" i="4" s="1"/>
  <c r="D24" i="3"/>
  <c r="G117" i="4" s="1"/>
  <c r="C24" i="3"/>
  <c r="H117" i="4"/>
  <c r="D23" i="3"/>
  <c r="G116" i="4"/>
  <c r="C23" i="3"/>
  <c r="H116" i="4" s="1"/>
  <c r="D22" i="3"/>
  <c r="G115" i="4" s="1"/>
  <c r="C22" i="3"/>
  <c r="H115" i="4"/>
  <c r="D21" i="3"/>
  <c r="G114" i="4"/>
  <c r="C21" i="3"/>
  <c r="H114" i="4" s="1"/>
  <c r="D20" i="3"/>
  <c r="G113" i="4" s="1"/>
  <c r="C20" i="3"/>
  <c r="H113" i="4"/>
  <c r="D19" i="3"/>
  <c r="G112" i="4"/>
  <c r="C19" i="3"/>
  <c r="H112" i="4" s="1"/>
  <c r="D18" i="3"/>
  <c r="G111" i="4" s="1"/>
  <c r="C18" i="3"/>
  <c r="H111" i="4"/>
  <c r="D17" i="3"/>
  <c r="G110" i="4"/>
  <c r="C17" i="3"/>
  <c r="H110" i="4" s="1"/>
  <c r="D16" i="3"/>
  <c r="G109" i="4" s="1"/>
  <c r="C16" i="3"/>
  <c r="H109" i="4"/>
  <c r="D15" i="3"/>
  <c r="G108" i="4"/>
  <c r="C15" i="3"/>
  <c r="H108" i="4" s="1"/>
  <c r="D14" i="3"/>
  <c r="G107" i="4" s="1"/>
  <c r="C14" i="3"/>
  <c r="H107" i="4"/>
  <c r="D13" i="3"/>
  <c r="G106" i="4"/>
  <c r="C13" i="3"/>
  <c r="H106" i="4" s="1"/>
  <c r="D12" i="3"/>
  <c r="G105" i="4" s="1"/>
  <c r="C12" i="3"/>
  <c r="H105" i="4"/>
  <c r="D11" i="3"/>
  <c r="G104" i="4"/>
  <c r="C11" i="3"/>
  <c r="H104" i="4" s="1"/>
  <c r="D10" i="3"/>
  <c r="G103" i="4" s="1"/>
  <c r="C10" i="3"/>
  <c r="H103" i="4"/>
  <c r="C103" i="4" a="1"/>
  <c r="F103" i="4" a="1"/>
  <c r="E103" i="4" a="1"/>
  <c r="D103" i="4" a="1"/>
  <c r="E14" i="3" a="1"/>
  <c r="E18" i="3" a="1"/>
  <c r="E13" i="3" a="1"/>
  <c r="E15" i="3" a="1"/>
  <c r="E11" i="3" a="1"/>
  <c r="E19" i="3" a="1"/>
  <c r="E26" i="3" a="1"/>
  <c r="E29" i="3" a="1"/>
  <c r="E12" i="3" a="1"/>
  <c r="E25" i="3" a="1"/>
  <c r="E24" i="3" a="1"/>
  <c r="E22" i="3" a="1"/>
  <c r="E28" i="3" a="1"/>
  <c r="E17" i="3" a="1"/>
  <c r="E21" i="3" a="1"/>
  <c r="E20" i="3" a="1"/>
  <c r="E23" i="3" a="1"/>
  <c r="E27" i="3" a="1"/>
  <c r="E16" i="3" a="1"/>
  <c r="F43" i="3" l="1"/>
  <c r="F42" i="3"/>
  <c r="B7" i="4" s="1"/>
  <c r="D103" i="4"/>
  <c r="E103" i="4"/>
  <c r="F103" i="4"/>
  <c r="C103" i="4"/>
  <c r="E16" i="3"/>
  <c r="E27" i="3"/>
  <c r="E23" i="3"/>
  <c r="E20" i="3"/>
  <c r="E21" i="3"/>
  <c r="E17" i="3"/>
  <c r="E28" i="3"/>
  <c r="E22" i="3"/>
  <c r="E24" i="3"/>
  <c r="E25" i="3"/>
  <c r="E12" i="3"/>
  <c r="E29" i="3"/>
  <c r="E26" i="3"/>
  <c r="E19" i="3"/>
  <c r="E11" i="3"/>
  <c r="F11" i="3" s="1" a="1"/>
  <c r="F11" i="3" s="1"/>
  <c r="E15" i="3"/>
  <c r="E13" i="3"/>
  <c r="E18" i="3"/>
  <c r="E14" i="3"/>
  <c r="I10" i="3"/>
  <c r="H10" i="3"/>
  <c r="F12" i="3" l="1" a="1"/>
  <c r="F12" i="3" s="1"/>
  <c r="F13" i="3" s="1" a="1"/>
  <c r="F13" i="3" s="1"/>
  <c r="F14" i="3" s="1" a="1"/>
  <c r="F14" i="3" s="1"/>
  <c r="F15" i="3" s="1" a="1"/>
  <c r="F15" i="3" s="1"/>
  <c r="F16" i="3" s="1" a="1"/>
  <c r="F16" i="3" s="1"/>
  <c r="F17" i="3" s="1" a="1"/>
  <c r="F17" i="3" s="1"/>
  <c r="F18" i="3" s="1" a="1"/>
  <c r="F18" i="3" s="1"/>
  <c r="F19" i="3" s="1" a="1"/>
  <c r="F19" i="3" s="1"/>
  <c r="F20" i="3" s="1" a="1"/>
  <c r="F20" i="3" s="1"/>
  <c r="F21" i="3" s="1" a="1"/>
  <c r="F21" i="3" s="1"/>
  <c r="F22" i="3" s="1" a="1"/>
  <c r="F22" i="3" s="1"/>
  <c r="F23" i="3" s="1" a="1"/>
  <c r="F23" i="3" s="1"/>
  <c r="F24" i="3" s="1" a="1"/>
  <c r="F24" i="3" s="1"/>
  <c r="F25" i="3" s="1" a="1"/>
  <c r="F25" i="3" s="1"/>
  <c r="F26" i="3" s="1" a="1"/>
  <c r="F26" i="3" s="1"/>
  <c r="F27" i="3" s="1" a="1"/>
  <c r="F27" i="3" s="1"/>
  <c r="F28" i="3" s="1" a="1"/>
  <c r="F28" i="3" s="1"/>
  <c r="F29" i="3" s="1" a="1"/>
  <c r="F29" i="3" s="1"/>
  <c r="F35" i="3" s="1" a="1"/>
  <c r="F35" i="3" s="1"/>
  <c r="G11" i="3" a="1"/>
  <c r="G11" i="3" s="1"/>
  <c r="E96" i="4" a="1"/>
  <c r="E80" i="4" a="1"/>
  <c r="E64" i="4" a="1"/>
  <c r="E13" i="4" a="1"/>
  <c r="E85" i="4" a="1"/>
  <c r="E59" i="4" a="1"/>
  <c r="E57" i="4" a="1"/>
  <c r="E74" i="4" a="1"/>
  <c r="E95" i="4" a="1"/>
  <c r="E63" i="4" a="1"/>
  <c r="E72" i="4" a="1"/>
  <c r="E77" i="4" a="1"/>
  <c r="E70" i="4" a="1"/>
  <c r="E54" i="4" a="1"/>
  <c r="E75" i="4" a="1"/>
  <c r="E94" i="4" a="1"/>
  <c r="E78" i="4" a="1"/>
  <c r="E62" i="4" a="1"/>
  <c r="E99" i="4" a="1"/>
  <c r="E83" i="4" a="1"/>
  <c r="D13" i="4" a="1"/>
  <c r="E53" i="4" a="1"/>
  <c r="E58" i="4" a="1"/>
  <c r="E55" i="4" a="1"/>
  <c r="E56" i="4" a="1"/>
  <c r="E73" i="4" a="1"/>
  <c r="E92" i="4" a="1"/>
  <c r="E76" i="4" a="1"/>
  <c r="E60" i="4" a="1"/>
  <c r="E97" i="4" a="1"/>
  <c r="E81" i="4" a="1"/>
  <c r="E67" i="4" a="1"/>
  <c r="G13" i="4" a="1"/>
  <c r="E90" i="4" a="1"/>
  <c r="E79" i="4" a="1"/>
  <c r="E88" i="4" a="1"/>
  <c r="E93" i="4" a="1"/>
  <c r="E86" i="4" a="1"/>
  <c r="E91" i="4" a="1"/>
  <c r="E69" i="4" a="1"/>
  <c r="E52" i="4" a="1"/>
  <c r="E100" i="4" a="1"/>
  <c r="E98" i="4" a="1"/>
  <c r="E71" i="4" a="1"/>
  <c r="E68" i="4" a="1"/>
  <c r="E61" i="4" a="1"/>
  <c r="F13" i="4" a="1"/>
  <c r="E51" i="4" a="1"/>
  <c r="E89" i="4" a="1"/>
  <c r="E87" i="4" a="1"/>
  <c r="E84" i="4" a="1"/>
  <c r="E82" i="4" a="1"/>
  <c r="E65" i="4" a="1"/>
  <c r="E66" i="4" a="1"/>
  <c r="D104" i="4" a="1"/>
  <c r="E104" i="4" a="1"/>
  <c r="C104" i="4" a="1"/>
  <c r="F104" i="4" a="1"/>
  <c r="E66" i="4" l="1"/>
  <c r="E65" i="4"/>
  <c r="E82" i="4"/>
  <c r="E84" i="4"/>
  <c r="E87" i="4"/>
  <c r="E89" i="4"/>
  <c r="E51" i="4"/>
  <c r="F13" i="4"/>
  <c r="E61" i="4"/>
  <c r="E68" i="4"/>
  <c r="E71" i="4"/>
  <c r="E98" i="4"/>
  <c r="E100" i="4"/>
  <c r="E52" i="4"/>
  <c r="E69" i="4"/>
  <c r="E91" i="4"/>
  <c r="E86" i="4"/>
  <c r="E93" i="4"/>
  <c r="E88" i="4"/>
  <c r="E79" i="4"/>
  <c r="E90" i="4"/>
  <c r="G13" i="4"/>
  <c r="E67" i="4"/>
  <c r="E81" i="4"/>
  <c r="E97" i="4"/>
  <c r="E60" i="4"/>
  <c r="E76" i="4"/>
  <c r="E92" i="4"/>
  <c r="E73" i="4"/>
  <c r="E56" i="4"/>
  <c r="E55" i="4"/>
  <c r="E58" i="4"/>
  <c r="E53" i="4"/>
  <c r="D13" i="4"/>
  <c r="E83" i="4"/>
  <c r="E99" i="4"/>
  <c r="E62" i="4"/>
  <c r="E78" i="4"/>
  <c r="E94" i="4"/>
  <c r="E75" i="4"/>
  <c r="E54" i="4"/>
  <c r="E70" i="4"/>
  <c r="E77" i="4"/>
  <c r="E72" i="4"/>
  <c r="E63" i="4"/>
  <c r="E95" i="4"/>
  <c r="E74" i="4"/>
  <c r="E57" i="4"/>
  <c r="E59" i="4"/>
  <c r="E85" i="4"/>
  <c r="E13" i="4"/>
  <c r="E64" i="4"/>
  <c r="E80" i="4"/>
  <c r="E96" i="4"/>
  <c r="F104" i="4"/>
  <c r="C104" i="4"/>
  <c r="E104" i="4"/>
  <c r="D104" i="4"/>
  <c r="G12" i="3" a="1"/>
  <c r="G12" i="3" s="1"/>
  <c r="I11" i="3"/>
  <c r="H11" i="3"/>
  <c r="F105" i="4" a="1"/>
  <c r="E105" i="4" a="1"/>
  <c r="D105" i="4" a="1"/>
  <c r="C105" i="4" a="1"/>
  <c r="C105" i="4" l="1"/>
  <c r="D105" i="4"/>
  <c r="E105" i="4"/>
  <c r="F105" i="4"/>
  <c r="G13" i="3" a="1"/>
  <c r="G13" i="3" s="1"/>
  <c r="H12" i="3"/>
  <c r="I12" i="3"/>
  <c r="F106" i="4" a="1"/>
  <c r="C106" i="4" a="1"/>
  <c r="D106" i="4" a="1"/>
  <c r="E106" i="4" a="1"/>
  <c r="E106" i="4" l="1"/>
  <c r="D106" i="4"/>
  <c r="C106" i="4"/>
  <c r="F106" i="4"/>
  <c r="I13" i="3"/>
  <c r="H13" i="3"/>
  <c r="G14" i="3" a="1"/>
  <c r="G14" i="3" s="1"/>
  <c r="F107" i="4" a="1"/>
  <c r="D107" i="4" a="1"/>
  <c r="E107" i="4" a="1"/>
  <c r="C107" i="4" a="1"/>
  <c r="C107" i="4" l="1"/>
  <c r="E107" i="4"/>
  <c r="D107" i="4"/>
  <c r="F107" i="4"/>
  <c r="I14" i="3"/>
  <c r="G15" i="3" a="1"/>
  <c r="G15" i="3" s="1"/>
  <c r="H14" i="3"/>
  <c r="F108" i="4" a="1"/>
  <c r="E108" i="4" a="1"/>
  <c r="C108" i="4" a="1"/>
  <c r="D108" i="4" a="1"/>
  <c r="D108" i="4" l="1"/>
  <c r="C108" i="4"/>
  <c r="E108" i="4"/>
  <c r="F108" i="4"/>
  <c r="G16" i="3" a="1"/>
  <c r="G16" i="3" s="1"/>
  <c r="H15" i="3"/>
  <c r="I15" i="3"/>
  <c r="F109" i="4" a="1"/>
  <c r="D109" i="4" a="1"/>
  <c r="C109" i="4" a="1"/>
  <c r="E109" i="4" a="1"/>
  <c r="E109" i="4" l="1"/>
  <c r="C109" i="4"/>
  <c r="D109" i="4"/>
  <c r="F109" i="4"/>
  <c r="G17" i="3" a="1"/>
  <c r="G17" i="3" s="1"/>
  <c r="I16" i="3"/>
  <c r="H16" i="3"/>
  <c r="F110" i="4" a="1"/>
  <c r="D110" i="4" a="1"/>
  <c r="E110" i="4" a="1"/>
  <c r="C110" i="4" a="1"/>
  <c r="C110" i="4" l="1"/>
  <c r="E110" i="4"/>
  <c r="D110" i="4"/>
  <c r="F110" i="4"/>
  <c r="H17" i="3"/>
  <c r="I17" i="3"/>
  <c r="G18" i="3" a="1"/>
  <c r="G18" i="3" s="1"/>
  <c r="F111" i="4" a="1"/>
  <c r="E111" i="4" a="1"/>
  <c r="C111" i="4" a="1"/>
  <c r="D111" i="4" a="1"/>
  <c r="D111" i="4" l="1"/>
  <c r="C111" i="4"/>
  <c r="E111" i="4"/>
  <c r="F111" i="4"/>
  <c r="G19" i="3" a="1"/>
  <c r="G19" i="3" s="1"/>
  <c r="H18" i="3"/>
  <c r="I18" i="3"/>
  <c r="F112" i="4" a="1"/>
  <c r="D112" i="4" a="1"/>
  <c r="C112" i="4" a="1"/>
  <c r="E112" i="4" a="1"/>
  <c r="E112" i="4" l="1"/>
  <c r="C112" i="4"/>
  <c r="D112" i="4"/>
  <c r="F112" i="4"/>
  <c r="G20" i="3" a="1"/>
  <c r="G20" i="3" s="1"/>
  <c r="I19" i="3"/>
  <c r="H19" i="3"/>
  <c r="F113" i="4" a="1"/>
  <c r="E113" i="4" a="1"/>
  <c r="D113" i="4" a="1"/>
  <c r="C113" i="4" a="1"/>
  <c r="C113" i="4" l="1"/>
  <c r="D113" i="4"/>
  <c r="E113" i="4"/>
  <c r="F113" i="4"/>
  <c r="G21" i="3" a="1"/>
  <c r="G21" i="3" s="1"/>
  <c r="I20" i="3"/>
  <c r="H20" i="3"/>
  <c r="F114" i="4" a="1"/>
  <c r="C114" i="4" a="1"/>
  <c r="E114" i="4" a="1"/>
  <c r="D114" i="4" a="1"/>
  <c r="D114" i="4" l="1"/>
  <c r="E114" i="4"/>
  <c r="C114" i="4"/>
  <c r="F114" i="4"/>
  <c r="I21" i="3"/>
  <c r="H21" i="3"/>
  <c r="G22" i="3" a="1"/>
  <c r="G22" i="3" s="1"/>
  <c r="F115" i="4" a="1"/>
  <c r="D115" i="4" a="1"/>
  <c r="C115" i="4" a="1"/>
  <c r="E115" i="4" a="1"/>
  <c r="E115" i="4" l="1"/>
  <c r="C115" i="4"/>
  <c r="D115" i="4"/>
  <c r="F115" i="4"/>
  <c r="G23" i="3" a="1"/>
  <c r="G23" i="3" s="1"/>
  <c r="I22" i="3"/>
  <c r="H22" i="3"/>
  <c r="F116" i="4" a="1"/>
  <c r="E116" i="4" a="1"/>
  <c r="D116" i="4" a="1"/>
  <c r="C116" i="4" a="1"/>
  <c r="C116" i="4" l="1"/>
  <c r="D116" i="4"/>
  <c r="E116" i="4"/>
  <c r="F116" i="4"/>
  <c r="G24" i="3" a="1"/>
  <c r="G24" i="3" s="1"/>
  <c r="H23" i="3"/>
  <c r="I23" i="3"/>
  <c r="F117" i="4" a="1"/>
  <c r="C117" i="4" a="1"/>
  <c r="E117" i="4" a="1"/>
  <c r="D117" i="4" a="1"/>
  <c r="D117" i="4" l="1"/>
  <c r="E117" i="4"/>
  <c r="C117" i="4"/>
  <c r="F117" i="4"/>
  <c r="G25" i="3" a="1"/>
  <c r="G25" i="3" s="1"/>
  <c r="I24" i="3"/>
  <c r="H24" i="3"/>
  <c r="F118" i="4" a="1"/>
  <c r="D118" i="4" a="1"/>
  <c r="C118" i="4" a="1"/>
  <c r="E118" i="4" a="1"/>
  <c r="E118" i="4" l="1"/>
  <c r="C118" i="4"/>
  <c r="D118" i="4"/>
  <c r="F118" i="4"/>
  <c r="I25" i="3"/>
  <c r="H25" i="3"/>
  <c r="G26" i="3" a="1"/>
  <c r="G26" i="3" s="1"/>
  <c r="F119" i="4" a="1"/>
  <c r="E119" i="4" a="1"/>
  <c r="D119" i="4" a="1"/>
  <c r="C119" i="4" a="1"/>
  <c r="C119" i="4" l="1"/>
  <c r="D119" i="4"/>
  <c r="E119" i="4"/>
  <c r="F119" i="4"/>
  <c r="G27" i="3" a="1"/>
  <c r="G27" i="3" s="1"/>
  <c r="H26" i="3"/>
  <c r="I26" i="3"/>
  <c r="F120" i="4" a="1"/>
  <c r="C120" i="4" a="1"/>
  <c r="E120" i="4" a="1"/>
  <c r="D120" i="4" a="1"/>
  <c r="D120" i="4" l="1"/>
  <c r="E120" i="4"/>
  <c r="C120" i="4"/>
  <c r="F120" i="4"/>
  <c r="H27" i="3"/>
  <c r="G28" i="3" a="1"/>
  <c r="G28" i="3" s="1"/>
  <c r="I27" i="3"/>
  <c r="F121" i="4" a="1"/>
  <c r="D121" i="4" a="1"/>
  <c r="C121" i="4" a="1"/>
  <c r="E121" i="4" a="1"/>
  <c r="E121" i="4" l="1"/>
  <c r="C121" i="4"/>
  <c r="D121" i="4"/>
  <c r="F121" i="4"/>
  <c r="G29" i="3" a="1"/>
  <c r="G29" i="3" s="1"/>
  <c r="I28" i="3"/>
  <c r="H28" i="3"/>
  <c r="F122" i="4" a="1"/>
  <c r="E122" i="4" a="1"/>
  <c r="D122" i="4" a="1"/>
  <c r="C122" i="4" a="1"/>
  <c r="C122" i="4" l="1"/>
  <c r="D122" i="4"/>
  <c r="E122" i="4"/>
  <c r="F122" i="4"/>
  <c r="H29" i="3"/>
  <c r="I29" i="3"/>
  <c r="F38" i="3" s="1"/>
  <c r="F34" i="3" a="1"/>
  <c r="F34" i="3" s="1"/>
  <c r="D74" i="4" a="1"/>
  <c r="D52" i="4" a="1"/>
  <c r="D97" i="4" a="1"/>
  <c r="D98" i="4" a="1"/>
  <c r="D91" i="4" a="1"/>
  <c r="D78" i="4" a="1"/>
  <c r="D85" i="4" a="1"/>
  <c r="D99" i="4" a="1"/>
  <c r="D83" i="4" a="1"/>
  <c r="D94" i="4" a="1"/>
  <c r="D82" i="4" a="1"/>
  <c r="D96" i="4" a="1"/>
  <c r="D87" i="4" a="1"/>
  <c r="D56" i="4" a="1"/>
  <c r="D70" i="4" a="1"/>
  <c r="D100" i="4" a="1"/>
  <c r="D73" i="4" a="1"/>
  <c r="D75" i="4" a="1"/>
  <c r="D71" i="4" a="1"/>
  <c r="D80" i="4" a="1"/>
  <c r="G12" i="4" a="1"/>
  <c r="D76" i="4" a="1"/>
  <c r="D67" i="4" a="1"/>
  <c r="D72" i="4" a="1"/>
  <c r="D95" i="4" a="1"/>
  <c r="D88" i="4" a="1"/>
  <c r="D59" i="4" a="1"/>
  <c r="D53" i="4" a="1"/>
  <c r="D66" i="4" a="1"/>
  <c r="D81" i="4" a="1"/>
  <c r="D69" i="4" a="1"/>
  <c r="D90" i="4" a="1"/>
  <c r="D63" i="4" a="1"/>
  <c r="B6" i="4" a="1"/>
  <c r="D54" i="4" a="1"/>
  <c r="D86" i="4" a="1"/>
  <c r="D64" i="4" a="1"/>
  <c r="D93" i="4" a="1"/>
  <c r="D55" i="4" a="1"/>
  <c r="D12" i="4" a="1"/>
  <c r="D92" i="4" a="1"/>
  <c r="D61" i="4" a="1"/>
  <c r="D62" i="4" a="1"/>
  <c r="D57" i="4" a="1"/>
  <c r="D65" i="4" a="1"/>
  <c r="D58" i="4" a="1"/>
  <c r="D68" i="4" a="1"/>
  <c r="D79" i="4" a="1"/>
  <c r="F12" i="4" a="1"/>
  <c r="E12" i="4" a="1"/>
  <c r="D84" i="4" a="1"/>
  <c r="D60" i="4" a="1"/>
  <c r="D77" i="4" a="1"/>
  <c r="D51" i="4" a="1"/>
  <c r="D89" i="4" a="1"/>
  <c r="D17" i="4" a="1"/>
  <c r="D17" i="4" l="1"/>
  <c r="D89" i="4"/>
  <c r="D51" i="4"/>
  <c r="D77" i="4"/>
  <c r="D60" i="4"/>
  <c r="D84" i="4"/>
  <c r="E12" i="4"/>
  <c r="F12" i="4"/>
  <c r="D79" i="4"/>
  <c r="D68" i="4"/>
  <c r="D58" i="4"/>
  <c r="D65" i="4"/>
  <c r="D57" i="4"/>
  <c r="D62" i="4"/>
  <c r="D61" i="4"/>
  <c r="D92" i="4"/>
  <c r="D12" i="4"/>
  <c r="D55" i="4"/>
  <c r="D93" i="4"/>
  <c r="D64" i="4"/>
  <c r="D86" i="4"/>
  <c r="D54" i="4"/>
  <c r="B6" i="4"/>
  <c r="D63" i="4"/>
  <c r="D90" i="4"/>
  <c r="D69" i="4"/>
  <c r="D81" i="4"/>
  <c r="D66" i="4"/>
  <c r="D53" i="4"/>
  <c r="D59" i="4"/>
  <c r="D88" i="4"/>
  <c r="D95" i="4"/>
  <c r="D72" i="4"/>
  <c r="D67" i="4"/>
  <c r="D76" i="4"/>
  <c r="G12" i="4"/>
  <c r="D80" i="4"/>
  <c r="D71" i="4"/>
  <c r="D75" i="4"/>
  <c r="D73" i="4"/>
  <c r="D100" i="4"/>
  <c r="D70" i="4"/>
  <c r="D56" i="4"/>
  <c r="D87" i="4"/>
  <c r="D96" i="4"/>
  <c r="D82" i="4"/>
  <c r="D94" i="4"/>
  <c r="D83" i="4"/>
  <c r="D99" i="4"/>
  <c r="D85" i="4"/>
  <c r="D78" i="4"/>
  <c r="D91" i="4"/>
  <c r="D98" i="4"/>
  <c r="D97" i="4"/>
  <c r="D52" i="4"/>
  <c r="D74" i="4"/>
  <c r="F37" i="3"/>
  <c r="F36" i="3"/>
  <c r="D15" i="4" a="1"/>
  <c r="D16" i="4" a="1"/>
  <c r="D16" i="4" l="1"/>
  <c r="D1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<sst xmlns="http://schemas.openxmlformats.org/spreadsheetml/2006/main" count="239" uniqueCount="194">
  <si>
    <t>Bounded Random Walk</t>
  </si>
  <si>
    <t>ModelRisk example  ·  General use  ·  GU-13</t>
  </si>
  <si>
    <t>What does a growing, volatile series look like when practical limits hold it in?  A random walk between a floor and a cap.</t>
  </si>
  <si>
    <t>Next:  Inputs  ▸</t>
  </si>
  <si>
    <t>Model card</t>
  </si>
  <si>
    <t>Industry</t>
  </si>
  <si>
    <t>General use</t>
  </si>
  <si>
    <t>Difficulty</t>
  </si>
  <si>
    <t>★★☆☆☆   A lognormal random walk held between a rising cap and a falling floor, each period starting from the bounded value.</t>
  </si>
  <si>
    <t>Business question</t>
  </si>
  <si>
    <t>A plant's monthly sales start at about US$1 million and follow a random walk with 2% average growth and 6% volatility a month. They cannot exceed the plant's capacity, which rises as a new line ramps up, and cannot fall below the volume locked in by contracts, which run off. What do sales look like over the next 20 months, and how much do the limits matter?</t>
  </si>
  <si>
    <t>Who it is for</t>
  </si>
  <si>
    <t>Anyone forecasting a quantity that drifts at random within physical, contractual or regulatory limits.</t>
  </si>
  <si>
    <t>Main outputs</t>
  </si>
  <si>
    <t>Sales in month 20 bounded and unbounded at P10 / median / P90 · the chance of hitting the cap or the floor · a band chart with the limits.</t>
  </si>
  <si>
    <t>ModelRisk techniques</t>
  </si>
  <si>
    <t>A lognormal random walk: each month multiplies the last by exp(m − s²/2 + s·Z) with Z = VoseNormal(0, 1) · bounds applied every month with MIN and MAX, the next month starting from the bounded value · the same shocks without the bounds, so their effect is isolated · output ranges and a fan chart with the limits drawn on it.</t>
  </si>
  <si>
    <t>File</t>
  </si>
  <si>
    <t>GU-13 Bounded random walk  ·  Version 1.0  ·  October 2026  ·  re-issues the example Bounded Random Walk  ·  built with ModelRisk 10</t>
  </si>
  <si>
    <t>The business question</t>
  </si>
  <si>
    <t>A manufacturer's monthly sales are about US$1 million. They grow by about 2% a month on average but swing by about 6% a month, a lognormal random walk: each month's sales are the previous month's times a random growth factor. Two practical limits apply. Capacity caps sales: about US$1.01 million in month 1, rising by about US$67,000 a month as a new line ramps up. Long-term contracts set a floor: about US$750,000 in month 1, falling by about US$20,000 a month as they expire. When sales hit a limit they stay there for that month, and the next month starts from the limit.</t>
  </si>
  <si>
    <t>How the model works</t>
  </si>
  <si>
    <t>Three sheets after this one, read from left to right. Each one feeds the next.</t>
  </si>
  <si>
    <t>1  Inputs</t>
  </si>
  <si>
    <t>The starting sales, the average growth m and the volatility s per month, and each limit as a value in month 0 and a change per month.</t>
  </si>
  <si>
    <t>2  Months</t>
  </si>
  <si>
    <t>Each month draws one standard normal shock Z. The unbounded walk multiplies the previous month by exp(m − s²/2 + s·Z); the bounded walk does the same from its own previous value and then applies MIN(cap, MAX(floor, ·)). Both walks use the same shocks.</t>
  </si>
  <si>
    <t>3  Results</t>
  </si>
  <si>
    <t>Month 20's sales both ways, the chance of hitting the cap or the floor, and the band with the limits.</t>
  </si>
  <si>
    <t>How to use it</t>
  </si>
  <si>
    <t>Step 1</t>
  </si>
  <si>
    <t>Set the starting sales, growth, volatility and the two limits on the Inputs sheet.</t>
  </si>
  <si>
    <t>Step 2</t>
  </si>
  <si>
    <t>Run a simulation from the ModelRisk ribbon (10,000 samples with a fixed seed are set).</t>
  </si>
  <si>
    <t>Step 3</t>
  </si>
  <si>
    <t>If the cap binds often, the bounded forecast is the realistic one; capacity is worth more than the unbounded forecast suggests.</t>
  </si>
  <si>
    <t>Workbook map</t>
  </si>
  <si>
    <t>Inputs</t>
  </si>
  <si>
    <t>Starting sales, growth, volatility and the limits.</t>
  </si>
  <si>
    <t>Months</t>
  </si>
  <si>
    <t>The limits and 20 months of sales both ways; outputs and checks.</t>
  </si>
  <si>
    <t>Results</t>
  </si>
  <si>
    <t>Month 20, the limits' effect and the band.</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</si>
  <si>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</si>
  <si>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</si>
  <si>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</si>
  <si>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</si>
  <si>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</si>
  <si>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</si>
  <si>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</si>
  <si>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</si>
  <si>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</si>
  <si>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</si>
  <si>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</si>
  <si>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</si>
  <si>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</si>
  <si>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per month.</t>
  </si>
  <si>
    <t>Growth m</t>
  </si>
  <si>
    <t>The average growth of the log of sales per month; −s²/2 keeps the mean growth at m.</t>
  </si>
  <si>
    <t>Bounded</t>
  </si>
  <si>
    <t>A month's sales after MIN(cap, MAX(floor, ·)).</t>
  </si>
  <si>
    <t>Key assumptions and limitations</t>
  </si>
  <si>
    <t>Lognormal walk</t>
  </si>
  <si>
    <t>Monthly growth factors are independent and lognormal, as in the original example.</t>
  </si>
  <si>
    <t>Hard limits</t>
  </si>
  <si>
    <t>A limit holds sales exactly at it for the month; nothing is carried over.</t>
  </si>
  <si>
    <t>Data</t>
  </si>
  <si>
    <t>The starting value, growth, volatility and the two linear limits are those of ModelRisk's earlier Bounded Random Walk example, which used VoseLognormalE for the same step.</t>
  </si>
  <si>
    <t>ModelRisk functions used</t>
  </si>
  <si>
    <t>VoseNormal</t>
  </si>
  <si>
    <t>The monthly shock Z, shared by the bounded and the unbounded walk.</t>
  </si>
  <si>
    <t>VoseOutput</t>
  </si>
  <si>
    <t>Bounded and unbounded monthly sales as output ranges, and month 20.</t>
  </si>
  <si>
    <t>VoseSimMean, VoseSimPercentile</t>
  </si>
  <si>
    <t>Statistics of the simulation and the band.</t>
  </si>
  <si>
    <t>Further reading</t>
  </si>
  <si>
    <t>Random walks</t>
  </si>
  <si>
    <t>Vose, D. (2008). Risk Analysis: A Quantitative Guide, 3rd edition. Wiley: time series and geometric Brownian motion.</t>
  </si>
  <si>
    <t>© 2026 Vose Software   ·   www.vosesoftware.com   ·   An illustrative example: the figures are invented for teaching and do not describe a real company, project or asset.</t>
  </si>
  <si>
    <t>INPUTS   ·   Starting sales, growth, volatility and the two limits. Change only the yellow cells.</t>
  </si>
  <si>
    <t>◂  About</t>
  </si>
  <si>
    <t>Next:  Months  ▸</t>
  </si>
  <si>
    <t>How to read this sheet:  yellow cells are inputs.</t>
  </si>
  <si>
    <t>1   Sales</t>
  </si>
  <si>
    <t>Monthly sales in month 1 and how they move.</t>
  </si>
  <si>
    <t>Assumption</t>
  </si>
  <si>
    <t>Unit</t>
  </si>
  <si>
    <t>Value in model</t>
  </si>
  <si>
    <t>Uncertainty</t>
  </si>
  <si>
    <t>Basis / source (illustrative)</t>
  </si>
  <si>
    <t>Sales in month 1</t>
  </si>
  <si>
    <t>US$</t>
  </si>
  <si>
    <t>Fixed</t>
  </si>
  <si>
    <t>Average growth per month, m</t>
  </si>
  <si>
    <t>per month</t>
  </si>
  <si>
    <t>Volatility per month, s</t>
  </si>
  <si>
    <t>2   The limits</t>
  </si>
  <si>
    <t>Each limit is a straight line: its value in month 0 plus a change per month.</t>
  </si>
  <si>
    <t>Capacity cap in month 0</t>
  </si>
  <si>
    <t>Month 1: about US$1.01 million.</t>
  </si>
  <si>
    <t>Change in the cap per month</t>
  </si>
  <si>
    <t>A new line ramps up.</t>
  </si>
  <si>
    <t>Contract floor in month 0</t>
  </si>
  <si>
    <t>Month 1: about US$750,000.</t>
  </si>
  <si>
    <t>Change in the floor per month</t>
  </si>
  <si>
    <t>Contracts run off.</t>
  </si>
  <si>
    <t>MONTHS   ·   The floor and the cap, and 20 months of sales with and without them.</t>
  </si>
  <si>
    <t>◂  Inputs</t>
  </si>
  <si>
    <t>Next:  Results  ▸</t>
  </si>
  <si>
    <t>1   Month by month</t>
  </si>
  <si>
    <t>One shock per month, used by both walks. Month 1 is the starting value.</t>
  </si>
  <si>
    <t>Month</t>
  </si>
  <si>
    <t>Floor</t>
  </si>
  <si>
    <t>Cap</t>
  </si>
  <si>
    <t>Shock Z</t>
  </si>
  <si>
    <t>Sales, unbounded</t>
  </si>
  <si>
    <t>Sales, bounded</t>
  </si>
  <si>
    <t>At the cap?</t>
  </si>
  <si>
    <t>At the floor?</t>
  </si>
  <si>
    <t>How it is calculated</t>
  </si>
  <si>
    <t>N(0, 1)</t>
  </si>
  <si>
    <t>1 = yes</t>
  </si>
  <si>
    <t>–</t>
  </si>
  <si>
    <t>Month 1: the starting sales, both walks</t>
  </si>
  <si>
    <t>Floor and cap: value in month 0 + change × month</t>
  </si>
  <si>
    <t>Unbounded: previous × exp(m − s²/2 + s × Z), Z = VoseNormal(0, 1)</t>
  </si>
  <si>
    <t>Bounded: MIN(cap, MAX(floor, previous bounded × the same factor))</t>
  </si>
  <si>
    <t>At the cap / floor: 1 if the limit holds sales this month</t>
  </si>
  <si>
    <t>2   Value in this iteration</t>
  </si>
  <si>
    <t>Key outputs, recorded by ModelRisk at every sample (VoseOutput). Their statistics appear on the Results sheet.</t>
  </si>
  <si>
    <t>Output</t>
  </si>
  <si>
    <t>Value</t>
  </si>
  <si>
    <t>Meaning</t>
  </si>
  <si>
    <t>Sales in month 20, bounded</t>
  </si>
  <si>
    <t>Sales in month 20, unbounded</t>
  </si>
  <si>
    <t>Hit the cap in any month?  (1 = yes)</t>
  </si>
  <si>
    <t>1 / 0</t>
  </si>
  <si>
    <t>At the cap in month 20?  (1 = yes)</t>
  </si>
  <si>
    <t>Hit the floor in any month?  (1 = yes)</t>
  </si>
  <si>
    <t>3   Model checks</t>
  </si>
  <si>
    <t>Should all read OK. A CHECK means an input has been set outside the range the model is built for.</t>
  </si>
  <si>
    <t>The floor stays below the cap in every month</t>
  </si>
  <si>
    <t>Month 1's sales lie between its floor and cap</t>
  </si>
  <si>
    <t>RESULTS   ·   Filled in automatically from the last simulation. Run a simulation after changing any input.</t>
  </si>
  <si>
    <t>◂  Months</t>
  </si>
  <si>
    <t>1   Sales in month 20</t>
  </si>
  <si>
    <t>Bounded sales — 10th / 50th / 90th percentile band, with the limits</t>
  </si>
  <si>
    <t>Bounded and unbounded, from the same shocks.</t>
  </si>
  <si>
    <t>Measure</t>
  </si>
  <si>
    <t>10th pct</t>
  </si>
  <si>
    <t>Median</t>
  </si>
  <si>
    <t>90th pct</t>
  </si>
  <si>
    <t>Mean</t>
  </si>
  <si>
    <t>Unbounded</t>
  </si>
  <si>
    <t>Chance of hitting the cap in some month</t>
  </si>
  <si>
    <t>probability</t>
  </si>
  <si>
    <t>Chance of being at the cap in month 20</t>
  </si>
  <si>
    <t>Chance of hitting the floor in some month</t>
  </si>
  <si>
    <t>Month 20 — bounded and unbounded</t>
  </si>
  <si>
    <t>2   How to read these results</t>
  </si>
  <si>
    <t>•  The cap starts only just above the starting sales, so about a third of the paths hit it, mostly in the first few months. Each time, the next month starts from the cap rather than from where the walk would have been, so the effect persists: by month 20 the bounded 90th percentile is several percent below the unbounded one.</t>
  </si>
  <si>
    <t>•  The floor almost never binds: falling from US$1 million to the contract floor would take several bad months in a row against a 2% average growth.</t>
  </si>
  <si>
    <t>•  Applying limits only at the end (bounding month 20 alone) would miss this: the bounds change the path, not just its end point. That is why they are applied every month.</t>
  </si>
  <si>
    <t>•  The band chart shows the cap and the floor as red lines: where the band runs into the cap, capacity is what limits sales.</t>
  </si>
  <si>
    <t>Chart data</t>
  </si>
  <si>
    <t>Statistics of the last simulation behind the charts and the ranking above. Grouped: click + in the left margin to show them.</t>
  </si>
  <si>
    <t>Cumulative probability</t>
  </si>
  <si>
    <t>Exceedance</t>
  </si>
  <si>
    <t>FinalB</t>
  </si>
  <si>
    <t>FinalU</t>
  </si>
  <si>
    <t>Period</t>
  </si>
  <si>
    <t>10th percentile</t>
  </si>
  <si>
    <t>90th percentile</t>
  </si>
  <si>
    <t>1</t>
  </si>
  <si>
    <t>2</t>
  </si>
  <si>
    <t>3</t>
  </si>
  <si>
    <t>4</t>
  </si>
  <si>
    <t>5</t>
  </si>
  <si>
    <t>6</t>
  </si>
  <si>
    <t>7</t>
  </si>
  <si>
    <t>8</t>
  </si>
  <si>
    <t>9</t>
  </si>
  <si>
    <t>10</t>
  </si>
  <si>
    <t>11</t>
  </si>
  <si>
    <t>12</t>
  </si>
  <si>
    <t>13</t>
  </si>
  <si>
    <t>14</t>
  </si>
  <si>
    <t>15</t>
  </si>
  <si>
    <t>16</t>
  </si>
  <si>
    <t>17</t>
  </si>
  <si>
    <t>18</t>
  </si>
  <si>
    <t>19</t>
  </si>
  <si>
    <t>20</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</si>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</sst>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
    <numFmt numFmtId="165" formatCode="0.0%"/>
    <numFmt numFmtId="166" formatCode="0.000"/>
    <numFmt numFmtId="167" formatCode="#,##0_);\(#,##0\);&quot;–&quot;_);&quot;–&quot;"/>
    <numFmt numFmtId="168" formatCode="0.0%;\-0.0%;0.0%;&quot;–&quot;"/>
    <numFmt numFmtId="169" formatCode="0.00%;\-0.00%;0.00%;&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5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4" fontId="3" fillId="0" borderId="8" xfId="3" applyNumberFormat="1" applyBorder="1">
      <alignment horizontal="right" vertical="center"/>
    </xf>
    <xf numFmtId="0" fontId="0" fillId="0" borderId="6" xfId="0" applyBorder="1" applyAlignment="1">
      <alignment horizontal="right" vertical="center"/>
    </xf>
    <xf numFmtId="164" fontId="4" fillId="4" borderId="9" xfId="4" applyNumberFormat="1" applyBorder="1">
      <alignment horizontal="right" vertical="center"/>
    </xf>
    <xf numFmtId="1" fontId="3" fillId="0" borderId="8" xfId="3" applyNumberFormat="1" applyBorder="1">
      <alignment horizontal="right" vertical="center"/>
    </xf>
    <xf numFmtId="166" fontId="2" fillId="3" borderId="7" xfId="2"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2" fillId="0" borderId="5" xfId="0" applyFont="1" applyBorder="1"/>
    <xf numFmtId="167" fontId="1" fillId="5" borderId="7" xfId="5" applyNumberForma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1" fillId="0" borderId="0" xfId="0"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Results!$B$103:$B$122</c:f>
              <c:strCach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strCache>
            </c:strRef>
          </c:cat>
          <c:val>
            <c:numRef>
              <c:f>Results!$E$103:$E$122</c:f>
              <c:numCache>
                <c:formatCode>#,##0.00</c:formatCode>
                <c:ptCount val="20"/>
                <c:pt idx="0">
                  <c:v>1000000</c:v>
                </c:pt>
                <c:pt idx="1">
                  <c:v>1074180</c:v>
                </c:pt>
                <c:pt idx="2">
                  <c:v>1137304.4382518616</c:v>
                </c:pt>
                <c:pt idx="3">
                  <c:v>1181031.035799983</c:v>
                </c:pt>
                <c:pt idx="4">
                  <c:v>1224339.4124484374</c:v>
                </c:pt>
                <c:pt idx="5">
                  <c:v>1266378.4380074216</c:v>
                </c:pt>
                <c:pt idx="6">
                  <c:v>1306433.0695022251</c:v>
                </c:pt>
                <c:pt idx="7">
                  <c:v>1348799.608962161</c:v>
                </c:pt>
                <c:pt idx="8">
                  <c:v>1391842.855047002</c:v>
                </c:pt>
                <c:pt idx="9">
                  <c:v>1434082.091779459</c:v>
                </c:pt>
                <c:pt idx="10">
                  <c:v>1484652.9334044594</c:v>
                </c:pt>
                <c:pt idx="11">
                  <c:v>1524441.8772745479</c:v>
                </c:pt>
                <c:pt idx="12">
                  <c:v>1573754.5187686586</c:v>
                </c:pt>
                <c:pt idx="13">
                  <c:v>1618533.1653192332</c:v>
                </c:pt>
                <c:pt idx="14">
                  <c:v>1664314.8638373073</c:v>
                </c:pt>
                <c:pt idx="15">
                  <c:v>1716510.1439673342</c:v>
                </c:pt>
                <c:pt idx="16">
                  <c:v>1758232.1495199678</c:v>
                </c:pt>
                <c:pt idx="17">
                  <c:v>1808439.7153555981</c:v>
                </c:pt>
                <c:pt idx="18">
                  <c:v>1860963.4964116104</c:v>
                </c:pt>
                <c:pt idx="19">
                  <c:v>1906603.0400627332</c:v>
                </c:pt>
              </c:numCache>
            </c:numRef>
          </c:val>
          <c:smooth val="0"/>
          <c:extLst>
            <c:ext xmlns:c16="http://schemas.microsoft.com/office/drawing/2014/chart" uri="{C3380CC4-5D6E-409C-BE32-E72D297353CC}">
              <c16:uniqueId val="{00000000-D49F-4D66-8B55-F325E589971D}"/>
            </c:ext>
          </c:extLst>
        </c:ser>
        <c:ser>
          <c:idx val="1"/>
          <c:order val="1"/>
          <c:tx>
            <c:v>Median</c:v>
          </c:tx>
          <c:spPr>
            <a:ln w="28575">
              <a:solidFill>
                <a:srgbClr val="0E4F92"/>
              </a:solidFill>
              <a:prstDash val="solid"/>
            </a:ln>
          </c:spPr>
          <c:marker>
            <c:symbol val="none"/>
          </c:marker>
          <c:cat>
            <c:strRef>
              <c:f>Results!$B$103:$B$122</c:f>
              <c:strCach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strCache>
            </c:strRef>
          </c:cat>
          <c:val>
            <c:numRef>
              <c:f>Results!$D$103:$D$122</c:f>
              <c:numCache>
                <c:formatCode>#,##0.00</c:formatCode>
                <c:ptCount val="20"/>
                <c:pt idx="0">
                  <c:v>1000000</c:v>
                </c:pt>
                <c:pt idx="1">
                  <c:v>1018411.7547348947</c:v>
                </c:pt>
                <c:pt idx="2">
                  <c:v>1034513.256584881</c:v>
                </c:pt>
                <c:pt idx="3">
                  <c:v>1052329.9693415647</c:v>
                </c:pt>
                <c:pt idx="4">
                  <c:v>1071374.3491533592</c:v>
                </c:pt>
                <c:pt idx="5">
                  <c:v>1088211.4421180617</c:v>
                </c:pt>
                <c:pt idx="6">
                  <c:v>1106460.0502314321</c:v>
                </c:pt>
                <c:pt idx="7">
                  <c:v>1124959.360044091</c:v>
                </c:pt>
                <c:pt idx="8">
                  <c:v>1145762.6854551721</c:v>
                </c:pt>
                <c:pt idx="9">
                  <c:v>1168343.9733631015</c:v>
                </c:pt>
                <c:pt idx="10">
                  <c:v>1189821.1347269705</c:v>
                </c:pt>
                <c:pt idx="11">
                  <c:v>1210120.5987324873</c:v>
                </c:pt>
                <c:pt idx="12">
                  <c:v>1229864.7035611605</c:v>
                </c:pt>
                <c:pt idx="13">
                  <c:v>1253343.6972466309</c:v>
                </c:pt>
                <c:pt idx="14">
                  <c:v>1273453.6887361484</c:v>
                </c:pt>
                <c:pt idx="15">
                  <c:v>1298271.7179060376</c:v>
                </c:pt>
                <c:pt idx="16">
                  <c:v>1323160.2296317809</c:v>
                </c:pt>
                <c:pt idx="17">
                  <c:v>1344626.6704920842</c:v>
                </c:pt>
                <c:pt idx="18">
                  <c:v>1369404.9873977664</c:v>
                </c:pt>
                <c:pt idx="19">
                  <c:v>1397018.4624096644</c:v>
                </c:pt>
              </c:numCache>
            </c:numRef>
          </c:val>
          <c:smooth val="0"/>
          <c:extLst>
            <c:ext xmlns:c16="http://schemas.microsoft.com/office/drawing/2014/chart" uri="{C3380CC4-5D6E-409C-BE32-E72D297353CC}">
              <c16:uniqueId val="{00000001-D49F-4D66-8B55-F325E589971D}"/>
            </c:ext>
          </c:extLst>
        </c:ser>
        <c:ser>
          <c:idx val="2"/>
          <c:order val="2"/>
          <c:tx>
            <c:v>Mean</c:v>
          </c:tx>
          <c:spPr>
            <a:ln w="19050">
              <a:solidFill>
                <a:srgbClr val="B45309"/>
              </a:solidFill>
              <a:prstDash val="solid"/>
            </a:ln>
          </c:spPr>
          <c:marker>
            <c:symbol val="none"/>
          </c:marker>
          <c:cat>
            <c:strRef>
              <c:f>Results!$B$103:$B$122</c:f>
              <c:strCach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strCache>
            </c:strRef>
          </c:cat>
          <c:val>
            <c:numRef>
              <c:f>Results!$F$103:$F$122</c:f>
              <c:numCache>
                <c:formatCode>#,##0.00</c:formatCode>
                <c:ptCount val="20"/>
                <c:pt idx="0">
                  <c:v>1000000</c:v>
                </c:pt>
                <c:pt idx="1">
                  <c:v>1013617.1822674399</c:v>
                </c:pt>
                <c:pt idx="2">
                  <c:v>1030792.7477495013</c:v>
                </c:pt>
                <c:pt idx="3">
                  <c:v>1050176.1157529647</c:v>
                </c:pt>
                <c:pt idx="4">
                  <c:v>1070574.2755345162</c:v>
                </c:pt>
                <c:pt idx="5">
                  <c:v>1090050.8915627073</c:v>
                </c:pt>
                <c:pt idx="6">
                  <c:v>1109712.0203578272</c:v>
                </c:pt>
                <c:pt idx="7">
                  <c:v>1131117.1739977584</c:v>
                </c:pt>
                <c:pt idx="8">
                  <c:v>1153323.3924085561</c:v>
                </c:pt>
                <c:pt idx="9">
                  <c:v>1175711.7935333466</c:v>
                </c:pt>
                <c:pt idx="10">
                  <c:v>1199012.242480343</c:v>
                </c:pt>
                <c:pt idx="11">
                  <c:v>1221965.4217367999</c:v>
                </c:pt>
                <c:pt idx="12">
                  <c:v>1246978.6333899882</c:v>
                </c:pt>
                <c:pt idx="13">
                  <c:v>1271822.7942101187</c:v>
                </c:pt>
                <c:pt idx="14">
                  <c:v>1296106.32505074</c:v>
                </c:pt>
                <c:pt idx="15">
                  <c:v>1320890.5521963798</c:v>
                </c:pt>
                <c:pt idx="16">
                  <c:v>1345907.9713804487</c:v>
                </c:pt>
                <c:pt idx="17">
                  <c:v>1372047.3726570182</c:v>
                </c:pt>
                <c:pt idx="18">
                  <c:v>1399437.9180025773</c:v>
                </c:pt>
                <c:pt idx="19">
                  <c:v>1427232.6196752898</c:v>
                </c:pt>
              </c:numCache>
            </c:numRef>
          </c:val>
          <c:smooth val="0"/>
          <c:extLst>
            <c:ext xmlns:c16="http://schemas.microsoft.com/office/drawing/2014/chart" uri="{C3380CC4-5D6E-409C-BE32-E72D297353CC}">
              <c16:uniqueId val="{00000002-D49F-4D66-8B55-F325E589971D}"/>
            </c:ext>
          </c:extLst>
        </c:ser>
        <c:ser>
          <c:idx val="3"/>
          <c:order val="3"/>
          <c:tx>
            <c:v>10th percentile</c:v>
          </c:tx>
          <c:spPr>
            <a:ln w="15875">
              <a:solidFill>
                <a:srgbClr val="0E4F92"/>
              </a:solidFill>
              <a:prstDash val="dash"/>
            </a:ln>
          </c:spPr>
          <c:marker>
            <c:symbol val="none"/>
          </c:marker>
          <c:cat>
            <c:strRef>
              <c:f>Results!$B$103:$B$122</c:f>
              <c:strCach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strCache>
            </c:strRef>
          </c:cat>
          <c:val>
            <c:numRef>
              <c:f>Results!$C$103:$C$122</c:f>
              <c:numCache>
                <c:formatCode>#,##0.00</c:formatCode>
                <c:ptCount val="20"/>
                <c:pt idx="0">
                  <c:v>1000000</c:v>
                </c:pt>
                <c:pt idx="1">
                  <c:v>941848.03707577405</c:v>
                </c:pt>
                <c:pt idx="2">
                  <c:v>929984.23261845426</c:v>
                </c:pt>
                <c:pt idx="3">
                  <c:v>924013.70517957397</c:v>
                </c:pt>
                <c:pt idx="4">
                  <c:v>922199.79385508422</c:v>
                </c:pt>
                <c:pt idx="5">
                  <c:v>923190.22090453107</c:v>
                </c:pt>
                <c:pt idx="6">
                  <c:v>922147.80235013284</c:v>
                </c:pt>
                <c:pt idx="7">
                  <c:v>924369.00620886812</c:v>
                </c:pt>
                <c:pt idx="8">
                  <c:v>928217.54752576957</c:v>
                </c:pt>
                <c:pt idx="9">
                  <c:v>934139.68509184266</c:v>
                </c:pt>
                <c:pt idx="10">
                  <c:v>940044.108230251</c:v>
                </c:pt>
                <c:pt idx="11">
                  <c:v>946734.048629464</c:v>
                </c:pt>
                <c:pt idx="12">
                  <c:v>955317.33183804422</c:v>
                </c:pt>
                <c:pt idx="13">
                  <c:v>962929.6413652295</c:v>
                </c:pt>
                <c:pt idx="14">
                  <c:v>970529.37724774925</c:v>
                </c:pt>
                <c:pt idx="15">
                  <c:v>974268.07937521697</c:v>
                </c:pt>
                <c:pt idx="16">
                  <c:v>983335.70423143334</c:v>
                </c:pt>
                <c:pt idx="17">
                  <c:v>988529.22877674527</c:v>
                </c:pt>
                <c:pt idx="18">
                  <c:v>997958.61816868768</c:v>
                </c:pt>
                <c:pt idx="19">
                  <c:v>1009057.1584187454</c:v>
                </c:pt>
              </c:numCache>
            </c:numRef>
          </c:val>
          <c:smooth val="0"/>
          <c:extLst>
            <c:ext xmlns:c16="http://schemas.microsoft.com/office/drawing/2014/chart" uri="{C3380CC4-5D6E-409C-BE32-E72D297353CC}">
              <c16:uniqueId val="{00000003-D49F-4D66-8B55-F325E589971D}"/>
            </c:ext>
          </c:extLst>
        </c:ser>
        <c:ser>
          <c:idx val="4"/>
          <c:order val="4"/>
          <c:tx>
            <c:v>Cap</c:v>
          </c:tx>
          <c:spPr>
            <a:ln w="22225">
              <a:solidFill>
                <a:srgbClr val="B91C1C"/>
              </a:solidFill>
              <a:prstDash val="solid"/>
            </a:ln>
          </c:spPr>
          <c:marker>
            <c:symbol val="none"/>
          </c:marker>
          <c:cat>
            <c:strRef>
              <c:f>Results!$B$103:$B$122</c:f>
              <c:strCach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strCache>
            </c:strRef>
          </c:cat>
          <c:val>
            <c:numRef>
              <c:f>Results!$G$103:$G$122</c:f>
              <c:numCache>
                <c:formatCode>#,##0.00</c:formatCode>
                <c:ptCount val="20"/>
                <c:pt idx="0">
                  <c:v>1007477</c:v>
                </c:pt>
                <c:pt idx="1">
                  <c:v>1074180</c:v>
                </c:pt>
                <c:pt idx="2">
                  <c:v>1140883</c:v>
                </c:pt>
                <c:pt idx="3">
                  <c:v>1207586</c:v>
                </c:pt>
                <c:pt idx="4">
                  <c:v>1274289</c:v>
                </c:pt>
                <c:pt idx="5">
                  <c:v>1340992</c:v>
                </c:pt>
                <c:pt idx="6">
                  <c:v>1407695</c:v>
                </c:pt>
                <c:pt idx="7">
                  <c:v>1474398</c:v>
                </c:pt>
                <c:pt idx="8">
                  <c:v>1541101</c:v>
                </c:pt>
                <c:pt idx="9">
                  <c:v>1607804</c:v>
                </c:pt>
                <c:pt idx="10">
                  <c:v>1674507</c:v>
                </c:pt>
                <c:pt idx="11">
                  <c:v>1741210</c:v>
                </c:pt>
                <c:pt idx="12">
                  <c:v>1807913</c:v>
                </c:pt>
                <c:pt idx="13">
                  <c:v>1874616</c:v>
                </c:pt>
                <c:pt idx="14">
                  <c:v>1941319</c:v>
                </c:pt>
                <c:pt idx="15">
                  <c:v>2008022</c:v>
                </c:pt>
                <c:pt idx="16">
                  <c:v>2074725</c:v>
                </c:pt>
                <c:pt idx="17">
                  <c:v>2141428</c:v>
                </c:pt>
                <c:pt idx="18">
                  <c:v>2208131</c:v>
                </c:pt>
                <c:pt idx="19">
                  <c:v>2274834</c:v>
                </c:pt>
              </c:numCache>
            </c:numRef>
          </c:val>
          <c:smooth val="0"/>
          <c:extLst>
            <c:ext xmlns:c16="http://schemas.microsoft.com/office/drawing/2014/chart" uri="{C3380CC4-5D6E-409C-BE32-E72D297353CC}">
              <c16:uniqueId val="{00000004-D49F-4D66-8B55-F325E589971D}"/>
            </c:ext>
          </c:extLst>
        </c:ser>
        <c:ser>
          <c:idx val="5"/>
          <c:order val="5"/>
          <c:tx>
            <c:v>Floor</c:v>
          </c:tx>
          <c:spPr>
            <a:ln w="22225">
              <a:solidFill>
                <a:srgbClr val="B91C1C"/>
              </a:solidFill>
              <a:prstDash val="sysDash"/>
            </a:ln>
          </c:spPr>
          <c:marker>
            <c:symbol val="none"/>
          </c:marker>
          <c:cat>
            <c:strRef>
              <c:f>Results!$B$103:$B$122</c:f>
              <c:strCache>
                <c:ptCount val="2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strCache>
            </c:strRef>
          </c:cat>
          <c:val>
            <c:numRef>
              <c:f>Results!$H$103:$H$122</c:f>
              <c:numCache>
                <c:formatCode>#,##0.00</c:formatCode>
                <c:ptCount val="20"/>
                <c:pt idx="0">
                  <c:v>750218</c:v>
                </c:pt>
                <c:pt idx="1">
                  <c:v>730493</c:v>
                </c:pt>
                <c:pt idx="2">
                  <c:v>710768</c:v>
                </c:pt>
                <c:pt idx="3">
                  <c:v>691043</c:v>
                </c:pt>
                <c:pt idx="4">
                  <c:v>671318</c:v>
                </c:pt>
                <c:pt idx="5">
                  <c:v>651593</c:v>
                </c:pt>
                <c:pt idx="6">
                  <c:v>631868</c:v>
                </c:pt>
                <c:pt idx="7">
                  <c:v>612143</c:v>
                </c:pt>
                <c:pt idx="8">
                  <c:v>592418</c:v>
                </c:pt>
                <c:pt idx="9">
                  <c:v>572693</c:v>
                </c:pt>
                <c:pt idx="10">
                  <c:v>552968</c:v>
                </c:pt>
                <c:pt idx="11">
                  <c:v>533243</c:v>
                </c:pt>
                <c:pt idx="12">
                  <c:v>513518</c:v>
                </c:pt>
                <c:pt idx="13">
                  <c:v>493793</c:v>
                </c:pt>
                <c:pt idx="14">
                  <c:v>474068</c:v>
                </c:pt>
                <c:pt idx="15">
                  <c:v>454343</c:v>
                </c:pt>
                <c:pt idx="16">
                  <c:v>434618</c:v>
                </c:pt>
                <c:pt idx="17">
                  <c:v>414893</c:v>
                </c:pt>
                <c:pt idx="18">
                  <c:v>395168</c:v>
                </c:pt>
                <c:pt idx="19">
                  <c:v>375443</c:v>
                </c:pt>
              </c:numCache>
            </c:numRef>
          </c:val>
          <c:smooth val="0"/>
          <c:extLst>
            <c:ext xmlns:c16="http://schemas.microsoft.com/office/drawing/2014/chart" uri="{C3380CC4-5D6E-409C-BE32-E72D297353CC}">
              <c16:uniqueId val="{00000005-D49F-4D66-8B55-F325E589971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Sales per month (US$)</a:t>
                </a:r>
              </a:p>
            </c:rich>
          </c:tx>
          <c:overlay val="0"/>
        </c:title>
        <c:numFmt formatCode="#,##0,&quot;k&quot;"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Bounded</c:v>
          </c:tx>
          <c:spPr>
            <a:ln w="25400">
              <a:solidFill>
                <a:srgbClr val="0E4F92"/>
              </a:solidFill>
              <a:prstDash val="solid"/>
            </a:ln>
          </c:spPr>
          <c:marker>
            <c:symbol val="none"/>
          </c:marker>
          <c:xVal>
            <c:numRef>
              <c:f>Results!$D$51:$D$100</c:f>
              <c:numCache>
                <c:formatCode>#,##0.00</c:formatCode>
                <c:ptCount val="50"/>
                <c:pt idx="0">
                  <c:v>763516.93878466298</c:v>
                </c:pt>
                <c:pt idx="1">
                  <c:v>860008.83412803081</c:v>
                </c:pt>
                <c:pt idx="2">
                  <c:v>918313.23710107594</c:v>
                </c:pt>
                <c:pt idx="3">
                  <c:v>958284.71953269711</c:v>
                </c:pt>
                <c:pt idx="4">
                  <c:v>992096.68443797273</c:v>
                </c:pt>
                <c:pt idx="5">
                  <c:v>1023195.9828353169</c:v>
                </c:pt>
                <c:pt idx="6">
                  <c:v>1048947.8607279565</c:v>
                </c:pt>
                <c:pt idx="7">
                  <c:v>1076944.9099530033</c:v>
                </c:pt>
                <c:pt idx="8">
                  <c:v>1099739.3772866975</c:v>
                </c:pt>
                <c:pt idx="9">
                  <c:v>1117222.4818861831</c:v>
                </c:pt>
                <c:pt idx="10">
                  <c:v>1137046.9445583858</c:v>
                </c:pt>
                <c:pt idx="11">
                  <c:v>1157693.2706454434</c:v>
                </c:pt>
                <c:pt idx="12">
                  <c:v>1177952.7259906444</c:v>
                </c:pt>
                <c:pt idx="13">
                  <c:v>1197217.148793315</c:v>
                </c:pt>
                <c:pt idx="14">
                  <c:v>1213477.1792713881</c:v>
                </c:pt>
                <c:pt idx="15">
                  <c:v>1231553.3294920465</c:v>
                </c:pt>
                <c:pt idx="16">
                  <c:v>1247825.6078188438</c:v>
                </c:pt>
                <c:pt idx="17">
                  <c:v>1265503.0130654376</c:v>
                </c:pt>
                <c:pt idx="18">
                  <c:v>1281409.7329800373</c:v>
                </c:pt>
                <c:pt idx="19">
                  <c:v>1298534.2640170145</c:v>
                </c:pt>
                <c:pt idx="20">
                  <c:v>1317089.3344256231</c:v>
                </c:pt>
                <c:pt idx="21">
                  <c:v>1335279.2281892695</c:v>
                </c:pt>
                <c:pt idx="22">
                  <c:v>1353451.3542049276</c:v>
                </c:pt>
                <c:pt idx="23">
                  <c:v>1369136.4838216174</c:v>
                </c:pt>
                <c:pt idx="24">
                  <c:v>1387782.0736879932</c:v>
                </c:pt>
                <c:pt idx="25">
                  <c:v>1406527.2860630341</c:v>
                </c:pt>
                <c:pt idx="26">
                  <c:v>1422367.6194961271</c:v>
                </c:pt>
                <c:pt idx="27">
                  <c:v>1439272.8911511791</c:v>
                </c:pt>
                <c:pt idx="28">
                  <c:v>1457507.690746855</c:v>
                </c:pt>
                <c:pt idx="29">
                  <c:v>1476541.2835929326</c:v>
                </c:pt>
                <c:pt idx="30">
                  <c:v>1495218.7156316256</c:v>
                </c:pt>
                <c:pt idx="31">
                  <c:v>1516289.5665660801</c:v>
                </c:pt>
                <c:pt idx="32">
                  <c:v>1537077.0673550342</c:v>
                </c:pt>
                <c:pt idx="33">
                  <c:v>1555636.6860651209</c:v>
                </c:pt>
                <c:pt idx="34">
                  <c:v>1576424.519410023</c:v>
                </c:pt>
                <c:pt idx="35">
                  <c:v>1598882.5451031865</c:v>
                </c:pt>
                <c:pt idx="36">
                  <c:v>1622401.2072679058</c:v>
                </c:pt>
                <c:pt idx="37">
                  <c:v>1650141.1177409692</c:v>
                </c:pt>
                <c:pt idx="38">
                  <c:v>1678252.7525134499</c:v>
                </c:pt>
                <c:pt idx="39">
                  <c:v>1704136.1936490755</c:v>
                </c:pt>
                <c:pt idx="40">
                  <c:v>1734743.4434106022</c:v>
                </c:pt>
                <c:pt idx="41">
                  <c:v>1767454.7231960453</c:v>
                </c:pt>
                <c:pt idx="42">
                  <c:v>1804491.2888332738</c:v>
                </c:pt>
                <c:pt idx="43">
                  <c:v>1846155.5935729155</c:v>
                </c:pt>
                <c:pt idx="44">
                  <c:v>1886676.7195066579</c:v>
                </c:pt>
                <c:pt idx="45">
                  <c:v>1928368.5006528855</c:v>
                </c:pt>
                <c:pt idx="46">
                  <c:v>1986898.5038024143</c:v>
                </c:pt>
                <c:pt idx="47">
                  <c:v>2055005.3849699034</c:v>
                </c:pt>
                <c:pt idx="48">
                  <c:v>2139187.0326826465</c:v>
                </c:pt>
                <c:pt idx="49">
                  <c:v>2265548.9444388216</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0453-4662-A24D-23F990F0CCD5}"/>
            </c:ext>
          </c:extLst>
        </c:ser>
        <c:ser>
          <c:idx val="1"/>
          <c:order val="1"/>
          <c:tx>
            <c:v>Unbounded</c:v>
          </c:tx>
          <c:spPr>
            <a:ln w="25400">
              <a:solidFill>
                <a:srgbClr val="B45309"/>
              </a:solidFill>
              <a:prstDash val="dash"/>
            </a:ln>
          </c:spPr>
          <c:marker>
            <c:symbol val="none"/>
          </c:marker>
          <c:xVal>
            <c:numRef>
              <c:f>Results!$E$51:$E$100</c:f>
              <c:numCache>
                <c:formatCode>#,##0.00</c:formatCode>
                <c:ptCount val="50"/>
                <c:pt idx="0">
                  <c:v>765561.27519479627</c:v>
                </c:pt>
                <c:pt idx="1">
                  <c:v>862673.86118697387</c:v>
                </c:pt>
                <c:pt idx="2">
                  <c:v>923178.89584077988</c:v>
                </c:pt>
                <c:pt idx="3">
                  <c:v>963921.9694309358</c:v>
                </c:pt>
                <c:pt idx="4">
                  <c:v>996202.71905217064</c:v>
                </c:pt>
                <c:pt idx="5">
                  <c:v>1027709.8715678789</c:v>
                </c:pt>
                <c:pt idx="6">
                  <c:v>1055931.397613656</c:v>
                </c:pt>
                <c:pt idx="7">
                  <c:v>1084416.3427177276</c:v>
                </c:pt>
                <c:pt idx="8">
                  <c:v>1105404.5998170583</c:v>
                </c:pt>
                <c:pt idx="9">
                  <c:v>1125103.6537339271</c:v>
                </c:pt>
                <c:pt idx="10">
                  <c:v>1145544.3492035752</c:v>
                </c:pt>
                <c:pt idx="11">
                  <c:v>1167365.0710290042</c:v>
                </c:pt>
                <c:pt idx="12">
                  <c:v>1188947.8054779482</c:v>
                </c:pt>
                <c:pt idx="13">
                  <c:v>1206946.0440266842</c:v>
                </c:pt>
                <c:pt idx="14">
                  <c:v>1226196.3667444752</c:v>
                </c:pt>
                <c:pt idx="15">
                  <c:v>1244312.3545187507</c:v>
                </c:pt>
                <c:pt idx="16">
                  <c:v>1260078.9760818118</c:v>
                </c:pt>
                <c:pt idx="17">
                  <c:v>1277940.426159533</c:v>
                </c:pt>
                <c:pt idx="18">
                  <c:v>1295092.4838613691</c:v>
                </c:pt>
                <c:pt idx="19">
                  <c:v>1313799.924051204</c:v>
                </c:pt>
                <c:pt idx="20">
                  <c:v>1332994.6745812534</c:v>
                </c:pt>
                <c:pt idx="21">
                  <c:v>1350407.7497161978</c:v>
                </c:pt>
                <c:pt idx="22">
                  <c:v>1367442.745271971</c:v>
                </c:pt>
                <c:pt idx="23">
                  <c:v>1386383.4220841858</c:v>
                </c:pt>
                <c:pt idx="24">
                  <c:v>1407588.673559187</c:v>
                </c:pt>
                <c:pt idx="25">
                  <c:v>1423514.4092910946</c:v>
                </c:pt>
                <c:pt idx="26">
                  <c:v>1441633.5364938462</c:v>
                </c:pt>
                <c:pt idx="27">
                  <c:v>1461096.6166605798</c:v>
                </c:pt>
                <c:pt idx="28">
                  <c:v>1478613.1070902487</c:v>
                </c:pt>
                <c:pt idx="29">
                  <c:v>1499977.8600620946</c:v>
                </c:pt>
                <c:pt idx="30">
                  <c:v>1521799.8914808256</c:v>
                </c:pt>
                <c:pt idx="31">
                  <c:v>1541439.8420491454</c:v>
                </c:pt>
                <c:pt idx="32">
                  <c:v>1561675.2945562655</c:v>
                </c:pt>
                <c:pt idx="33">
                  <c:v>1584073.8971730513</c:v>
                </c:pt>
                <c:pt idx="34">
                  <c:v>1608918.7786581637</c:v>
                </c:pt>
                <c:pt idx="35">
                  <c:v>1634172.7149732963</c:v>
                </c:pt>
                <c:pt idx="36">
                  <c:v>1661380.9173916122</c:v>
                </c:pt>
                <c:pt idx="37">
                  <c:v>1688178.8936313784</c:v>
                </c:pt>
                <c:pt idx="38">
                  <c:v>1718412.8312067005</c:v>
                </c:pt>
                <c:pt idx="39">
                  <c:v>1746529.10562853</c:v>
                </c:pt>
                <c:pt idx="40">
                  <c:v>1780132.0607773561</c:v>
                </c:pt>
                <c:pt idx="41">
                  <c:v>1817948.7166177526</c:v>
                </c:pt>
                <c:pt idx="42">
                  <c:v>1858057.2341014908</c:v>
                </c:pt>
                <c:pt idx="43">
                  <c:v>1899026.0920351802</c:v>
                </c:pt>
                <c:pt idx="44">
                  <c:v>1948790.1450768642</c:v>
                </c:pt>
                <c:pt idx="45">
                  <c:v>2009036.0021694533</c:v>
                </c:pt>
                <c:pt idx="46">
                  <c:v>2081521.992620887</c:v>
                </c:pt>
                <c:pt idx="47">
                  <c:v>2166827.4274023687</c:v>
                </c:pt>
                <c:pt idx="48">
                  <c:v>2294671.7911630413</c:v>
                </c:pt>
                <c:pt idx="49">
                  <c:v>2550965.4114170009</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0453-4662-A24D-23F990F0CCD5}"/>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Sales in month 20 (US$)</a:t>
                </a:r>
              </a:p>
            </c:rich>
          </c:tx>
          <c:overlay val="0"/>
        </c:title>
        <c:numFmt formatCode="#,##0,&quot;k&quot;"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67"/>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54" t="s">
        <v>20</v>
      </c>
      <c r="C16" s="5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12" customHeight="1" x14ac:dyDescent="0.45"/>
    <row r="37" spans="2:3" ht="22.05" customHeight="1" x14ac:dyDescent="0.5">
      <c r="B37" s="7" t="s">
        <v>36</v>
      </c>
      <c r="C37" s="8"/>
    </row>
    <row r="38" spans="2:3" x14ac:dyDescent="0.45">
      <c r="B38" s="14" t="s">
        <v>37</v>
      </c>
      <c r="C38" s="10" t="s">
        <v>38</v>
      </c>
    </row>
    <row r="39" spans="2:3" x14ac:dyDescent="0.45">
      <c r="B39" s="14" t="s">
        <v>39</v>
      </c>
      <c r="C39" s="10" t="s">
        <v>40</v>
      </c>
    </row>
    <row r="40" spans="2:3" x14ac:dyDescent="0.45">
      <c r="B40" s="14" t="s">
        <v>41</v>
      </c>
      <c r="C40" s="10" t="s">
        <v>42</v>
      </c>
    </row>
    <row r="41" spans="2:3" ht="12" customHeight="1" x14ac:dyDescent="0.45"/>
    <row r="42" spans="2:3" ht="22.05" customHeight="1" x14ac:dyDescent="0.5">
      <c r="B42" s="7" t="s">
        <v>43</v>
      </c>
      <c r="C42" s="8"/>
    </row>
    <row r="43" spans="2:3" x14ac:dyDescent="0.45">
      <c r="B43" s="15" t="s">
        <v>44</v>
      </c>
      <c r="C43" s="12" t="s">
        <v>45</v>
      </c>
    </row>
    <row r="44" spans="2:3" x14ac:dyDescent="0.45">
      <c r="B44" s="16" t="s">
        <v>46</v>
      </c>
      <c r="C44" s="12" t="s">
        <v>47</v>
      </c>
    </row>
    <row r="45" spans="2:3" x14ac:dyDescent="0.45">
      <c r="B45" s="17" t="s">
        <v>48</v>
      </c>
      <c r="C45" s="12" t="s">
        <v>49</v>
      </c>
    </row>
    <row r="46" spans="2:3" x14ac:dyDescent="0.45">
      <c r="B46" s="18" t="s">
        <v>50</v>
      </c>
      <c r="C46" s="12" t="s">
        <v>51</v>
      </c>
    </row>
    <row r="47" spans="2:3" x14ac:dyDescent="0.45">
      <c r="B47" s="19" t="s">
        <v>52</v>
      </c>
      <c r="C47" s="12" t="s">
        <v>53</v>
      </c>
    </row>
    <row r="48" spans="2:3" ht="12" customHeight="1" x14ac:dyDescent="0.45"/>
    <row r="49" spans="2:3" ht="22.05" customHeight="1" x14ac:dyDescent="0.5">
      <c r="B49" s="7" t="s">
        <v>54</v>
      </c>
      <c r="C49" s="8"/>
    </row>
    <row r="50" spans="2:3" x14ac:dyDescent="0.45">
      <c r="B50" s="9" t="s">
        <v>55</v>
      </c>
      <c r="C50" s="10" t="s">
        <v>56</v>
      </c>
    </row>
    <row r="51" spans="2:3" x14ac:dyDescent="0.45">
      <c r="B51" s="9" t="s">
        <v>57</v>
      </c>
      <c r="C51" s="10" t="s">
        <v>58</v>
      </c>
    </row>
    <row r="52" spans="2:3" x14ac:dyDescent="0.45">
      <c r="B52" s="9" t="s">
        <v>59</v>
      </c>
      <c r="C52" s="10" t="s">
        <v>60</v>
      </c>
    </row>
    <row r="53" spans="2:3" ht="12" customHeight="1" x14ac:dyDescent="0.45"/>
    <row r="54" spans="2:3" ht="22.05" customHeight="1" x14ac:dyDescent="0.5">
      <c r="B54" s="7" t="s">
        <v>61</v>
      </c>
      <c r="C54" s="8"/>
    </row>
    <row r="55" spans="2:3" x14ac:dyDescent="0.45">
      <c r="B55" s="9" t="s">
        <v>62</v>
      </c>
      <c r="C55" s="10" t="s">
        <v>63</v>
      </c>
    </row>
    <row r="56" spans="2:3" x14ac:dyDescent="0.45">
      <c r="B56" s="9" t="s">
        <v>64</v>
      </c>
      <c r="C56" s="10" t="s">
        <v>65</v>
      </c>
    </row>
    <row r="57" spans="2:3" ht="26.25" x14ac:dyDescent="0.45">
      <c r="B57" s="9" t="s">
        <v>66</v>
      </c>
      <c r="C57" s="10" t="s">
        <v>67</v>
      </c>
    </row>
    <row r="58" spans="2:3" ht="12" customHeight="1" x14ac:dyDescent="0.45"/>
    <row r="59" spans="2:3" ht="22.05" customHeight="1" x14ac:dyDescent="0.5">
      <c r="B59" s="7" t="s">
        <v>68</v>
      </c>
      <c r="C59" s="8"/>
    </row>
    <row r="60" spans="2:3" x14ac:dyDescent="0.45">
      <c r="B60" s="20" t="s">
        <v>69</v>
      </c>
      <c r="C60" s="10" t="s">
        <v>70</v>
      </c>
    </row>
    <row r="61" spans="2:3" x14ac:dyDescent="0.45">
      <c r="B61" s="20" t="s">
        <v>71</v>
      </c>
      <c r="C61" s="10" t="s">
        <v>72</v>
      </c>
    </row>
    <row r="62" spans="2:3" ht="26.25" x14ac:dyDescent="0.45">
      <c r="B62" s="20" t="s">
        <v>73</v>
      </c>
      <c r="C62" s="10" t="s">
        <v>74</v>
      </c>
    </row>
    <row r="63" spans="2:3" ht="12" customHeight="1" x14ac:dyDescent="0.45"/>
    <row r="64" spans="2:3" ht="22.05" customHeight="1" x14ac:dyDescent="0.5">
      <c r="B64" s="7" t="s">
        <v>75</v>
      </c>
      <c r="C64" s="8"/>
    </row>
    <row r="65" spans="2:3" x14ac:dyDescent="0.45">
      <c r="B65" s="9" t="s">
        <v>76</v>
      </c>
      <c r="C65" s="10" t="s">
        <v>77</v>
      </c>
    </row>
    <row r="66" spans="2:3" ht="16.05" customHeight="1" x14ac:dyDescent="0.45"/>
    <row r="67" spans="2:3" x14ac:dyDescent="0.45">
      <c r="B67" s="56" t="s">
        <v>78</v>
      </c>
      <c r="C67" s="55"/>
    </row>
  </sheetData>
  <mergeCells count="2">
    <mergeCell ref="B16:C16"/>
    <mergeCell ref="B67:C67"/>
  </mergeCells>
  <hyperlinks>
    <hyperlink ref="D4" location="'Inputs'!A1" display="Next:  Inputs  ▸" xr:uid="{00000000-0004-0000-0000-000000000000}"/>
    <hyperlink ref="B38" location="'Inputs'!A1" display="Inputs" xr:uid="{00000000-0004-0000-0000-000001000000}"/>
    <hyperlink ref="B39" location="'Months'!A1" display="Months" xr:uid="{00000000-0004-0000-0000-000002000000}"/>
    <hyperlink ref="B40"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79</v>
      </c>
      <c r="C3" s="1"/>
      <c r="D3" s="1"/>
      <c r="E3" s="1"/>
      <c r="F3" s="1"/>
      <c r="G3" s="1"/>
      <c r="H3" s="1"/>
      <c r="I3" s="1"/>
      <c r="J3" s="1"/>
    </row>
    <row r="4" spans="1:10" ht="20" customHeight="1" x14ac:dyDescent="0.45">
      <c r="A4" s="5"/>
      <c r="B4" s="22" t="s">
        <v>80</v>
      </c>
      <c r="C4" s="5"/>
      <c r="D4" s="5"/>
      <c r="E4" s="5"/>
      <c r="F4" s="5"/>
      <c r="G4" s="5"/>
      <c r="H4" s="5"/>
      <c r="I4" s="5"/>
      <c r="J4" s="6" t="s">
        <v>81</v>
      </c>
    </row>
    <row r="5" spans="1:10" ht="8" customHeight="1" x14ac:dyDescent="0.45"/>
    <row r="6" spans="1:10" ht="20" customHeight="1" x14ac:dyDescent="0.45">
      <c r="B6" s="57" t="s">
        <v>82</v>
      </c>
      <c r="C6" s="55"/>
      <c r="D6" s="55"/>
      <c r="E6" s="55"/>
      <c r="F6" s="55"/>
      <c r="G6" s="55"/>
      <c r="H6" s="55"/>
      <c r="I6" s="55"/>
      <c r="J6" s="55"/>
    </row>
    <row r="7" spans="1:10" ht="6" customHeight="1" x14ac:dyDescent="0.45"/>
    <row r="8" spans="1:10" ht="22.05" customHeight="1" x14ac:dyDescent="0.5">
      <c r="B8" s="7" t="s">
        <v>83</v>
      </c>
      <c r="C8" s="8"/>
      <c r="D8" s="8"/>
      <c r="E8" s="8"/>
      <c r="F8" s="8"/>
      <c r="G8" s="8"/>
      <c r="H8" s="8"/>
      <c r="I8" s="8"/>
      <c r="J8" s="8"/>
    </row>
    <row r="9" spans="1:10" ht="18" customHeight="1" x14ac:dyDescent="0.45">
      <c r="B9" s="13" t="s">
        <v>84</v>
      </c>
    </row>
    <row r="10" spans="1:10" ht="18" customHeight="1" x14ac:dyDescent="0.45">
      <c r="B10" s="23" t="s">
        <v>85</v>
      </c>
      <c r="C10" s="23" t="s">
        <v>86</v>
      </c>
      <c r="D10" s="24" t="s">
        <v>87</v>
      </c>
      <c r="E10" s="23" t="s">
        <v>88</v>
      </c>
      <c r="F10" s="5"/>
      <c r="G10" s="5"/>
      <c r="H10" s="5"/>
      <c r="I10" s="5"/>
      <c r="J10" s="23" t="s">
        <v>89</v>
      </c>
    </row>
    <row r="11" spans="1:10" x14ac:dyDescent="0.45">
      <c r="B11" s="25" t="s">
        <v>90</v>
      </c>
      <c r="C11" s="26" t="s">
        <v>91</v>
      </c>
      <c r="D11" s="27">
        <v>1000000</v>
      </c>
      <c r="E11" s="26" t="s">
        <v>92</v>
      </c>
      <c r="F11" s="28"/>
      <c r="G11" s="28"/>
      <c r="H11" s="28"/>
      <c r="I11" s="28"/>
      <c r="J11" s="29"/>
    </row>
    <row r="12" spans="1:10" x14ac:dyDescent="0.45">
      <c r="B12" s="25" t="s">
        <v>93</v>
      </c>
      <c r="C12" s="26" t="s">
        <v>94</v>
      </c>
      <c r="D12" s="30">
        <v>0.02</v>
      </c>
      <c r="E12" s="26" t="s">
        <v>92</v>
      </c>
      <c r="F12" s="28"/>
      <c r="G12" s="28"/>
      <c r="H12" s="28"/>
      <c r="I12" s="28"/>
      <c r="J12" s="29"/>
    </row>
    <row r="13" spans="1:10" x14ac:dyDescent="0.45">
      <c r="B13" s="25" t="s">
        <v>95</v>
      </c>
      <c r="C13" s="26" t="s">
        <v>94</v>
      </c>
      <c r="D13" s="30">
        <v>0.06</v>
      </c>
      <c r="E13" s="26" t="s">
        <v>92</v>
      </c>
      <c r="F13" s="28"/>
      <c r="G13" s="28"/>
      <c r="H13" s="28"/>
      <c r="I13" s="28"/>
      <c r="J13" s="29"/>
    </row>
    <row r="14" spans="1:10" ht="8" customHeight="1" x14ac:dyDescent="0.45"/>
    <row r="15" spans="1:10" ht="22.05" customHeight="1" x14ac:dyDescent="0.5">
      <c r="B15" s="7" t="s">
        <v>96</v>
      </c>
      <c r="C15" s="8"/>
      <c r="D15" s="8"/>
      <c r="E15" s="8"/>
      <c r="F15" s="8"/>
      <c r="G15" s="8"/>
      <c r="H15" s="8"/>
      <c r="I15" s="8"/>
      <c r="J15" s="8"/>
    </row>
    <row r="16" spans="1:10" ht="18" customHeight="1" x14ac:dyDescent="0.45">
      <c r="B16" s="13" t="s">
        <v>97</v>
      </c>
    </row>
    <row r="17" spans="2:10" ht="18" customHeight="1" x14ac:dyDescent="0.45">
      <c r="B17" s="23" t="s">
        <v>85</v>
      </c>
      <c r="C17" s="23" t="s">
        <v>86</v>
      </c>
      <c r="D17" s="24" t="s">
        <v>87</v>
      </c>
      <c r="E17" s="23" t="s">
        <v>88</v>
      </c>
      <c r="F17" s="5"/>
      <c r="G17" s="5"/>
      <c r="H17" s="5"/>
      <c r="I17" s="5"/>
      <c r="J17" s="23" t="s">
        <v>89</v>
      </c>
    </row>
    <row r="18" spans="2:10" x14ac:dyDescent="0.45">
      <c r="B18" s="25" t="s">
        <v>98</v>
      </c>
      <c r="C18" s="26" t="s">
        <v>91</v>
      </c>
      <c r="D18" s="27">
        <v>940774</v>
      </c>
      <c r="E18" s="26" t="s">
        <v>92</v>
      </c>
      <c r="F18" s="28"/>
      <c r="G18" s="28"/>
      <c r="H18" s="28"/>
      <c r="I18" s="28"/>
      <c r="J18" s="29" t="s">
        <v>99</v>
      </c>
    </row>
    <row r="19" spans="2:10" x14ac:dyDescent="0.45">
      <c r="B19" s="25" t="s">
        <v>100</v>
      </c>
      <c r="C19" s="26" t="s">
        <v>91</v>
      </c>
      <c r="D19" s="27">
        <v>66703</v>
      </c>
      <c r="E19" s="26" t="s">
        <v>92</v>
      </c>
      <c r="F19" s="28"/>
      <c r="G19" s="28"/>
      <c r="H19" s="28"/>
      <c r="I19" s="28"/>
      <c r="J19" s="29" t="s">
        <v>101</v>
      </c>
    </row>
    <row r="20" spans="2:10" x14ac:dyDescent="0.45">
      <c r="B20" s="25" t="s">
        <v>102</v>
      </c>
      <c r="C20" s="26" t="s">
        <v>91</v>
      </c>
      <c r="D20" s="27">
        <v>769943</v>
      </c>
      <c r="E20" s="26" t="s">
        <v>92</v>
      </c>
      <c r="F20" s="28"/>
      <c r="G20" s="28"/>
      <c r="H20" s="28"/>
      <c r="I20" s="28"/>
      <c r="J20" s="29" t="s">
        <v>103</v>
      </c>
    </row>
    <row r="21" spans="2:10" x14ac:dyDescent="0.45">
      <c r="B21" s="25" t="s">
        <v>104</v>
      </c>
      <c r="C21" s="26" t="s">
        <v>91</v>
      </c>
      <c r="D21" s="27">
        <v>-19725</v>
      </c>
      <c r="E21" s="26" t="s">
        <v>92</v>
      </c>
      <c r="F21" s="28"/>
      <c r="G21" s="28"/>
      <c r="H21" s="28"/>
      <c r="I21" s="28"/>
      <c r="J21" s="29" t="s">
        <v>105</v>
      </c>
    </row>
    <row r="22" spans="2:10" ht="8" customHeight="1" x14ac:dyDescent="0.45"/>
  </sheetData>
  <mergeCells count="1">
    <mergeCell ref="B6:J6"/>
  </mergeCells>
  <dataValidations count="2">
    <dataValidation type="decimal" operator="greaterThan" showErrorMessage="1" errorTitle="Positive value" error="Enter a value greater than zero." sqref="D11 D18" xr:uid="{00000000-0002-0000-0100-000000000000}">
      <formula1>0</formula1>
    </dataValidation>
    <dataValidation type="decimal" showErrorMessage="1" errorTitle="Value" error="Enter a value of zero or more." sqref="D13 D20" xr:uid="{00000000-0002-0000-0100-000001000000}">
      <formula1>0</formula1>
      <formula2>1000000000000</formula2>
    </dataValidation>
  </dataValidations>
  <hyperlinks>
    <hyperlink ref="B4" location="'About'!A1" display="◂  About" xr:uid="{00000000-0004-0000-0100-000000000000}"/>
    <hyperlink ref="J4" location="'Months'!A1" display="Next:  Month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K44"/>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4" width="13" customWidth="1"/>
    <col min="5" max="5" width="11" customWidth="1"/>
    <col min="6" max="7" width="14" customWidth="1"/>
    <col min="8" max="9" width="11" customWidth="1"/>
    <col min="10" max="10" width="2" customWidth="1"/>
    <col min="11" max="11" width="60"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106</v>
      </c>
      <c r="C3" s="1"/>
      <c r="D3" s="1"/>
      <c r="E3" s="1"/>
      <c r="F3" s="1"/>
      <c r="G3" s="1"/>
      <c r="H3" s="1"/>
      <c r="I3" s="1"/>
      <c r="J3" s="1"/>
      <c r="K3" s="1"/>
    </row>
    <row r="4" spans="1:11" ht="20" customHeight="1" x14ac:dyDescent="0.45">
      <c r="A4" s="5"/>
      <c r="B4" s="22" t="s">
        <v>107</v>
      </c>
      <c r="C4" s="5"/>
      <c r="D4" s="5"/>
      <c r="E4" s="5"/>
      <c r="F4" s="5"/>
      <c r="G4" s="5"/>
      <c r="H4" s="5"/>
      <c r="I4" s="5"/>
      <c r="J4" s="5"/>
      <c r="K4" s="6" t="s">
        <v>108</v>
      </c>
    </row>
    <row r="5" spans="1:11" ht="8" customHeight="1" x14ac:dyDescent="0.45"/>
    <row r="6" spans="1:11" ht="22.05" customHeight="1" x14ac:dyDescent="0.5">
      <c r="B6" s="7" t="s">
        <v>109</v>
      </c>
      <c r="C6" s="8"/>
      <c r="D6" s="8"/>
      <c r="E6" s="8"/>
      <c r="F6" s="8"/>
      <c r="G6" s="8"/>
      <c r="H6" s="8"/>
      <c r="I6" s="8"/>
      <c r="J6" s="8"/>
      <c r="K6" s="8"/>
    </row>
    <row r="7" spans="1:11" ht="18" customHeight="1" x14ac:dyDescent="0.45">
      <c r="B7" s="13" t="s">
        <v>110</v>
      </c>
    </row>
    <row r="8" spans="1:11" ht="32" customHeight="1" x14ac:dyDescent="0.45">
      <c r="B8" s="31" t="s">
        <v>111</v>
      </c>
      <c r="C8" s="32" t="s">
        <v>112</v>
      </c>
      <c r="D8" s="32" t="s">
        <v>113</v>
      </c>
      <c r="E8" s="32" t="s">
        <v>114</v>
      </c>
      <c r="F8" s="32" t="s">
        <v>115</v>
      </c>
      <c r="G8" s="32" t="s">
        <v>116</v>
      </c>
      <c r="H8" s="32" t="s">
        <v>117</v>
      </c>
      <c r="I8" s="32" t="s">
        <v>118</v>
      </c>
      <c r="J8" s="33"/>
      <c r="K8" s="31" t="s">
        <v>119</v>
      </c>
    </row>
    <row r="9" spans="1:11" x14ac:dyDescent="0.45">
      <c r="B9" s="34"/>
      <c r="C9" s="34" t="s">
        <v>91</v>
      </c>
      <c r="D9" s="34" t="s">
        <v>91</v>
      </c>
      <c r="E9" s="34" t="s">
        <v>120</v>
      </c>
      <c r="F9" s="34" t="s">
        <v>91</v>
      </c>
      <c r="G9" s="34" t="s">
        <v>91</v>
      </c>
      <c r="H9" s="34" t="s">
        <v>121</v>
      </c>
      <c r="I9" s="34" t="s">
        <v>121</v>
      </c>
      <c r="J9" s="34"/>
      <c r="K9" s="34"/>
    </row>
    <row r="10" spans="1:11" x14ac:dyDescent="0.45">
      <c r="B10" s="35">
        <v>1</v>
      </c>
      <c r="C10" s="36">
        <f t="shared" ref="C10:C29" si="0">FloorStart+FloorChange*B10</f>
        <v>750218</v>
      </c>
      <c r="D10" s="36">
        <f t="shared" ref="D10:D29" si="1">CapStart+CapChange*B10</f>
        <v>1007477</v>
      </c>
      <c r="E10" s="37" t="s">
        <v>122</v>
      </c>
      <c r="F10" s="38" cm="1">
        <f t="array" ref="F10">_xll.VoseOutput("Month 1","US$","Sales, unbounded",1)+Start</f>
        <v>1000000</v>
      </c>
      <c r="G10" s="38" cm="1">
        <f t="array" ref="G10">_xll.VoseOutput("Month 1","US$","Sales, bounded",1)+Start</f>
        <v>1000000</v>
      </c>
      <c r="H10" s="39">
        <f t="shared" ref="H10:H29" si="2">IF(G10&gt;=D10,1,0)</f>
        <v>0</v>
      </c>
      <c r="I10" s="39">
        <f t="shared" ref="I10:I29" si="3">IF(G10&lt;=C10,1,0)</f>
        <v>0</v>
      </c>
      <c r="J10" s="28"/>
      <c r="K10" s="26" t="s">
        <v>123</v>
      </c>
    </row>
    <row r="11" spans="1:11" x14ac:dyDescent="0.45">
      <c r="B11" s="35">
        <v>2</v>
      </c>
      <c r="C11" s="36">
        <f t="shared" si="0"/>
        <v>730493</v>
      </c>
      <c r="D11" s="36">
        <f t="shared" si="1"/>
        <v>1074180</v>
      </c>
      <c r="E11" s="40" cm="1">
        <f t="array" aca="1" ref="E11" ca="1">_xll.VoseNormal(0,1)</f>
        <v>-1.4266203808728985E-2</v>
      </c>
      <c r="F11" s="38" cm="1">
        <f t="array" aca="1" ref="F11" ca="1">_xll.VoseOutput("Month 2","US$","Sales, unbounded",2)+F10*EXP(Drift-Vol^2/2+Vol*E11)</f>
        <v>1017495.3087628229</v>
      </c>
      <c r="G11" s="38" cm="1">
        <f t="array" aca="1" ref="G11" ca="1">_xll.VoseOutput("Month 2","US$","Sales, bounded",2)+MIN(D11,MAX(C11,G10*EXP(Drift-Vol^2/2+Vol*E11)))</f>
        <v>1017495.3087628229</v>
      </c>
      <c r="H11" s="39">
        <f t="shared" ca="1" si="2"/>
        <v>0</v>
      </c>
      <c r="I11" s="39">
        <f t="shared" ca="1" si="3"/>
        <v>0</v>
      </c>
      <c r="J11" s="28"/>
      <c r="K11" s="26" t="s">
        <v>124</v>
      </c>
    </row>
    <row r="12" spans="1:11" x14ac:dyDescent="0.45">
      <c r="B12" s="35">
        <v>3</v>
      </c>
      <c r="C12" s="36">
        <f t="shared" si="0"/>
        <v>710768</v>
      </c>
      <c r="D12" s="36">
        <f t="shared" si="1"/>
        <v>1140883</v>
      </c>
      <c r="E12" s="40" cm="1">
        <f t="array" aca="1" ref="E12" ca="1">_xll.VoseNormal(0,1)</f>
        <v>4.2081671529215353E-2</v>
      </c>
      <c r="F12" s="38" cm="1">
        <f t="array" aca="1" ref="F12" ca="1">_xll.VoseOutput("Month 3","US$","Sales, unbounded",3)+F11*EXP(Drift-Vol^2/2+Vol*E12)</f>
        <v>1038802.8330781987</v>
      </c>
      <c r="G12" s="38" cm="1">
        <f t="array" aca="1" ref="G12" ca="1">_xll.VoseOutput("Month 3","US$","Sales, bounded",3)+MIN(D12,MAX(C12,G11*EXP(Drift-Vol^2/2+Vol*E12)))</f>
        <v>1038802.8330781987</v>
      </c>
      <c r="H12" s="39">
        <f t="shared" ca="1" si="2"/>
        <v>0</v>
      </c>
      <c r="I12" s="39">
        <f t="shared" ca="1" si="3"/>
        <v>0</v>
      </c>
      <c r="J12" s="28"/>
      <c r="K12" s="26" t="s">
        <v>125</v>
      </c>
    </row>
    <row r="13" spans="1:11" x14ac:dyDescent="0.45">
      <c r="B13" s="35">
        <v>4</v>
      </c>
      <c r="C13" s="36">
        <f t="shared" si="0"/>
        <v>691043</v>
      </c>
      <c r="D13" s="36">
        <f t="shared" si="1"/>
        <v>1207586</v>
      </c>
      <c r="E13" s="40" cm="1">
        <f t="array" aca="1" ref="E13" ca="1">_xll.VoseNormal(0,1)</f>
        <v>0.37128125886508673</v>
      </c>
      <c r="F13" s="38" cm="1">
        <f t="array" aca="1" ref="F13" ca="1">_xll.VoseOutput("Month 4","US$","Sales, unbounded",4)+F12*EXP(Drift-Vol^2/2+Vol*E13)</f>
        <v>1081712.9003673336</v>
      </c>
      <c r="G13" s="38" cm="1">
        <f t="array" aca="1" ref="G13" ca="1">_xll.VoseOutput("Month 4","US$","Sales, bounded",4)+MIN(D13,MAX(C13,G12*EXP(Drift-Vol^2/2+Vol*E13)))</f>
        <v>1081712.9003673336</v>
      </c>
      <c r="H13" s="39">
        <f t="shared" ca="1" si="2"/>
        <v>0</v>
      </c>
      <c r="I13" s="39">
        <f t="shared" ca="1" si="3"/>
        <v>0</v>
      </c>
      <c r="J13" s="28"/>
      <c r="K13" s="26" t="s">
        <v>126</v>
      </c>
    </row>
    <row r="14" spans="1:11" x14ac:dyDescent="0.45">
      <c r="B14" s="35">
        <v>5</v>
      </c>
      <c r="C14" s="36">
        <f t="shared" si="0"/>
        <v>671318</v>
      </c>
      <c r="D14" s="36">
        <f t="shared" si="1"/>
        <v>1274289</v>
      </c>
      <c r="E14" s="40" cm="1">
        <f t="array" aca="1" ref="E14" ca="1">_xll.VoseNormal(0,1)</f>
        <v>-0.95937152578992213</v>
      </c>
      <c r="F14" s="38" cm="1">
        <f t="array" aca="1" ref="F14" ca="1">_xll.VoseOutput("Month 5","US$","Sales, unbounded",5)+F13*EXP(Drift-Vol^2/2+Vol*E14)</f>
        <v>1039961.3115698664</v>
      </c>
      <c r="G14" s="38" cm="1">
        <f t="array" aca="1" ref="G14" ca="1">_xll.VoseOutput("Month 5","US$","Sales, bounded",5)+MIN(D14,MAX(C14,G13*EXP(Drift-Vol^2/2+Vol*E14)))</f>
        <v>1039961.3115698664</v>
      </c>
      <c r="H14" s="39">
        <f t="shared" ca="1" si="2"/>
        <v>0</v>
      </c>
      <c r="I14" s="39">
        <f t="shared" ca="1" si="3"/>
        <v>0</v>
      </c>
      <c r="J14" s="28"/>
      <c r="K14" s="26" t="s">
        <v>127</v>
      </c>
    </row>
    <row r="15" spans="1:11" x14ac:dyDescent="0.45">
      <c r="B15" s="35">
        <v>6</v>
      </c>
      <c r="C15" s="36">
        <f t="shared" si="0"/>
        <v>651593</v>
      </c>
      <c r="D15" s="36">
        <f t="shared" si="1"/>
        <v>1340992</v>
      </c>
      <c r="E15" s="40" cm="1">
        <f t="array" aca="1" ref="E15" ca="1">_xll.VoseNormal(0,1)</f>
        <v>0.13308234362338905</v>
      </c>
      <c r="F15" s="38" cm="1">
        <f t="array" aca="1" ref="F15" ca="1">_xll.VoseOutput("Month 6","US$","Sales, unbounded",6)+F14*EXP(Drift-Vol^2/2+Vol*E15)</f>
        <v>1067552.2944171042</v>
      </c>
      <c r="G15" s="38" cm="1">
        <f t="array" aca="1" ref="G15" ca="1">_xll.VoseOutput("Month 6","US$","Sales, bounded",6)+MIN(D15,MAX(C15,G14*EXP(Drift-Vol^2/2+Vol*E15)))</f>
        <v>1067552.2944171042</v>
      </c>
      <c r="H15" s="39">
        <f t="shared" ca="1" si="2"/>
        <v>0</v>
      </c>
      <c r="I15" s="39">
        <f t="shared" ca="1" si="3"/>
        <v>0</v>
      </c>
      <c r="J15" s="28"/>
      <c r="K15" s="28"/>
    </row>
    <row r="16" spans="1:11" x14ac:dyDescent="0.45">
      <c r="B16" s="35">
        <v>7</v>
      </c>
      <c r="C16" s="36">
        <f t="shared" si="0"/>
        <v>631868</v>
      </c>
      <c r="D16" s="36">
        <f t="shared" si="1"/>
        <v>1407695</v>
      </c>
      <c r="E16" s="40" cm="1">
        <f t="array" aca="1" ref="E16" ca="1">_xll.VoseNormal(0,1)</f>
        <v>-0.4747675357979218</v>
      </c>
      <c r="F16" s="38" cm="1">
        <f t="array" aca="1" ref="F16" ca="1">_xll.VoseOutput("Month 7","US$","Sales, unbounded",7)+F15*EXP(Drift-Vol^2/2+Vol*E16)</f>
        <v>1056627.6777556292</v>
      </c>
      <c r="G16" s="38" cm="1">
        <f t="array" aca="1" ref="G16" ca="1">_xll.VoseOutput("Month 7","US$","Sales, bounded",7)+MIN(D16,MAX(C16,G15*EXP(Drift-Vol^2/2+Vol*E16)))</f>
        <v>1056627.6777556292</v>
      </c>
      <c r="H16" s="39">
        <f t="shared" ca="1" si="2"/>
        <v>0</v>
      </c>
      <c r="I16" s="39">
        <f t="shared" ca="1" si="3"/>
        <v>0</v>
      </c>
      <c r="J16" s="28"/>
      <c r="K16" s="28"/>
    </row>
    <row r="17" spans="2:11" x14ac:dyDescent="0.45">
      <c r="B17" s="35">
        <v>8</v>
      </c>
      <c r="C17" s="36">
        <f t="shared" si="0"/>
        <v>612143</v>
      </c>
      <c r="D17" s="36">
        <f t="shared" si="1"/>
        <v>1474398</v>
      </c>
      <c r="E17" s="40" cm="1">
        <f t="array" aca="1" ref="E17" ca="1">_xll.VoseNormal(0,1)</f>
        <v>0.70292818456968142</v>
      </c>
      <c r="F17" s="38" cm="1">
        <f t="array" aca="1" ref="F17" ca="1">_xll.VoseOutput("Month 8","US$","Sales, unbounded",8)+F16*EXP(Drift-Vol^2/2+Vol*E17)</f>
        <v>1122387.4760897309</v>
      </c>
      <c r="G17" s="38" cm="1">
        <f t="array" aca="1" ref="G17" ca="1">_xll.VoseOutput("Month 8","US$","Sales, bounded",8)+MIN(D17,MAX(C17,G16*EXP(Drift-Vol^2/2+Vol*E17)))</f>
        <v>1122387.4760897309</v>
      </c>
      <c r="H17" s="39">
        <f t="shared" ca="1" si="2"/>
        <v>0</v>
      </c>
      <c r="I17" s="39">
        <f t="shared" ca="1" si="3"/>
        <v>0</v>
      </c>
      <c r="J17" s="28"/>
      <c r="K17" s="28"/>
    </row>
    <row r="18" spans="2:11" x14ac:dyDescent="0.45">
      <c r="B18" s="35">
        <v>9</v>
      </c>
      <c r="C18" s="36">
        <f t="shared" si="0"/>
        <v>592418</v>
      </c>
      <c r="D18" s="36">
        <f t="shared" si="1"/>
        <v>1541101</v>
      </c>
      <c r="E18" s="40" cm="1">
        <f t="array" aca="1" ref="E18" ca="1">_xll.VoseNormal(0,1)</f>
        <v>0.76129010450206802</v>
      </c>
      <c r="F18" s="38" cm="1">
        <f t="array" aca="1" ref="F18" ca="1">_xll.VoseOutput("Month 9","US$","Sales, unbounded",9)+F17*EXP(Drift-Vol^2/2+Vol*E18)</f>
        <v>1196422.0738888148</v>
      </c>
      <c r="G18" s="38" cm="1">
        <f t="array" aca="1" ref="G18" ca="1">_xll.VoseOutput("Month 9","US$","Sales, bounded",9)+MIN(D18,MAX(C18,G17*EXP(Drift-Vol^2/2+Vol*E18)))</f>
        <v>1196422.0738888148</v>
      </c>
      <c r="H18" s="39">
        <f t="shared" ca="1" si="2"/>
        <v>0</v>
      </c>
      <c r="I18" s="39">
        <f t="shared" ca="1" si="3"/>
        <v>0</v>
      </c>
      <c r="J18" s="28"/>
      <c r="K18" s="28"/>
    </row>
    <row r="19" spans="2:11" x14ac:dyDescent="0.45">
      <c r="B19" s="35">
        <v>10</v>
      </c>
      <c r="C19" s="36">
        <f t="shared" si="0"/>
        <v>572693</v>
      </c>
      <c r="D19" s="36">
        <f t="shared" si="1"/>
        <v>1607804</v>
      </c>
      <c r="E19" s="40" cm="1">
        <f t="array" aca="1" ref="E19" ca="1">_xll.VoseNormal(0,1)</f>
        <v>-0.87579788961046601</v>
      </c>
      <c r="F19" s="38" cm="1">
        <f t="array" aca="1" ref="F19" ca="1">_xll.VoseOutput("Month 10","US$","Sales, unbounded",10)+F18*EXP(Drift-Vol^2/2+Vol*E19)</f>
        <v>1156025.2637714397</v>
      </c>
      <c r="G19" s="38" cm="1">
        <f t="array" aca="1" ref="G19" ca="1">_xll.VoseOutput("Month 10","US$","Sales, bounded",10)+MIN(D19,MAX(C19,G18*EXP(Drift-Vol^2/2+Vol*E19)))</f>
        <v>1156025.2637714397</v>
      </c>
      <c r="H19" s="39">
        <f t="shared" ca="1" si="2"/>
        <v>0</v>
      </c>
      <c r="I19" s="39">
        <f t="shared" ca="1" si="3"/>
        <v>0</v>
      </c>
      <c r="J19" s="28"/>
      <c r="K19" s="28"/>
    </row>
    <row r="20" spans="2:11" x14ac:dyDescent="0.45">
      <c r="B20" s="35">
        <v>11</v>
      </c>
      <c r="C20" s="36">
        <f t="shared" si="0"/>
        <v>552968</v>
      </c>
      <c r="D20" s="36">
        <f t="shared" si="1"/>
        <v>1674507</v>
      </c>
      <c r="E20" s="40" cm="1">
        <f t="array" aca="1" ref="E20" ca="1">_xll.VoseNormal(0,1)</f>
        <v>-0.83377937584662964</v>
      </c>
      <c r="F20" s="38" cm="1">
        <f t="array" aca="1" ref="F20" ca="1">_xll.VoseOutput("Month 11","US$","Sales, unbounded",11)+F19*EXP(Drift-Vol^2/2+Vol*E20)</f>
        <v>1119812.053593741</v>
      </c>
      <c r="G20" s="38" cm="1">
        <f t="array" aca="1" ref="G20" ca="1">_xll.VoseOutput("Month 11","US$","Sales, bounded",11)+MIN(D20,MAX(C20,G19*EXP(Drift-Vol^2/2+Vol*E20)))</f>
        <v>1119812.053593741</v>
      </c>
      <c r="H20" s="39">
        <f t="shared" ca="1" si="2"/>
        <v>0</v>
      </c>
      <c r="I20" s="39">
        <f t="shared" ca="1" si="3"/>
        <v>0</v>
      </c>
      <c r="J20" s="28"/>
      <c r="K20" s="28"/>
    </row>
    <row r="21" spans="2:11" x14ac:dyDescent="0.45">
      <c r="B21" s="35">
        <v>12</v>
      </c>
      <c r="C21" s="36">
        <f t="shared" si="0"/>
        <v>533243</v>
      </c>
      <c r="D21" s="36">
        <f t="shared" si="1"/>
        <v>1741210</v>
      </c>
      <c r="E21" s="40" cm="1">
        <f t="array" aca="1" ref="E21" ca="1">_xll.VoseNormal(0,1)</f>
        <v>0.51775339733414016</v>
      </c>
      <c r="F21" s="38" cm="1">
        <f t="array" aca="1" ref="F21" ca="1">_xll.VoseOutput("Month 12","US$","Sales, unbounded",12)+F20*EXP(Drift-Vol^2/2+Vol*E21)</f>
        <v>1176361.3418683785</v>
      </c>
      <c r="G21" s="38" cm="1">
        <f t="array" aca="1" ref="G21" ca="1">_xll.VoseOutput("Month 12","US$","Sales, bounded",12)+MIN(D21,MAX(C21,G20*EXP(Drift-Vol^2/2+Vol*E21)))</f>
        <v>1176361.3418683785</v>
      </c>
      <c r="H21" s="39">
        <f t="shared" ca="1" si="2"/>
        <v>0</v>
      </c>
      <c r="I21" s="39">
        <f t="shared" ca="1" si="3"/>
        <v>0</v>
      </c>
      <c r="J21" s="28"/>
      <c r="K21" s="28"/>
    </row>
    <row r="22" spans="2:11" x14ac:dyDescent="0.45">
      <c r="B22" s="35">
        <v>13</v>
      </c>
      <c r="C22" s="36">
        <f t="shared" si="0"/>
        <v>513518</v>
      </c>
      <c r="D22" s="36">
        <f t="shared" si="1"/>
        <v>1807913</v>
      </c>
      <c r="E22" s="40" cm="1">
        <f t="array" aca="1" ref="E22" ca="1">_xll.VoseNormal(0,1)</f>
        <v>1.6361369529306038</v>
      </c>
      <c r="F22" s="38" cm="1">
        <f t="array" aca="1" ref="F22" ca="1">_xll.VoseOutput("Month 13","US$","Sales, unbounded",13)+F21*EXP(Drift-Vol^2/2+Vol*E22)</f>
        <v>1321535.4535293288</v>
      </c>
      <c r="G22" s="38" cm="1">
        <f t="array" aca="1" ref="G22" ca="1">_xll.VoseOutput("Month 13","US$","Sales, bounded",13)+MIN(D22,MAX(C22,G21*EXP(Drift-Vol^2/2+Vol*E22)))</f>
        <v>1321535.4535293288</v>
      </c>
      <c r="H22" s="39">
        <f t="shared" ca="1" si="2"/>
        <v>0</v>
      </c>
      <c r="I22" s="39">
        <f t="shared" ca="1" si="3"/>
        <v>0</v>
      </c>
      <c r="J22" s="28"/>
      <c r="K22" s="28"/>
    </row>
    <row r="23" spans="2:11" x14ac:dyDescent="0.45">
      <c r="B23" s="35">
        <v>14</v>
      </c>
      <c r="C23" s="36">
        <f t="shared" si="0"/>
        <v>493793</v>
      </c>
      <c r="D23" s="36">
        <f t="shared" si="1"/>
        <v>1874616</v>
      </c>
      <c r="E23" s="40" cm="1">
        <f t="array" aca="1" ref="E23" ca="1">_xll.VoseNormal(0,1)</f>
        <v>1.2699136107001361</v>
      </c>
      <c r="F23" s="38" cm="1">
        <f t="array" aca="1" ref="F23" ca="1">_xll.VoseOutput("Month 14","US$","Sales, unbounded",14)+F22*EXP(Drift-Vol^2/2+Vol*E23)</f>
        <v>1452358.9543529723</v>
      </c>
      <c r="G23" s="38" cm="1">
        <f t="array" aca="1" ref="G23" ca="1">_xll.VoseOutput("Month 14","US$","Sales, bounded",14)+MIN(D23,MAX(C23,G22*EXP(Drift-Vol^2/2+Vol*E23)))</f>
        <v>1452358.9543529723</v>
      </c>
      <c r="H23" s="39">
        <f t="shared" ca="1" si="2"/>
        <v>0</v>
      </c>
      <c r="I23" s="39">
        <f t="shared" ca="1" si="3"/>
        <v>0</v>
      </c>
      <c r="J23" s="28"/>
      <c r="K23" s="28"/>
    </row>
    <row r="24" spans="2:11" x14ac:dyDescent="0.45">
      <c r="B24" s="35">
        <v>15</v>
      </c>
      <c r="C24" s="36">
        <f t="shared" si="0"/>
        <v>474068</v>
      </c>
      <c r="D24" s="36">
        <f t="shared" si="1"/>
        <v>1941319</v>
      </c>
      <c r="E24" s="40" cm="1">
        <f t="array" aca="1" ref="E24" ca="1">_xll.VoseNormal(0,1)</f>
        <v>0.42740806426061545</v>
      </c>
      <c r="F24" s="38" cm="1">
        <f t="array" aca="1" ref="F24" ca="1">_xll.VoseOutput("Month 15","US$","Sales, unbounded",15)+F23*EXP(Drift-Vol^2/2+Vol*E24)</f>
        <v>1517453.4733986903</v>
      </c>
      <c r="G24" s="38" cm="1">
        <f t="array" aca="1" ref="G24" ca="1">_xll.VoseOutput("Month 15","US$","Sales, bounded",15)+MIN(D24,MAX(C24,G23*EXP(Drift-Vol^2/2+Vol*E24)))</f>
        <v>1517453.4733986903</v>
      </c>
      <c r="H24" s="39">
        <f t="shared" ca="1" si="2"/>
        <v>0</v>
      </c>
      <c r="I24" s="39">
        <f t="shared" ca="1" si="3"/>
        <v>0</v>
      </c>
      <c r="J24" s="28"/>
      <c r="K24" s="28"/>
    </row>
    <row r="25" spans="2:11" x14ac:dyDescent="0.45">
      <c r="B25" s="35">
        <v>16</v>
      </c>
      <c r="C25" s="36">
        <f t="shared" si="0"/>
        <v>454343</v>
      </c>
      <c r="D25" s="36">
        <f t="shared" si="1"/>
        <v>2008022</v>
      </c>
      <c r="E25" s="40" cm="1">
        <f t="array" aca="1" ref="E25" ca="1">_xll.VoseNormal(0,1)</f>
        <v>0.79990305256414462</v>
      </c>
      <c r="F25" s="38" cm="1">
        <f t="array" aca="1" ref="F25" ca="1">_xll.VoseOutput("Month 16","US$","Sales, unbounded",16)+F24*EXP(Drift-Vol^2/2+Vol*E25)</f>
        <v>1621299.1407560373</v>
      </c>
      <c r="G25" s="38" cm="1">
        <f t="array" aca="1" ref="G25" ca="1">_xll.VoseOutput("Month 16","US$","Sales, bounded",16)+MIN(D25,MAX(C25,G24*EXP(Drift-Vol^2/2+Vol*E25)))</f>
        <v>1621299.1407560373</v>
      </c>
      <c r="H25" s="39">
        <f t="shared" ca="1" si="2"/>
        <v>0</v>
      </c>
      <c r="I25" s="39">
        <f t="shared" ca="1" si="3"/>
        <v>0</v>
      </c>
      <c r="J25" s="28"/>
      <c r="K25" s="28"/>
    </row>
    <row r="26" spans="2:11" x14ac:dyDescent="0.45">
      <c r="B26" s="35">
        <v>17</v>
      </c>
      <c r="C26" s="36">
        <f t="shared" si="0"/>
        <v>434618</v>
      </c>
      <c r="D26" s="36">
        <f t="shared" si="1"/>
        <v>2074725</v>
      </c>
      <c r="E26" s="40" cm="1">
        <f t="array" aca="1" ref="E26" ca="1">_xll.VoseNormal(0,1)</f>
        <v>-0.86866243315780589</v>
      </c>
      <c r="F26" s="38" cm="1">
        <f t="array" aca="1" ref="F26" ca="1">_xll.VoseOutput("Month 17","US$","Sales, unbounded",17)+F25*EXP(Drift-Vol^2/2+Vol*E26)</f>
        <v>1567227.3211791087</v>
      </c>
      <c r="G26" s="38" cm="1">
        <f t="array" aca="1" ref="G26" ca="1">_xll.VoseOutput("Month 17","US$","Sales, bounded",17)+MIN(D26,MAX(C26,G25*EXP(Drift-Vol^2/2+Vol*E26)))</f>
        <v>1567227.3211791087</v>
      </c>
      <c r="H26" s="39">
        <f t="shared" ca="1" si="2"/>
        <v>0</v>
      </c>
      <c r="I26" s="39">
        <f t="shared" ca="1" si="3"/>
        <v>0</v>
      </c>
      <c r="J26" s="28"/>
      <c r="K26" s="28"/>
    </row>
    <row r="27" spans="2:11" x14ac:dyDescent="0.45">
      <c r="B27" s="35">
        <v>18</v>
      </c>
      <c r="C27" s="36">
        <f t="shared" si="0"/>
        <v>414893</v>
      </c>
      <c r="D27" s="36">
        <f t="shared" si="1"/>
        <v>2141428</v>
      </c>
      <c r="E27" s="40" cm="1">
        <f t="array" aca="1" ref="E27" ca="1">_xll.VoseNormal(0,1)</f>
        <v>-1.1750401028663431</v>
      </c>
      <c r="F27" s="38" cm="1">
        <f t="array" aca="1" ref="F27" ca="1">_xll.VoseOutput("Month 18","US$","Sales, unbounded",18)+F26*EXP(Drift-Vol^2/2+Vol*E27)</f>
        <v>1487364.2807454893</v>
      </c>
      <c r="G27" s="38" cm="1">
        <f t="array" aca="1" ref="G27" ca="1">_xll.VoseOutput("Month 18","US$","Sales, bounded",18)+MIN(D27,MAX(C27,G26*EXP(Drift-Vol^2/2+Vol*E27)))</f>
        <v>1487364.2807454893</v>
      </c>
      <c r="H27" s="39">
        <f t="shared" ca="1" si="2"/>
        <v>0</v>
      </c>
      <c r="I27" s="39">
        <f t="shared" ca="1" si="3"/>
        <v>0</v>
      </c>
      <c r="J27" s="28"/>
      <c r="K27" s="28"/>
    </row>
    <row r="28" spans="2:11" x14ac:dyDescent="0.45">
      <c r="B28" s="35">
        <v>19</v>
      </c>
      <c r="C28" s="36">
        <f t="shared" si="0"/>
        <v>395168</v>
      </c>
      <c r="D28" s="36">
        <f t="shared" si="1"/>
        <v>2208131</v>
      </c>
      <c r="E28" s="40" cm="1">
        <f t="array" aca="1" ref="E28" ca="1">_xll.VoseNormal(0,1)</f>
        <v>0.76766386412323029</v>
      </c>
      <c r="F28" s="38" cm="1">
        <f t="array" aca="1" ref="F28" ca="1">_xll.VoseOutput("Month 19","US$","Sales, unbounded",19)+F27*EXP(Drift-Vol^2/2+Vol*E28)</f>
        <v>1586079.8144048899</v>
      </c>
      <c r="G28" s="38" cm="1">
        <f t="array" aca="1" ref="G28" ca="1">_xll.VoseOutput("Month 19","US$","Sales, bounded",19)+MIN(D28,MAX(C28,G27*EXP(Drift-Vol^2/2+Vol*E28)))</f>
        <v>1586079.8144048899</v>
      </c>
      <c r="H28" s="39">
        <f t="shared" ca="1" si="2"/>
        <v>0</v>
      </c>
      <c r="I28" s="39">
        <f t="shared" ca="1" si="3"/>
        <v>0</v>
      </c>
      <c r="J28" s="28"/>
      <c r="K28" s="28"/>
    </row>
    <row r="29" spans="2:11" x14ac:dyDescent="0.45">
      <c r="B29" s="35">
        <v>20</v>
      </c>
      <c r="C29" s="36">
        <f t="shared" si="0"/>
        <v>375443</v>
      </c>
      <c r="D29" s="36">
        <f t="shared" si="1"/>
        <v>2274834</v>
      </c>
      <c r="E29" s="40" cm="1">
        <f t="array" aca="1" ref="E29" ca="1">_xll.VoseNormal(0,1)</f>
        <v>1.4895134516140442</v>
      </c>
      <c r="F29" s="38" cm="1">
        <f t="array" aca="1" ref="F29" ca="1">_xll.VoseOutput("Month 20","US$","Sales, unbounded",20)+F28*EXP(Drift-Vol^2/2+Vol*E29)</f>
        <v>1766210.4335601493</v>
      </c>
      <c r="G29" s="38" cm="1">
        <f t="array" aca="1" ref="G29" ca="1">_xll.VoseOutput("Month 20","US$","Sales, bounded",20)+MIN(D29,MAX(C29,G28*EXP(Drift-Vol^2/2+Vol*E29)))</f>
        <v>1766210.4335601493</v>
      </c>
      <c r="H29" s="39">
        <f t="shared" ca="1" si="2"/>
        <v>0</v>
      </c>
      <c r="I29" s="39">
        <f t="shared" ca="1" si="3"/>
        <v>0</v>
      </c>
      <c r="J29" s="28"/>
      <c r="K29" s="28"/>
    </row>
    <row r="30" spans="2:11" ht="8" customHeight="1" x14ac:dyDescent="0.45"/>
    <row r="31" spans="2:11" ht="22.05" customHeight="1" x14ac:dyDescent="0.5">
      <c r="B31" s="7" t="s">
        <v>128</v>
      </c>
      <c r="C31" s="8"/>
      <c r="D31" s="8"/>
      <c r="E31" s="8"/>
      <c r="F31" s="8"/>
      <c r="G31" s="8"/>
      <c r="H31" s="8"/>
      <c r="I31" s="8"/>
      <c r="J31" s="8"/>
      <c r="K31" s="8"/>
    </row>
    <row r="32" spans="2:11" ht="18" customHeight="1" x14ac:dyDescent="0.45">
      <c r="B32" s="13" t="s">
        <v>129</v>
      </c>
    </row>
    <row r="33" spans="2:11" ht="18" customHeight="1" x14ac:dyDescent="0.45">
      <c r="B33" s="41" t="s">
        <v>130</v>
      </c>
      <c r="C33" s="5"/>
      <c r="D33" s="5"/>
      <c r="E33" s="41" t="s">
        <v>86</v>
      </c>
      <c r="F33" s="42" t="s">
        <v>131</v>
      </c>
      <c r="G33" s="5"/>
      <c r="H33" s="5"/>
      <c r="I33" s="5"/>
      <c r="J33" s="5"/>
      <c r="K33" s="41" t="s">
        <v>132</v>
      </c>
    </row>
    <row r="34" spans="2:11" x14ac:dyDescent="0.45">
      <c r="B34" s="25" t="s">
        <v>133</v>
      </c>
      <c r="C34" s="28"/>
      <c r="D34" s="28"/>
      <c r="E34" s="26" t="s">
        <v>91</v>
      </c>
      <c r="F34" s="38" cm="1">
        <f t="array" aca="1" ref="F34" ca="1">_xll.VoseOutput("Month 20, bounded","US$")+G29</f>
        <v>1766210.4335601493</v>
      </c>
      <c r="G34" s="28"/>
      <c r="H34" s="28"/>
      <c r="I34" s="28"/>
      <c r="J34" s="28"/>
      <c r="K34" s="26"/>
    </row>
    <row r="35" spans="2:11" x14ac:dyDescent="0.45">
      <c r="B35" s="25" t="s">
        <v>134</v>
      </c>
      <c r="C35" s="28"/>
      <c r="D35" s="28"/>
      <c r="E35" s="26" t="s">
        <v>91</v>
      </c>
      <c r="F35" s="38" cm="1">
        <f t="array" aca="1" ref="F35" ca="1">_xll.VoseOutput("Month 20, unbounded","US$")+F29</f>
        <v>1766210.4335601493</v>
      </c>
      <c r="G35" s="28"/>
      <c r="H35" s="28"/>
      <c r="I35" s="28"/>
      <c r="J35" s="28"/>
      <c r="K35" s="26"/>
    </row>
    <row r="36" spans="2:11" x14ac:dyDescent="0.45">
      <c r="B36" s="25" t="s">
        <v>135</v>
      </c>
      <c r="C36" s="28"/>
      <c r="D36" s="28"/>
      <c r="E36" s="26" t="s">
        <v>136</v>
      </c>
      <c r="F36" s="39">
        <f ca="1">MAX(AtCap)</f>
        <v>0</v>
      </c>
      <c r="G36" s="28"/>
      <c r="H36" s="28"/>
      <c r="I36" s="28"/>
      <c r="J36" s="28"/>
      <c r="K36" s="26"/>
    </row>
    <row r="37" spans="2:11" x14ac:dyDescent="0.45">
      <c r="B37" s="25" t="s">
        <v>137</v>
      </c>
      <c r="C37" s="28"/>
      <c r="D37" s="28"/>
      <c r="E37" s="26" t="s">
        <v>136</v>
      </c>
      <c r="F37" s="39">
        <f ca="1">H29</f>
        <v>0</v>
      </c>
      <c r="G37" s="28"/>
      <c r="H37" s="28"/>
      <c r="I37" s="28"/>
      <c r="J37" s="28"/>
      <c r="K37" s="26"/>
    </row>
    <row r="38" spans="2:11" x14ac:dyDescent="0.45">
      <c r="B38" s="25" t="s">
        <v>138</v>
      </c>
      <c r="C38" s="28"/>
      <c r="D38" s="28"/>
      <c r="E38" s="26" t="s">
        <v>136</v>
      </c>
      <c r="F38" s="39">
        <f ca="1">MAX(AtFloor)</f>
        <v>0</v>
      </c>
      <c r="G38" s="28"/>
      <c r="H38" s="28"/>
      <c r="I38" s="28"/>
      <c r="J38" s="28"/>
      <c r="K38" s="26"/>
    </row>
    <row r="39" spans="2:11" ht="8" customHeight="1" x14ac:dyDescent="0.45"/>
    <row r="40" spans="2:11" ht="22.05" customHeight="1" x14ac:dyDescent="0.5">
      <c r="B40" s="7" t="s">
        <v>139</v>
      </c>
      <c r="C40" s="8"/>
      <c r="D40" s="8"/>
      <c r="E40" s="8"/>
      <c r="F40" s="8"/>
      <c r="G40" s="8"/>
      <c r="H40" s="8"/>
      <c r="I40" s="8"/>
      <c r="J40" s="8"/>
      <c r="K40" s="8"/>
    </row>
    <row r="41" spans="2:11" ht="18" customHeight="1" x14ac:dyDescent="0.45">
      <c r="B41" s="13" t="s">
        <v>140</v>
      </c>
    </row>
    <row r="42" spans="2:11" x14ac:dyDescent="0.45">
      <c r="B42" s="25" t="s">
        <v>141</v>
      </c>
      <c r="C42" s="28"/>
      <c r="D42" s="28"/>
      <c r="E42" s="28"/>
      <c r="F42" s="43" t="str">
        <f>IF(SUMPRODUCT(--(C10:C29&gt;=D10:D29))=0,"OK","CHECK")</f>
        <v>OK</v>
      </c>
      <c r="G42" s="28"/>
      <c r="H42" s="28"/>
      <c r="I42" s="28"/>
      <c r="J42" s="28"/>
      <c r="K42" s="28"/>
    </row>
    <row r="43" spans="2:11" x14ac:dyDescent="0.45">
      <c r="B43" s="25" t="s">
        <v>142</v>
      </c>
      <c r="C43" s="28"/>
      <c r="D43" s="28"/>
      <c r="E43" s="28"/>
      <c r="F43" s="43" t="str">
        <f>IF(AND(Start&gt;=C10,Start&lt;=D10),"OK","CHECK")</f>
        <v>OK</v>
      </c>
      <c r="G43" s="28"/>
      <c r="H43" s="28"/>
      <c r="I43" s="28"/>
      <c r="J43" s="28"/>
      <c r="K43" s="28"/>
    </row>
    <row r="44" spans="2:11" ht="14" customHeight="1" x14ac:dyDescent="0.45"/>
  </sheetData>
  <conditionalFormatting sqref="F42:F43">
    <cfRule type="expression" dxfId="4" priority="1">
      <formula>F42="CHECK"</formula>
    </cfRule>
  </conditionalFormatting>
  <hyperlinks>
    <hyperlink ref="B4" location="'Inputs'!A1" display="◂  Inputs" xr:uid="{00000000-0004-0000-0200-000000000000}"/>
    <hyperlink ref="K4" location="'Results'!A1" display="Next:  Results  ▸" xr:uid="{00000000-0004-0000-0200-000001000000}"/>
  </hyperlinks>
  <printOptions horizontalCentered="1"/>
  <pageMargins left="0.4" right="0.4" top="0.5" bottom="0.6" header="0.25" footer="0.25"/>
  <pageSetup paperSize="9" scale="86"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143</v>
      </c>
      <c r="C3" s="1"/>
      <c r="D3" s="1"/>
      <c r="E3" s="1"/>
      <c r="F3" s="1"/>
      <c r="G3" s="1"/>
      <c r="H3" s="1"/>
      <c r="I3" s="1"/>
      <c r="J3" s="1"/>
      <c r="K3" s="1"/>
      <c r="L3" s="1"/>
      <c r="M3" s="1"/>
      <c r="N3" s="1"/>
      <c r="O3" s="1"/>
      <c r="P3" s="1"/>
      <c r="Q3" s="1"/>
      <c r="R3" s="1"/>
    </row>
    <row r="4" spans="1:18" ht="20" customHeight="1" x14ac:dyDescent="0.45">
      <c r="A4" s="5"/>
      <c r="B4" s="22" t="s">
        <v>144</v>
      </c>
      <c r="C4" s="5"/>
      <c r="D4" s="5"/>
      <c r="E4" s="5"/>
      <c r="F4" s="5"/>
      <c r="G4" s="5"/>
      <c r="H4" s="5"/>
      <c r="I4" s="5"/>
      <c r="J4" s="5"/>
      <c r="K4" s="5"/>
      <c r="L4" s="5"/>
      <c r="M4" s="5"/>
      <c r="N4" s="5"/>
      <c r="O4" s="5"/>
      <c r="P4" s="5"/>
      <c r="Q4" s="5"/>
      <c r="R4" s="5"/>
    </row>
    <row r="5" spans="1:18" ht="8" customHeight="1" x14ac:dyDescent="0.45"/>
    <row r="6" spans="1:18" ht="26" customHeight="1" x14ac:dyDescent="0.45">
      <c r="B6" s="44" t="str" cm="1">
        <f t="array" aca="1" ref="B6" ca="1">IF(ISNUMBER(_xll.VoseSimMean(FinalB)),"✔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5"/>
      <c r="D6" s="45"/>
      <c r="E6" s="45"/>
      <c r="F6" s="45"/>
      <c r="G6" s="45"/>
    </row>
    <row r="7" spans="1:18" x14ac:dyDescent="0.45">
      <c r="B7" s="46"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145</v>
      </c>
      <c r="C9" s="8"/>
      <c r="D9" s="8"/>
      <c r="E9" s="8"/>
      <c r="F9" s="8"/>
      <c r="G9" s="8"/>
      <c r="I9" s="47" t="s">
        <v>146</v>
      </c>
      <c r="J9" s="8"/>
      <c r="K9" s="8"/>
      <c r="L9" s="8"/>
      <c r="M9" s="8"/>
      <c r="N9" s="8"/>
      <c r="O9" s="8"/>
      <c r="P9" s="8"/>
      <c r="Q9" s="8"/>
      <c r="R9" s="8"/>
    </row>
    <row r="10" spans="1:18" ht="18" customHeight="1" x14ac:dyDescent="0.45">
      <c r="B10" s="13" t="s">
        <v>147</v>
      </c>
    </row>
    <row r="11" spans="1:18" ht="18" customHeight="1" x14ac:dyDescent="0.45">
      <c r="B11" s="23" t="s">
        <v>148</v>
      </c>
      <c r="C11" s="23" t="s">
        <v>86</v>
      </c>
      <c r="D11" s="24" t="s">
        <v>149</v>
      </c>
      <c r="E11" s="24" t="s">
        <v>150</v>
      </c>
      <c r="F11" s="24" t="s">
        <v>151</v>
      </c>
      <c r="G11" s="24" t="s">
        <v>152</v>
      </c>
    </row>
    <row r="12" spans="1:18" x14ac:dyDescent="0.45">
      <c r="B12" s="25" t="s">
        <v>59</v>
      </c>
      <c r="C12" s="26" t="s">
        <v>91</v>
      </c>
      <c r="D12" s="48" cm="1">
        <f t="array" aca="1" ref="D12" ca="1">_xll.VoseSimPercentile(FinalB,0.1)</f>
        <v>1009057.1584187454</v>
      </c>
      <c r="E12" s="48" cm="1">
        <f t="array" aca="1" ref="E12" ca="1">_xll.VoseSimPercentile(FinalB,0.5)</f>
        <v>1397018.4624096644</v>
      </c>
      <c r="F12" s="48" cm="1">
        <f t="array" aca="1" ref="F12" ca="1">_xll.VoseSimPercentile(FinalB,0.9)</f>
        <v>1906603.0400627332</v>
      </c>
      <c r="G12" s="48" cm="1">
        <f t="array" aca="1" ref="G12" ca="1">_xll.VoseSimMean(FinalB)</f>
        <v>1427217.107944502</v>
      </c>
    </row>
    <row r="13" spans="1:18" x14ac:dyDescent="0.45">
      <c r="B13" s="25" t="s">
        <v>153</v>
      </c>
      <c r="C13" s="26" t="s">
        <v>91</v>
      </c>
      <c r="D13" s="48" cm="1">
        <f t="array" aca="1" ref="D13" ca="1">_xll.VoseSimPercentile(FinalU,0.1)</f>
        <v>1014417.4736710141</v>
      </c>
      <c r="E13" s="48" cm="1">
        <f t="array" aca="1" ref="E13" ca="1">_xll.VoseSimPercentile(FinalU,0.5)</f>
        <v>1415906.8776686161</v>
      </c>
      <c r="F13" s="48" cm="1">
        <f t="array" aca="1" ref="F13" ca="1">_xll.VoseSimPercentile(FinalU,0.9)</f>
        <v>1979408.648789308</v>
      </c>
      <c r="G13" s="48" cm="1">
        <f t="array" aca="1" ref="G13" ca="1">_xll.VoseSimMean(FinalU)</f>
        <v>1462507.7788851508</v>
      </c>
    </row>
    <row r="14" spans="1:18" ht="18" customHeight="1" x14ac:dyDescent="0.45">
      <c r="B14" s="23" t="s">
        <v>148</v>
      </c>
      <c r="C14" s="23" t="s">
        <v>86</v>
      </c>
      <c r="D14" s="24" t="s">
        <v>131</v>
      </c>
      <c r="E14" s="5"/>
      <c r="F14" s="5"/>
      <c r="G14" s="5"/>
    </row>
    <row r="15" spans="1:18" x14ac:dyDescent="0.45">
      <c r="B15" s="35" t="s">
        <v>154</v>
      </c>
      <c r="C15" s="26" t="s">
        <v>155</v>
      </c>
      <c r="D15" s="49" cm="1">
        <f t="array" aca="1" ref="D15" ca="1">_xll.VoseSimMean(EverCap)</f>
        <v>0.32219999999999999</v>
      </c>
      <c r="E15" s="28"/>
      <c r="F15" s="28"/>
      <c r="G15" s="28"/>
    </row>
    <row r="16" spans="1:18" x14ac:dyDescent="0.45">
      <c r="B16" s="25" t="s">
        <v>156</v>
      </c>
      <c r="C16" s="26" t="s">
        <v>155</v>
      </c>
      <c r="D16" s="49" cm="1">
        <f t="array" aca="1" ref="D16" ca="1">_xll.VoseSimMean(CapNow)</f>
        <v>9.2999999999999992E-3</v>
      </c>
      <c r="E16" s="28"/>
      <c r="F16" s="28"/>
      <c r="G16" s="28"/>
    </row>
    <row r="17" spans="2:18" x14ac:dyDescent="0.45">
      <c r="B17" s="25" t="s">
        <v>157</v>
      </c>
      <c r="C17" s="26" t="s">
        <v>155</v>
      </c>
      <c r="D17" s="50" cm="1">
        <f t="array" aca="1" ref="D17" ca="1">_xll.VoseSimMean(EverFloor)</f>
        <v>0</v>
      </c>
      <c r="E17" s="28"/>
      <c r="F17" s="28"/>
      <c r="G17" s="28"/>
    </row>
    <row r="18" spans="2:18" ht="8" customHeight="1" x14ac:dyDescent="0.45"/>
    <row r="25" spans="2:18" x14ac:dyDescent="0.45">
      <c r="I25" s="47" t="s">
        <v>158</v>
      </c>
      <c r="J25" s="8"/>
      <c r="K25" s="8"/>
      <c r="L25" s="8"/>
      <c r="M25" s="8"/>
      <c r="N25" s="8"/>
      <c r="O25" s="8"/>
      <c r="P25" s="8"/>
      <c r="Q25" s="8"/>
      <c r="R25" s="8"/>
    </row>
    <row r="41" spans="2:7" ht="22.05" customHeight="1" x14ac:dyDescent="0.5">
      <c r="B41" s="7" t="s">
        <v>159</v>
      </c>
      <c r="C41" s="8"/>
      <c r="D41" s="8"/>
      <c r="E41" s="8"/>
      <c r="F41" s="8"/>
      <c r="G41" s="8"/>
    </row>
    <row r="42" spans="2:7" ht="45" customHeight="1" x14ac:dyDescent="0.45">
      <c r="B42" s="54" t="s">
        <v>160</v>
      </c>
      <c r="C42" s="55"/>
      <c r="D42" s="55"/>
      <c r="E42" s="55"/>
      <c r="F42" s="55"/>
      <c r="G42" s="55"/>
    </row>
    <row r="43" spans="2:7" ht="32" customHeight="1" x14ac:dyDescent="0.45">
      <c r="B43" s="54" t="s">
        <v>161</v>
      </c>
      <c r="C43" s="55"/>
      <c r="D43" s="55"/>
      <c r="E43" s="55"/>
      <c r="F43" s="55"/>
      <c r="G43" s="55"/>
    </row>
    <row r="44" spans="2:7" ht="32" customHeight="1" x14ac:dyDescent="0.45">
      <c r="B44" s="54" t="s">
        <v>162</v>
      </c>
      <c r="C44" s="55"/>
      <c r="D44" s="55"/>
      <c r="E44" s="55"/>
      <c r="F44" s="55"/>
      <c r="G44" s="55"/>
    </row>
    <row r="45" spans="2:7" ht="19.05" customHeight="1" x14ac:dyDescent="0.45">
      <c r="B45" s="54" t="s">
        <v>163</v>
      </c>
      <c r="C45" s="55"/>
      <c r="D45" s="55"/>
      <c r="E45" s="55"/>
      <c r="F45" s="55"/>
      <c r="G45" s="55"/>
    </row>
    <row r="46" spans="2:7" ht="14" customHeight="1" x14ac:dyDescent="0.45"/>
    <row r="47" spans="2:7" ht="14" customHeight="1" x14ac:dyDescent="0.45"/>
    <row r="48" spans="2:7" ht="22.05" customHeight="1" x14ac:dyDescent="0.5">
      <c r="B48" s="7" t="s">
        <v>164</v>
      </c>
      <c r="C48" s="8"/>
      <c r="D48" s="8"/>
      <c r="E48" s="8"/>
      <c r="F48" s="8"/>
      <c r="G48" s="8"/>
    </row>
    <row r="49" spans="2:7" ht="18" customHeight="1" x14ac:dyDescent="0.45">
      <c r="B49" s="13" t="s">
        <v>165</v>
      </c>
    </row>
    <row r="50" spans="2:7" ht="28.05" hidden="1" customHeight="1" outlineLevel="1" x14ac:dyDescent="0.45">
      <c r="B50" s="24" t="s">
        <v>166</v>
      </c>
      <c r="C50" s="24" t="s">
        <v>167</v>
      </c>
      <c r="D50" s="24" t="s">
        <v>168</v>
      </c>
      <c r="E50" s="24" t="s">
        <v>169</v>
      </c>
      <c r="F50" s="5"/>
      <c r="G50" s="5"/>
    </row>
    <row r="51" spans="2:7" hidden="1" outlineLevel="1" x14ac:dyDescent="0.45">
      <c r="B51" s="51">
        <v>0.01</v>
      </c>
      <c r="C51" s="51">
        <f t="shared" ref="C51:C82" si="0">1-B51</f>
        <v>0.99</v>
      </c>
      <c r="D51" s="52" cm="1">
        <f t="array" aca="1" ref="D51" ca="1">IF(ISNUMBER(_xll.VoseSimPercentile(FinalB,$B51)),_xll.VoseSimPercentile(FinalB,$B51),NA())</f>
        <v>763516.93878466298</v>
      </c>
      <c r="E51" s="52" cm="1">
        <f t="array" aca="1" ref="E51" ca="1">IF(ISNUMBER(_xll.VoseSimPercentile(FinalU,$B51)),_xll.VoseSimPercentile(FinalU,$B51),NA())</f>
        <v>765561.27519479627</v>
      </c>
    </row>
    <row r="52" spans="2:7" hidden="1" outlineLevel="1" x14ac:dyDescent="0.45">
      <c r="B52" s="51">
        <v>0.03</v>
      </c>
      <c r="C52" s="51">
        <f t="shared" si="0"/>
        <v>0.97</v>
      </c>
      <c r="D52" s="52" cm="1">
        <f t="array" aca="1" ref="D52" ca="1">IF(ISNUMBER(_xll.VoseSimPercentile(FinalB,$B52)),_xll.VoseSimPercentile(FinalB,$B52),NA())</f>
        <v>860008.83412803081</v>
      </c>
      <c r="E52" s="52" cm="1">
        <f t="array" aca="1" ref="E52" ca="1">IF(ISNUMBER(_xll.VoseSimPercentile(FinalU,$B52)),_xll.VoseSimPercentile(FinalU,$B52),NA())</f>
        <v>862673.86118697387</v>
      </c>
    </row>
    <row r="53" spans="2:7" hidden="1" outlineLevel="1" x14ac:dyDescent="0.45">
      <c r="B53" s="51">
        <v>0.05</v>
      </c>
      <c r="C53" s="51">
        <f t="shared" si="0"/>
        <v>0.95</v>
      </c>
      <c r="D53" s="52" cm="1">
        <f t="array" aca="1" ref="D53" ca="1">IF(ISNUMBER(_xll.VoseSimPercentile(FinalB,$B53)),_xll.VoseSimPercentile(FinalB,$B53),NA())</f>
        <v>918313.23710107594</v>
      </c>
      <c r="E53" s="52" cm="1">
        <f t="array" aca="1" ref="E53" ca="1">IF(ISNUMBER(_xll.VoseSimPercentile(FinalU,$B53)),_xll.VoseSimPercentile(FinalU,$B53),NA())</f>
        <v>923178.89584077988</v>
      </c>
    </row>
    <row r="54" spans="2:7" hidden="1" outlineLevel="1" x14ac:dyDescent="0.45">
      <c r="B54" s="51">
        <v>7.0000000000000007E-2</v>
      </c>
      <c r="C54" s="51">
        <f t="shared" si="0"/>
        <v>0.92999999999999994</v>
      </c>
      <c r="D54" s="52" cm="1">
        <f t="array" aca="1" ref="D54" ca="1">IF(ISNUMBER(_xll.VoseSimPercentile(FinalB,$B54)),_xll.VoseSimPercentile(FinalB,$B54),NA())</f>
        <v>958284.71953269711</v>
      </c>
      <c r="E54" s="52" cm="1">
        <f t="array" aca="1" ref="E54" ca="1">IF(ISNUMBER(_xll.VoseSimPercentile(FinalU,$B54)),_xll.VoseSimPercentile(FinalU,$B54),NA())</f>
        <v>963921.9694309358</v>
      </c>
    </row>
    <row r="55" spans="2:7" hidden="1" outlineLevel="1" x14ac:dyDescent="0.45">
      <c r="B55" s="51">
        <v>0.09</v>
      </c>
      <c r="C55" s="51">
        <f t="shared" si="0"/>
        <v>0.91</v>
      </c>
      <c r="D55" s="52" cm="1">
        <f t="array" aca="1" ref="D55" ca="1">IF(ISNUMBER(_xll.VoseSimPercentile(FinalB,$B55)),_xll.VoseSimPercentile(FinalB,$B55),NA())</f>
        <v>992096.68443797273</v>
      </c>
      <c r="E55" s="52" cm="1">
        <f t="array" aca="1" ref="E55" ca="1">IF(ISNUMBER(_xll.VoseSimPercentile(FinalU,$B55)),_xll.VoseSimPercentile(FinalU,$B55),NA())</f>
        <v>996202.71905217064</v>
      </c>
    </row>
    <row r="56" spans="2:7" hidden="1" outlineLevel="1" x14ac:dyDescent="0.45">
      <c r="B56" s="51">
        <v>0.11</v>
      </c>
      <c r="C56" s="51">
        <f t="shared" si="0"/>
        <v>0.89</v>
      </c>
      <c r="D56" s="52" cm="1">
        <f t="array" aca="1" ref="D56" ca="1">IF(ISNUMBER(_xll.VoseSimPercentile(FinalB,$B56)),_xll.VoseSimPercentile(FinalB,$B56),NA())</f>
        <v>1023195.9828353169</v>
      </c>
      <c r="E56" s="52" cm="1">
        <f t="array" aca="1" ref="E56" ca="1">IF(ISNUMBER(_xll.VoseSimPercentile(FinalU,$B56)),_xll.VoseSimPercentile(FinalU,$B56),NA())</f>
        <v>1027709.8715678789</v>
      </c>
    </row>
    <row r="57" spans="2:7" hidden="1" outlineLevel="1" x14ac:dyDescent="0.45">
      <c r="B57" s="51">
        <v>0.13</v>
      </c>
      <c r="C57" s="51">
        <f t="shared" si="0"/>
        <v>0.87</v>
      </c>
      <c r="D57" s="52" cm="1">
        <f t="array" aca="1" ref="D57" ca="1">IF(ISNUMBER(_xll.VoseSimPercentile(FinalB,$B57)),_xll.VoseSimPercentile(FinalB,$B57),NA())</f>
        <v>1048947.8607279565</v>
      </c>
      <c r="E57" s="52" cm="1">
        <f t="array" aca="1" ref="E57" ca="1">IF(ISNUMBER(_xll.VoseSimPercentile(FinalU,$B57)),_xll.VoseSimPercentile(FinalU,$B57),NA())</f>
        <v>1055931.397613656</v>
      </c>
    </row>
    <row r="58" spans="2:7" hidden="1" outlineLevel="1" x14ac:dyDescent="0.45">
      <c r="B58" s="51">
        <v>0.15</v>
      </c>
      <c r="C58" s="51">
        <f t="shared" si="0"/>
        <v>0.85</v>
      </c>
      <c r="D58" s="52" cm="1">
        <f t="array" aca="1" ref="D58" ca="1">IF(ISNUMBER(_xll.VoseSimPercentile(FinalB,$B58)),_xll.VoseSimPercentile(FinalB,$B58),NA())</f>
        <v>1076944.9099530033</v>
      </c>
      <c r="E58" s="52" cm="1">
        <f t="array" aca="1" ref="E58" ca="1">IF(ISNUMBER(_xll.VoseSimPercentile(FinalU,$B58)),_xll.VoseSimPercentile(FinalU,$B58),NA())</f>
        <v>1084416.3427177276</v>
      </c>
    </row>
    <row r="59" spans="2:7" hidden="1" outlineLevel="1" x14ac:dyDescent="0.45">
      <c r="B59" s="51">
        <v>0.17</v>
      </c>
      <c r="C59" s="51">
        <f t="shared" si="0"/>
        <v>0.83</v>
      </c>
      <c r="D59" s="52" cm="1">
        <f t="array" aca="1" ref="D59" ca="1">IF(ISNUMBER(_xll.VoseSimPercentile(FinalB,$B59)),_xll.VoseSimPercentile(FinalB,$B59),NA())</f>
        <v>1099739.3772866975</v>
      </c>
      <c r="E59" s="52" cm="1">
        <f t="array" aca="1" ref="E59" ca="1">IF(ISNUMBER(_xll.VoseSimPercentile(FinalU,$B59)),_xll.VoseSimPercentile(FinalU,$B59),NA())</f>
        <v>1105404.5998170583</v>
      </c>
    </row>
    <row r="60" spans="2:7" hidden="1" outlineLevel="1" x14ac:dyDescent="0.45">
      <c r="B60" s="51">
        <v>0.19</v>
      </c>
      <c r="C60" s="51">
        <f t="shared" si="0"/>
        <v>0.81</v>
      </c>
      <c r="D60" s="52" cm="1">
        <f t="array" aca="1" ref="D60" ca="1">IF(ISNUMBER(_xll.VoseSimPercentile(FinalB,$B60)),_xll.VoseSimPercentile(FinalB,$B60),NA())</f>
        <v>1117222.4818861831</v>
      </c>
      <c r="E60" s="52" cm="1">
        <f t="array" aca="1" ref="E60" ca="1">IF(ISNUMBER(_xll.VoseSimPercentile(FinalU,$B60)),_xll.VoseSimPercentile(FinalU,$B60),NA())</f>
        <v>1125103.6537339271</v>
      </c>
    </row>
    <row r="61" spans="2:7" hidden="1" outlineLevel="1" x14ac:dyDescent="0.45">
      <c r="B61" s="51">
        <v>0.21</v>
      </c>
      <c r="C61" s="51">
        <f t="shared" si="0"/>
        <v>0.79</v>
      </c>
      <c r="D61" s="52" cm="1">
        <f t="array" aca="1" ref="D61" ca="1">IF(ISNUMBER(_xll.VoseSimPercentile(FinalB,$B61)),_xll.VoseSimPercentile(FinalB,$B61),NA())</f>
        <v>1137046.9445583858</v>
      </c>
      <c r="E61" s="52" cm="1">
        <f t="array" aca="1" ref="E61" ca="1">IF(ISNUMBER(_xll.VoseSimPercentile(FinalU,$B61)),_xll.VoseSimPercentile(FinalU,$B61),NA())</f>
        <v>1145544.3492035752</v>
      </c>
    </row>
    <row r="62" spans="2:7" hidden="1" outlineLevel="1" x14ac:dyDescent="0.45">
      <c r="B62" s="51">
        <v>0.23</v>
      </c>
      <c r="C62" s="51">
        <f t="shared" si="0"/>
        <v>0.77</v>
      </c>
      <c r="D62" s="52" cm="1">
        <f t="array" aca="1" ref="D62" ca="1">IF(ISNUMBER(_xll.VoseSimPercentile(FinalB,$B62)),_xll.VoseSimPercentile(FinalB,$B62),NA())</f>
        <v>1157693.2706454434</v>
      </c>
      <c r="E62" s="52" cm="1">
        <f t="array" aca="1" ref="E62" ca="1">IF(ISNUMBER(_xll.VoseSimPercentile(FinalU,$B62)),_xll.VoseSimPercentile(FinalU,$B62),NA())</f>
        <v>1167365.0710290042</v>
      </c>
    </row>
    <row r="63" spans="2:7" hidden="1" outlineLevel="1" x14ac:dyDescent="0.45">
      <c r="B63" s="51">
        <v>0.25</v>
      </c>
      <c r="C63" s="51">
        <f t="shared" si="0"/>
        <v>0.75</v>
      </c>
      <c r="D63" s="52" cm="1">
        <f t="array" aca="1" ref="D63" ca="1">IF(ISNUMBER(_xll.VoseSimPercentile(FinalB,$B63)),_xll.VoseSimPercentile(FinalB,$B63),NA())</f>
        <v>1177952.7259906444</v>
      </c>
      <c r="E63" s="52" cm="1">
        <f t="array" aca="1" ref="E63" ca="1">IF(ISNUMBER(_xll.VoseSimPercentile(FinalU,$B63)),_xll.VoseSimPercentile(FinalU,$B63),NA())</f>
        <v>1188947.8054779482</v>
      </c>
    </row>
    <row r="64" spans="2:7" hidden="1" outlineLevel="1" x14ac:dyDescent="0.45">
      <c r="B64" s="51">
        <v>0.27</v>
      </c>
      <c r="C64" s="51">
        <f t="shared" si="0"/>
        <v>0.73</v>
      </c>
      <c r="D64" s="52" cm="1">
        <f t="array" aca="1" ref="D64" ca="1">IF(ISNUMBER(_xll.VoseSimPercentile(FinalB,$B64)),_xll.VoseSimPercentile(FinalB,$B64),NA())</f>
        <v>1197217.148793315</v>
      </c>
      <c r="E64" s="52" cm="1">
        <f t="array" aca="1" ref="E64" ca="1">IF(ISNUMBER(_xll.VoseSimPercentile(FinalU,$B64)),_xll.VoseSimPercentile(FinalU,$B64),NA())</f>
        <v>1206946.0440266842</v>
      </c>
    </row>
    <row r="65" spans="2:5" hidden="1" outlineLevel="1" x14ac:dyDescent="0.45">
      <c r="B65" s="51">
        <v>0.28999999999999998</v>
      </c>
      <c r="C65" s="51">
        <f t="shared" si="0"/>
        <v>0.71</v>
      </c>
      <c r="D65" s="52" cm="1">
        <f t="array" aca="1" ref="D65" ca="1">IF(ISNUMBER(_xll.VoseSimPercentile(FinalB,$B65)),_xll.VoseSimPercentile(FinalB,$B65),NA())</f>
        <v>1213477.1792713881</v>
      </c>
      <c r="E65" s="52" cm="1">
        <f t="array" aca="1" ref="E65" ca="1">IF(ISNUMBER(_xll.VoseSimPercentile(FinalU,$B65)),_xll.VoseSimPercentile(FinalU,$B65),NA())</f>
        <v>1226196.3667444752</v>
      </c>
    </row>
    <row r="66" spans="2:5" hidden="1" outlineLevel="1" x14ac:dyDescent="0.45">
      <c r="B66" s="51">
        <v>0.31</v>
      </c>
      <c r="C66" s="51">
        <f t="shared" si="0"/>
        <v>0.69</v>
      </c>
      <c r="D66" s="52" cm="1">
        <f t="array" aca="1" ref="D66" ca="1">IF(ISNUMBER(_xll.VoseSimPercentile(FinalB,$B66)),_xll.VoseSimPercentile(FinalB,$B66),NA())</f>
        <v>1231553.3294920465</v>
      </c>
      <c r="E66" s="52" cm="1">
        <f t="array" aca="1" ref="E66" ca="1">IF(ISNUMBER(_xll.VoseSimPercentile(FinalU,$B66)),_xll.VoseSimPercentile(FinalU,$B66),NA())</f>
        <v>1244312.3545187507</v>
      </c>
    </row>
    <row r="67" spans="2:5" hidden="1" outlineLevel="1" x14ac:dyDescent="0.45">
      <c r="B67" s="51">
        <v>0.33</v>
      </c>
      <c r="C67" s="51">
        <f t="shared" si="0"/>
        <v>0.66999999999999993</v>
      </c>
      <c r="D67" s="52" cm="1">
        <f t="array" aca="1" ref="D67" ca="1">IF(ISNUMBER(_xll.VoseSimPercentile(FinalB,$B67)),_xll.VoseSimPercentile(FinalB,$B67),NA())</f>
        <v>1247825.6078188438</v>
      </c>
      <c r="E67" s="52" cm="1">
        <f t="array" aca="1" ref="E67" ca="1">IF(ISNUMBER(_xll.VoseSimPercentile(FinalU,$B67)),_xll.VoseSimPercentile(FinalU,$B67),NA())</f>
        <v>1260078.9760818118</v>
      </c>
    </row>
    <row r="68" spans="2:5" hidden="1" outlineLevel="1" x14ac:dyDescent="0.45">
      <c r="B68" s="51">
        <v>0.35</v>
      </c>
      <c r="C68" s="51">
        <f t="shared" si="0"/>
        <v>0.65</v>
      </c>
      <c r="D68" s="52" cm="1">
        <f t="array" aca="1" ref="D68" ca="1">IF(ISNUMBER(_xll.VoseSimPercentile(FinalB,$B68)),_xll.VoseSimPercentile(FinalB,$B68),NA())</f>
        <v>1265503.0130654376</v>
      </c>
      <c r="E68" s="52" cm="1">
        <f t="array" aca="1" ref="E68" ca="1">IF(ISNUMBER(_xll.VoseSimPercentile(FinalU,$B68)),_xll.VoseSimPercentile(FinalU,$B68),NA())</f>
        <v>1277940.426159533</v>
      </c>
    </row>
    <row r="69" spans="2:5" hidden="1" outlineLevel="1" x14ac:dyDescent="0.45">
      <c r="B69" s="51">
        <v>0.37</v>
      </c>
      <c r="C69" s="51">
        <f t="shared" si="0"/>
        <v>0.63</v>
      </c>
      <c r="D69" s="52" cm="1">
        <f t="array" aca="1" ref="D69" ca="1">IF(ISNUMBER(_xll.VoseSimPercentile(FinalB,$B69)),_xll.VoseSimPercentile(FinalB,$B69),NA())</f>
        <v>1281409.7329800373</v>
      </c>
      <c r="E69" s="52" cm="1">
        <f t="array" aca="1" ref="E69" ca="1">IF(ISNUMBER(_xll.VoseSimPercentile(FinalU,$B69)),_xll.VoseSimPercentile(FinalU,$B69),NA())</f>
        <v>1295092.4838613691</v>
      </c>
    </row>
    <row r="70" spans="2:5" hidden="1" outlineLevel="1" x14ac:dyDescent="0.45">
      <c r="B70" s="51">
        <v>0.39</v>
      </c>
      <c r="C70" s="51">
        <f t="shared" si="0"/>
        <v>0.61</v>
      </c>
      <c r="D70" s="52" cm="1">
        <f t="array" aca="1" ref="D70" ca="1">IF(ISNUMBER(_xll.VoseSimPercentile(FinalB,$B70)),_xll.VoseSimPercentile(FinalB,$B70),NA())</f>
        <v>1298534.2640170145</v>
      </c>
      <c r="E70" s="52" cm="1">
        <f t="array" aca="1" ref="E70" ca="1">IF(ISNUMBER(_xll.VoseSimPercentile(FinalU,$B70)),_xll.VoseSimPercentile(FinalU,$B70),NA())</f>
        <v>1313799.924051204</v>
      </c>
    </row>
    <row r="71" spans="2:5" hidden="1" outlineLevel="1" x14ac:dyDescent="0.45">
      <c r="B71" s="51">
        <v>0.41</v>
      </c>
      <c r="C71" s="51">
        <f t="shared" si="0"/>
        <v>0.59000000000000008</v>
      </c>
      <c r="D71" s="52" cm="1">
        <f t="array" aca="1" ref="D71" ca="1">IF(ISNUMBER(_xll.VoseSimPercentile(FinalB,$B71)),_xll.VoseSimPercentile(FinalB,$B71),NA())</f>
        <v>1317089.3344256231</v>
      </c>
      <c r="E71" s="52" cm="1">
        <f t="array" aca="1" ref="E71" ca="1">IF(ISNUMBER(_xll.VoseSimPercentile(FinalU,$B71)),_xll.VoseSimPercentile(FinalU,$B71),NA())</f>
        <v>1332994.6745812534</v>
      </c>
    </row>
    <row r="72" spans="2:5" hidden="1" outlineLevel="1" x14ac:dyDescent="0.45">
      <c r="B72" s="51">
        <v>0.43</v>
      </c>
      <c r="C72" s="51">
        <f t="shared" si="0"/>
        <v>0.57000000000000006</v>
      </c>
      <c r="D72" s="52" cm="1">
        <f t="array" aca="1" ref="D72" ca="1">IF(ISNUMBER(_xll.VoseSimPercentile(FinalB,$B72)),_xll.VoseSimPercentile(FinalB,$B72),NA())</f>
        <v>1335279.2281892695</v>
      </c>
      <c r="E72" s="52" cm="1">
        <f t="array" aca="1" ref="E72" ca="1">IF(ISNUMBER(_xll.VoseSimPercentile(FinalU,$B72)),_xll.VoseSimPercentile(FinalU,$B72),NA())</f>
        <v>1350407.7497161978</v>
      </c>
    </row>
    <row r="73" spans="2:5" hidden="1" outlineLevel="1" x14ac:dyDescent="0.45">
      <c r="B73" s="51">
        <v>0.45</v>
      </c>
      <c r="C73" s="51">
        <f t="shared" si="0"/>
        <v>0.55000000000000004</v>
      </c>
      <c r="D73" s="52" cm="1">
        <f t="array" aca="1" ref="D73" ca="1">IF(ISNUMBER(_xll.VoseSimPercentile(FinalB,$B73)),_xll.VoseSimPercentile(FinalB,$B73),NA())</f>
        <v>1353451.3542049276</v>
      </c>
      <c r="E73" s="52" cm="1">
        <f t="array" aca="1" ref="E73" ca="1">IF(ISNUMBER(_xll.VoseSimPercentile(FinalU,$B73)),_xll.VoseSimPercentile(FinalU,$B73),NA())</f>
        <v>1367442.745271971</v>
      </c>
    </row>
    <row r="74" spans="2:5" hidden="1" outlineLevel="1" x14ac:dyDescent="0.45">
      <c r="B74" s="51">
        <v>0.47</v>
      </c>
      <c r="C74" s="51">
        <f t="shared" si="0"/>
        <v>0.53</v>
      </c>
      <c r="D74" s="52" cm="1">
        <f t="array" aca="1" ref="D74" ca="1">IF(ISNUMBER(_xll.VoseSimPercentile(FinalB,$B74)),_xll.VoseSimPercentile(FinalB,$B74),NA())</f>
        <v>1369136.4838216174</v>
      </c>
      <c r="E74" s="52" cm="1">
        <f t="array" aca="1" ref="E74" ca="1">IF(ISNUMBER(_xll.VoseSimPercentile(FinalU,$B74)),_xll.VoseSimPercentile(FinalU,$B74),NA())</f>
        <v>1386383.4220841858</v>
      </c>
    </row>
    <row r="75" spans="2:5" hidden="1" outlineLevel="1" x14ac:dyDescent="0.45">
      <c r="B75" s="51">
        <v>0.49</v>
      </c>
      <c r="C75" s="51">
        <f t="shared" si="0"/>
        <v>0.51</v>
      </c>
      <c r="D75" s="52" cm="1">
        <f t="array" aca="1" ref="D75" ca="1">IF(ISNUMBER(_xll.VoseSimPercentile(FinalB,$B75)),_xll.VoseSimPercentile(FinalB,$B75),NA())</f>
        <v>1387782.0736879932</v>
      </c>
      <c r="E75" s="52" cm="1">
        <f t="array" aca="1" ref="E75" ca="1">IF(ISNUMBER(_xll.VoseSimPercentile(FinalU,$B75)),_xll.VoseSimPercentile(FinalU,$B75),NA())</f>
        <v>1407588.673559187</v>
      </c>
    </row>
    <row r="76" spans="2:5" hidden="1" outlineLevel="1" x14ac:dyDescent="0.45">
      <c r="B76" s="51">
        <v>0.51</v>
      </c>
      <c r="C76" s="51">
        <f t="shared" si="0"/>
        <v>0.49</v>
      </c>
      <c r="D76" s="52" cm="1">
        <f t="array" aca="1" ref="D76" ca="1">IF(ISNUMBER(_xll.VoseSimPercentile(FinalB,$B76)),_xll.VoseSimPercentile(FinalB,$B76),NA())</f>
        <v>1406527.2860630341</v>
      </c>
      <c r="E76" s="52" cm="1">
        <f t="array" aca="1" ref="E76" ca="1">IF(ISNUMBER(_xll.VoseSimPercentile(FinalU,$B76)),_xll.VoseSimPercentile(FinalU,$B76),NA())</f>
        <v>1423514.4092910946</v>
      </c>
    </row>
    <row r="77" spans="2:5" hidden="1" outlineLevel="1" x14ac:dyDescent="0.45">
      <c r="B77" s="51">
        <v>0.53</v>
      </c>
      <c r="C77" s="51">
        <f t="shared" si="0"/>
        <v>0.47</v>
      </c>
      <c r="D77" s="52" cm="1">
        <f t="array" aca="1" ref="D77" ca="1">IF(ISNUMBER(_xll.VoseSimPercentile(FinalB,$B77)),_xll.VoseSimPercentile(FinalB,$B77),NA())</f>
        <v>1422367.6194961271</v>
      </c>
      <c r="E77" s="52" cm="1">
        <f t="array" aca="1" ref="E77" ca="1">IF(ISNUMBER(_xll.VoseSimPercentile(FinalU,$B77)),_xll.VoseSimPercentile(FinalU,$B77),NA())</f>
        <v>1441633.5364938462</v>
      </c>
    </row>
    <row r="78" spans="2:5" hidden="1" outlineLevel="1" x14ac:dyDescent="0.45">
      <c r="B78" s="51">
        <v>0.55000000000000004</v>
      </c>
      <c r="C78" s="51">
        <f t="shared" si="0"/>
        <v>0.44999999999999996</v>
      </c>
      <c r="D78" s="52" cm="1">
        <f t="array" aca="1" ref="D78" ca="1">IF(ISNUMBER(_xll.VoseSimPercentile(FinalB,$B78)),_xll.VoseSimPercentile(FinalB,$B78),NA())</f>
        <v>1439272.8911511791</v>
      </c>
      <c r="E78" s="52" cm="1">
        <f t="array" aca="1" ref="E78" ca="1">IF(ISNUMBER(_xll.VoseSimPercentile(FinalU,$B78)),_xll.VoseSimPercentile(FinalU,$B78),NA())</f>
        <v>1461096.6166605798</v>
      </c>
    </row>
    <row r="79" spans="2:5" hidden="1" outlineLevel="1" x14ac:dyDescent="0.45">
      <c r="B79" s="51">
        <v>0.56999999999999995</v>
      </c>
      <c r="C79" s="51">
        <f t="shared" si="0"/>
        <v>0.43000000000000005</v>
      </c>
      <c r="D79" s="52" cm="1">
        <f t="array" aca="1" ref="D79" ca="1">IF(ISNUMBER(_xll.VoseSimPercentile(FinalB,$B79)),_xll.VoseSimPercentile(FinalB,$B79),NA())</f>
        <v>1457507.690746855</v>
      </c>
      <c r="E79" s="52" cm="1">
        <f t="array" aca="1" ref="E79" ca="1">IF(ISNUMBER(_xll.VoseSimPercentile(FinalU,$B79)),_xll.VoseSimPercentile(FinalU,$B79),NA())</f>
        <v>1478613.1070902487</v>
      </c>
    </row>
    <row r="80" spans="2:5" hidden="1" outlineLevel="1" x14ac:dyDescent="0.45">
      <c r="B80" s="51">
        <v>0.59</v>
      </c>
      <c r="C80" s="51">
        <f t="shared" si="0"/>
        <v>0.41000000000000003</v>
      </c>
      <c r="D80" s="52" cm="1">
        <f t="array" aca="1" ref="D80" ca="1">IF(ISNUMBER(_xll.VoseSimPercentile(FinalB,$B80)),_xll.VoseSimPercentile(FinalB,$B80),NA())</f>
        <v>1476541.2835929326</v>
      </c>
      <c r="E80" s="52" cm="1">
        <f t="array" aca="1" ref="E80" ca="1">IF(ISNUMBER(_xll.VoseSimPercentile(FinalU,$B80)),_xll.VoseSimPercentile(FinalU,$B80),NA())</f>
        <v>1499977.8600620946</v>
      </c>
    </row>
    <row r="81" spans="2:5" hidden="1" outlineLevel="1" x14ac:dyDescent="0.45">
      <c r="B81" s="51">
        <v>0.61</v>
      </c>
      <c r="C81" s="51">
        <f t="shared" si="0"/>
        <v>0.39</v>
      </c>
      <c r="D81" s="52" cm="1">
        <f t="array" aca="1" ref="D81" ca="1">IF(ISNUMBER(_xll.VoseSimPercentile(FinalB,$B81)),_xll.VoseSimPercentile(FinalB,$B81),NA())</f>
        <v>1495218.7156316256</v>
      </c>
      <c r="E81" s="52" cm="1">
        <f t="array" aca="1" ref="E81" ca="1">IF(ISNUMBER(_xll.VoseSimPercentile(FinalU,$B81)),_xll.VoseSimPercentile(FinalU,$B81),NA())</f>
        <v>1521799.8914808256</v>
      </c>
    </row>
    <row r="82" spans="2:5" hidden="1" outlineLevel="1" x14ac:dyDescent="0.45">
      <c r="B82" s="51">
        <v>0.63</v>
      </c>
      <c r="C82" s="51">
        <f t="shared" si="0"/>
        <v>0.37</v>
      </c>
      <c r="D82" s="52" cm="1">
        <f t="array" aca="1" ref="D82" ca="1">IF(ISNUMBER(_xll.VoseSimPercentile(FinalB,$B82)),_xll.VoseSimPercentile(FinalB,$B82),NA())</f>
        <v>1516289.5665660801</v>
      </c>
      <c r="E82" s="52" cm="1">
        <f t="array" aca="1" ref="E82" ca="1">IF(ISNUMBER(_xll.VoseSimPercentile(FinalU,$B82)),_xll.VoseSimPercentile(FinalU,$B82),NA())</f>
        <v>1541439.8420491454</v>
      </c>
    </row>
    <row r="83" spans="2:5" hidden="1" outlineLevel="1" x14ac:dyDescent="0.45">
      <c r="B83" s="51">
        <v>0.65</v>
      </c>
      <c r="C83" s="51">
        <f t="shared" ref="C83:C114" si="1">1-B83</f>
        <v>0.35</v>
      </c>
      <c r="D83" s="52" cm="1">
        <f t="array" aca="1" ref="D83" ca="1">IF(ISNUMBER(_xll.VoseSimPercentile(FinalB,$B83)),_xll.VoseSimPercentile(FinalB,$B83),NA())</f>
        <v>1537077.0673550342</v>
      </c>
      <c r="E83" s="52" cm="1">
        <f t="array" aca="1" ref="E83" ca="1">IF(ISNUMBER(_xll.VoseSimPercentile(FinalU,$B83)),_xll.VoseSimPercentile(FinalU,$B83),NA())</f>
        <v>1561675.2945562655</v>
      </c>
    </row>
    <row r="84" spans="2:5" hidden="1" outlineLevel="1" x14ac:dyDescent="0.45">
      <c r="B84" s="51">
        <v>0.67</v>
      </c>
      <c r="C84" s="51">
        <f t="shared" si="1"/>
        <v>0.32999999999999996</v>
      </c>
      <c r="D84" s="52" cm="1">
        <f t="array" aca="1" ref="D84" ca="1">IF(ISNUMBER(_xll.VoseSimPercentile(FinalB,$B84)),_xll.VoseSimPercentile(FinalB,$B84),NA())</f>
        <v>1555636.6860651209</v>
      </c>
      <c r="E84" s="52" cm="1">
        <f t="array" aca="1" ref="E84" ca="1">IF(ISNUMBER(_xll.VoseSimPercentile(FinalU,$B84)),_xll.VoseSimPercentile(FinalU,$B84),NA())</f>
        <v>1584073.8971730513</v>
      </c>
    </row>
    <row r="85" spans="2:5" hidden="1" outlineLevel="1" x14ac:dyDescent="0.45">
      <c r="B85" s="51">
        <v>0.69</v>
      </c>
      <c r="C85" s="51">
        <f t="shared" si="1"/>
        <v>0.31000000000000005</v>
      </c>
      <c r="D85" s="52" cm="1">
        <f t="array" aca="1" ref="D85" ca="1">IF(ISNUMBER(_xll.VoseSimPercentile(FinalB,$B85)),_xll.VoseSimPercentile(FinalB,$B85),NA())</f>
        <v>1576424.519410023</v>
      </c>
      <c r="E85" s="52" cm="1">
        <f t="array" aca="1" ref="E85" ca="1">IF(ISNUMBER(_xll.VoseSimPercentile(FinalU,$B85)),_xll.VoseSimPercentile(FinalU,$B85),NA())</f>
        <v>1608918.7786581637</v>
      </c>
    </row>
    <row r="86" spans="2:5" hidden="1" outlineLevel="1" x14ac:dyDescent="0.45">
      <c r="B86" s="51">
        <v>0.71</v>
      </c>
      <c r="C86" s="51">
        <f t="shared" si="1"/>
        <v>0.29000000000000004</v>
      </c>
      <c r="D86" s="52" cm="1">
        <f t="array" aca="1" ref="D86" ca="1">IF(ISNUMBER(_xll.VoseSimPercentile(FinalB,$B86)),_xll.VoseSimPercentile(FinalB,$B86),NA())</f>
        <v>1598882.5451031865</v>
      </c>
      <c r="E86" s="52" cm="1">
        <f t="array" aca="1" ref="E86" ca="1">IF(ISNUMBER(_xll.VoseSimPercentile(FinalU,$B86)),_xll.VoseSimPercentile(FinalU,$B86),NA())</f>
        <v>1634172.7149732963</v>
      </c>
    </row>
    <row r="87" spans="2:5" hidden="1" outlineLevel="1" x14ac:dyDescent="0.45">
      <c r="B87" s="51">
        <v>0.73</v>
      </c>
      <c r="C87" s="51">
        <f t="shared" si="1"/>
        <v>0.27</v>
      </c>
      <c r="D87" s="52" cm="1">
        <f t="array" aca="1" ref="D87" ca="1">IF(ISNUMBER(_xll.VoseSimPercentile(FinalB,$B87)),_xll.VoseSimPercentile(FinalB,$B87),NA())</f>
        <v>1622401.2072679058</v>
      </c>
      <c r="E87" s="52" cm="1">
        <f t="array" aca="1" ref="E87" ca="1">IF(ISNUMBER(_xll.VoseSimPercentile(FinalU,$B87)),_xll.VoseSimPercentile(FinalU,$B87),NA())</f>
        <v>1661380.9173916122</v>
      </c>
    </row>
    <row r="88" spans="2:5" hidden="1" outlineLevel="1" x14ac:dyDescent="0.45">
      <c r="B88" s="51">
        <v>0.75</v>
      </c>
      <c r="C88" s="51">
        <f t="shared" si="1"/>
        <v>0.25</v>
      </c>
      <c r="D88" s="52" cm="1">
        <f t="array" aca="1" ref="D88" ca="1">IF(ISNUMBER(_xll.VoseSimPercentile(FinalB,$B88)),_xll.VoseSimPercentile(FinalB,$B88),NA())</f>
        <v>1650141.1177409692</v>
      </c>
      <c r="E88" s="52" cm="1">
        <f t="array" aca="1" ref="E88" ca="1">IF(ISNUMBER(_xll.VoseSimPercentile(FinalU,$B88)),_xll.VoseSimPercentile(FinalU,$B88),NA())</f>
        <v>1688178.8936313784</v>
      </c>
    </row>
    <row r="89" spans="2:5" hidden="1" outlineLevel="1" x14ac:dyDescent="0.45">
      <c r="B89" s="51">
        <v>0.77</v>
      </c>
      <c r="C89" s="51">
        <f t="shared" si="1"/>
        <v>0.22999999999999998</v>
      </c>
      <c r="D89" s="52" cm="1">
        <f t="array" aca="1" ref="D89" ca="1">IF(ISNUMBER(_xll.VoseSimPercentile(FinalB,$B89)),_xll.VoseSimPercentile(FinalB,$B89),NA())</f>
        <v>1678252.7525134499</v>
      </c>
      <c r="E89" s="52" cm="1">
        <f t="array" aca="1" ref="E89" ca="1">IF(ISNUMBER(_xll.VoseSimPercentile(FinalU,$B89)),_xll.VoseSimPercentile(FinalU,$B89),NA())</f>
        <v>1718412.8312067005</v>
      </c>
    </row>
    <row r="90" spans="2:5" hidden="1" outlineLevel="1" x14ac:dyDescent="0.45">
      <c r="B90" s="51">
        <v>0.79</v>
      </c>
      <c r="C90" s="51">
        <f t="shared" si="1"/>
        <v>0.20999999999999996</v>
      </c>
      <c r="D90" s="52" cm="1">
        <f t="array" aca="1" ref="D90" ca="1">IF(ISNUMBER(_xll.VoseSimPercentile(FinalB,$B90)),_xll.VoseSimPercentile(FinalB,$B90),NA())</f>
        <v>1704136.1936490755</v>
      </c>
      <c r="E90" s="52" cm="1">
        <f t="array" aca="1" ref="E90" ca="1">IF(ISNUMBER(_xll.VoseSimPercentile(FinalU,$B90)),_xll.VoseSimPercentile(FinalU,$B90),NA())</f>
        <v>1746529.10562853</v>
      </c>
    </row>
    <row r="91" spans="2:5" hidden="1" outlineLevel="1" x14ac:dyDescent="0.45">
      <c r="B91" s="51">
        <v>0.81</v>
      </c>
      <c r="C91" s="51">
        <f t="shared" si="1"/>
        <v>0.18999999999999995</v>
      </c>
      <c r="D91" s="52" cm="1">
        <f t="array" aca="1" ref="D91" ca="1">IF(ISNUMBER(_xll.VoseSimPercentile(FinalB,$B91)),_xll.VoseSimPercentile(FinalB,$B91),NA())</f>
        <v>1734743.4434106022</v>
      </c>
      <c r="E91" s="52" cm="1">
        <f t="array" aca="1" ref="E91" ca="1">IF(ISNUMBER(_xll.VoseSimPercentile(FinalU,$B91)),_xll.VoseSimPercentile(FinalU,$B91),NA())</f>
        <v>1780132.0607773561</v>
      </c>
    </row>
    <row r="92" spans="2:5" hidden="1" outlineLevel="1" x14ac:dyDescent="0.45">
      <c r="B92" s="51">
        <v>0.83</v>
      </c>
      <c r="C92" s="51">
        <f t="shared" si="1"/>
        <v>0.17000000000000004</v>
      </c>
      <c r="D92" s="52" cm="1">
        <f t="array" aca="1" ref="D92" ca="1">IF(ISNUMBER(_xll.VoseSimPercentile(FinalB,$B92)),_xll.VoseSimPercentile(FinalB,$B92),NA())</f>
        <v>1767454.7231960453</v>
      </c>
      <c r="E92" s="52" cm="1">
        <f t="array" aca="1" ref="E92" ca="1">IF(ISNUMBER(_xll.VoseSimPercentile(FinalU,$B92)),_xll.VoseSimPercentile(FinalU,$B92),NA())</f>
        <v>1817948.7166177526</v>
      </c>
    </row>
    <row r="93" spans="2:5" hidden="1" outlineLevel="1" x14ac:dyDescent="0.45">
      <c r="B93" s="51">
        <v>0.85</v>
      </c>
      <c r="C93" s="51">
        <f t="shared" si="1"/>
        <v>0.15000000000000002</v>
      </c>
      <c r="D93" s="52" cm="1">
        <f t="array" aca="1" ref="D93" ca="1">IF(ISNUMBER(_xll.VoseSimPercentile(FinalB,$B93)),_xll.VoseSimPercentile(FinalB,$B93),NA())</f>
        <v>1804491.2888332738</v>
      </c>
      <c r="E93" s="52" cm="1">
        <f t="array" aca="1" ref="E93" ca="1">IF(ISNUMBER(_xll.VoseSimPercentile(FinalU,$B93)),_xll.VoseSimPercentile(FinalU,$B93),NA())</f>
        <v>1858057.2341014908</v>
      </c>
    </row>
    <row r="94" spans="2:5" hidden="1" outlineLevel="1" x14ac:dyDescent="0.45">
      <c r="B94" s="51">
        <v>0.87</v>
      </c>
      <c r="C94" s="51">
        <f t="shared" si="1"/>
        <v>0.13</v>
      </c>
      <c r="D94" s="52" cm="1">
        <f t="array" aca="1" ref="D94" ca="1">IF(ISNUMBER(_xll.VoseSimPercentile(FinalB,$B94)),_xll.VoseSimPercentile(FinalB,$B94),NA())</f>
        <v>1846155.5935729155</v>
      </c>
      <c r="E94" s="52" cm="1">
        <f t="array" aca="1" ref="E94" ca="1">IF(ISNUMBER(_xll.VoseSimPercentile(FinalU,$B94)),_xll.VoseSimPercentile(FinalU,$B94),NA())</f>
        <v>1899026.0920351802</v>
      </c>
    </row>
    <row r="95" spans="2:5" hidden="1" outlineLevel="1" x14ac:dyDescent="0.45">
      <c r="B95" s="51">
        <v>0.89</v>
      </c>
      <c r="C95" s="51">
        <f t="shared" si="1"/>
        <v>0.10999999999999999</v>
      </c>
      <c r="D95" s="52" cm="1">
        <f t="array" aca="1" ref="D95" ca="1">IF(ISNUMBER(_xll.VoseSimPercentile(FinalB,$B95)),_xll.VoseSimPercentile(FinalB,$B95),NA())</f>
        <v>1886676.7195066579</v>
      </c>
      <c r="E95" s="52" cm="1">
        <f t="array" aca="1" ref="E95" ca="1">IF(ISNUMBER(_xll.VoseSimPercentile(FinalU,$B95)),_xll.VoseSimPercentile(FinalU,$B95),NA())</f>
        <v>1948790.1450768642</v>
      </c>
    </row>
    <row r="96" spans="2:5" hidden="1" outlineLevel="1" x14ac:dyDescent="0.45">
      <c r="B96" s="51">
        <v>0.91</v>
      </c>
      <c r="C96" s="51">
        <f t="shared" si="1"/>
        <v>8.9999999999999969E-2</v>
      </c>
      <c r="D96" s="52" cm="1">
        <f t="array" aca="1" ref="D96" ca="1">IF(ISNUMBER(_xll.VoseSimPercentile(FinalB,$B96)),_xll.VoseSimPercentile(FinalB,$B96),NA())</f>
        <v>1928368.5006528855</v>
      </c>
      <c r="E96" s="52" cm="1">
        <f t="array" aca="1" ref="E96" ca="1">IF(ISNUMBER(_xll.VoseSimPercentile(FinalU,$B96)),_xll.VoseSimPercentile(FinalU,$B96),NA())</f>
        <v>2009036.0021694533</v>
      </c>
    </row>
    <row r="97" spans="2:8" hidden="1" outlineLevel="1" x14ac:dyDescent="0.45">
      <c r="B97" s="51">
        <v>0.93</v>
      </c>
      <c r="C97" s="51">
        <f t="shared" si="1"/>
        <v>6.9999999999999951E-2</v>
      </c>
      <c r="D97" s="52" cm="1">
        <f t="array" aca="1" ref="D97" ca="1">IF(ISNUMBER(_xll.VoseSimPercentile(FinalB,$B97)),_xll.VoseSimPercentile(FinalB,$B97),NA())</f>
        <v>1986898.5038024143</v>
      </c>
      <c r="E97" s="52" cm="1">
        <f t="array" aca="1" ref="E97" ca="1">IF(ISNUMBER(_xll.VoseSimPercentile(FinalU,$B97)),_xll.VoseSimPercentile(FinalU,$B97),NA())</f>
        <v>2081521.992620887</v>
      </c>
    </row>
    <row r="98" spans="2:8" hidden="1" outlineLevel="1" x14ac:dyDescent="0.45">
      <c r="B98" s="51">
        <v>0.95</v>
      </c>
      <c r="C98" s="51">
        <f t="shared" si="1"/>
        <v>5.0000000000000044E-2</v>
      </c>
      <c r="D98" s="52" cm="1">
        <f t="array" aca="1" ref="D98" ca="1">IF(ISNUMBER(_xll.VoseSimPercentile(FinalB,$B98)),_xll.VoseSimPercentile(FinalB,$B98),NA())</f>
        <v>2055005.3849699034</v>
      </c>
      <c r="E98" s="52" cm="1">
        <f t="array" aca="1" ref="E98" ca="1">IF(ISNUMBER(_xll.VoseSimPercentile(FinalU,$B98)),_xll.VoseSimPercentile(FinalU,$B98),NA())</f>
        <v>2166827.4274023687</v>
      </c>
    </row>
    <row r="99" spans="2:8" hidden="1" outlineLevel="1" x14ac:dyDescent="0.45">
      <c r="B99" s="51">
        <v>0.97</v>
      </c>
      <c r="C99" s="51">
        <f t="shared" si="1"/>
        <v>3.0000000000000027E-2</v>
      </c>
      <c r="D99" s="52" cm="1">
        <f t="array" aca="1" ref="D99" ca="1">IF(ISNUMBER(_xll.VoseSimPercentile(FinalB,$B99)),_xll.VoseSimPercentile(FinalB,$B99),NA())</f>
        <v>2139187.0326826465</v>
      </c>
      <c r="E99" s="52" cm="1">
        <f t="array" aca="1" ref="E99" ca="1">IF(ISNUMBER(_xll.VoseSimPercentile(FinalU,$B99)),_xll.VoseSimPercentile(FinalU,$B99),NA())</f>
        <v>2294671.7911630413</v>
      </c>
    </row>
    <row r="100" spans="2:8" hidden="1" outlineLevel="1" x14ac:dyDescent="0.45">
      <c r="B100" s="51">
        <v>0.99</v>
      </c>
      <c r="C100" s="51">
        <f t="shared" si="1"/>
        <v>1.0000000000000009E-2</v>
      </c>
      <c r="D100" s="52" cm="1">
        <f t="array" aca="1" ref="D100" ca="1">IF(ISNUMBER(_xll.VoseSimPercentile(FinalB,$B100)),_xll.VoseSimPercentile(FinalB,$B100),NA())</f>
        <v>2265548.9444388216</v>
      </c>
      <c r="E100" s="52" cm="1">
        <f t="array" aca="1" ref="E100" ca="1">IF(ISNUMBER(_xll.VoseSimPercentile(FinalU,$B100)),_xll.VoseSimPercentile(FinalU,$B100),NA())</f>
        <v>2550965.4114170009</v>
      </c>
    </row>
    <row r="101" spans="2:8" hidden="1" outlineLevel="1" x14ac:dyDescent="0.45"/>
    <row r="102" spans="2:8" ht="28.05" hidden="1" customHeight="1" outlineLevel="1" x14ac:dyDescent="0.45">
      <c r="B102" s="23" t="s">
        <v>170</v>
      </c>
      <c r="C102" s="24" t="s">
        <v>171</v>
      </c>
      <c r="D102" s="24" t="s">
        <v>150</v>
      </c>
      <c r="E102" s="24" t="s">
        <v>172</v>
      </c>
      <c r="F102" s="24" t="s">
        <v>152</v>
      </c>
      <c r="G102" s="24" t="s">
        <v>113</v>
      </c>
      <c r="H102" s="24" t="s">
        <v>112</v>
      </c>
    </row>
    <row r="103" spans="2:8" hidden="1" outlineLevel="1" x14ac:dyDescent="0.45">
      <c r="B103" s="53" t="s">
        <v>173</v>
      </c>
      <c r="C103" s="52" cm="1">
        <f t="array" aca="1" ref="C103" ca="1">IF(ISNUMBER(_xll.VoseSimPercentile(Bnd_1,0.1)),_xll.VoseSimPercentile(Bnd_1,0.1),NA())</f>
        <v>1000000</v>
      </c>
      <c r="D103" s="52" cm="1">
        <f t="array" aca="1" ref="D103" ca="1">IF(ISNUMBER(_xll.VoseSimPercentile(Bnd_1,0.5)),_xll.VoseSimPercentile(Bnd_1,0.5),NA())</f>
        <v>1000000</v>
      </c>
      <c r="E103" s="52" cm="1">
        <f t="array" aca="1" ref="E103" ca="1">IF(ISNUMBER(_xll.VoseSimPercentile(Bnd_1,0.9)),_xll.VoseSimPercentile(Bnd_1,0.9),NA())</f>
        <v>1000000</v>
      </c>
      <c r="F103" s="52" cm="1">
        <f t="array" aca="1" ref="F103" ca="1">IF(ISNUMBER(_xll.VoseSimMean(Bnd_1)),_xll.VoseSimMean(Bnd_1),NA())</f>
        <v>1000000</v>
      </c>
      <c r="G103" s="52">
        <f>Months!D10</f>
        <v>1007477</v>
      </c>
      <c r="H103" s="52">
        <f>Months!C10</f>
        <v>750218</v>
      </c>
    </row>
    <row r="104" spans="2:8" hidden="1" outlineLevel="1" x14ac:dyDescent="0.45">
      <c r="B104" s="53" t="s">
        <v>174</v>
      </c>
      <c r="C104" s="52" cm="1">
        <f t="array" aca="1" ref="C104" ca="1">IF(ISNUMBER(_xll.VoseSimPercentile(Bnd_2,0.1)),_xll.VoseSimPercentile(Bnd_2,0.1),NA())</f>
        <v>941848.03707577405</v>
      </c>
      <c r="D104" s="52" cm="1">
        <f t="array" aca="1" ref="D104" ca="1">IF(ISNUMBER(_xll.VoseSimPercentile(Bnd_2,0.5)),_xll.VoseSimPercentile(Bnd_2,0.5),NA())</f>
        <v>1018411.7547348947</v>
      </c>
      <c r="E104" s="52" cm="1">
        <f t="array" aca="1" ref="E104" ca="1">IF(ISNUMBER(_xll.VoseSimPercentile(Bnd_2,0.9)),_xll.VoseSimPercentile(Bnd_2,0.9),NA())</f>
        <v>1074180</v>
      </c>
      <c r="F104" s="52" cm="1">
        <f t="array" aca="1" ref="F104" ca="1">IF(ISNUMBER(_xll.VoseSimMean(Bnd_2)),_xll.VoseSimMean(Bnd_2),NA())</f>
        <v>1013617.1822674399</v>
      </c>
      <c r="G104" s="52">
        <f>Months!D11</f>
        <v>1074180</v>
      </c>
      <c r="H104" s="52">
        <f>Months!C11</f>
        <v>730493</v>
      </c>
    </row>
    <row r="105" spans="2:8" hidden="1" outlineLevel="1" x14ac:dyDescent="0.45">
      <c r="B105" s="53" t="s">
        <v>175</v>
      </c>
      <c r="C105" s="52" cm="1">
        <f t="array" aca="1" ref="C105" ca="1">IF(ISNUMBER(_xll.VoseSimPercentile(Bnd_3,0.1)),_xll.VoseSimPercentile(Bnd_3,0.1),NA())</f>
        <v>929984.23261845426</v>
      </c>
      <c r="D105" s="52" cm="1">
        <f t="array" aca="1" ref="D105" ca="1">IF(ISNUMBER(_xll.VoseSimPercentile(Bnd_3,0.5)),_xll.VoseSimPercentile(Bnd_3,0.5),NA())</f>
        <v>1034513.256584881</v>
      </c>
      <c r="E105" s="52" cm="1">
        <f t="array" aca="1" ref="E105" ca="1">IF(ISNUMBER(_xll.VoseSimPercentile(Bnd_3,0.9)),_xll.VoseSimPercentile(Bnd_3,0.9),NA())</f>
        <v>1137304.4382518616</v>
      </c>
      <c r="F105" s="52" cm="1">
        <f t="array" aca="1" ref="F105" ca="1">IF(ISNUMBER(_xll.VoseSimMean(Bnd_3)),_xll.VoseSimMean(Bnd_3),NA())</f>
        <v>1030792.7477495013</v>
      </c>
      <c r="G105" s="52">
        <f>Months!D12</f>
        <v>1140883</v>
      </c>
      <c r="H105" s="52">
        <f>Months!C12</f>
        <v>710768</v>
      </c>
    </row>
    <row r="106" spans="2:8" hidden="1" outlineLevel="1" x14ac:dyDescent="0.45">
      <c r="B106" s="53" t="s">
        <v>176</v>
      </c>
      <c r="C106" s="52" cm="1">
        <f t="array" aca="1" ref="C106" ca="1">IF(ISNUMBER(_xll.VoseSimPercentile(Bnd_4,0.1)),_xll.VoseSimPercentile(Bnd_4,0.1),NA())</f>
        <v>924013.70517957397</v>
      </c>
      <c r="D106" s="52" cm="1">
        <f t="array" aca="1" ref="D106" ca="1">IF(ISNUMBER(_xll.VoseSimPercentile(Bnd_4,0.5)),_xll.VoseSimPercentile(Bnd_4,0.5),NA())</f>
        <v>1052329.9693415647</v>
      </c>
      <c r="E106" s="52" cm="1">
        <f t="array" aca="1" ref="E106" ca="1">IF(ISNUMBER(_xll.VoseSimPercentile(Bnd_4,0.9)),_xll.VoseSimPercentile(Bnd_4,0.9),NA())</f>
        <v>1181031.035799983</v>
      </c>
      <c r="F106" s="52" cm="1">
        <f t="array" aca="1" ref="F106" ca="1">IF(ISNUMBER(_xll.VoseSimMean(Bnd_4)),_xll.VoseSimMean(Bnd_4),NA())</f>
        <v>1050176.1157529647</v>
      </c>
      <c r="G106" s="52">
        <f>Months!D13</f>
        <v>1207586</v>
      </c>
      <c r="H106" s="52">
        <f>Months!C13</f>
        <v>691043</v>
      </c>
    </row>
    <row r="107" spans="2:8" hidden="1" outlineLevel="1" x14ac:dyDescent="0.45">
      <c r="B107" s="53" t="s">
        <v>177</v>
      </c>
      <c r="C107" s="52" cm="1">
        <f t="array" aca="1" ref="C107" ca="1">IF(ISNUMBER(_xll.VoseSimPercentile(Bnd_5,0.1)),_xll.VoseSimPercentile(Bnd_5,0.1),NA())</f>
        <v>922199.79385508422</v>
      </c>
      <c r="D107" s="52" cm="1">
        <f t="array" aca="1" ref="D107" ca="1">IF(ISNUMBER(_xll.VoseSimPercentile(Bnd_5,0.5)),_xll.VoseSimPercentile(Bnd_5,0.5),NA())</f>
        <v>1071374.3491533592</v>
      </c>
      <c r="E107" s="52" cm="1">
        <f t="array" aca="1" ref="E107" ca="1">IF(ISNUMBER(_xll.VoseSimPercentile(Bnd_5,0.9)),_xll.VoseSimPercentile(Bnd_5,0.9),NA())</f>
        <v>1224339.4124484374</v>
      </c>
      <c r="F107" s="52" cm="1">
        <f t="array" aca="1" ref="F107" ca="1">IF(ISNUMBER(_xll.VoseSimMean(Bnd_5)),_xll.VoseSimMean(Bnd_5),NA())</f>
        <v>1070574.2755345162</v>
      </c>
      <c r="G107" s="52">
        <f>Months!D14</f>
        <v>1274289</v>
      </c>
      <c r="H107" s="52">
        <f>Months!C14</f>
        <v>671318</v>
      </c>
    </row>
    <row r="108" spans="2:8" hidden="1" outlineLevel="1" x14ac:dyDescent="0.45">
      <c r="B108" s="53" t="s">
        <v>178</v>
      </c>
      <c r="C108" s="52" cm="1">
        <f t="array" aca="1" ref="C108" ca="1">IF(ISNUMBER(_xll.VoseSimPercentile(Bnd_6,0.1)),_xll.VoseSimPercentile(Bnd_6,0.1),NA())</f>
        <v>923190.22090453107</v>
      </c>
      <c r="D108" s="52" cm="1">
        <f t="array" aca="1" ref="D108" ca="1">IF(ISNUMBER(_xll.VoseSimPercentile(Bnd_6,0.5)),_xll.VoseSimPercentile(Bnd_6,0.5),NA())</f>
        <v>1088211.4421180617</v>
      </c>
      <c r="E108" s="52" cm="1">
        <f t="array" aca="1" ref="E108" ca="1">IF(ISNUMBER(_xll.VoseSimPercentile(Bnd_6,0.9)),_xll.VoseSimPercentile(Bnd_6,0.9),NA())</f>
        <v>1266378.4380074216</v>
      </c>
      <c r="F108" s="52" cm="1">
        <f t="array" aca="1" ref="F108" ca="1">IF(ISNUMBER(_xll.VoseSimMean(Bnd_6)),_xll.VoseSimMean(Bnd_6),NA())</f>
        <v>1090050.8915627073</v>
      </c>
      <c r="G108" s="52">
        <f>Months!D15</f>
        <v>1340992</v>
      </c>
      <c r="H108" s="52">
        <f>Months!C15</f>
        <v>651593</v>
      </c>
    </row>
    <row r="109" spans="2:8" hidden="1" outlineLevel="1" x14ac:dyDescent="0.45">
      <c r="B109" s="53" t="s">
        <v>179</v>
      </c>
      <c r="C109" s="52" cm="1">
        <f t="array" aca="1" ref="C109" ca="1">IF(ISNUMBER(_xll.VoseSimPercentile(Bnd_7,0.1)),_xll.VoseSimPercentile(Bnd_7,0.1),NA())</f>
        <v>922147.80235013284</v>
      </c>
      <c r="D109" s="52" cm="1">
        <f t="array" aca="1" ref="D109" ca="1">IF(ISNUMBER(_xll.VoseSimPercentile(Bnd_7,0.5)),_xll.VoseSimPercentile(Bnd_7,0.5),NA())</f>
        <v>1106460.0502314321</v>
      </c>
      <c r="E109" s="52" cm="1">
        <f t="array" aca="1" ref="E109" ca="1">IF(ISNUMBER(_xll.VoseSimPercentile(Bnd_7,0.9)),_xll.VoseSimPercentile(Bnd_7,0.9),NA())</f>
        <v>1306433.0695022251</v>
      </c>
      <c r="F109" s="52" cm="1">
        <f t="array" aca="1" ref="F109" ca="1">IF(ISNUMBER(_xll.VoseSimMean(Bnd_7)),_xll.VoseSimMean(Bnd_7),NA())</f>
        <v>1109712.0203578272</v>
      </c>
      <c r="G109" s="52">
        <f>Months!D16</f>
        <v>1407695</v>
      </c>
      <c r="H109" s="52">
        <f>Months!C16</f>
        <v>631868</v>
      </c>
    </row>
    <row r="110" spans="2:8" hidden="1" outlineLevel="1" x14ac:dyDescent="0.45">
      <c r="B110" s="53" t="s">
        <v>180</v>
      </c>
      <c r="C110" s="52" cm="1">
        <f t="array" aca="1" ref="C110" ca="1">IF(ISNUMBER(_xll.VoseSimPercentile(Bnd_8,0.1)),_xll.VoseSimPercentile(Bnd_8,0.1),NA())</f>
        <v>924369.00620886812</v>
      </c>
      <c r="D110" s="52" cm="1">
        <f t="array" aca="1" ref="D110" ca="1">IF(ISNUMBER(_xll.VoseSimPercentile(Bnd_8,0.5)),_xll.VoseSimPercentile(Bnd_8,0.5),NA())</f>
        <v>1124959.360044091</v>
      </c>
      <c r="E110" s="52" cm="1">
        <f t="array" aca="1" ref="E110" ca="1">IF(ISNUMBER(_xll.VoseSimPercentile(Bnd_8,0.9)),_xll.VoseSimPercentile(Bnd_8,0.9),NA())</f>
        <v>1348799.608962161</v>
      </c>
      <c r="F110" s="52" cm="1">
        <f t="array" aca="1" ref="F110" ca="1">IF(ISNUMBER(_xll.VoseSimMean(Bnd_8)),_xll.VoseSimMean(Bnd_8),NA())</f>
        <v>1131117.1739977584</v>
      </c>
      <c r="G110" s="52">
        <f>Months!D17</f>
        <v>1474398</v>
      </c>
      <c r="H110" s="52">
        <f>Months!C17</f>
        <v>612143</v>
      </c>
    </row>
    <row r="111" spans="2:8" hidden="1" outlineLevel="1" x14ac:dyDescent="0.45">
      <c r="B111" s="53" t="s">
        <v>181</v>
      </c>
      <c r="C111" s="52" cm="1">
        <f t="array" aca="1" ref="C111" ca="1">IF(ISNUMBER(_xll.VoseSimPercentile(Bnd_9,0.1)),_xll.VoseSimPercentile(Bnd_9,0.1),NA())</f>
        <v>928217.54752576957</v>
      </c>
      <c r="D111" s="52" cm="1">
        <f t="array" aca="1" ref="D111" ca="1">IF(ISNUMBER(_xll.VoseSimPercentile(Bnd_9,0.5)),_xll.VoseSimPercentile(Bnd_9,0.5),NA())</f>
        <v>1145762.6854551721</v>
      </c>
      <c r="E111" s="52" cm="1">
        <f t="array" aca="1" ref="E111" ca="1">IF(ISNUMBER(_xll.VoseSimPercentile(Bnd_9,0.9)),_xll.VoseSimPercentile(Bnd_9,0.9),NA())</f>
        <v>1391842.855047002</v>
      </c>
      <c r="F111" s="52" cm="1">
        <f t="array" aca="1" ref="F111" ca="1">IF(ISNUMBER(_xll.VoseSimMean(Bnd_9)),_xll.VoseSimMean(Bnd_9),NA())</f>
        <v>1153323.3924085561</v>
      </c>
      <c r="G111" s="52">
        <f>Months!D18</f>
        <v>1541101</v>
      </c>
      <c r="H111" s="52">
        <f>Months!C18</f>
        <v>592418</v>
      </c>
    </row>
    <row r="112" spans="2:8" hidden="1" outlineLevel="1" x14ac:dyDescent="0.45">
      <c r="B112" s="53" t="s">
        <v>182</v>
      </c>
      <c r="C112" s="52" cm="1">
        <f t="array" aca="1" ref="C112" ca="1">IF(ISNUMBER(_xll.VoseSimPercentile(Bnd_10,0.1)),_xll.VoseSimPercentile(Bnd_10,0.1),NA())</f>
        <v>934139.68509184266</v>
      </c>
      <c r="D112" s="52" cm="1">
        <f t="array" aca="1" ref="D112" ca="1">IF(ISNUMBER(_xll.VoseSimPercentile(Bnd_10,0.5)),_xll.VoseSimPercentile(Bnd_10,0.5),NA())</f>
        <v>1168343.9733631015</v>
      </c>
      <c r="E112" s="52" cm="1">
        <f t="array" aca="1" ref="E112" ca="1">IF(ISNUMBER(_xll.VoseSimPercentile(Bnd_10,0.9)),_xll.VoseSimPercentile(Bnd_10,0.9),NA())</f>
        <v>1434082.091779459</v>
      </c>
      <c r="F112" s="52" cm="1">
        <f t="array" aca="1" ref="F112" ca="1">IF(ISNUMBER(_xll.VoseSimMean(Bnd_10)),_xll.VoseSimMean(Bnd_10),NA())</f>
        <v>1175711.7935333466</v>
      </c>
      <c r="G112" s="52">
        <f>Months!D19</f>
        <v>1607804</v>
      </c>
      <c r="H112" s="52">
        <f>Months!C19</f>
        <v>572693</v>
      </c>
    </row>
    <row r="113" spans="2:8" hidden="1" outlineLevel="1" x14ac:dyDescent="0.45">
      <c r="B113" s="53" t="s">
        <v>183</v>
      </c>
      <c r="C113" s="52" cm="1">
        <f t="array" aca="1" ref="C113" ca="1">IF(ISNUMBER(_xll.VoseSimPercentile(Bnd_11,0.1)),_xll.VoseSimPercentile(Bnd_11,0.1),NA())</f>
        <v>940044.108230251</v>
      </c>
      <c r="D113" s="52" cm="1">
        <f t="array" aca="1" ref="D113" ca="1">IF(ISNUMBER(_xll.VoseSimPercentile(Bnd_11,0.5)),_xll.VoseSimPercentile(Bnd_11,0.5),NA())</f>
        <v>1189821.1347269705</v>
      </c>
      <c r="E113" s="52" cm="1">
        <f t="array" aca="1" ref="E113" ca="1">IF(ISNUMBER(_xll.VoseSimPercentile(Bnd_11,0.9)),_xll.VoseSimPercentile(Bnd_11,0.9),NA())</f>
        <v>1484652.9334044594</v>
      </c>
      <c r="F113" s="52" cm="1">
        <f t="array" aca="1" ref="F113" ca="1">IF(ISNUMBER(_xll.VoseSimMean(Bnd_11)),_xll.VoseSimMean(Bnd_11),NA())</f>
        <v>1199012.242480343</v>
      </c>
      <c r="G113" s="52">
        <f>Months!D20</f>
        <v>1674507</v>
      </c>
      <c r="H113" s="52">
        <f>Months!C20</f>
        <v>552968</v>
      </c>
    </row>
    <row r="114" spans="2:8" hidden="1" outlineLevel="1" x14ac:dyDescent="0.45">
      <c r="B114" s="53" t="s">
        <v>184</v>
      </c>
      <c r="C114" s="52" cm="1">
        <f t="array" aca="1" ref="C114" ca="1">IF(ISNUMBER(_xll.VoseSimPercentile(Bnd_12,0.1)),_xll.VoseSimPercentile(Bnd_12,0.1),NA())</f>
        <v>946734.048629464</v>
      </c>
      <c r="D114" s="52" cm="1">
        <f t="array" aca="1" ref="D114" ca="1">IF(ISNUMBER(_xll.VoseSimPercentile(Bnd_12,0.5)),_xll.VoseSimPercentile(Bnd_12,0.5),NA())</f>
        <v>1210120.5987324873</v>
      </c>
      <c r="E114" s="52" cm="1">
        <f t="array" aca="1" ref="E114" ca="1">IF(ISNUMBER(_xll.VoseSimPercentile(Bnd_12,0.9)),_xll.VoseSimPercentile(Bnd_12,0.9),NA())</f>
        <v>1524441.8772745479</v>
      </c>
      <c r="F114" s="52" cm="1">
        <f t="array" aca="1" ref="F114" ca="1">IF(ISNUMBER(_xll.VoseSimMean(Bnd_12)),_xll.VoseSimMean(Bnd_12),NA())</f>
        <v>1221965.4217367999</v>
      </c>
      <c r="G114" s="52">
        <f>Months!D21</f>
        <v>1741210</v>
      </c>
      <c r="H114" s="52">
        <f>Months!C21</f>
        <v>533243</v>
      </c>
    </row>
    <row r="115" spans="2:8" hidden="1" outlineLevel="1" x14ac:dyDescent="0.45">
      <c r="B115" s="53" t="s">
        <v>185</v>
      </c>
      <c r="C115" s="52" cm="1">
        <f t="array" aca="1" ref="C115" ca="1">IF(ISNUMBER(_xll.VoseSimPercentile(Bnd_13,0.1)),_xll.VoseSimPercentile(Bnd_13,0.1),NA())</f>
        <v>955317.33183804422</v>
      </c>
      <c r="D115" s="52" cm="1">
        <f t="array" aca="1" ref="D115" ca="1">IF(ISNUMBER(_xll.VoseSimPercentile(Bnd_13,0.5)),_xll.VoseSimPercentile(Bnd_13,0.5),NA())</f>
        <v>1229864.7035611605</v>
      </c>
      <c r="E115" s="52" cm="1">
        <f t="array" aca="1" ref="E115" ca="1">IF(ISNUMBER(_xll.VoseSimPercentile(Bnd_13,0.9)),_xll.VoseSimPercentile(Bnd_13,0.9),NA())</f>
        <v>1573754.5187686586</v>
      </c>
      <c r="F115" s="52" cm="1">
        <f t="array" aca="1" ref="F115" ca="1">IF(ISNUMBER(_xll.VoseSimMean(Bnd_13)),_xll.VoseSimMean(Bnd_13),NA())</f>
        <v>1246978.6333899882</v>
      </c>
      <c r="G115" s="52">
        <f>Months!D22</f>
        <v>1807913</v>
      </c>
      <c r="H115" s="52">
        <f>Months!C22</f>
        <v>513518</v>
      </c>
    </row>
    <row r="116" spans="2:8" hidden="1" outlineLevel="1" x14ac:dyDescent="0.45">
      <c r="B116" s="53" t="s">
        <v>186</v>
      </c>
      <c r="C116" s="52" cm="1">
        <f t="array" aca="1" ref="C116" ca="1">IF(ISNUMBER(_xll.VoseSimPercentile(Bnd_14,0.1)),_xll.VoseSimPercentile(Bnd_14,0.1),NA())</f>
        <v>962929.6413652295</v>
      </c>
      <c r="D116" s="52" cm="1">
        <f t="array" aca="1" ref="D116" ca="1">IF(ISNUMBER(_xll.VoseSimPercentile(Bnd_14,0.5)),_xll.VoseSimPercentile(Bnd_14,0.5),NA())</f>
        <v>1253343.6972466309</v>
      </c>
      <c r="E116" s="52" cm="1">
        <f t="array" aca="1" ref="E116" ca="1">IF(ISNUMBER(_xll.VoseSimPercentile(Bnd_14,0.9)),_xll.VoseSimPercentile(Bnd_14,0.9),NA())</f>
        <v>1618533.1653192332</v>
      </c>
      <c r="F116" s="52" cm="1">
        <f t="array" aca="1" ref="F116" ca="1">IF(ISNUMBER(_xll.VoseSimMean(Bnd_14)),_xll.VoseSimMean(Bnd_14),NA())</f>
        <v>1271822.7942101187</v>
      </c>
      <c r="G116" s="52">
        <f>Months!D23</f>
        <v>1874616</v>
      </c>
      <c r="H116" s="52">
        <f>Months!C23</f>
        <v>493793</v>
      </c>
    </row>
    <row r="117" spans="2:8" hidden="1" outlineLevel="1" x14ac:dyDescent="0.45">
      <c r="B117" s="53" t="s">
        <v>187</v>
      </c>
      <c r="C117" s="52" cm="1">
        <f t="array" aca="1" ref="C117" ca="1">IF(ISNUMBER(_xll.VoseSimPercentile(Bnd_15,0.1)),_xll.VoseSimPercentile(Bnd_15,0.1),NA())</f>
        <v>970529.37724774925</v>
      </c>
      <c r="D117" s="52" cm="1">
        <f t="array" aca="1" ref="D117" ca="1">IF(ISNUMBER(_xll.VoseSimPercentile(Bnd_15,0.5)),_xll.VoseSimPercentile(Bnd_15,0.5),NA())</f>
        <v>1273453.6887361484</v>
      </c>
      <c r="E117" s="52" cm="1">
        <f t="array" aca="1" ref="E117" ca="1">IF(ISNUMBER(_xll.VoseSimPercentile(Bnd_15,0.9)),_xll.VoseSimPercentile(Bnd_15,0.9),NA())</f>
        <v>1664314.8638373073</v>
      </c>
      <c r="F117" s="52" cm="1">
        <f t="array" aca="1" ref="F117" ca="1">IF(ISNUMBER(_xll.VoseSimMean(Bnd_15)),_xll.VoseSimMean(Bnd_15),NA())</f>
        <v>1296106.32505074</v>
      </c>
      <c r="G117" s="52">
        <f>Months!D24</f>
        <v>1941319</v>
      </c>
      <c r="H117" s="52">
        <f>Months!C24</f>
        <v>474068</v>
      </c>
    </row>
    <row r="118" spans="2:8" hidden="1" outlineLevel="1" x14ac:dyDescent="0.45">
      <c r="B118" s="53" t="s">
        <v>188</v>
      </c>
      <c r="C118" s="52" cm="1">
        <f t="array" aca="1" ref="C118" ca="1">IF(ISNUMBER(_xll.VoseSimPercentile(Bnd_16,0.1)),_xll.VoseSimPercentile(Bnd_16,0.1),NA())</f>
        <v>974268.07937521697</v>
      </c>
      <c r="D118" s="52" cm="1">
        <f t="array" aca="1" ref="D118" ca="1">IF(ISNUMBER(_xll.VoseSimPercentile(Bnd_16,0.5)),_xll.VoseSimPercentile(Bnd_16,0.5),NA())</f>
        <v>1298271.7179060376</v>
      </c>
      <c r="E118" s="52" cm="1">
        <f t="array" aca="1" ref="E118" ca="1">IF(ISNUMBER(_xll.VoseSimPercentile(Bnd_16,0.9)),_xll.VoseSimPercentile(Bnd_16,0.9),NA())</f>
        <v>1716510.1439673342</v>
      </c>
      <c r="F118" s="52" cm="1">
        <f t="array" aca="1" ref="F118" ca="1">IF(ISNUMBER(_xll.VoseSimMean(Bnd_16)),_xll.VoseSimMean(Bnd_16),NA())</f>
        <v>1320890.5521963798</v>
      </c>
      <c r="G118" s="52">
        <f>Months!D25</f>
        <v>2008022</v>
      </c>
      <c r="H118" s="52">
        <f>Months!C25</f>
        <v>454343</v>
      </c>
    </row>
    <row r="119" spans="2:8" hidden="1" outlineLevel="1" x14ac:dyDescent="0.45">
      <c r="B119" s="53" t="s">
        <v>189</v>
      </c>
      <c r="C119" s="52" cm="1">
        <f t="array" aca="1" ref="C119" ca="1">IF(ISNUMBER(_xll.VoseSimPercentile(Bnd_17,0.1)),_xll.VoseSimPercentile(Bnd_17,0.1),NA())</f>
        <v>983335.70423143334</v>
      </c>
      <c r="D119" s="52" cm="1">
        <f t="array" aca="1" ref="D119" ca="1">IF(ISNUMBER(_xll.VoseSimPercentile(Bnd_17,0.5)),_xll.VoseSimPercentile(Bnd_17,0.5),NA())</f>
        <v>1323160.2296317809</v>
      </c>
      <c r="E119" s="52" cm="1">
        <f t="array" aca="1" ref="E119" ca="1">IF(ISNUMBER(_xll.VoseSimPercentile(Bnd_17,0.9)),_xll.VoseSimPercentile(Bnd_17,0.9),NA())</f>
        <v>1758232.1495199678</v>
      </c>
      <c r="F119" s="52" cm="1">
        <f t="array" aca="1" ref="F119" ca="1">IF(ISNUMBER(_xll.VoseSimMean(Bnd_17)),_xll.VoseSimMean(Bnd_17),NA())</f>
        <v>1345907.9713804487</v>
      </c>
      <c r="G119" s="52">
        <f>Months!D26</f>
        <v>2074725</v>
      </c>
      <c r="H119" s="52">
        <f>Months!C26</f>
        <v>434618</v>
      </c>
    </row>
    <row r="120" spans="2:8" hidden="1" outlineLevel="1" x14ac:dyDescent="0.45">
      <c r="B120" s="53" t="s">
        <v>190</v>
      </c>
      <c r="C120" s="52" cm="1">
        <f t="array" aca="1" ref="C120" ca="1">IF(ISNUMBER(_xll.VoseSimPercentile(Bnd_18,0.1)),_xll.VoseSimPercentile(Bnd_18,0.1),NA())</f>
        <v>988529.22877674527</v>
      </c>
      <c r="D120" s="52" cm="1">
        <f t="array" aca="1" ref="D120" ca="1">IF(ISNUMBER(_xll.VoseSimPercentile(Bnd_18,0.5)),_xll.VoseSimPercentile(Bnd_18,0.5),NA())</f>
        <v>1344626.6704920842</v>
      </c>
      <c r="E120" s="52" cm="1">
        <f t="array" aca="1" ref="E120" ca="1">IF(ISNUMBER(_xll.VoseSimPercentile(Bnd_18,0.9)),_xll.VoseSimPercentile(Bnd_18,0.9),NA())</f>
        <v>1808439.7153555981</v>
      </c>
      <c r="F120" s="52" cm="1">
        <f t="array" aca="1" ref="F120" ca="1">IF(ISNUMBER(_xll.VoseSimMean(Bnd_18)),_xll.VoseSimMean(Bnd_18),NA())</f>
        <v>1372047.3726570182</v>
      </c>
      <c r="G120" s="52">
        <f>Months!D27</f>
        <v>2141428</v>
      </c>
      <c r="H120" s="52">
        <f>Months!C27</f>
        <v>414893</v>
      </c>
    </row>
    <row r="121" spans="2:8" hidden="1" outlineLevel="1" x14ac:dyDescent="0.45">
      <c r="B121" s="53" t="s">
        <v>191</v>
      </c>
      <c r="C121" s="52" cm="1">
        <f t="array" aca="1" ref="C121" ca="1">IF(ISNUMBER(_xll.VoseSimPercentile(Bnd_19,0.1)),_xll.VoseSimPercentile(Bnd_19,0.1),NA())</f>
        <v>997958.61816868768</v>
      </c>
      <c r="D121" s="52" cm="1">
        <f t="array" aca="1" ref="D121" ca="1">IF(ISNUMBER(_xll.VoseSimPercentile(Bnd_19,0.5)),_xll.VoseSimPercentile(Bnd_19,0.5),NA())</f>
        <v>1369404.9873977664</v>
      </c>
      <c r="E121" s="52" cm="1">
        <f t="array" aca="1" ref="E121" ca="1">IF(ISNUMBER(_xll.VoseSimPercentile(Bnd_19,0.9)),_xll.VoseSimPercentile(Bnd_19,0.9),NA())</f>
        <v>1860963.4964116104</v>
      </c>
      <c r="F121" s="52" cm="1">
        <f t="array" aca="1" ref="F121" ca="1">IF(ISNUMBER(_xll.VoseSimMean(Bnd_19)),_xll.VoseSimMean(Bnd_19),NA())</f>
        <v>1399437.9180025773</v>
      </c>
      <c r="G121" s="52">
        <f>Months!D28</f>
        <v>2208131</v>
      </c>
      <c r="H121" s="52">
        <f>Months!C28</f>
        <v>395168</v>
      </c>
    </row>
    <row r="122" spans="2:8" hidden="1" outlineLevel="1" x14ac:dyDescent="0.45">
      <c r="B122" s="53" t="s">
        <v>192</v>
      </c>
      <c r="C122" s="52" cm="1">
        <f t="array" aca="1" ref="C122" ca="1">IF(ISNUMBER(_xll.VoseSimPercentile(Bnd_20,0.1)),_xll.VoseSimPercentile(Bnd_20,0.1),NA())</f>
        <v>1009057.1584187454</v>
      </c>
      <c r="D122" s="52" cm="1">
        <f t="array" aca="1" ref="D122" ca="1">IF(ISNUMBER(_xll.VoseSimPercentile(Bnd_20,0.5)),_xll.VoseSimPercentile(Bnd_20,0.5),NA())</f>
        <v>1397018.4624096644</v>
      </c>
      <c r="E122" s="52" cm="1">
        <f t="array" aca="1" ref="E122" ca="1">IF(ISNUMBER(_xll.VoseSimPercentile(Bnd_20,0.9)),_xll.VoseSimPercentile(Bnd_20,0.9),NA())</f>
        <v>1906603.0400627332</v>
      </c>
      <c r="F122" s="52" cm="1">
        <f t="array" aca="1" ref="F122" ca="1">IF(ISNUMBER(_xll.VoseSimMean(Bnd_20)),_xll.VoseSimMean(Bnd_20),NA())</f>
        <v>1427232.6196752898</v>
      </c>
      <c r="G122" s="52">
        <f>Months!D29</f>
        <v>2274834</v>
      </c>
      <c r="H122" s="52">
        <f>Months!C29</f>
        <v>375443</v>
      </c>
    </row>
  </sheetData>
  <mergeCells count="4">
    <mergeCell ref="B44:G44"/>
    <mergeCell ref="B43:G43"/>
    <mergeCell ref="B42:G42"/>
    <mergeCell ref="B45:G4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3:F122">
    <cfRule type="expression" dxfId="1" priority="4">
      <formula>ISNA(C103)</formula>
    </cfRule>
  </conditionalFormatting>
  <conditionalFormatting sqref="D51:E100">
    <cfRule type="expression" dxfId="0" priority="3">
      <formula>ISNA(D51)</formula>
    </cfRule>
  </conditionalFormatting>
  <hyperlinks>
    <hyperlink ref="B4" location="'Months'!A1" display="◂  Month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DEF50-6845-420E-99F5-4C0758C37329}">
  <dimension ref="A1:B1"/>
  <sheetViews>
    <sheetView workbookViewId="0"/>
  </sheetViews>
  <sheetFormatPr defaultRowHeight="14.25" x14ac:dyDescent="0.45"/>
  <sheetData>
    <row r="1" spans="1:2" x14ac:dyDescent="0.45">
      <c r="A1" s="58" t="s">
        <v>193</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53387-4E0E-458F-9491-283F3A69B674}">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9F73D-9C34-44CA-9627-5009ED7037EC}">
  <dimension ref="B3:B422"/>
  <sheetViews>
    <sheetView workbookViewId="0"/>
  </sheetViews>
  <sheetFormatPr defaultRowHeight="14.25" x14ac:dyDescent="0.45"/>
  <sheetData>
    <row r="3" spans="2:2" x14ac:dyDescent="0.45">
      <c r="B3">
        <v>0</v>
      </c>
    </row>
    <row r="4" spans="2:2" x14ac:dyDescent="0.45">
      <c r="B4">
        <v>0</v>
      </c>
    </row>
    <row r="5" spans="2:2" x14ac:dyDescent="0.45">
      <c r="B5">
        <v>0</v>
      </c>
    </row>
    <row r="6" spans="2:2" x14ac:dyDescent="0.45">
      <c r="B6">
        <v>0</v>
      </c>
    </row>
    <row r="7" spans="2:2" x14ac:dyDescent="0.45">
      <c r="B7">
        <v>0</v>
      </c>
    </row>
    <row r="8" spans="2:2" x14ac:dyDescent="0.45">
      <c r="B8">
        <v>2000</v>
      </c>
    </row>
    <row r="9" spans="2:2" x14ac:dyDescent="0.45">
      <c r="B9">
        <v>0</v>
      </c>
    </row>
    <row r="10" spans="2:2" x14ac:dyDescent="0.45">
      <c r="B10">
        <v>0</v>
      </c>
    </row>
    <row r="11" spans="2:2" x14ac:dyDescent="0.45">
      <c r="B11">
        <v>0</v>
      </c>
    </row>
    <row r="12" spans="2:2" x14ac:dyDescent="0.45">
      <c r="B12">
        <v>0</v>
      </c>
    </row>
    <row r="13" spans="2:2" x14ac:dyDescent="0.45">
      <c r="B13">
        <v>0</v>
      </c>
    </row>
    <row r="14" spans="2:2" x14ac:dyDescent="0.45">
      <c r="B14">
        <v>0</v>
      </c>
    </row>
    <row r="15" spans="2:2" x14ac:dyDescent="0.45">
      <c r="B15">
        <v>0</v>
      </c>
    </row>
    <row r="16" spans="2:2" x14ac:dyDescent="0.45">
      <c r="B16">
        <v>0</v>
      </c>
    </row>
    <row r="17" spans="2:2" x14ac:dyDescent="0.45">
      <c r="B17">
        <v>0</v>
      </c>
    </row>
    <row r="18" spans="2:2" x14ac:dyDescent="0.45">
      <c r="B18">
        <v>2000</v>
      </c>
    </row>
    <row r="19" spans="2:2" x14ac:dyDescent="0.45">
      <c r="B19">
        <v>0</v>
      </c>
    </row>
    <row r="20" spans="2:2" x14ac:dyDescent="0.45">
      <c r="B20">
        <v>0</v>
      </c>
    </row>
    <row r="21" spans="2:2" x14ac:dyDescent="0.45">
      <c r="B21">
        <v>0</v>
      </c>
    </row>
    <row r="22" spans="2:2" x14ac:dyDescent="0.45">
      <c r="B22">
        <v>0</v>
      </c>
    </row>
    <row r="23" spans="2:2" x14ac:dyDescent="0.45">
      <c r="B23">
        <v>9</v>
      </c>
    </row>
    <row r="24" spans="2:2" x14ac:dyDescent="0.45">
      <c r="B24">
        <v>49</v>
      </c>
    </row>
    <row r="25" spans="2:2" x14ac:dyDescent="0.45">
      <c r="B25">
        <v>170</v>
      </c>
    </row>
    <row r="26" spans="2:2" x14ac:dyDescent="0.45">
      <c r="B26">
        <v>380</v>
      </c>
    </row>
    <row r="27" spans="2:2" x14ac:dyDescent="0.45">
      <c r="B27">
        <v>494</v>
      </c>
    </row>
    <row r="28" spans="2:2" x14ac:dyDescent="0.45">
      <c r="B28">
        <v>437</v>
      </c>
    </row>
    <row r="29" spans="2:2" x14ac:dyDescent="0.45">
      <c r="B29">
        <v>283</v>
      </c>
    </row>
    <row r="30" spans="2:2" x14ac:dyDescent="0.45">
      <c r="B30">
        <v>121</v>
      </c>
    </row>
    <row r="31" spans="2:2" x14ac:dyDescent="0.45">
      <c r="B31">
        <v>40</v>
      </c>
    </row>
    <row r="32" spans="2:2" x14ac:dyDescent="0.45">
      <c r="B32">
        <v>17</v>
      </c>
    </row>
    <row r="33" spans="2:2" x14ac:dyDescent="0.45">
      <c r="B33">
        <v>3</v>
      </c>
    </row>
    <row r="34" spans="2:2" x14ac:dyDescent="0.45">
      <c r="B34">
        <v>11</v>
      </c>
    </row>
    <row r="35" spans="2:2" x14ac:dyDescent="0.45">
      <c r="B35">
        <v>32</v>
      </c>
    </row>
    <row r="36" spans="2:2" x14ac:dyDescent="0.45">
      <c r="B36">
        <v>88</v>
      </c>
    </row>
    <row r="37" spans="2:2" x14ac:dyDescent="0.45">
      <c r="B37">
        <v>141</v>
      </c>
    </row>
    <row r="38" spans="2:2" x14ac:dyDescent="0.45">
      <c r="B38">
        <v>239</v>
      </c>
    </row>
    <row r="39" spans="2:2" x14ac:dyDescent="0.45">
      <c r="B39">
        <v>288</v>
      </c>
    </row>
    <row r="40" spans="2:2" x14ac:dyDescent="0.45">
      <c r="B40">
        <v>312</v>
      </c>
    </row>
    <row r="41" spans="2:2" x14ac:dyDescent="0.45">
      <c r="B41">
        <v>292</v>
      </c>
    </row>
    <row r="42" spans="2:2" x14ac:dyDescent="0.45">
      <c r="B42">
        <v>594</v>
      </c>
    </row>
    <row r="43" spans="2:2" x14ac:dyDescent="0.45">
      <c r="B43">
        <v>7</v>
      </c>
    </row>
    <row r="44" spans="2:2" x14ac:dyDescent="0.45">
      <c r="B44">
        <v>54</v>
      </c>
    </row>
    <row r="45" spans="2:2" x14ac:dyDescent="0.45">
      <c r="B45">
        <v>299</v>
      </c>
    </row>
    <row r="46" spans="2:2" x14ac:dyDescent="0.45">
      <c r="B46">
        <v>583</v>
      </c>
    </row>
    <row r="47" spans="2:2" x14ac:dyDescent="0.45">
      <c r="B47">
        <v>569</v>
      </c>
    </row>
    <row r="48" spans="2:2" x14ac:dyDescent="0.45">
      <c r="B48">
        <v>343</v>
      </c>
    </row>
    <row r="49" spans="2:2" x14ac:dyDescent="0.45">
      <c r="B49">
        <v>108</v>
      </c>
    </row>
    <row r="50" spans="2:2" x14ac:dyDescent="0.45">
      <c r="B50">
        <v>29</v>
      </c>
    </row>
    <row r="51" spans="2:2" x14ac:dyDescent="0.45">
      <c r="B51">
        <v>7</v>
      </c>
    </row>
    <row r="52" spans="2:2" x14ac:dyDescent="0.45">
      <c r="B52">
        <v>1</v>
      </c>
    </row>
    <row r="53" spans="2:2" x14ac:dyDescent="0.45">
      <c r="B53">
        <v>2</v>
      </c>
    </row>
    <row r="54" spans="2:2" x14ac:dyDescent="0.45">
      <c r="B54">
        <v>7</v>
      </c>
    </row>
    <row r="55" spans="2:2" x14ac:dyDescent="0.45">
      <c r="B55">
        <v>24</v>
      </c>
    </row>
    <row r="56" spans="2:2" x14ac:dyDescent="0.45">
      <c r="B56">
        <v>73</v>
      </c>
    </row>
    <row r="57" spans="2:2" x14ac:dyDescent="0.45">
      <c r="B57">
        <v>154</v>
      </c>
    </row>
    <row r="58" spans="2:2" x14ac:dyDescent="0.45">
      <c r="B58">
        <v>277</v>
      </c>
    </row>
    <row r="59" spans="2:2" x14ac:dyDescent="0.45">
      <c r="B59">
        <v>368</v>
      </c>
    </row>
    <row r="60" spans="2:2" x14ac:dyDescent="0.45">
      <c r="B60">
        <v>349</v>
      </c>
    </row>
    <row r="61" spans="2:2" x14ac:dyDescent="0.45">
      <c r="B61">
        <v>331</v>
      </c>
    </row>
    <row r="62" spans="2:2" x14ac:dyDescent="0.45">
      <c r="B62">
        <v>415</v>
      </c>
    </row>
    <row r="63" spans="2:2" x14ac:dyDescent="0.45">
      <c r="B63">
        <v>11</v>
      </c>
    </row>
    <row r="64" spans="2:2" x14ac:dyDescent="0.45">
      <c r="B64">
        <v>90</v>
      </c>
    </row>
    <row r="65" spans="2:2" x14ac:dyDescent="0.45">
      <c r="B65">
        <v>396</v>
      </c>
    </row>
    <row r="66" spans="2:2" x14ac:dyDescent="0.45">
      <c r="B66">
        <v>584</v>
      </c>
    </row>
    <row r="67" spans="2:2" x14ac:dyDescent="0.45">
      <c r="B67">
        <v>533</v>
      </c>
    </row>
    <row r="68" spans="2:2" x14ac:dyDescent="0.45">
      <c r="B68">
        <v>274</v>
      </c>
    </row>
    <row r="69" spans="2:2" x14ac:dyDescent="0.45">
      <c r="B69">
        <v>84</v>
      </c>
    </row>
    <row r="70" spans="2:2" x14ac:dyDescent="0.45">
      <c r="B70">
        <v>21</v>
      </c>
    </row>
    <row r="71" spans="2:2" x14ac:dyDescent="0.45">
      <c r="B71">
        <v>2</v>
      </c>
    </row>
    <row r="72" spans="2:2" x14ac:dyDescent="0.45">
      <c r="B72">
        <v>5</v>
      </c>
    </row>
    <row r="73" spans="2:2" x14ac:dyDescent="0.45">
      <c r="B73">
        <v>3</v>
      </c>
    </row>
    <row r="74" spans="2:2" x14ac:dyDescent="0.45">
      <c r="B74">
        <v>12</v>
      </c>
    </row>
    <row r="75" spans="2:2" x14ac:dyDescent="0.45">
      <c r="B75">
        <v>45</v>
      </c>
    </row>
    <row r="76" spans="2:2" x14ac:dyDescent="0.45">
      <c r="B76">
        <v>98</v>
      </c>
    </row>
    <row r="77" spans="2:2" x14ac:dyDescent="0.45">
      <c r="B77">
        <v>227</v>
      </c>
    </row>
    <row r="78" spans="2:2" x14ac:dyDescent="0.45">
      <c r="B78">
        <v>331</v>
      </c>
    </row>
    <row r="79" spans="2:2" x14ac:dyDescent="0.45">
      <c r="B79">
        <v>353</v>
      </c>
    </row>
    <row r="80" spans="2:2" x14ac:dyDescent="0.45">
      <c r="B80">
        <v>370</v>
      </c>
    </row>
    <row r="81" spans="2:2" x14ac:dyDescent="0.45">
      <c r="B81">
        <v>266</v>
      </c>
    </row>
    <row r="82" spans="2:2" x14ac:dyDescent="0.45">
      <c r="B82">
        <v>295</v>
      </c>
    </row>
    <row r="83" spans="2:2" x14ac:dyDescent="0.45">
      <c r="B83">
        <v>44</v>
      </c>
    </row>
    <row r="84" spans="2:2" x14ac:dyDescent="0.45">
      <c r="B84">
        <v>189</v>
      </c>
    </row>
    <row r="85" spans="2:2" x14ac:dyDescent="0.45">
      <c r="B85">
        <v>480</v>
      </c>
    </row>
    <row r="86" spans="2:2" x14ac:dyDescent="0.45">
      <c r="B86">
        <v>563</v>
      </c>
    </row>
    <row r="87" spans="2:2" x14ac:dyDescent="0.45">
      <c r="B87">
        <v>424</v>
      </c>
    </row>
    <row r="88" spans="2:2" x14ac:dyDescent="0.45">
      <c r="B88">
        <v>208</v>
      </c>
    </row>
    <row r="89" spans="2:2" x14ac:dyDescent="0.45">
      <c r="B89">
        <v>62</v>
      </c>
    </row>
    <row r="90" spans="2:2" x14ac:dyDescent="0.45">
      <c r="B90">
        <v>21</v>
      </c>
    </row>
    <row r="91" spans="2:2" x14ac:dyDescent="0.45">
      <c r="B91">
        <v>6</v>
      </c>
    </row>
    <row r="92" spans="2:2" x14ac:dyDescent="0.45">
      <c r="B92">
        <v>3</v>
      </c>
    </row>
    <row r="93" spans="2:2" x14ac:dyDescent="0.45">
      <c r="B93">
        <v>11</v>
      </c>
    </row>
    <row r="94" spans="2:2" x14ac:dyDescent="0.45">
      <c r="B94">
        <v>40</v>
      </c>
    </row>
    <row r="95" spans="2:2" x14ac:dyDescent="0.45">
      <c r="B95">
        <v>86</v>
      </c>
    </row>
    <row r="96" spans="2:2" x14ac:dyDescent="0.45">
      <c r="B96">
        <v>196</v>
      </c>
    </row>
    <row r="97" spans="2:2" x14ac:dyDescent="0.45">
      <c r="B97">
        <v>282</v>
      </c>
    </row>
    <row r="98" spans="2:2" x14ac:dyDescent="0.45">
      <c r="B98">
        <v>317</v>
      </c>
    </row>
    <row r="99" spans="2:2" x14ac:dyDescent="0.45">
      <c r="B99">
        <v>344</v>
      </c>
    </row>
    <row r="100" spans="2:2" x14ac:dyDescent="0.45">
      <c r="B100">
        <v>328</v>
      </c>
    </row>
    <row r="101" spans="2:2" x14ac:dyDescent="0.45">
      <c r="B101">
        <v>188</v>
      </c>
    </row>
    <row r="102" spans="2:2" x14ac:dyDescent="0.45">
      <c r="B102">
        <v>208</v>
      </c>
    </row>
    <row r="103" spans="2:2" x14ac:dyDescent="0.45">
      <c r="B103">
        <v>28</v>
      </c>
    </row>
    <row r="104" spans="2:2" x14ac:dyDescent="0.45">
      <c r="B104">
        <v>200</v>
      </c>
    </row>
    <row r="105" spans="2:2" x14ac:dyDescent="0.45">
      <c r="B105">
        <v>489</v>
      </c>
    </row>
    <row r="106" spans="2:2" x14ac:dyDescent="0.45">
      <c r="B106">
        <v>605</v>
      </c>
    </row>
    <row r="107" spans="2:2" x14ac:dyDescent="0.45">
      <c r="B107">
        <v>424</v>
      </c>
    </row>
    <row r="108" spans="2:2" x14ac:dyDescent="0.45">
      <c r="B108">
        <v>169</v>
      </c>
    </row>
    <row r="109" spans="2:2" x14ac:dyDescent="0.45">
      <c r="B109">
        <v>68</v>
      </c>
    </row>
    <row r="110" spans="2:2" x14ac:dyDescent="0.45">
      <c r="B110">
        <v>9</v>
      </c>
    </row>
    <row r="111" spans="2:2" x14ac:dyDescent="0.45">
      <c r="B111">
        <v>3</v>
      </c>
    </row>
    <row r="112" spans="2:2" x14ac:dyDescent="0.45">
      <c r="B112">
        <v>5</v>
      </c>
    </row>
    <row r="113" spans="2:2" x14ac:dyDescent="0.45">
      <c r="B113">
        <v>8</v>
      </c>
    </row>
    <row r="114" spans="2:2" x14ac:dyDescent="0.45">
      <c r="B114">
        <v>36</v>
      </c>
    </row>
    <row r="115" spans="2:2" x14ac:dyDescent="0.45">
      <c r="B115">
        <v>105</v>
      </c>
    </row>
    <row r="116" spans="2:2" x14ac:dyDescent="0.45">
      <c r="B116">
        <v>218</v>
      </c>
    </row>
    <row r="117" spans="2:2" x14ac:dyDescent="0.45">
      <c r="B117">
        <v>287</v>
      </c>
    </row>
    <row r="118" spans="2:2" x14ac:dyDescent="0.45">
      <c r="B118">
        <v>340</v>
      </c>
    </row>
    <row r="119" spans="2:2" x14ac:dyDescent="0.45">
      <c r="B119">
        <v>365</v>
      </c>
    </row>
    <row r="120" spans="2:2" x14ac:dyDescent="0.45">
      <c r="B120">
        <v>292</v>
      </c>
    </row>
    <row r="121" spans="2:2" x14ac:dyDescent="0.45">
      <c r="B121">
        <v>198</v>
      </c>
    </row>
    <row r="122" spans="2:2" x14ac:dyDescent="0.45">
      <c r="B122">
        <v>151</v>
      </c>
    </row>
    <row r="123" spans="2:2" x14ac:dyDescent="0.45">
      <c r="B123">
        <v>31</v>
      </c>
    </row>
    <row r="124" spans="2:2" x14ac:dyDescent="0.45">
      <c r="B124">
        <v>227</v>
      </c>
    </row>
    <row r="125" spans="2:2" x14ac:dyDescent="0.45">
      <c r="B125">
        <v>486</v>
      </c>
    </row>
    <row r="126" spans="2:2" x14ac:dyDescent="0.45">
      <c r="B126">
        <v>599</v>
      </c>
    </row>
    <row r="127" spans="2:2" x14ac:dyDescent="0.45">
      <c r="B127">
        <v>398</v>
      </c>
    </row>
    <row r="128" spans="2:2" x14ac:dyDescent="0.45">
      <c r="B128">
        <v>167</v>
      </c>
    </row>
    <row r="129" spans="2:2" x14ac:dyDescent="0.45">
      <c r="B129">
        <v>70</v>
      </c>
    </row>
    <row r="130" spans="2:2" x14ac:dyDescent="0.45">
      <c r="B130">
        <v>15</v>
      </c>
    </row>
    <row r="131" spans="2:2" x14ac:dyDescent="0.45">
      <c r="B131">
        <v>5</v>
      </c>
    </row>
    <row r="132" spans="2:2" x14ac:dyDescent="0.45">
      <c r="B132">
        <v>2</v>
      </c>
    </row>
    <row r="133" spans="2:2" x14ac:dyDescent="0.45">
      <c r="B133">
        <v>8</v>
      </c>
    </row>
    <row r="134" spans="2:2" x14ac:dyDescent="0.45">
      <c r="B134">
        <v>38</v>
      </c>
    </row>
    <row r="135" spans="2:2" x14ac:dyDescent="0.45">
      <c r="B135">
        <v>118</v>
      </c>
    </row>
    <row r="136" spans="2:2" x14ac:dyDescent="0.45">
      <c r="B136">
        <v>229</v>
      </c>
    </row>
    <row r="137" spans="2:2" x14ac:dyDescent="0.45">
      <c r="B137">
        <v>325</v>
      </c>
    </row>
    <row r="138" spans="2:2" x14ac:dyDescent="0.45">
      <c r="B138">
        <v>384</v>
      </c>
    </row>
    <row r="139" spans="2:2" x14ac:dyDescent="0.45">
      <c r="B139">
        <v>340</v>
      </c>
    </row>
    <row r="140" spans="2:2" x14ac:dyDescent="0.45">
      <c r="B140">
        <v>270</v>
      </c>
    </row>
    <row r="141" spans="2:2" x14ac:dyDescent="0.45">
      <c r="B141">
        <v>160</v>
      </c>
    </row>
    <row r="142" spans="2:2" x14ac:dyDescent="0.45">
      <c r="B142">
        <v>128</v>
      </c>
    </row>
    <row r="143" spans="2:2" x14ac:dyDescent="0.45">
      <c r="B143">
        <v>41</v>
      </c>
    </row>
    <row r="144" spans="2:2" x14ac:dyDescent="0.45">
      <c r="B144">
        <v>210</v>
      </c>
    </row>
    <row r="145" spans="2:2" x14ac:dyDescent="0.45">
      <c r="B145">
        <v>415</v>
      </c>
    </row>
    <row r="146" spans="2:2" x14ac:dyDescent="0.45">
      <c r="B146">
        <v>503</v>
      </c>
    </row>
    <row r="147" spans="2:2" x14ac:dyDescent="0.45">
      <c r="B147">
        <v>411</v>
      </c>
    </row>
    <row r="148" spans="2:2" x14ac:dyDescent="0.45">
      <c r="B148">
        <v>240</v>
      </c>
    </row>
    <row r="149" spans="2:2" x14ac:dyDescent="0.45">
      <c r="B149">
        <v>98</v>
      </c>
    </row>
    <row r="150" spans="2:2" x14ac:dyDescent="0.45">
      <c r="B150">
        <v>57</v>
      </c>
    </row>
    <row r="151" spans="2:2" x14ac:dyDescent="0.45">
      <c r="B151">
        <v>17</v>
      </c>
    </row>
    <row r="152" spans="2:2" x14ac:dyDescent="0.45">
      <c r="B152">
        <v>8</v>
      </c>
    </row>
    <row r="153" spans="2:2" x14ac:dyDescent="0.45">
      <c r="B153">
        <v>18</v>
      </c>
    </row>
    <row r="154" spans="2:2" x14ac:dyDescent="0.45">
      <c r="B154">
        <v>70</v>
      </c>
    </row>
    <row r="155" spans="2:2" x14ac:dyDescent="0.45">
      <c r="B155">
        <v>186</v>
      </c>
    </row>
    <row r="156" spans="2:2" x14ac:dyDescent="0.45">
      <c r="B156">
        <v>275</v>
      </c>
    </row>
    <row r="157" spans="2:2" x14ac:dyDescent="0.45">
      <c r="B157">
        <v>323</v>
      </c>
    </row>
    <row r="158" spans="2:2" x14ac:dyDescent="0.45">
      <c r="B158">
        <v>353</v>
      </c>
    </row>
    <row r="159" spans="2:2" x14ac:dyDescent="0.45">
      <c r="B159">
        <v>327</v>
      </c>
    </row>
    <row r="160" spans="2:2" x14ac:dyDescent="0.45">
      <c r="B160">
        <v>201</v>
      </c>
    </row>
    <row r="161" spans="2:2" x14ac:dyDescent="0.45">
      <c r="B161">
        <v>140</v>
      </c>
    </row>
    <row r="162" spans="2:2" x14ac:dyDescent="0.45">
      <c r="B162">
        <v>107</v>
      </c>
    </row>
    <row r="163" spans="2:2" x14ac:dyDescent="0.45">
      <c r="B163">
        <v>53</v>
      </c>
    </row>
    <row r="164" spans="2:2" x14ac:dyDescent="0.45">
      <c r="B164">
        <v>304</v>
      </c>
    </row>
    <row r="165" spans="2:2" x14ac:dyDescent="0.45">
      <c r="B165">
        <v>546</v>
      </c>
    </row>
    <row r="166" spans="2:2" x14ac:dyDescent="0.45">
      <c r="B166">
        <v>501</v>
      </c>
    </row>
    <row r="167" spans="2:2" x14ac:dyDescent="0.45">
      <c r="B167">
        <v>345</v>
      </c>
    </row>
    <row r="168" spans="2:2" x14ac:dyDescent="0.45">
      <c r="B168">
        <v>164</v>
      </c>
    </row>
    <row r="169" spans="2:2" x14ac:dyDescent="0.45">
      <c r="B169">
        <v>56</v>
      </c>
    </row>
    <row r="170" spans="2:2" x14ac:dyDescent="0.45">
      <c r="B170">
        <v>23</v>
      </c>
    </row>
    <row r="171" spans="2:2" x14ac:dyDescent="0.45">
      <c r="B171">
        <v>4</v>
      </c>
    </row>
    <row r="172" spans="2:2" x14ac:dyDescent="0.45">
      <c r="B172">
        <v>4</v>
      </c>
    </row>
    <row r="173" spans="2:2" x14ac:dyDescent="0.45">
      <c r="B173">
        <v>20</v>
      </c>
    </row>
    <row r="174" spans="2:2" x14ac:dyDescent="0.45">
      <c r="B174">
        <v>74</v>
      </c>
    </row>
    <row r="175" spans="2:2" x14ac:dyDescent="0.45">
      <c r="B175">
        <v>176</v>
      </c>
    </row>
    <row r="176" spans="2:2" x14ac:dyDescent="0.45">
      <c r="B176">
        <v>328</v>
      </c>
    </row>
    <row r="177" spans="2:2" x14ac:dyDescent="0.45">
      <c r="B177">
        <v>346</v>
      </c>
    </row>
    <row r="178" spans="2:2" x14ac:dyDescent="0.45">
      <c r="B178">
        <v>326</v>
      </c>
    </row>
    <row r="179" spans="2:2" x14ac:dyDescent="0.45">
      <c r="B179">
        <v>299</v>
      </c>
    </row>
    <row r="180" spans="2:2" x14ac:dyDescent="0.45">
      <c r="B180">
        <v>224</v>
      </c>
    </row>
    <row r="181" spans="2:2" x14ac:dyDescent="0.45">
      <c r="B181">
        <v>118</v>
      </c>
    </row>
    <row r="182" spans="2:2" x14ac:dyDescent="0.45">
      <c r="B182">
        <v>89</v>
      </c>
    </row>
    <row r="183" spans="2:2" x14ac:dyDescent="0.45">
      <c r="B183">
        <v>37</v>
      </c>
    </row>
    <row r="184" spans="2:2" x14ac:dyDescent="0.45">
      <c r="B184">
        <v>240</v>
      </c>
    </row>
    <row r="185" spans="2:2" x14ac:dyDescent="0.45">
      <c r="B185">
        <v>482</v>
      </c>
    </row>
    <row r="186" spans="2:2" x14ac:dyDescent="0.45">
      <c r="B186">
        <v>555</v>
      </c>
    </row>
    <row r="187" spans="2:2" x14ac:dyDescent="0.45">
      <c r="B187">
        <v>388</v>
      </c>
    </row>
    <row r="188" spans="2:2" x14ac:dyDescent="0.45">
      <c r="B188">
        <v>182</v>
      </c>
    </row>
    <row r="189" spans="2:2" x14ac:dyDescent="0.45">
      <c r="B189">
        <v>72</v>
      </c>
    </row>
    <row r="190" spans="2:2" x14ac:dyDescent="0.45">
      <c r="B190">
        <v>33</v>
      </c>
    </row>
    <row r="191" spans="2:2" x14ac:dyDescent="0.45">
      <c r="B191">
        <v>5</v>
      </c>
    </row>
    <row r="192" spans="2:2" x14ac:dyDescent="0.45">
      <c r="B192">
        <v>6</v>
      </c>
    </row>
    <row r="193" spans="2:2" x14ac:dyDescent="0.45">
      <c r="B193">
        <v>13</v>
      </c>
    </row>
    <row r="194" spans="2:2" x14ac:dyDescent="0.45">
      <c r="B194">
        <v>69</v>
      </c>
    </row>
    <row r="195" spans="2:2" x14ac:dyDescent="0.45">
      <c r="B195">
        <v>171</v>
      </c>
    </row>
    <row r="196" spans="2:2" x14ac:dyDescent="0.45">
      <c r="B196">
        <v>323</v>
      </c>
    </row>
    <row r="197" spans="2:2" x14ac:dyDescent="0.45">
      <c r="B197">
        <v>348</v>
      </c>
    </row>
    <row r="198" spans="2:2" x14ac:dyDescent="0.45">
      <c r="B198">
        <v>362</v>
      </c>
    </row>
    <row r="199" spans="2:2" x14ac:dyDescent="0.45">
      <c r="B199">
        <v>298</v>
      </c>
    </row>
    <row r="200" spans="2:2" x14ac:dyDescent="0.45">
      <c r="B200">
        <v>220</v>
      </c>
    </row>
    <row r="201" spans="2:2" x14ac:dyDescent="0.45">
      <c r="B201">
        <v>116</v>
      </c>
    </row>
    <row r="202" spans="2:2" x14ac:dyDescent="0.45">
      <c r="B202">
        <v>80</v>
      </c>
    </row>
    <row r="203" spans="2:2" x14ac:dyDescent="0.45">
      <c r="B203">
        <v>61</v>
      </c>
    </row>
    <row r="204" spans="2:2" x14ac:dyDescent="0.45">
      <c r="B204">
        <v>303</v>
      </c>
    </row>
    <row r="205" spans="2:2" x14ac:dyDescent="0.45">
      <c r="B205">
        <v>476</v>
      </c>
    </row>
    <row r="206" spans="2:2" x14ac:dyDescent="0.45">
      <c r="B206">
        <v>514</v>
      </c>
    </row>
    <row r="207" spans="2:2" x14ac:dyDescent="0.45">
      <c r="B207">
        <v>360</v>
      </c>
    </row>
    <row r="208" spans="2:2" x14ac:dyDescent="0.45">
      <c r="B208">
        <v>159</v>
      </c>
    </row>
    <row r="209" spans="2:2" x14ac:dyDescent="0.45">
      <c r="B209">
        <v>76</v>
      </c>
    </row>
    <row r="210" spans="2:2" x14ac:dyDescent="0.45">
      <c r="B210">
        <v>35</v>
      </c>
    </row>
    <row r="211" spans="2:2" x14ac:dyDescent="0.45">
      <c r="B211">
        <v>11</v>
      </c>
    </row>
    <row r="212" spans="2:2" x14ac:dyDescent="0.45">
      <c r="B212">
        <v>5</v>
      </c>
    </row>
    <row r="213" spans="2:2" x14ac:dyDescent="0.45">
      <c r="B213">
        <v>27</v>
      </c>
    </row>
    <row r="214" spans="2:2" x14ac:dyDescent="0.45">
      <c r="B214">
        <v>96</v>
      </c>
    </row>
    <row r="215" spans="2:2" x14ac:dyDescent="0.45">
      <c r="B215">
        <v>228</v>
      </c>
    </row>
    <row r="216" spans="2:2" x14ac:dyDescent="0.45">
      <c r="B216">
        <v>325</v>
      </c>
    </row>
    <row r="217" spans="2:2" x14ac:dyDescent="0.45">
      <c r="B217">
        <v>324</v>
      </c>
    </row>
    <row r="218" spans="2:2" x14ac:dyDescent="0.45">
      <c r="B218">
        <v>366</v>
      </c>
    </row>
    <row r="219" spans="2:2" x14ac:dyDescent="0.45">
      <c r="B219">
        <v>272</v>
      </c>
    </row>
    <row r="220" spans="2:2" x14ac:dyDescent="0.45">
      <c r="B220">
        <v>174</v>
      </c>
    </row>
    <row r="221" spans="2:2" x14ac:dyDescent="0.45">
      <c r="B221">
        <v>107</v>
      </c>
    </row>
    <row r="222" spans="2:2" x14ac:dyDescent="0.45">
      <c r="B222">
        <v>81</v>
      </c>
    </row>
    <row r="223" spans="2:2" x14ac:dyDescent="0.45">
      <c r="B223">
        <v>38</v>
      </c>
    </row>
    <row r="224" spans="2:2" x14ac:dyDescent="0.45">
      <c r="B224">
        <v>304</v>
      </c>
    </row>
    <row r="225" spans="2:2" x14ac:dyDescent="0.45">
      <c r="B225">
        <v>548</v>
      </c>
    </row>
    <row r="226" spans="2:2" x14ac:dyDescent="0.45">
      <c r="B226">
        <v>524</v>
      </c>
    </row>
    <row r="227" spans="2:2" x14ac:dyDescent="0.45">
      <c r="B227">
        <v>335</v>
      </c>
    </row>
    <row r="228" spans="2:2" x14ac:dyDescent="0.45">
      <c r="B228">
        <v>159</v>
      </c>
    </row>
    <row r="229" spans="2:2" x14ac:dyDescent="0.45">
      <c r="B229">
        <v>55</v>
      </c>
    </row>
    <row r="230" spans="2:2" x14ac:dyDescent="0.45">
      <c r="B230">
        <v>29</v>
      </c>
    </row>
    <row r="231" spans="2:2" x14ac:dyDescent="0.45">
      <c r="B231">
        <v>4</v>
      </c>
    </row>
    <row r="232" spans="2:2" x14ac:dyDescent="0.45">
      <c r="B232">
        <v>4</v>
      </c>
    </row>
    <row r="233" spans="2:2" x14ac:dyDescent="0.45">
      <c r="B233">
        <v>18</v>
      </c>
    </row>
    <row r="234" spans="2:2" x14ac:dyDescent="0.45">
      <c r="B234">
        <v>58</v>
      </c>
    </row>
    <row r="235" spans="2:2" x14ac:dyDescent="0.45">
      <c r="B235">
        <v>219</v>
      </c>
    </row>
    <row r="236" spans="2:2" x14ac:dyDescent="0.45">
      <c r="B236">
        <v>311</v>
      </c>
    </row>
    <row r="237" spans="2:2" x14ac:dyDescent="0.45">
      <c r="B237">
        <v>377</v>
      </c>
    </row>
    <row r="238" spans="2:2" x14ac:dyDescent="0.45">
      <c r="B238">
        <v>333</v>
      </c>
    </row>
    <row r="239" spans="2:2" x14ac:dyDescent="0.45">
      <c r="B239">
        <v>288</v>
      </c>
    </row>
    <row r="240" spans="2:2" x14ac:dyDescent="0.45">
      <c r="B240">
        <v>200</v>
      </c>
    </row>
    <row r="241" spans="2:2" x14ac:dyDescent="0.45">
      <c r="B241">
        <v>111</v>
      </c>
    </row>
    <row r="242" spans="2:2" x14ac:dyDescent="0.45">
      <c r="B242">
        <v>85</v>
      </c>
    </row>
    <row r="243" spans="2:2" x14ac:dyDescent="0.45">
      <c r="B243">
        <v>44</v>
      </c>
    </row>
    <row r="244" spans="2:2" x14ac:dyDescent="0.45">
      <c r="B244">
        <v>288</v>
      </c>
    </row>
    <row r="245" spans="2:2" x14ac:dyDescent="0.45">
      <c r="B245">
        <v>585</v>
      </c>
    </row>
    <row r="246" spans="2:2" x14ac:dyDescent="0.45">
      <c r="B246">
        <v>506</v>
      </c>
    </row>
    <row r="247" spans="2:2" x14ac:dyDescent="0.45">
      <c r="B247">
        <v>340</v>
      </c>
    </row>
    <row r="248" spans="2:2" x14ac:dyDescent="0.45">
      <c r="B248">
        <v>144</v>
      </c>
    </row>
    <row r="249" spans="2:2" x14ac:dyDescent="0.45">
      <c r="B249">
        <v>57</v>
      </c>
    </row>
    <row r="250" spans="2:2" x14ac:dyDescent="0.45">
      <c r="B250">
        <v>27</v>
      </c>
    </row>
    <row r="251" spans="2:2" x14ac:dyDescent="0.45">
      <c r="B251">
        <v>7</v>
      </c>
    </row>
    <row r="252" spans="2:2" x14ac:dyDescent="0.45">
      <c r="B252">
        <v>2</v>
      </c>
    </row>
    <row r="253" spans="2:2" x14ac:dyDescent="0.45">
      <c r="B253">
        <v>10</v>
      </c>
    </row>
    <row r="254" spans="2:2" x14ac:dyDescent="0.45">
      <c r="B254">
        <v>66</v>
      </c>
    </row>
    <row r="255" spans="2:2" x14ac:dyDescent="0.45">
      <c r="B255">
        <v>201</v>
      </c>
    </row>
    <row r="256" spans="2:2" x14ac:dyDescent="0.45">
      <c r="B256">
        <v>337</v>
      </c>
    </row>
    <row r="257" spans="2:2" x14ac:dyDescent="0.45">
      <c r="B257">
        <v>405</v>
      </c>
    </row>
    <row r="258" spans="2:2" x14ac:dyDescent="0.45">
      <c r="B258">
        <v>327</v>
      </c>
    </row>
    <row r="259" spans="2:2" x14ac:dyDescent="0.45">
      <c r="B259">
        <v>277</v>
      </c>
    </row>
    <row r="260" spans="2:2" x14ac:dyDescent="0.45">
      <c r="B260">
        <v>176</v>
      </c>
    </row>
    <row r="261" spans="2:2" x14ac:dyDescent="0.45">
      <c r="B261">
        <v>118</v>
      </c>
    </row>
    <row r="262" spans="2:2" x14ac:dyDescent="0.45">
      <c r="B262">
        <v>83</v>
      </c>
    </row>
    <row r="263" spans="2:2" x14ac:dyDescent="0.45">
      <c r="B263">
        <v>72</v>
      </c>
    </row>
    <row r="264" spans="2:2" x14ac:dyDescent="0.45">
      <c r="B264">
        <v>420</v>
      </c>
    </row>
    <row r="265" spans="2:2" x14ac:dyDescent="0.45">
      <c r="B265">
        <v>627</v>
      </c>
    </row>
    <row r="266" spans="2:2" x14ac:dyDescent="0.45">
      <c r="B266">
        <v>474</v>
      </c>
    </row>
    <row r="267" spans="2:2" x14ac:dyDescent="0.45">
      <c r="B267">
        <v>254</v>
      </c>
    </row>
    <row r="268" spans="2:2" x14ac:dyDescent="0.45">
      <c r="B268">
        <v>101</v>
      </c>
    </row>
    <row r="269" spans="2:2" x14ac:dyDescent="0.45">
      <c r="B269">
        <v>40</v>
      </c>
    </row>
    <row r="270" spans="2:2" x14ac:dyDescent="0.45">
      <c r="B270">
        <v>10</v>
      </c>
    </row>
    <row r="271" spans="2:2" x14ac:dyDescent="0.45">
      <c r="B271">
        <v>1</v>
      </c>
    </row>
    <row r="272" spans="2:2" x14ac:dyDescent="0.45">
      <c r="B272">
        <v>1</v>
      </c>
    </row>
    <row r="273" spans="2:2" x14ac:dyDescent="0.45">
      <c r="B273">
        <v>23</v>
      </c>
    </row>
    <row r="274" spans="2:2" x14ac:dyDescent="0.45">
      <c r="B274">
        <v>79</v>
      </c>
    </row>
    <row r="275" spans="2:2" x14ac:dyDescent="0.45">
      <c r="B275">
        <v>233</v>
      </c>
    </row>
    <row r="276" spans="2:2" x14ac:dyDescent="0.45">
      <c r="B276">
        <v>336</v>
      </c>
    </row>
    <row r="277" spans="2:2" x14ac:dyDescent="0.45">
      <c r="B277">
        <v>398</v>
      </c>
    </row>
    <row r="278" spans="2:2" x14ac:dyDescent="0.45">
      <c r="B278">
        <v>325</v>
      </c>
    </row>
    <row r="279" spans="2:2" x14ac:dyDescent="0.45">
      <c r="B279">
        <v>236</v>
      </c>
    </row>
    <row r="280" spans="2:2" x14ac:dyDescent="0.45">
      <c r="B280">
        <v>185</v>
      </c>
    </row>
    <row r="281" spans="2:2" x14ac:dyDescent="0.45">
      <c r="B281">
        <v>104</v>
      </c>
    </row>
    <row r="282" spans="2:2" x14ac:dyDescent="0.45">
      <c r="B282">
        <v>81</v>
      </c>
    </row>
    <row r="283" spans="2:2" x14ac:dyDescent="0.45">
      <c r="B283">
        <v>109</v>
      </c>
    </row>
    <row r="284" spans="2:2" x14ac:dyDescent="0.45">
      <c r="B284">
        <v>466</v>
      </c>
    </row>
    <row r="285" spans="2:2" x14ac:dyDescent="0.45">
      <c r="B285">
        <v>662</v>
      </c>
    </row>
    <row r="286" spans="2:2" x14ac:dyDescent="0.45">
      <c r="B286">
        <v>418</v>
      </c>
    </row>
    <row r="287" spans="2:2" x14ac:dyDescent="0.45">
      <c r="B287">
        <v>225</v>
      </c>
    </row>
    <row r="288" spans="2:2" x14ac:dyDescent="0.45">
      <c r="B288">
        <v>84</v>
      </c>
    </row>
    <row r="289" spans="2:2" x14ac:dyDescent="0.45">
      <c r="B289">
        <v>29</v>
      </c>
    </row>
    <row r="290" spans="2:2" x14ac:dyDescent="0.45">
      <c r="B290">
        <v>6</v>
      </c>
    </row>
    <row r="291" spans="2:2" x14ac:dyDescent="0.45">
      <c r="B291">
        <v>0</v>
      </c>
    </row>
    <row r="292" spans="2:2" x14ac:dyDescent="0.45">
      <c r="B292">
        <v>1</v>
      </c>
    </row>
    <row r="293" spans="2:2" x14ac:dyDescent="0.45">
      <c r="B293">
        <v>28</v>
      </c>
    </row>
    <row r="294" spans="2:2" x14ac:dyDescent="0.45">
      <c r="B294">
        <v>105</v>
      </c>
    </row>
    <row r="295" spans="2:2" x14ac:dyDescent="0.45">
      <c r="B295">
        <v>234</v>
      </c>
    </row>
    <row r="296" spans="2:2" x14ac:dyDescent="0.45">
      <c r="B296">
        <v>357</v>
      </c>
    </row>
    <row r="297" spans="2:2" x14ac:dyDescent="0.45">
      <c r="B297">
        <v>391</v>
      </c>
    </row>
    <row r="298" spans="2:2" x14ac:dyDescent="0.45">
      <c r="B298">
        <v>308</v>
      </c>
    </row>
    <row r="299" spans="2:2" x14ac:dyDescent="0.45">
      <c r="B299">
        <v>218</v>
      </c>
    </row>
    <row r="300" spans="2:2" x14ac:dyDescent="0.45">
      <c r="B300">
        <v>169</v>
      </c>
    </row>
    <row r="301" spans="2:2" x14ac:dyDescent="0.45">
      <c r="B301">
        <v>112</v>
      </c>
    </row>
    <row r="302" spans="2:2" x14ac:dyDescent="0.45">
      <c r="B302">
        <v>78</v>
      </c>
    </row>
    <row r="303" spans="2:2" x14ac:dyDescent="0.45">
      <c r="B303">
        <v>73</v>
      </c>
    </row>
    <row r="304" spans="2:2" x14ac:dyDescent="0.45">
      <c r="B304">
        <v>401</v>
      </c>
    </row>
    <row r="305" spans="2:2" x14ac:dyDescent="0.45">
      <c r="B305">
        <v>642</v>
      </c>
    </row>
    <row r="306" spans="2:2" x14ac:dyDescent="0.45">
      <c r="B306">
        <v>488</v>
      </c>
    </row>
    <row r="307" spans="2:2" x14ac:dyDescent="0.45">
      <c r="B307">
        <v>253</v>
      </c>
    </row>
    <row r="308" spans="2:2" x14ac:dyDescent="0.45">
      <c r="B308">
        <v>96</v>
      </c>
    </row>
    <row r="309" spans="2:2" x14ac:dyDescent="0.45">
      <c r="B309">
        <v>36</v>
      </c>
    </row>
    <row r="310" spans="2:2" x14ac:dyDescent="0.45">
      <c r="B310">
        <v>9</v>
      </c>
    </row>
    <row r="311" spans="2:2" x14ac:dyDescent="0.45">
      <c r="B311">
        <v>1</v>
      </c>
    </row>
    <row r="312" spans="2:2" x14ac:dyDescent="0.45">
      <c r="B312">
        <v>1</v>
      </c>
    </row>
    <row r="313" spans="2:2" x14ac:dyDescent="0.45">
      <c r="B313">
        <v>16</v>
      </c>
    </row>
    <row r="314" spans="2:2" x14ac:dyDescent="0.45">
      <c r="B314">
        <v>76</v>
      </c>
    </row>
    <row r="315" spans="2:2" x14ac:dyDescent="0.45">
      <c r="B315">
        <v>211</v>
      </c>
    </row>
    <row r="316" spans="2:2" x14ac:dyDescent="0.45">
      <c r="B316">
        <v>371</v>
      </c>
    </row>
    <row r="317" spans="2:2" x14ac:dyDescent="0.45">
      <c r="B317">
        <v>384</v>
      </c>
    </row>
    <row r="318" spans="2:2" x14ac:dyDescent="0.45">
      <c r="B318">
        <v>331</v>
      </c>
    </row>
    <row r="319" spans="2:2" x14ac:dyDescent="0.45">
      <c r="B319">
        <v>250</v>
      </c>
    </row>
    <row r="320" spans="2:2" x14ac:dyDescent="0.45">
      <c r="B320">
        <v>169</v>
      </c>
    </row>
    <row r="321" spans="2:2" x14ac:dyDescent="0.45">
      <c r="B321">
        <v>109</v>
      </c>
    </row>
    <row r="322" spans="2:2" x14ac:dyDescent="0.45">
      <c r="B322">
        <v>83</v>
      </c>
    </row>
    <row r="323" spans="2:2" x14ac:dyDescent="0.45">
      <c r="B323">
        <v>48</v>
      </c>
    </row>
    <row r="324" spans="2:2" x14ac:dyDescent="0.45">
      <c r="B324">
        <v>268</v>
      </c>
    </row>
    <row r="325" spans="2:2" x14ac:dyDescent="0.45">
      <c r="B325">
        <v>532</v>
      </c>
    </row>
    <row r="326" spans="2:2" x14ac:dyDescent="0.45">
      <c r="B326">
        <v>486</v>
      </c>
    </row>
    <row r="327" spans="2:2" x14ac:dyDescent="0.45">
      <c r="B327">
        <v>331</v>
      </c>
    </row>
    <row r="328" spans="2:2" x14ac:dyDescent="0.45">
      <c r="B328">
        <v>208</v>
      </c>
    </row>
    <row r="329" spans="2:2" x14ac:dyDescent="0.45">
      <c r="B329">
        <v>79</v>
      </c>
    </row>
    <row r="330" spans="2:2" x14ac:dyDescent="0.45">
      <c r="B330">
        <v>34</v>
      </c>
    </row>
    <row r="331" spans="2:2" x14ac:dyDescent="0.45">
      <c r="B331">
        <v>12</v>
      </c>
    </row>
    <row r="332" spans="2:2" x14ac:dyDescent="0.45">
      <c r="B332">
        <v>2</v>
      </c>
    </row>
    <row r="333" spans="2:2" x14ac:dyDescent="0.45">
      <c r="B333">
        <v>18</v>
      </c>
    </row>
    <row r="334" spans="2:2" x14ac:dyDescent="0.45">
      <c r="B334">
        <v>85</v>
      </c>
    </row>
    <row r="335" spans="2:2" x14ac:dyDescent="0.45">
      <c r="B335">
        <v>232</v>
      </c>
    </row>
    <row r="336" spans="2:2" x14ac:dyDescent="0.45">
      <c r="B336">
        <v>353</v>
      </c>
    </row>
    <row r="337" spans="2:2" x14ac:dyDescent="0.45">
      <c r="B337">
        <v>376</v>
      </c>
    </row>
    <row r="338" spans="2:2" x14ac:dyDescent="0.45">
      <c r="B338">
        <v>336</v>
      </c>
    </row>
    <row r="339" spans="2:2" x14ac:dyDescent="0.45">
      <c r="B339">
        <v>225</v>
      </c>
    </row>
    <row r="340" spans="2:2" x14ac:dyDescent="0.45">
      <c r="B340">
        <v>186</v>
      </c>
    </row>
    <row r="341" spans="2:2" x14ac:dyDescent="0.45">
      <c r="B341">
        <v>129</v>
      </c>
    </row>
    <row r="342" spans="2:2" x14ac:dyDescent="0.45">
      <c r="B342">
        <v>60</v>
      </c>
    </row>
    <row r="343" spans="2:2" x14ac:dyDescent="0.45">
      <c r="B343">
        <v>44</v>
      </c>
    </row>
    <row r="344" spans="2:2" x14ac:dyDescent="0.45">
      <c r="B344">
        <v>249</v>
      </c>
    </row>
    <row r="345" spans="2:2" x14ac:dyDescent="0.45">
      <c r="B345">
        <v>519</v>
      </c>
    </row>
    <row r="346" spans="2:2" x14ac:dyDescent="0.45">
      <c r="B346">
        <v>498</v>
      </c>
    </row>
    <row r="347" spans="2:2" x14ac:dyDescent="0.45">
      <c r="B347">
        <v>340</v>
      </c>
    </row>
    <row r="348" spans="2:2" x14ac:dyDescent="0.45">
      <c r="B348">
        <v>197</v>
      </c>
    </row>
    <row r="349" spans="2:2" x14ac:dyDescent="0.45">
      <c r="B349">
        <v>99</v>
      </c>
    </row>
    <row r="350" spans="2:2" x14ac:dyDescent="0.45">
      <c r="B350">
        <v>39</v>
      </c>
    </row>
    <row r="351" spans="2:2" x14ac:dyDescent="0.45">
      <c r="B351">
        <v>10</v>
      </c>
    </row>
    <row r="352" spans="2:2" x14ac:dyDescent="0.45">
      <c r="B352">
        <v>5</v>
      </c>
    </row>
    <row r="353" spans="2:2" x14ac:dyDescent="0.45">
      <c r="B353">
        <v>15</v>
      </c>
    </row>
    <row r="354" spans="2:2" x14ac:dyDescent="0.45">
      <c r="B354">
        <v>77</v>
      </c>
    </row>
    <row r="355" spans="2:2" x14ac:dyDescent="0.45">
      <c r="B355">
        <v>228</v>
      </c>
    </row>
    <row r="356" spans="2:2" x14ac:dyDescent="0.45">
      <c r="B356">
        <v>385</v>
      </c>
    </row>
    <row r="357" spans="2:2" x14ac:dyDescent="0.45">
      <c r="B357">
        <v>365</v>
      </c>
    </row>
    <row r="358" spans="2:2" x14ac:dyDescent="0.45">
      <c r="B358">
        <v>318</v>
      </c>
    </row>
    <row r="359" spans="2:2" x14ac:dyDescent="0.45">
      <c r="B359">
        <v>247</v>
      </c>
    </row>
    <row r="360" spans="2:2" x14ac:dyDescent="0.45">
      <c r="B360">
        <v>180</v>
      </c>
    </row>
    <row r="361" spans="2:2" x14ac:dyDescent="0.45">
      <c r="B361">
        <v>111</v>
      </c>
    </row>
    <row r="362" spans="2:2" x14ac:dyDescent="0.45">
      <c r="B362">
        <v>74</v>
      </c>
    </row>
    <row r="363" spans="2:2" x14ac:dyDescent="0.45">
      <c r="B363">
        <v>30</v>
      </c>
    </row>
    <row r="364" spans="2:2" x14ac:dyDescent="0.45">
      <c r="B364">
        <v>237</v>
      </c>
    </row>
    <row r="365" spans="2:2" x14ac:dyDescent="0.45">
      <c r="B365">
        <v>542</v>
      </c>
    </row>
    <row r="366" spans="2:2" x14ac:dyDescent="0.45">
      <c r="B366">
        <v>512</v>
      </c>
    </row>
    <row r="367" spans="2:2" x14ac:dyDescent="0.45">
      <c r="B367">
        <v>336</v>
      </c>
    </row>
    <row r="368" spans="2:2" x14ac:dyDescent="0.45">
      <c r="B368">
        <v>195</v>
      </c>
    </row>
    <row r="369" spans="2:2" x14ac:dyDescent="0.45">
      <c r="B369">
        <v>89</v>
      </c>
    </row>
    <row r="370" spans="2:2" x14ac:dyDescent="0.45">
      <c r="B370">
        <v>42</v>
      </c>
    </row>
    <row r="371" spans="2:2" x14ac:dyDescent="0.45">
      <c r="B371">
        <v>12</v>
      </c>
    </row>
    <row r="372" spans="2:2" x14ac:dyDescent="0.45">
      <c r="B372">
        <v>5</v>
      </c>
    </row>
    <row r="373" spans="2:2" x14ac:dyDescent="0.45">
      <c r="B373">
        <v>11</v>
      </c>
    </row>
    <row r="374" spans="2:2" x14ac:dyDescent="0.45">
      <c r="B374">
        <v>70</v>
      </c>
    </row>
    <row r="375" spans="2:2" x14ac:dyDescent="0.45">
      <c r="B375">
        <v>201</v>
      </c>
    </row>
    <row r="376" spans="2:2" x14ac:dyDescent="0.45">
      <c r="B376">
        <v>368</v>
      </c>
    </row>
    <row r="377" spans="2:2" x14ac:dyDescent="0.45">
      <c r="B377">
        <v>394</v>
      </c>
    </row>
    <row r="378" spans="2:2" x14ac:dyDescent="0.45">
      <c r="B378">
        <v>343</v>
      </c>
    </row>
    <row r="379" spans="2:2" x14ac:dyDescent="0.45">
      <c r="B379">
        <v>240</v>
      </c>
    </row>
    <row r="380" spans="2:2" x14ac:dyDescent="0.45">
      <c r="B380">
        <v>181</v>
      </c>
    </row>
    <row r="381" spans="2:2" x14ac:dyDescent="0.45">
      <c r="B381">
        <v>106</v>
      </c>
    </row>
    <row r="382" spans="2:2" x14ac:dyDescent="0.45">
      <c r="B382">
        <v>86</v>
      </c>
    </row>
    <row r="383" spans="2:2" x14ac:dyDescent="0.45">
      <c r="B383">
        <v>41</v>
      </c>
    </row>
    <row r="384" spans="2:2" x14ac:dyDescent="0.45">
      <c r="B384">
        <v>265</v>
      </c>
    </row>
    <row r="385" spans="2:2" x14ac:dyDescent="0.45">
      <c r="B385">
        <v>573</v>
      </c>
    </row>
    <row r="386" spans="2:2" x14ac:dyDescent="0.45">
      <c r="B386">
        <v>495</v>
      </c>
    </row>
    <row r="387" spans="2:2" x14ac:dyDescent="0.45">
      <c r="B387">
        <v>318</v>
      </c>
    </row>
    <row r="388" spans="2:2" x14ac:dyDescent="0.45">
      <c r="B388">
        <v>167</v>
      </c>
    </row>
    <row r="389" spans="2:2" x14ac:dyDescent="0.45">
      <c r="B389">
        <v>88</v>
      </c>
    </row>
    <row r="390" spans="2:2" x14ac:dyDescent="0.45">
      <c r="B390">
        <v>34</v>
      </c>
    </row>
    <row r="391" spans="2:2" x14ac:dyDescent="0.45">
      <c r="B391">
        <v>16</v>
      </c>
    </row>
    <row r="392" spans="2:2" x14ac:dyDescent="0.45">
      <c r="B392">
        <v>3</v>
      </c>
    </row>
    <row r="393" spans="2:2" x14ac:dyDescent="0.45">
      <c r="B393">
        <v>16</v>
      </c>
    </row>
    <row r="394" spans="2:2" x14ac:dyDescent="0.45">
      <c r="B394">
        <v>86</v>
      </c>
    </row>
    <row r="395" spans="2:2" x14ac:dyDescent="0.45">
      <c r="B395">
        <v>217</v>
      </c>
    </row>
    <row r="396" spans="2:2" x14ac:dyDescent="0.45">
      <c r="B396">
        <v>387</v>
      </c>
    </row>
    <row r="397" spans="2:2" x14ac:dyDescent="0.45">
      <c r="B397">
        <v>382</v>
      </c>
    </row>
    <row r="398" spans="2:2" x14ac:dyDescent="0.45">
      <c r="B398">
        <v>333</v>
      </c>
    </row>
    <row r="399" spans="2:2" x14ac:dyDescent="0.45">
      <c r="B399">
        <v>238</v>
      </c>
    </row>
    <row r="400" spans="2:2" x14ac:dyDescent="0.45">
      <c r="B400">
        <v>165</v>
      </c>
    </row>
    <row r="401" spans="2:2" x14ac:dyDescent="0.45">
      <c r="B401">
        <v>88</v>
      </c>
    </row>
    <row r="402" spans="2:2" x14ac:dyDescent="0.45">
      <c r="B402">
        <v>88</v>
      </c>
    </row>
    <row r="403" spans="2:2" x14ac:dyDescent="0.45">
      <c r="B403">
        <v>16</v>
      </c>
    </row>
    <row r="404" spans="2:2" x14ac:dyDescent="0.45">
      <c r="B404">
        <v>86</v>
      </c>
    </row>
    <row r="405" spans="2:2" x14ac:dyDescent="0.45">
      <c r="B405">
        <v>217</v>
      </c>
    </row>
    <row r="406" spans="2:2" x14ac:dyDescent="0.45">
      <c r="B406">
        <v>387</v>
      </c>
    </row>
    <row r="407" spans="2:2" x14ac:dyDescent="0.45">
      <c r="B407">
        <v>382</v>
      </c>
    </row>
    <row r="408" spans="2:2" x14ac:dyDescent="0.45">
      <c r="B408">
        <v>333</v>
      </c>
    </row>
    <row r="409" spans="2:2" x14ac:dyDescent="0.45">
      <c r="B409">
        <v>238</v>
      </c>
    </row>
    <row r="410" spans="2:2" x14ac:dyDescent="0.45">
      <c r="B410">
        <v>165</v>
      </c>
    </row>
    <row r="411" spans="2:2" x14ac:dyDescent="0.45">
      <c r="B411">
        <v>88</v>
      </c>
    </row>
    <row r="412" spans="2:2" x14ac:dyDescent="0.45">
      <c r="B412">
        <v>88</v>
      </c>
    </row>
    <row r="413" spans="2:2" x14ac:dyDescent="0.45">
      <c r="B413">
        <v>41</v>
      </c>
    </row>
    <row r="414" spans="2:2" x14ac:dyDescent="0.45">
      <c r="B414">
        <v>265</v>
      </c>
    </row>
    <row r="415" spans="2:2" x14ac:dyDescent="0.45">
      <c r="B415">
        <v>573</v>
      </c>
    </row>
    <row r="416" spans="2:2" x14ac:dyDescent="0.45">
      <c r="B416">
        <v>495</v>
      </c>
    </row>
    <row r="417" spans="2:2" x14ac:dyDescent="0.45">
      <c r="B417">
        <v>318</v>
      </c>
    </row>
    <row r="418" spans="2:2" x14ac:dyDescent="0.45">
      <c r="B418">
        <v>167</v>
      </c>
    </row>
    <row r="419" spans="2:2" x14ac:dyDescent="0.45">
      <c r="B419">
        <v>88</v>
      </c>
    </row>
    <row r="420" spans="2:2" x14ac:dyDescent="0.45">
      <c r="B420">
        <v>34</v>
      </c>
    </row>
    <row r="421" spans="2:2" x14ac:dyDescent="0.45">
      <c r="B421">
        <v>16</v>
      </c>
    </row>
    <row r="422" spans="2:2" x14ac:dyDescent="0.45">
      <c r="B42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9194DFF6-07EF-4D6D-A8EB-C0F34A7C9F06}">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38</vt:i4>
      </vt:variant>
    </vt:vector>
  </HeadingPairs>
  <TitlesOfParts>
    <vt:vector size="45" baseType="lpstr">
      <vt:lpstr>About</vt:lpstr>
      <vt:lpstr>Inputs</vt:lpstr>
      <vt:lpstr>Months</vt:lpstr>
      <vt:lpstr>Results</vt:lpstr>
      <vt:lpstr>ModelRiskDSN</vt:lpstr>
      <vt:lpstr>ModelRiskSYS1</vt:lpstr>
      <vt:lpstr>ModelRiskCharts</vt:lpstr>
      <vt:lpstr>AtCap</vt:lpstr>
      <vt:lpstr>AtFloor</vt:lpstr>
      <vt:lpstr>Bnd_1</vt:lpstr>
      <vt:lpstr>Bnd_10</vt:lpstr>
      <vt:lpstr>Bnd_11</vt:lpstr>
      <vt:lpstr>Bnd_12</vt:lpstr>
      <vt:lpstr>Bnd_13</vt:lpstr>
      <vt:lpstr>Bnd_14</vt:lpstr>
      <vt:lpstr>Bnd_15</vt:lpstr>
      <vt:lpstr>Bnd_16</vt:lpstr>
      <vt:lpstr>Bnd_17</vt:lpstr>
      <vt:lpstr>Bnd_18</vt:lpstr>
      <vt:lpstr>Bnd_19</vt:lpstr>
      <vt:lpstr>Bnd_2</vt:lpstr>
      <vt:lpstr>Bnd_20</vt:lpstr>
      <vt:lpstr>Bnd_3</vt:lpstr>
      <vt:lpstr>Bnd_4</vt:lpstr>
      <vt:lpstr>Bnd_5</vt:lpstr>
      <vt:lpstr>Bnd_6</vt:lpstr>
      <vt:lpstr>Bnd_7</vt:lpstr>
      <vt:lpstr>Bnd_8</vt:lpstr>
      <vt:lpstr>Bnd_9</vt:lpstr>
      <vt:lpstr>CapChange</vt:lpstr>
      <vt:lpstr>CapNow</vt:lpstr>
      <vt:lpstr>CapStart</vt:lpstr>
      <vt:lpstr>Checks</vt:lpstr>
      <vt:lpstr>Drift</vt:lpstr>
      <vt:lpstr>EverCap</vt:lpstr>
      <vt:lpstr>EverFloor</vt:lpstr>
      <vt:lpstr>FinalB</vt:lpstr>
      <vt:lpstr>FinalU</vt:lpstr>
      <vt:lpstr>FloorChange</vt:lpstr>
      <vt:lpstr>FloorStart</vt:lpstr>
      <vt:lpstr>Results!Print_Area</vt:lpstr>
      <vt:lpstr>Inputs!Print_Titles</vt:lpstr>
      <vt:lpstr>Results!Print_Titles</vt:lpstr>
      <vt:lpstr>Start</vt:lpstr>
      <vt:lpstr>Vol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GU-13 Bounded Random Walk</dc:title>
  <dc:subject>ModelRisk industry example library — General use</dc:subject>
  <dc:creator>Vose Software</dc:creator>
  <cp:keywords>ModelRisk; Monte Carlo; General use</cp:keywords>
  <dc:description>A lognormal random walk between a rising cap and a falling floor: how much the limits change the forecast.</dc:description>
  <cp:lastModifiedBy>Timour Koupeev</cp:lastModifiedBy>
  <cp:lastPrinted>2026-10-07T13:48:09Z</cp:lastPrinted>
  <dcterms:created xsi:type="dcterms:W3CDTF">2026-10-07T13:46:49Z</dcterms:created>
  <dcterms:modified xsi:type="dcterms:W3CDTF">2026-10-07T13:48:10Z</dcterms:modified>
</cp:coreProperties>
</file>