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2A0F5150-C96A-4647-9A3C-D3F5CACF73B0}"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Months" sheetId="3" r:id="rId3"/>
    <sheet name="Results" sheetId="4" r:id="rId4"/>
    <sheet name="ModelRiskDSN" sheetId="5" state="hidden" r:id="rId5"/>
    <sheet name="ModelRiskSYS1" sheetId="6" state="hidden" r:id="rId6"/>
    <sheet name="ModelRiskCharts" sheetId="7" state="hidden" r:id="rId7"/>
  </sheets>
  <definedNames>
    <definedName name="Checks">Months!$F$129:$F$130</definedName>
    <definedName name="DelayValue">Months!$F$125</definedName>
    <definedName name="Earliest">Inputs!$D$18</definedName>
    <definedName name="Enters">Months!$F$8</definedName>
    <definedName name="EntryMonth">Months!$F$9</definedName>
    <definedName name="ExpAfter_1">Months!$E$15</definedName>
    <definedName name="ExpAfter_10">Months!$E$24</definedName>
    <definedName name="ExpAfter_100">Months!$E$114</definedName>
    <definedName name="ExpAfter_11">Months!$E$25</definedName>
    <definedName name="ExpAfter_12">Months!$E$26</definedName>
    <definedName name="ExpAfter_13">Months!$E$27</definedName>
    <definedName name="ExpAfter_14">Months!$E$28</definedName>
    <definedName name="ExpAfter_15">Months!$E$29</definedName>
    <definedName name="ExpAfter_16">Months!$E$30</definedName>
    <definedName name="ExpAfter_17">Months!$E$31</definedName>
    <definedName name="ExpAfter_18">Months!$E$32</definedName>
    <definedName name="ExpAfter_19">Months!$E$33</definedName>
    <definedName name="ExpAfter_2">Months!$E$16</definedName>
    <definedName name="ExpAfter_20">Months!$E$34</definedName>
    <definedName name="ExpAfter_21">Months!$E$35</definedName>
    <definedName name="ExpAfter_22">Months!$E$36</definedName>
    <definedName name="ExpAfter_23">Months!$E$37</definedName>
    <definedName name="ExpAfter_24">Months!$E$38</definedName>
    <definedName name="ExpAfter_25">Months!$E$39</definedName>
    <definedName name="ExpAfter_26">Months!$E$40</definedName>
    <definedName name="ExpAfter_27">Months!$E$41</definedName>
    <definedName name="ExpAfter_28">Months!$E$42</definedName>
    <definedName name="ExpAfter_29">Months!$E$43</definedName>
    <definedName name="ExpAfter_3">Months!$E$17</definedName>
    <definedName name="ExpAfter_30">Months!$E$44</definedName>
    <definedName name="ExpAfter_31">Months!$E$45</definedName>
    <definedName name="ExpAfter_32">Months!$E$46</definedName>
    <definedName name="ExpAfter_33">Months!$E$47</definedName>
    <definedName name="ExpAfter_34">Months!$E$48</definedName>
    <definedName name="ExpAfter_35">Months!$E$49</definedName>
    <definedName name="ExpAfter_36">Months!$E$50</definedName>
    <definedName name="ExpAfter_37">Months!$E$51</definedName>
    <definedName name="ExpAfter_38">Months!$E$52</definedName>
    <definedName name="ExpAfter_39">Months!$E$53</definedName>
    <definedName name="ExpAfter_4">Months!$E$18</definedName>
    <definedName name="ExpAfter_40">Months!$E$54</definedName>
    <definedName name="ExpAfter_41">Months!$E$55</definedName>
    <definedName name="ExpAfter_42">Months!$E$56</definedName>
    <definedName name="ExpAfter_43">Months!$E$57</definedName>
    <definedName name="ExpAfter_44">Months!$E$58</definedName>
    <definedName name="ExpAfter_45">Months!$E$59</definedName>
    <definedName name="ExpAfter_46">Months!$E$60</definedName>
    <definedName name="ExpAfter_47">Months!$E$61</definedName>
    <definedName name="ExpAfter_48">Months!$E$62</definedName>
    <definedName name="ExpAfter_49">Months!$E$63</definedName>
    <definedName name="ExpAfter_5">Months!$E$19</definedName>
    <definedName name="ExpAfter_50">Months!$E$64</definedName>
    <definedName name="ExpAfter_51">Months!$E$65</definedName>
    <definedName name="ExpAfter_52">Months!$E$66</definedName>
    <definedName name="ExpAfter_53">Months!$E$67</definedName>
    <definedName name="ExpAfter_54">Months!$E$68</definedName>
    <definedName name="ExpAfter_55">Months!$E$69</definedName>
    <definedName name="ExpAfter_56">Months!$E$70</definedName>
    <definedName name="ExpAfter_57">Months!$E$71</definedName>
    <definedName name="ExpAfter_58">Months!$E$72</definedName>
    <definedName name="ExpAfter_59">Months!$E$73</definedName>
    <definedName name="ExpAfter_6">Months!$E$20</definedName>
    <definedName name="ExpAfter_60">Months!$E$74</definedName>
    <definedName name="ExpAfter_61">Months!$E$75</definedName>
    <definedName name="ExpAfter_62">Months!$E$76</definedName>
    <definedName name="ExpAfter_63">Months!$E$77</definedName>
    <definedName name="ExpAfter_64">Months!$E$78</definedName>
    <definedName name="ExpAfter_65">Months!$E$79</definedName>
    <definedName name="ExpAfter_66">Months!$E$80</definedName>
    <definedName name="ExpAfter_67">Months!$E$81</definedName>
    <definedName name="ExpAfter_68">Months!$E$82</definedName>
    <definedName name="ExpAfter_69">Months!$E$83</definedName>
    <definedName name="ExpAfter_7">Months!$E$21</definedName>
    <definedName name="ExpAfter_70">Months!$E$84</definedName>
    <definedName name="ExpAfter_71">Months!$E$85</definedName>
    <definedName name="ExpAfter_72">Months!$E$86</definedName>
    <definedName name="ExpAfter_73">Months!$E$87</definedName>
    <definedName name="ExpAfter_74">Months!$E$88</definedName>
    <definedName name="ExpAfter_75">Months!$E$89</definedName>
    <definedName name="ExpAfter_76">Months!$E$90</definedName>
    <definedName name="ExpAfter_77">Months!$E$91</definedName>
    <definedName name="ExpAfter_78">Months!$E$92</definedName>
    <definedName name="ExpAfter_79">Months!$E$93</definedName>
    <definedName name="ExpAfter_8">Months!$E$22</definedName>
    <definedName name="ExpAfter_80">Months!$E$94</definedName>
    <definedName name="ExpAfter_81">Months!$E$95</definedName>
    <definedName name="ExpAfter_82">Months!$E$96</definedName>
    <definedName name="ExpAfter_83">Months!$E$97</definedName>
    <definedName name="ExpAfter_84">Months!$E$98</definedName>
    <definedName name="ExpAfter_85">Months!$E$99</definedName>
    <definedName name="ExpAfter_86">Months!$E$100</definedName>
    <definedName name="ExpAfter_87">Months!$E$101</definedName>
    <definedName name="ExpAfter_88">Months!$E$102</definedName>
    <definedName name="ExpAfter_89">Months!$E$103</definedName>
    <definedName name="ExpAfter_9">Months!$E$23</definedName>
    <definedName name="ExpAfter_90">Months!$E$104</definedName>
    <definedName name="ExpAfter_91">Months!$E$105</definedName>
    <definedName name="ExpAfter_92">Months!$E$106</definedName>
    <definedName name="ExpAfter_93">Months!$E$107</definedName>
    <definedName name="ExpAfter_94">Months!$E$108</definedName>
    <definedName name="ExpAfter_95">Months!$E$109</definedName>
    <definedName name="ExpAfter_96">Months!$E$110</definedName>
    <definedName name="ExpAfter_97">Months!$E$111</definedName>
    <definedName name="ExpAfter_98">Months!$E$112</definedName>
    <definedName name="ExpAfter_99">Months!$E$113</definedName>
    <definedName name="ExpNoComp">Months!$F$124</definedName>
    <definedName name="ExpSales">Months!$C$15:$C$114</definedName>
    <definedName name="Growth">Inputs!$D$12</definedName>
    <definedName name="Latest">Inputs!$D$19</definedName>
    <definedName name="Lost">Months!$F$121</definedName>
    <definedName name="Margin">Inputs!$D$24</definedName>
    <definedName name="MarginLost">Months!$F$122</definedName>
    <definedName name="NoEntry">Months!$F$123</definedName>
    <definedName name="PEnter">Inputs!$D$17</definedName>
    <definedName name="_xlnm.Print_Area" localSheetId="3">Results!$A$1:$R$44</definedName>
    <definedName name="_xlnm.Print_Titles" localSheetId="1">Inputs!$1:$4</definedName>
    <definedName name="_xlnm.Print_Titles" localSheetId="3">Results!$1:$4</definedName>
    <definedName name="Sales0">Inputs!$D$11</definedName>
    <definedName name="Share">Inputs!$D$20</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old_1">Months!$F$15</definedName>
    <definedName name="Sold_10">Months!$F$24</definedName>
    <definedName name="Sold_100">Months!$F$114</definedName>
    <definedName name="Sold_11">Months!$F$25</definedName>
    <definedName name="Sold_12">Months!$F$26</definedName>
    <definedName name="Sold_13">Months!$F$27</definedName>
    <definedName name="Sold_14">Months!$F$28</definedName>
    <definedName name="Sold_15">Months!$F$29</definedName>
    <definedName name="Sold_16">Months!$F$30</definedName>
    <definedName name="Sold_17">Months!$F$31</definedName>
    <definedName name="Sold_18">Months!$F$32</definedName>
    <definedName name="Sold_19">Months!$F$33</definedName>
    <definedName name="Sold_2">Months!$F$16</definedName>
    <definedName name="Sold_20">Months!$F$34</definedName>
    <definedName name="Sold_21">Months!$F$35</definedName>
    <definedName name="Sold_22">Months!$F$36</definedName>
    <definedName name="Sold_23">Months!$F$37</definedName>
    <definedName name="Sold_24">Months!$F$38</definedName>
    <definedName name="Sold_25">Months!$F$39</definedName>
    <definedName name="Sold_26">Months!$F$40</definedName>
    <definedName name="Sold_27">Months!$F$41</definedName>
    <definedName name="Sold_28">Months!$F$42</definedName>
    <definedName name="Sold_29">Months!$F$43</definedName>
    <definedName name="Sold_3">Months!$F$17</definedName>
    <definedName name="Sold_30">Months!$F$44</definedName>
    <definedName name="Sold_31">Months!$F$45</definedName>
    <definedName name="Sold_32">Months!$F$46</definedName>
    <definedName name="Sold_33">Months!$F$47</definedName>
    <definedName name="Sold_34">Months!$F$48</definedName>
    <definedName name="Sold_35">Months!$F$49</definedName>
    <definedName name="Sold_36">Months!$F$50</definedName>
    <definedName name="Sold_37">Months!$F$51</definedName>
    <definedName name="Sold_38">Months!$F$52</definedName>
    <definedName name="Sold_39">Months!$F$53</definedName>
    <definedName name="Sold_4">Months!$F$18</definedName>
    <definedName name="Sold_40">Months!$F$54</definedName>
    <definedName name="Sold_41">Months!$F$55</definedName>
    <definedName name="Sold_42">Months!$F$56</definedName>
    <definedName name="Sold_43">Months!$F$57</definedName>
    <definedName name="Sold_44">Months!$F$58</definedName>
    <definedName name="Sold_45">Months!$F$59</definedName>
    <definedName name="Sold_46">Months!$F$60</definedName>
    <definedName name="Sold_47">Months!$F$61</definedName>
    <definedName name="Sold_48">Months!$F$62</definedName>
    <definedName name="Sold_49">Months!$F$63</definedName>
    <definedName name="Sold_5">Months!$F$19</definedName>
    <definedName name="Sold_50">Months!$F$64</definedName>
    <definedName name="Sold_51">Months!$F$65</definedName>
    <definedName name="Sold_52">Months!$F$66</definedName>
    <definedName name="Sold_53">Months!$F$67</definedName>
    <definedName name="Sold_54">Months!$F$68</definedName>
    <definedName name="Sold_55">Months!$F$69</definedName>
    <definedName name="Sold_56">Months!$F$70</definedName>
    <definedName name="Sold_57">Months!$F$71</definedName>
    <definedName name="Sold_58">Months!$F$72</definedName>
    <definedName name="Sold_59">Months!$F$73</definedName>
    <definedName name="Sold_6">Months!$F$20</definedName>
    <definedName name="Sold_60">Months!$F$74</definedName>
    <definedName name="Sold_61">Months!$F$75</definedName>
    <definedName name="Sold_62">Months!$F$76</definedName>
    <definedName name="Sold_63">Months!$F$77</definedName>
    <definedName name="Sold_64">Months!$F$78</definedName>
    <definedName name="Sold_65">Months!$F$79</definedName>
    <definedName name="Sold_66">Months!$F$80</definedName>
    <definedName name="Sold_67">Months!$F$81</definedName>
    <definedName name="Sold_68">Months!$F$82</definedName>
    <definedName name="Sold_69">Months!$F$83</definedName>
    <definedName name="Sold_7">Months!$F$21</definedName>
    <definedName name="Sold_70">Months!$F$84</definedName>
    <definedName name="Sold_71">Months!$F$85</definedName>
    <definedName name="Sold_72">Months!$F$86</definedName>
    <definedName name="Sold_73">Months!$F$87</definedName>
    <definedName name="Sold_74">Months!$F$88</definedName>
    <definedName name="Sold_75">Months!$F$89</definedName>
    <definedName name="Sold_76">Months!$F$90</definedName>
    <definedName name="Sold_77">Months!$F$91</definedName>
    <definedName name="Sold_78">Months!$F$92</definedName>
    <definedName name="Sold_79">Months!$F$93</definedName>
    <definedName name="Sold_8">Months!$F$22</definedName>
    <definedName name="Sold_80">Months!$F$94</definedName>
    <definedName name="Sold_81">Months!$F$95</definedName>
    <definedName name="Sold_82">Months!$F$96</definedName>
    <definedName name="Sold_83">Months!$F$97</definedName>
    <definedName name="Sold_84">Months!$F$98</definedName>
    <definedName name="Sold_85">Months!$F$99</definedName>
    <definedName name="Sold_86">Months!$F$100</definedName>
    <definedName name="Sold_87">Months!$F$101</definedName>
    <definedName name="Sold_88">Months!$F$102</definedName>
    <definedName name="Sold_89">Months!$F$103</definedName>
    <definedName name="Sold_9">Months!$F$23</definedName>
    <definedName name="Sold_90">Months!$F$104</definedName>
    <definedName name="Sold_91">Months!$F$105</definedName>
    <definedName name="Sold_92">Months!$F$106</definedName>
    <definedName name="Sold_93">Months!$F$107</definedName>
    <definedName name="Sold_94">Months!$F$108</definedName>
    <definedName name="Sold_95">Months!$F$109</definedName>
    <definedName name="Sold_96">Months!$F$110</definedName>
    <definedName name="Sold_97">Months!$F$111</definedName>
    <definedName name="Sold_98">Months!$F$112</definedName>
    <definedName name="Sold_99">Months!$F$113</definedName>
    <definedName name="Units">Months!$F$120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9" i="4" l="1"/>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F129" i="3"/>
  <c r="F125" i="3"/>
  <c r="D17" i="4"/>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F8" i="3" a="1"/>
  <c r="F9" i="3" a="1"/>
  <c r="F9" i="3" l="1"/>
  <c r="F8" i="3"/>
  <c r="C115" i="3"/>
  <c r="F124" i="3"/>
  <c r="D12" i="4" s="1"/>
  <c r="F130" i="3"/>
  <c r="B7" i="4" s="1"/>
  <c r="D85" i="3" l="1"/>
  <c r="E85" i="3" s="1"/>
  <c r="D100" i="3"/>
  <c r="E100" i="3" s="1"/>
  <c r="D79" i="3"/>
  <c r="E79" i="3" s="1"/>
  <c r="D62" i="3"/>
  <c r="E62" i="3" s="1"/>
  <c r="D75" i="3"/>
  <c r="E75" i="3" s="1"/>
  <c r="D98" i="3"/>
  <c r="E98" i="3" s="1"/>
  <c r="D59" i="3"/>
  <c r="E59" i="3" s="1"/>
  <c r="D65" i="3"/>
  <c r="E65" i="3" s="1"/>
  <c r="D48" i="3"/>
  <c r="E48" i="3" s="1"/>
  <c r="D45" i="3"/>
  <c r="E45" i="3" s="1"/>
  <c r="D114" i="3"/>
  <c r="E114" i="3" s="1"/>
  <c r="D81" i="3"/>
  <c r="E81" i="3" s="1"/>
  <c r="D21" i="3"/>
  <c r="E21" i="3" s="1"/>
  <c r="D56" i="3"/>
  <c r="E56" i="3" s="1"/>
  <c r="D67" i="3"/>
  <c r="E67" i="3" s="1"/>
  <c r="D93" i="3"/>
  <c r="E93" i="3" s="1"/>
  <c r="D76" i="3"/>
  <c r="E76" i="3" s="1"/>
  <c r="D29" i="3"/>
  <c r="E29" i="3" s="1"/>
  <c r="D94" i="3"/>
  <c r="E94" i="3" s="1"/>
  <c r="D61" i="3"/>
  <c r="E61" i="3" s="1"/>
  <c r="D16" i="3"/>
  <c r="E16" i="3" s="1"/>
  <c r="D82" i="3"/>
  <c r="E82" i="3" s="1"/>
  <c r="D32" i="3"/>
  <c r="E32" i="3" s="1"/>
  <c r="D96" i="3"/>
  <c r="E96" i="3" s="1"/>
  <c r="D112" i="3"/>
  <c r="E112" i="3" s="1"/>
  <c r="D99" i="3"/>
  <c r="E99" i="3" s="1"/>
  <c r="D27" i="3"/>
  <c r="E27" i="3" s="1"/>
  <c r="D78" i="3"/>
  <c r="E78" i="3" s="1"/>
  <c r="D84" i="3"/>
  <c r="E84" i="3" s="1"/>
  <c r="D97" i="3"/>
  <c r="E97" i="3" s="1"/>
  <c r="D110" i="3"/>
  <c r="E110" i="3" s="1"/>
  <c r="D30" i="3"/>
  <c r="E30" i="3" s="1"/>
  <c r="D36" i="3"/>
  <c r="E36" i="3" s="1"/>
  <c r="D43" i="3"/>
  <c r="E43" i="3" s="1"/>
  <c r="D80" i="3"/>
  <c r="E80" i="3" s="1"/>
  <c r="D113" i="3"/>
  <c r="E113" i="3" s="1"/>
  <c r="D17" i="3"/>
  <c r="E17" i="3" s="1"/>
  <c r="D34" i="3"/>
  <c r="E34" i="3" s="1"/>
  <c r="D71" i="3"/>
  <c r="E71" i="3" s="1"/>
  <c r="D68" i="3"/>
  <c r="E68" i="3" s="1"/>
  <c r="D41" i="3"/>
  <c r="E41" i="3" s="1"/>
  <c r="D90" i="3"/>
  <c r="E90" i="3" s="1"/>
  <c r="D92" i="3"/>
  <c r="E92" i="3" s="1"/>
  <c r="D58" i="3"/>
  <c r="E58" i="3" s="1"/>
  <c r="D108" i="3"/>
  <c r="E108" i="3" s="1"/>
  <c r="D39" i="3"/>
  <c r="E39" i="3" s="1"/>
  <c r="D44" i="3"/>
  <c r="E44" i="3" s="1"/>
  <c r="D87" i="3"/>
  <c r="E87" i="3" s="1"/>
  <c r="D57" i="3"/>
  <c r="E57" i="3" s="1"/>
  <c r="D40" i="3"/>
  <c r="E40" i="3" s="1"/>
  <c r="D37" i="3"/>
  <c r="E37" i="3" s="1"/>
  <c r="D106" i="3"/>
  <c r="E106" i="3" s="1"/>
  <c r="D86" i="3"/>
  <c r="E86" i="3" s="1"/>
  <c r="D18" i="3"/>
  <c r="E18" i="3" s="1"/>
  <c r="D103" i="3"/>
  <c r="E103" i="3" s="1"/>
  <c r="D19" i="3"/>
  <c r="E19" i="3" s="1"/>
  <c r="D26" i="3"/>
  <c r="E26" i="3" s="1"/>
  <c r="D111" i="3"/>
  <c r="E111" i="3" s="1"/>
  <c r="D91" i="3"/>
  <c r="E91" i="3" s="1"/>
  <c r="D53" i="3"/>
  <c r="E53" i="3" s="1"/>
  <c r="D15" i="3"/>
  <c r="E15" i="3" s="1"/>
  <c r="D23" i="3"/>
  <c r="E23" i="3" s="1"/>
  <c r="D70" i="3"/>
  <c r="E70" i="3" s="1"/>
  <c r="D102" i="3"/>
  <c r="E102" i="3" s="1"/>
  <c r="D20" i="3"/>
  <c r="E20" i="3" s="1"/>
  <c r="D24" i="3"/>
  <c r="E24" i="3" s="1"/>
  <c r="D88" i="3"/>
  <c r="E88" i="3" s="1"/>
  <c r="D89" i="3"/>
  <c r="E89" i="3" s="1"/>
  <c r="D50" i="3"/>
  <c r="E50" i="3" s="1"/>
  <c r="D31" i="3"/>
  <c r="E31" i="3" s="1"/>
  <c r="D101" i="3"/>
  <c r="E101" i="3" s="1"/>
  <c r="D63" i="3"/>
  <c r="E63" i="3" s="1"/>
  <c r="D69" i="3"/>
  <c r="E69" i="3" s="1"/>
  <c r="D77" i="3"/>
  <c r="E77" i="3" s="1"/>
  <c r="D38" i="3"/>
  <c r="E38" i="3" s="1"/>
  <c r="D64" i="3"/>
  <c r="E64" i="3" s="1"/>
  <c r="D74" i="3"/>
  <c r="E74" i="3" s="1"/>
  <c r="D72" i="3"/>
  <c r="E72" i="3" s="1"/>
  <c r="D104" i="3"/>
  <c r="E104" i="3" s="1"/>
  <c r="D28" i="3"/>
  <c r="E28" i="3" s="1"/>
  <c r="D66" i="3"/>
  <c r="E66" i="3" s="1"/>
  <c r="D73" i="3"/>
  <c r="E73" i="3" s="1"/>
  <c r="D22" i="3"/>
  <c r="E22" i="3" s="1"/>
  <c r="D33" i="3"/>
  <c r="E33" i="3" s="1"/>
  <c r="D51" i="3"/>
  <c r="E51" i="3" s="1"/>
  <c r="D42" i="3"/>
  <c r="E42" i="3" s="1"/>
  <c r="F123" i="3"/>
  <c r="D46" i="3"/>
  <c r="E46" i="3" s="1"/>
  <c r="D107" i="3"/>
  <c r="E107" i="3" s="1"/>
  <c r="D35" i="3"/>
  <c r="E35" i="3" s="1"/>
  <c r="D54" i="3"/>
  <c r="E54" i="3" s="1"/>
  <c r="D49" i="3"/>
  <c r="E49" i="3" s="1"/>
  <c r="D47" i="3"/>
  <c r="E47" i="3" s="1"/>
  <c r="D83" i="3"/>
  <c r="E83" i="3" s="1"/>
  <c r="D109" i="3"/>
  <c r="E109" i="3" s="1"/>
  <c r="D95" i="3"/>
  <c r="E95" i="3" s="1"/>
  <c r="D105" i="3"/>
  <c r="E105" i="3" s="1"/>
  <c r="D55" i="3"/>
  <c r="E55" i="3" s="1"/>
  <c r="D60" i="3"/>
  <c r="E60" i="3" s="1"/>
  <c r="D52" i="3"/>
  <c r="E52" i="3" s="1"/>
  <c r="D25" i="3"/>
  <c r="E25" i="3" s="1"/>
  <c r="D16" i="4" a="1"/>
  <c r="F85" i="3" a="1"/>
  <c r="F48" i="3" a="1"/>
  <c r="F76" i="3" a="1"/>
  <c r="F112" i="3" a="1"/>
  <c r="F36" i="3" a="1"/>
  <c r="F41" i="3" a="1"/>
  <c r="F57" i="3" a="1"/>
  <c r="F26" i="3" a="1"/>
  <c r="F20" i="3" a="1"/>
  <c r="F69" i="3" a="1"/>
  <c r="F66" i="3" a="1"/>
  <c r="F107" i="3" a="1"/>
  <c r="F105" i="3" a="1"/>
  <c r="F114" i="3" a="1"/>
  <c r="F94" i="3" a="1"/>
  <c r="F80" i="3" a="1"/>
  <c r="F37" i="3" a="1"/>
  <c r="F88" i="3" a="1"/>
  <c r="F22" i="3" a="1"/>
  <c r="F60" i="3" a="1"/>
  <c r="F81" i="3" a="1"/>
  <c r="F78" i="3" a="1"/>
  <c r="F58" i="3" a="1"/>
  <c r="F53" i="3" a="1"/>
  <c r="F64" i="3" a="1"/>
  <c r="F49" i="3" a="1"/>
  <c r="F75" i="3" a="1"/>
  <c r="F16" i="3" a="1"/>
  <c r="F17" i="3" a="1"/>
  <c r="F86" i="3" a="1"/>
  <c r="F50" i="3" a="1"/>
  <c r="F51" i="3" a="1"/>
  <c r="F47" i="3" a="1"/>
  <c r="F56" i="3" a="1"/>
  <c r="F97" i="3" a="1"/>
  <c r="F34" i="3" a="1"/>
  <c r="F18" i="3" a="1"/>
  <c r="F31" i="3" a="1"/>
  <c r="F42" i="3" a="1"/>
  <c r="F59" i="3" a="1"/>
  <c r="F32" i="3" a="1"/>
  <c r="F71" i="3" a="1"/>
  <c r="F103" i="3" a="1"/>
  <c r="F101" i="3" a="1"/>
  <c r="F109" i="3" a="1"/>
  <c r="F93" i="3" a="1"/>
  <c r="F30" i="3" a="1"/>
  <c r="F87" i="3" a="1"/>
  <c r="F102" i="3" a="1"/>
  <c r="F46" i="3" a="1"/>
  <c r="F100" i="3" a="1"/>
  <c r="F45" i="3" a="1"/>
  <c r="F29" i="3" a="1"/>
  <c r="F99" i="3" a="1"/>
  <c r="F43" i="3" a="1"/>
  <c r="F90" i="3" a="1"/>
  <c r="F40" i="3" a="1"/>
  <c r="F111" i="3" a="1"/>
  <c r="F24" i="3" a="1"/>
  <c r="F77" i="3" a="1"/>
  <c r="F73" i="3" a="1"/>
  <c r="F35" i="3" a="1"/>
  <c r="F55" i="3" a="1"/>
  <c r="F79" i="3" a="1"/>
  <c r="F27" i="3" a="1"/>
  <c r="F92" i="3" a="1"/>
  <c r="F91" i="3" a="1"/>
  <c r="F38" i="3" a="1"/>
  <c r="F54" i="3" a="1"/>
  <c r="F62" i="3" a="1"/>
  <c r="F61" i="3" a="1"/>
  <c r="F113" i="3" a="1"/>
  <c r="F106" i="3" a="1"/>
  <c r="F89" i="3" a="1"/>
  <c r="F33" i="3" a="1"/>
  <c r="F52" i="3" a="1"/>
  <c r="F21" i="3" a="1"/>
  <c r="F84" i="3" a="1"/>
  <c r="F108" i="3" a="1"/>
  <c r="F15" i="3" a="1"/>
  <c r="F74" i="3" a="1"/>
  <c r="F25" i="3" a="1"/>
  <c r="F98" i="3" a="1"/>
  <c r="F82" i="3" a="1"/>
  <c r="F39" i="3" a="1"/>
  <c r="F23" i="3" a="1"/>
  <c r="F72" i="3" a="1"/>
  <c r="F83" i="3" a="1"/>
  <c r="F67" i="3" a="1"/>
  <c r="F110" i="3" a="1"/>
  <c r="F44" i="3" a="1"/>
  <c r="F70" i="3" a="1"/>
  <c r="F104" i="3" a="1"/>
  <c r="F65" i="3" a="1"/>
  <c r="F96" i="3" a="1"/>
  <c r="F68" i="3" a="1"/>
  <c r="F19" i="3" a="1"/>
  <c r="F63" i="3" a="1"/>
  <c r="F28" i="3" a="1"/>
  <c r="F95" i="3" a="1"/>
  <c r="D16" i="4" l="1"/>
  <c r="F95" i="3"/>
  <c r="F28" i="3"/>
  <c r="F63" i="3"/>
  <c r="F19" i="3"/>
  <c r="F68" i="3"/>
  <c r="F96" i="3"/>
  <c r="F65" i="3"/>
  <c r="F104" i="3"/>
  <c r="F70" i="3"/>
  <c r="F44" i="3"/>
  <c r="F110" i="3"/>
  <c r="F67" i="3"/>
  <c r="F83" i="3"/>
  <c r="F72" i="3"/>
  <c r="F23" i="3"/>
  <c r="F39" i="3"/>
  <c r="F82" i="3"/>
  <c r="F98" i="3"/>
  <c r="F25" i="3"/>
  <c r="F74" i="3"/>
  <c r="F15" i="3"/>
  <c r="F108" i="3"/>
  <c r="F84" i="3"/>
  <c r="F21" i="3"/>
  <c r="F52" i="3"/>
  <c r="F33" i="3"/>
  <c r="F89" i="3"/>
  <c r="F106" i="3"/>
  <c r="F113" i="3"/>
  <c r="F61" i="3"/>
  <c r="F62" i="3"/>
  <c r="F54" i="3"/>
  <c r="F38" i="3"/>
  <c r="F91" i="3"/>
  <c r="F92" i="3"/>
  <c r="F27" i="3"/>
  <c r="F79" i="3"/>
  <c r="F55" i="3"/>
  <c r="F35" i="3"/>
  <c r="F73" i="3"/>
  <c r="F77" i="3"/>
  <c r="F24" i="3"/>
  <c r="F111" i="3"/>
  <c r="F40" i="3"/>
  <c r="F90" i="3"/>
  <c r="F43" i="3"/>
  <c r="F99" i="3"/>
  <c r="F29" i="3"/>
  <c r="F45" i="3"/>
  <c r="F100" i="3"/>
  <c r="F46" i="3"/>
  <c r="F102" i="3"/>
  <c r="F87" i="3"/>
  <c r="F30" i="3"/>
  <c r="F93" i="3"/>
  <c r="F109" i="3"/>
  <c r="F101" i="3"/>
  <c r="F103" i="3"/>
  <c r="F71" i="3"/>
  <c r="F32" i="3"/>
  <c r="F59" i="3"/>
  <c r="F42" i="3"/>
  <c r="F31" i="3"/>
  <c r="F18" i="3"/>
  <c r="F34" i="3"/>
  <c r="F97" i="3"/>
  <c r="F56" i="3"/>
  <c r="F47" i="3"/>
  <c r="F51" i="3"/>
  <c r="F50" i="3"/>
  <c r="F86" i="3"/>
  <c r="F17" i="3"/>
  <c r="F16" i="3"/>
  <c r="F75" i="3"/>
  <c r="F49" i="3"/>
  <c r="F64" i="3"/>
  <c r="F53" i="3"/>
  <c r="F58" i="3"/>
  <c r="F78" i="3"/>
  <c r="F81" i="3"/>
  <c r="F60" i="3"/>
  <c r="F22" i="3"/>
  <c r="F88" i="3"/>
  <c r="F37" i="3"/>
  <c r="F80" i="3"/>
  <c r="F94" i="3"/>
  <c r="F114" i="3"/>
  <c r="F105" i="3"/>
  <c r="F107" i="3"/>
  <c r="F66" i="3"/>
  <c r="F69" i="3"/>
  <c r="F20" i="3"/>
  <c r="F26" i="3"/>
  <c r="F57" i="3"/>
  <c r="F41" i="3"/>
  <c r="F36" i="3"/>
  <c r="F112" i="3"/>
  <c r="F76" i="3"/>
  <c r="F48" i="3"/>
  <c r="F85" i="3"/>
  <c r="G95" i="3"/>
  <c r="G28" i="3"/>
  <c r="G63" i="3"/>
  <c r="G19" i="3"/>
  <c r="G68" i="3"/>
  <c r="G96" i="3"/>
  <c r="G65" i="3"/>
  <c r="G104" i="3"/>
  <c r="G70" i="3"/>
  <c r="G44" i="3"/>
  <c r="G110" i="3"/>
  <c r="G67" i="3"/>
  <c r="G83" i="3"/>
  <c r="G72" i="3"/>
  <c r="G23" i="3"/>
  <c r="G39" i="3"/>
  <c r="G82" i="3"/>
  <c r="G98" i="3"/>
  <c r="G25" i="3"/>
  <c r="G74" i="3"/>
  <c r="E115" i="3"/>
  <c r="G15" i="3"/>
  <c r="G108" i="3"/>
  <c r="G84" i="3"/>
  <c r="G21" i="3"/>
  <c r="G52" i="3"/>
  <c r="G33" i="3"/>
  <c r="G89" i="3"/>
  <c r="G106" i="3"/>
  <c r="G113" i="3"/>
  <c r="G61" i="3"/>
  <c r="G62" i="3"/>
  <c r="G54" i="3"/>
  <c r="G38" i="3"/>
  <c r="G91" i="3"/>
  <c r="G92" i="3"/>
  <c r="G27" i="3"/>
  <c r="G79" i="3"/>
  <c r="G55" i="3"/>
  <c r="G35" i="3"/>
  <c r="G73" i="3"/>
  <c r="G77" i="3"/>
  <c r="G24" i="3"/>
  <c r="G111" i="3"/>
  <c r="G40" i="3"/>
  <c r="G90" i="3"/>
  <c r="G43" i="3"/>
  <c r="G99" i="3"/>
  <c r="G29" i="3"/>
  <c r="G45" i="3"/>
  <c r="G100" i="3"/>
  <c r="G46" i="3"/>
  <c r="G102" i="3"/>
  <c r="G87" i="3"/>
  <c r="G30" i="3"/>
  <c r="G93" i="3"/>
  <c r="G109" i="3"/>
  <c r="G101" i="3"/>
  <c r="G103" i="3"/>
  <c r="G71" i="3"/>
  <c r="G32" i="3"/>
  <c r="G59" i="3"/>
  <c r="G42" i="3"/>
  <c r="G31" i="3"/>
  <c r="G18" i="3"/>
  <c r="G34" i="3"/>
  <c r="G97" i="3"/>
  <c r="G56" i="3"/>
  <c r="G47" i="3"/>
  <c r="G51" i="3"/>
  <c r="G50" i="3"/>
  <c r="G86" i="3"/>
  <c r="G17" i="3"/>
  <c r="G16" i="3"/>
  <c r="G75" i="3"/>
  <c r="G49" i="3"/>
  <c r="G64" i="3"/>
  <c r="G53" i="3"/>
  <c r="G58" i="3"/>
  <c r="G78" i="3"/>
  <c r="G81" i="3"/>
  <c r="G60" i="3"/>
  <c r="G22" i="3"/>
  <c r="G88" i="3"/>
  <c r="G37" i="3"/>
  <c r="G80" i="3"/>
  <c r="G94" i="3"/>
  <c r="G114" i="3"/>
  <c r="G105" i="3"/>
  <c r="G107" i="3"/>
  <c r="G66" i="3"/>
  <c r="G69" i="3"/>
  <c r="G20" i="3"/>
  <c r="G26" i="3"/>
  <c r="G57" i="3"/>
  <c r="G41" i="3"/>
  <c r="G36" i="3"/>
  <c r="G112" i="3"/>
  <c r="G76" i="3"/>
  <c r="G48" i="3"/>
  <c r="G85" i="3"/>
  <c r="E191" i="4" a="1"/>
  <c r="F191" i="4" a="1"/>
  <c r="D191" i="4" a="1"/>
  <c r="C191" i="4" a="1"/>
  <c r="E126" i="4" a="1"/>
  <c r="F126" i="4" a="1"/>
  <c r="C126" i="4" a="1"/>
  <c r="D126" i="4" a="1"/>
  <c r="E108" i="4" a="1"/>
  <c r="F108" i="4" a="1"/>
  <c r="C108" i="4" a="1"/>
  <c r="D108" i="4" a="1"/>
  <c r="F141" i="4" a="1"/>
  <c r="D141" i="4" a="1"/>
  <c r="C141" i="4" a="1"/>
  <c r="E141" i="4" a="1"/>
  <c r="F160" i="4" a="1"/>
  <c r="C160" i="4" a="1"/>
  <c r="D160" i="4" a="1"/>
  <c r="E160" i="4" a="1"/>
  <c r="D116" i="4" a="1"/>
  <c r="E116" i="4" a="1"/>
  <c r="F116" i="4" a="1"/>
  <c r="C116" i="4" a="1"/>
  <c r="E196" i="4" a="1"/>
  <c r="D196" i="4" a="1"/>
  <c r="F196" i="4" a="1"/>
  <c r="C196" i="4" a="1"/>
  <c r="C105" i="4" a="1"/>
  <c r="D105" i="4" a="1"/>
  <c r="E105" i="4" a="1"/>
  <c r="F105" i="4" a="1"/>
  <c r="E104" i="4" a="1"/>
  <c r="F104" i="4" a="1"/>
  <c r="C104" i="4" a="1"/>
  <c r="D104" i="4" a="1"/>
  <c r="E168" i="4" a="1"/>
  <c r="C168" i="4" a="1"/>
  <c r="D168" i="4" a="1"/>
  <c r="F168" i="4" a="1"/>
  <c r="F192" i="4" a="1"/>
  <c r="E192" i="4" a="1"/>
  <c r="C192" i="4" a="1"/>
  <c r="D192" i="4" a="1"/>
  <c r="C123" i="4" a="1"/>
  <c r="E123" i="4" a="1"/>
  <c r="F123" i="4" a="1"/>
  <c r="D123" i="4" a="1"/>
  <c r="C109" i="4" a="1"/>
  <c r="E109" i="4" a="1"/>
  <c r="F109" i="4" a="1"/>
  <c r="D109" i="4" a="1"/>
  <c r="C150" i="4" a="1"/>
  <c r="D150" i="4" a="1"/>
  <c r="E150" i="4" a="1"/>
  <c r="F150" i="4" a="1"/>
  <c r="D179" i="4" a="1"/>
  <c r="F179" i="4" a="1"/>
  <c r="C179" i="4" a="1"/>
  <c r="E179" i="4" a="1"/>
  <c r="C133" i="4" a="1"/>
  <c r="E133" i="4" a="1"/>
  <c r="D133" i="4" a="1"/>
  <c r="F133" i="4" a="1"/>
  <c r="C143" i="4" a="1"/>
  <c r="D143" i="4" a="1"/>
  <c r="F143" i="4" a="1"/>
  <c r="E143" i="4" a="1"/>
  <c r="D175" i="4" a="1"/>
  <c r="C175" i="4" a="1"/>
  <c r="F175" i="4" a="1"/>
  <c r="E175" i="4" a="1"/>
  <c r="D135" i="4" a="1"/>
  <c r="F135" i="4" a="1"/>
  <c r="E135" i="4" a="1"/>
  <c r="C135" i="4" a="1"/>
  <c r="C154" i="4" a="1"/>
  <c r="F154" i="4" a="1"/>
  <c r="D154" i="4" a="1"/>
  <c r="E154" i="4" a="1"/>
  <c r="E114" i="4" a="1"/>
  <c r="D114" i="4" a="1"/>
  <c r="F114" i="4" a="1"/>
  <c r="C114" i="4" a="1"/>
  <c r="F127" i="4" a="1"/>
  <c r="D127" i="4" a="1"/>
  <c r="C127" i="4" a="1"/>
  <c r="E127" i="4" a="1"/>
  <c r="C119" i="4" a="1"/>
  <c r="F119" i="4" a="1"/>
  <c r="D119" i="4" a="1"/>
  <c r="E119" i="4" a="1"/>
  <c r="E134" i="4" a="1"/>
  <c r="D134" i="4" a="1"/>
  <c r="F134" i="4" a="1"/>
  <c r="C134" i="4" a="1"/>
  <c r="D124" i="4" a="1"/>
  <c r="C124" i="4" a="1"/>
  <c r="E124" i="4" a="1"/>
  <c r="F124" i="4" a="1"/>
  <c r="D107" i="4" a="1"/>
  <c r="F107" i="4" a="1"/>
  <c r="C107" i="4" a="1"/>
  <c r="E107" i="4" a="1"/>
  <c r="E102" i="4" a="1"/>
  <c r="D102" i="4" a="1"/>
  <c r="F102" i="4" a="1"/>
  <c r="C102" i="4" a="1"/>
  <c r="D177" i="4" a="1"/>
  <c r="F177" i="4" a="1"/>
  <c r="E177" i="4" a="1"/>
  <c r="C177" i="4" a="1"/>
  <c r="D146" i="4" a="1"/>
  <c r="E146" i="4" a="1"/>
  <c r="C146" i="4" a="1"/>
  <c r="F146" i="4" a="1"/>
  <c r="C167" i="4" a="1"/>
  <c r="D167" i="4" a="1"/>
  <c r="F167" i="4" a="1"/>
  <c r="E167" i="4" a="1"/>
  <c r="E159" i="4" a="1"/>
  <c r="F159" i="4" a="1"/>
  <c r="C159" i="4" a="1"/>
  <c r="D159" i="4" a="1"/>
  <c r="F130" i="4" a="1"/>
  <c r="C130" i="4" a="1"/>
  <c r="E130" i="4" a="1"/>
  <c r="D130" i="4" a="1"/>
  <c r="D137" i="4" a="1"/>
  <c r="F137" i="4" a="1"/>
  <c r="E137" i="4" a="1"/>
  <c r="C137" i="4" a="1"/>
  <c r="C181" i="4" a="1"/>
  <c r="D181" i="4" a="1"/>
  <c r="F181" i="4" a="1"/>
  <c r="E181" i="4" a="1"/>
  <c r="C152" i="4" a="1"/>
  <c r="D152" i="4" a="1"/>
  <c r="E152" i="4" a="1"/>
  <c r="F152" i="4" a="1"/>
  <c r="E186" i="4" a="1"/>
  <c r="F186" i="4" a="1"/>
  <c r="C186" i="4" a="1"/>
  <c r="D186" i="4" a="1"/>
  <c r="D201" i="4" a="1"/>
  <c r="F201" i="4" a="1"/>
  <c r="E201" i="4" a="1"/>
  <c r="C201" i="4" a="1"/>
  <c r="E182" i="4" a="1"/>
  <c r="F182" i="4" a="1"/>
  <c r="C182" i="4" a="1"/>
  <c r="D182" i="4" a="1"/>
  <c r="C157" i="4" a="1"/>
  <c r="D157" i="4" a="1"/>
  <c r="E157" i="4" a="1"/>
  <c r="F157" i="4" a="1"/>
  <c r="E169" i="4" a="1"/>
  <c r="D169" i="4" a="1"/>
  <c r="F169" i="4" a="1"/>
  <c r="C169" i="4" a="1"/>
  <c r="E139" i="4" a="1"/>
  <c r="C139" i="4" a="1"/>
  <c r="D139" i="4" a="1"/>
  <c r="F139" i="4" a="1"/>
  <c r="C125" i="4" a="1"/>
  <c r="E125" i="4" a="1"/>
  <c r="F125" i="4" a="1"/>
  <c r="D125" i="4" a="1"/>
  <c r="C164" i="4" a="1"/>
  <c r="E164" i="4" a="1"/>
  <c r="D164" i="4" a="1"/>
  <c r="F164" i="4" a="1"/>
  <c r="C132" i="4" a="1"/>
  <c r="D132" i="4" a="1"/>
  <c r="F132" i="4" a="1"/>
  <c r="E132" i="4" a="1"/>
  <c r="E188" i="4" a="1"/>
  <c r="F188" i="4" a="1"/>
  <c r="C188" i="4" a="1"/>
  <c r="D188" i="4" a="1"/>
  <c r="C121" i="4" a="1"/>
  <c r="F121" i="4" a="1"/>
  <c r="E121" i="4" a="1"/>
  <c r="D121" i="4" a="1"/>
  <c r="D103" i="4" a="1"/>
  <c r="F103" i="4" a="1"/>
  <c r="C103" i="4" a="1"/>
  <c r="E103" i="4" a="1"/>
  <c r="C147" i="4" a="1"/>
  <c r="D147" i="4" a="1"/>
  <c r="E147" i="4" a="1"/>
  <c r="F147" i="4" a="1"/>
  <c r="C194" i="4" a="1"/>
  <c r="E194" i="4" a="1"/>
  <c r="F194" i="4" a="1"/>
  <c r="D194" i="4" a="1"/>
  <c r="F199" i="4" a="1"/>
  <c r="D199" i="4" a="1"/>
  <c r="C199" i="4" a="1"/>
  <c r="E199" i="4" a="1"/>
  <c r="F115" i="4" a="1"/>
  <c r="C115" i="4" a="1"/>
  <c r="D115" i="4" a="1"/>
  <c r="E115" i="4" a="1"/>
  <c r="E131" i="4" a="1"/>
  <c r="C131" i="4" a="1"/>
  <c r="D131" i="4" a="1"/>
  <c r="F131" i="4" a="1"/>
  <c r="D185" i="4" a="1"/>
  <c r="F185" i="4" a="1"/>
  <c r="C185" i="4" a="1"/>
  <c r="E185" i="4" a="1"/>
  <c r="F120" i="4" a="1"/>
  <c r="D120" i="4" a="1"/>
  <c r="E120" i="4" a="1"/>
  <c r="C120" i="4" a="1"/>
  <c r="C178" i="4" a="1"/>
  <c r="F178" i="4" a="1"/>
  <c r="D178" i="4" a="1"/>
  <c r="E178" i="4" a="1"/>
  <c r="D111" i="4" a="1"/>
  <c r="C111" i="4" a="1"/>
  <c r="F111" i="4" a="1"/>
  <c r="E111" i="4" a="1"/>
  <c r="D187" i="4" a="1"/>
  <c r="C187" i="4" a="1"/>
  <c r="E187" i="4" a="1"/>
  <c r="F187" i="4" a="1"/>
  <c r="F190" i="4" a="1"/>
  <c r="C190" i="4" a="1"/>
  <c r="E190" i="4" a="1"/>
  <c r="D190" i="4" a="1"/>
  <c r="F184" i="4" a="1"/>
  <c r="E184" i="4" a="1"/>
  <c r="D184" i="4" a="1"/>
  <c r="C184" i="4" a="1"/>
  <c r="C162" i="4" a="1"/>
  <c r="E162" i="4" a="1"/>
  <c r="D162" i="4" a="1"/>
  <c r="F162" i="4" a="1"/>
  <c r="F153" i="4" a="1"/>
  <c r="C153" i="4" a="1"/>
  <c r="D153" i="4" a="1"/>
  <c r="E153" i="4" a="1"/>
  <c r="E163" i="4" a="1"/>
  <c r="D163" i="4" a="1"/>
  <c r="F163" i="4" a="1"/>
  <c r="C163" i="4" a="1"/>
  <c r="C197" i="4" a="1"/>
  <c r="E197" i="4" a="1"/>
  <c r="D197" i="4" a="1"/>
  <c r="F197" i="4" a="1"/>
  <c r="D112" i="4" a="1"/>
  <c r="F112" i="4" a="1"/>
  <c r="E112" i="4" a="1"/>
  <c r="C112" i="4" a="1"/>
  <c r="D176" i="4" a="1"/>
  <c r="F176" i="4" a="1"/>
  <c r="E176" i="4" a="1"/>
  <c r="C176" i="4" a="1"/>
  <c r="F198" i="4" a="1"/>
  <c r="C198" i="4" a="1"/>
  <c r="E198" i="4" a="1"/>
  <c r="D198" i="4" a="1"/>
  <c r="C158" i="4" a="1"/>
  <c r="D158" i="4" a="1"/>
  <c r="F158" i="4" a="1"/>
  <c r="E158" i="4" a="1"/>
  <c r="C136" i="4" a="1"/>
  <c r="E136" i="4" a="1"/>
  <c r="D136" i="4" a="1"/>
  <c r="F136" i="4" a="1"/>
  <c r="F156" i="4" a="1"/>
  <c r="E156" i="4" a="1"/>
  <c r="C156" i="4" a="1"/>
  <c r="D156" i="4" a="1"/>
  <c r="E106" i="4" a="1"/>
  <c r="C106" i="4" a="1"/>
  <c r="F106" i="4" a="1"/>
  <c r="D106" i="4" a="1"/>
  <c r="C193" i="4" a="1"/>
  <c r="F193" i="4" a="1"/>
  <c r="E193" i="4" a="1"/>
  <c r="D193" i="4" a="1"/>
  <c r="C189" i="4" a="1"/>
  <c r="E189" i="4" a="1"/>
  <c r="F189" i="4" a="1"/>
  <c r="D189" i="4" a="1"/>
  <c r="E151" i="4" a="1"/>
  <c r="C151" i="4" a="1"/>
  <c r="D151" i="4" a="1"/>
  <c r="F151" i="4" a="1"/>
  <c r="D172" i="4" a="1"/>
  <c r="C172" i="4" a="1"/>
  <c r="F172" i="4" a="1"/>
  <c r="E172" i="4" a="1"/>
  <c r="D170" i="4" a="1"/>
  <c r="E170" i="4" a="1"/>
  <c r="C170" i="4" a="1"/>
  <c r="F170" i="4" a="1"/>
  <c r="E200" i="4" a="1"/>
  <c r="C200" i="4" a="1"/>
  <c r="D200" i="4" a="1"/>
  <c r="F200" i="4" a="1"/>
  <c r="D174" i="4" a="1"/>
  <c r="E174" i="4" a="1"/>
  <c r="C174" i="4" a="1"/>
  <c r="F174" i="4" a="1"/>
  <c r="D138" i="4" a="1"/>
  <c r="F138" i="4" a="1"/>
  <c r="E138" i="4" a="1"/>
  <c r="C138" i="4" a="1"/>
  <c r="C113" i="4" a="1"/>
  <c r="F113" i="4" a="1"/>
  <c r="D113" i="4" a="1"/>
  <c r="E113" i="4" a="1"/>
  <c r="F195" i="4" a="1"/>
  <c r="E195" i="4" a="1"/>
  <c r="C195" i="4" a="1"/>
  <c r="D195" i="4" a="1"/>
  <c r="D142" i="4" a="1"/>
  <c r="C142" i="4" a="1"/>
  <c r="F142" i="4" a="1"/>
  <c r="E142" i="4" a="1"/>
  <c r="F117" i="4" a="1"/>
  <c r="D117" i="4" a="1"/>
  <c r="E117" i="4" a="1"/>
  <c r="C117" i="4" a="1"/>
  <c r="E145" i="4" a="1"/>
  <c r="C145" i="4" a="1"/>
  <c r="D145" i="4" a="1"/>
  <c r="F145" i="4" a="1"/>
  <c r="D110" i="4" a="1"/>
  <c r="E110" i="4" a="1"/>
  <c r="C110" i="4" a="1"/>
  <c r="F110" i="4" a="1"/>
  <c r="C122" i="4" a="1"/>
  <c r="E122" i="4" a="1"/>
  <c r="F122" i="4" a="1"/>
  <c r="D122" i="4" a="1"/>
  <c r="F118" i="4" a="1"/>
  <c r="E118" i="4" a="1"/>
  <c r="C118" i="4" a="1"/>
  <c r="D118" i="4" a="1"/>
  <c r="E173" i="4" a="1"/>
  <c r="F173" i="4" a="1"/>
  <c r="C173" i="4" a="1"/>
  <c r="D173" i="4" a="1"/>
  <c r="E128" i="4" a="1"/>
  <c r="F128" i="4" a="1"/>
  <c r="C128" i="4" a="1"/>
  <c r="D128" i="4" a="1"/>
  <c r="C161" i="4" a="1"/>
  <c r="D161" i="4" a="1"/>
  <c r="F161" i="4" a="1"/>
  <c r="E161" i="4" a="1"/>
  <c r="F155" i="4" a="1"/>
  <c r="E155" i="4" a="1"/>
  <c r="C155" i="4" a="1"/>
  <c r="D155" i="4" a="1"/>
  <c r="C166" i="4" a="1"/>
  <c r="F166" i="4" a="1"/>
  <c r="E166" i="4" a="1"/>
  <c r="D166" i="4" a="1"/>
  <c r="C140" i="4" a="1"/>
  <c r="D140" i="4" a="1"/>
  <c r="F140" i="4" a="1"/>
  <c r="E140" i="4" a="1"/>
  <c r="D183" i="4" a="1"/>
  <c r="E183" i="4" a="1"/>
  <c r="C183" i="4" a="1"/>
  <c r="F183" i="4" a="1"/>
  <c r="F148" i="4" a="1"/>
  <c r="D148" i="4" a="1"/>
  <c r="E148" i="4" a="1"/>
  <c r="C148" i="4" a="1"/>
  <c r="E129" i="4" a="1"/>
  <c r="C129" i="4" a="1"/>
  <c r="D129" i="4" a="1"/>
  <c r="F129" i="4" a="1"/>
  <c r="E144" i="4" a="1"/>
  <c r="C144" i="4" a="1"/>
  <c r="D144" i="4" a="1"/>
  <c r="F144" i="4" a="1"/>
  <c r="C171" i="4" a="1"/>
  <c r="D171" i="4" a="1"/>
  <c r="F171" i="4" a="1"/>
  <c r="E171" i="4" a="1"/>
  <c r="D149" i="4" a="1"/>
  <c r="C149" i="4" a="1"/>
  <c r="F149" i="4" a="1"/>
  <c r="E149" i="4" a="1"/>
  <c r="C180" i="4" a="1"/>
  <c r="D180" i="4" a="1"/>
  <c r="F180" i="4" a="1"/>
  <c r="E180" i="4" a="1"/>
  <c r="E165" i="4" a="1"/>
  <c r="C165" i="4" a="1"/>
  <c r="F165" i="4" a="1"/>
  <c r="D165" i="4" a="1"/>
  <c r="D165" i="4" l="1"/>
  <c r="F165" i="4"/>
  <c r="C165" i="4"/>
  <c r="E165" i="4"/>
  <c r="E180" i="4"/>
  <c r="F180" i="4"/>
  <c r="D180" i="4"/>
  <c r="C180" i="4"/>
  <c r="E149" i="4"/>
  <c r="F149" i="4"/>
  <c r="C149" i="4"/>
  <c r="D149" i="4"/>
  <c r="E171" i="4"/>
  <c r="F171" i="4"/>
  <c r="D171" i="4"/>
  <c r="C171" i="4"/>
  <c r="F144" i="4"/>
  <c r="D144" i="4"/>
  <c r="C144" i="4"/>
  <c r="E144" i="4"/>
  <c r="F129" i="4"/>
  <c r="D129" i="4"/>
  <c r="C129" i="4"/>
  <c r="E129" i="4"/>
  <c r="C148" i="4"/>
  <c r="E148" i="4"/>
  <c r="D148" i="4"/>
  <c r="F148" i="4"/>
  <c r="F183" i="4"/>
  <c r="C183" i="4"/>
  <c r="E183" i="4"/>
  <c r="D183" i="4"/>
  <c r="E140" i="4"/>
  <c r="F140" i="4"/>
  <c r="D140" i="4"/>
  <c r="C140" i="4"/>
  <c r="D166" i="4"/>
  <c r="E166" i="4"/>
  <c r="F166" i="4"/>
  <c r="C166" i="4"/>
  <c r="D155" i="4"/>
  <c r="C155" i="4"/>
  <c r="E155" i="4"/>
  <c r="F155" i="4"/>
  <c r="E161" i="4"/>
  <c r="F161" i="4"/>
  <c r="D161" i="4"/>
  <c r="C161" i="4"/>
  <c r="D128" i="4"/>
  <c r="C128" i="4"/>
  <c r="F128" i="4"/>
  <c r="E128" i="4"/>
  <c r="D173" i="4"/>
  <c r="C173" i="4"/>
  <c r="F173" i="4"/>
  <c r="E173" i="4"/>
  <c r="D118" i="4"/>
  <c r="C118" i="4"/>
  <c r="E118" i="4"/>
  <c r="F118" i="4"/>
  <c r="D122" i="4"/>
  <c r="F122" i="4"/>
  <c r="E122" i="4"/>
  <c r="C122" i="4"/>
  <c r="F110" i="4"/>
  <c r="C110" i="4"/>
  <c r="E110" i="4"/>
  <c r="D110" i="4"/>
  <c r="F145" i="4"/>
  <c r="D145" i="4"/>
  <c r="C145" i="4"/>
  <c r="E145" i="4"/>
  <c r="C117" i="4"/>
  <c r="E117" i="4"/>
  <c r="D117" i="4"/>
  <c r="F117" i="4"/>
  <c r="E142" i="4"/>
  <c r="F142" i="4"/>
  <c r="C142" i="4"/>
  <c r="D142" i="4"/>
  <c r="D195" i="4"/>
  <c r="C195" i="4"/>
  <c r="E195" i="4"/>
  <c r="F195" i="4"/>
  <c r="E113" i="4"/>
  <c r="D113" i="4"/>
  <c r="F113" i="4"/>
  <c r="C113" i="4"/>
  <c r="C138" i="4"/>
  <c r="E138" i="4"/>
  <c r="F138" i="4"/>
  <c r="D138" i="4"/>
  <c r="F174" i="4"/>
  <c r="C174" i="4"/>
  <c r="E174" i="4"/>
  <c r="D174" i="4"/>
  <c r="F200" i="4"/>
  <c r="D200" i="4"/>
  <c r="C200" i="4"/>
  <c r="E200" i="4"/>
  <c r="F170" i="4"/>
  <c r="C170" i="4"/>
  <c r="E170" i="4"/>
  <c r="D170" i="4"/>
  <c r="E172" i="4"/>
  <c r="F172" i="4"/>
  <c r="C172" i="4"/>
  <c r="D172" i="4"/>
  <c r="F151" i="4"/>
  <c r="D151" i="4"/>
  <c r="C151" i="4"/>
  <c r="E151" i="4"/>
  <c r="D189" i="4"/>
  <c r="F189" i="4"/>
  <c r="E189" i="4"/>
  <c r="C189" i="4"/>
  <c r="D193" i="4"/>
  <c r="E193" i="4"/>
  <c r="F193" i="4"/>
  <c r="C193" i="4"/>
  <c r="D106" i="4"/>
  <c r="F106" i="4"/>
  <c r="C106" i="4"/>
  <c r="E106" i="4"/>
  <c r="D156" i="4"/>
  <c r="C156" i="4"/>
  <c r="E156" i="4"/>
  <c r="F156" i="4"/>
  <c r="F136" i="4"/>
  <c r="D136" i="4"/>
  <c r="E136" i="4"/>
  <c r="C136" i="4"/>
  <c r="E158" i="4"/>
  <c r="F158" i="4"/>
  <c r="D158" i="4"/>
  <c r="C158" i="4"/>
  <c r="D198" i="4"/>
  <c r="E198" i="4"/>
  <c r="C198" i="4"/>
  <c r="F198" i="4"/>
  <c r="C176" i="4"/>
  <c r="E176" i="4"/>
  <c r="F176" i="4"/>
  <c r="D176" i="4"/>
  <c r="C112" i="4"/>
  <c r="E112" i="4"/>
  <c r="F112" i="4"/>
  <c r="D112" i="4"/>
  <c r="F197" i="4"/>
  <c r="D197" i="4"/>
  <c r="E197" i="4"/>
  <c r="C197" i="4"/>
  <c r="C163" i="4"/>
  <c r="F163" i="4"/>
  <c r="D163" i="4"/>
  <c r="E163" i="4"/>
  <c r="E153" i="4"/>
  <c r="D153" i="4"/>
  <c r="C153" i="4"/>
  <c r="F153" i="4"/>
  <c r="F162" i="4"/>
  <c r="D162" i="4"/>
  <c r="E162" i="4"/>
  <c r="C162" i="4"/>
  <c r="C184" i="4"/>
  <c r="D184" i="4"/>
  <c r="E184" i="4"/>
  <c r="F184" i="4"/>
  <c r="D190" i="4"/>
  <c r="E190" i="4"/>
  <c r="C190" i="4"/>
  <c r="F190" i="4"/>
  <c r="F187" i="4"/>
  <c r="E187" i="4"/>
  <c r="C187" i="4"/>
  <c r="D187" i="4"/>
  <c r="E111" i="4"/>
  <c r="F111" i="4"/>
  <c r="C111" i="4"/>
  <c r="D111" i="4"/>
  <c r="E178" i="4"/>
  <c r="D178" i="4"/>
  <c r="F178" i="4"/>
  <c r="C178" i="4"/>
  <c r="C120" i="4"/>
  <c r="E120" i="4"/>
  <c r="D120" i="4"/>
  <c r="F120" i="4"/>
  <c r="E185" i="4"/>
  <c r="C185" i="4"/>
  <c r="F185" i="4"/>
  <c r="D185" i="4"/>
  <c r="F131" i="4"/>
  <c r="D131" i="4"/>
  <c r="C131" i="4"/>
  <c r="E131" i="4"/>
  <c r="E115" i="4"/>
  <c r="D115" i="4"/>
  <c r="C115" i="4"/>
  <c r="F115" i="4"/>
  <c r="E199" i="4"/>
  <c r="C199" i="4"/>
  <c r="D199" i="4"/>
  <c r="F199" i="4"/>
  <c r="D194" i="4"/>
  <c r="F194" i="4"/>
  <c r="E194" i="4"/>
  <c r="C194" i="4"/>
  <c r="F147" i="4"/>
  <c r="E147" i="4"/>
  <c r="D147" i="4"/>
  <c r="C147" i="4"/>
  <c r="E103" i="4"/>
  <c r="C103" i="4"/>
  <c r="F103" i="4"/>
  <c r="D103" i="4"/>
  <c r="D121" i="4"/>
  <c r="E121" i="4"/>
  <c r="F121" i="4"/>
  <c r="C121" i="4"/>
  <c r="D188" i="4"/>
  <c r="C188" i="4"/>
  <c r="F188" i="4"/>
  <c r="E188" i="4"/>
  <c r="E132" i="4"/>
  <c r="F132" i="4"/>
  <c r="D132" i="4"/>
  <c r="C132" i="4"/>
  <c r="F164" i="4"/>
  <c r="D164" i="4"/>
  <c r="E164" i="4"/>
  <c r="C164" i="4"/>
  <c r="D125" i="4"/>
  <c r="F125" i="4"/>
  <c r="E125" i="4"/>
  <c r="C125" i="4"/>
  <c r="F139" i="4"/>
  <c r="D139" i="4"/>
  <c r="C139" i="4"/>
  <c r="E139" i="4"/>
  <c r="C169" i="4"/>
  <c r="F169" i="4"/>
  <c r="D169" i="4"/>
  <c r="E169" i="4"/>
  <c r="F157" i="4"/>
  <c r="E157" i="4"/>
  <c r="D157" i="4"/>
  <c r="C157" i="4"/>
  <c r="D182" i="4"/>
  <c r="C182" i="4"/>
  <c r="F182" i="4"/>
  <c r="E182" i="4"/>
  <c r="C201" i="4"/>
  <c r="E201" i="4"/>
  <c r="F201" i="4"/>
  <c r="D201" i="4"/>
  <c r="D186" i="4"/>
  <c r="C186" i="4"/>
  <c r="F186" i="4"/>
  <c r="E186" i="4"/>
  <c r="F152" i="4"/>
  <c r="E152" i="4"/>
  <c r="D152" i="4"/>
  <c r="C152" i="4"/>
  <c r="E181" i="4"/>
  <c r="F181" i="4"/>
  <c r="D181" i="4"/>
  <c r="C181" i="4"/>
  <c r="C137" i="4"/>
  <c r="E137" i="4"/>
  <c r="F137" i="4"/>
  <c r="D137" i="4"/>
  <c r="D130" i="4"/>
  <c r="E130" i="4"/>
  <c r="C130" i="4"/>
  <c r="F130" i="4"/>
  <c r="D159" i="4"/>
  <c r="C159" i="4"/>
  <c r="F159" i="4"/>
  <c r="E159" i="4"/>
  <c r="E167" i="4"/>
  <c r="F167" i="4"/>
  <c r="D167" i="4"/>
  <c r="C167" i="4"/>
  <c r="F146" i="4"/>
  <c r="C146" i="4"/>
  <c r="E146" i="4"/>
  <c r="D146" i="4"/>
  <c r="C177" i="4"/>
  <c r="E177" i="4"/>
  <c r="F177" i="4"/>
  <c r="D177" i="4"/>
  <c r="C102" i="4"/>
  <c r="F102" i="4"/>
  <c r="D102" i="4"/>
  <c r="E102" i="4"/>
  <c r="E107" i="4"/>
  <c r="C107" i="4"/>
  <c r="F107" i="4"/>
  <c r="D107" i="4"/>
  <c r="F124" i="4"/>
  <c r="E124" i="4"/>
  <c r="C124" i="4"/>
  <c r="D124" i="4"/>
  <c r="C134" i="4"/>
  <c r="F134" i="4"/>
  <c r="D134" i="4"/>
  <c r="E134" i="4"/>
  <c r="E119" i="4"/>
  <c r="D119" i="4"/>
  <c r="F119" i="4"/>
  <c r="C119" i="4"/>
  <c r="E127" i="4"/>
  <c r="C127" i="4"/>
  <c r="D127" i="4"/>
  <c r="F127" i="4"/>
  <c r="C114" i="4"/>
  <c r="F114" i="4"/>
  <c r="D114" i="4"/>
  <c r="E114" i="4"/>
  <c r="E154" i="4"/>
  <c r="D154" i="4"/>
  <c r="F154" i="4"/>
  <c r="C154" i="4"/>
  <c r="C135" i="4"/>
  <c r="E135" i="4"/>
  <c r="F135" i="4"/>
  <c r="D135" i="4"/>
  <c r="E175" i="4"/>
  <c r="F175" i="4"/>
  <c r="C175" i="4"/>
  <c r="D175" i="4"/>
  <c r="E143" i="4"/>
  <c r="F143" i="4"/>
  <c r="D143" i="4"/>
  <c r="C143" i="4"/>
  <c r="F133" i="4"/>
  <c r="D133" i="4"/>
  <c r="E133" i="4"/>
  <c r="C133" i="4"/>
  <c r="E179" i="4"/>
  <c r="C179" i="4"/>
  <c r="F179" i="4"/>
  <c r="D179" i="4"/>
  <c r="F150" i="4"/>
  <c r="E150" i="4"/>
  <c r="D150" i="4"/>
  <c r="C150" i="4"/>
  <c r="D109" i="4"/>
  <c r="F109" i="4"/>
  <c r="E109" i="4"/>
  <c r="C109" i="4"/>
  <c r="D123" i="4"/>
  <c r="F123" i="4"/>
  <c r="E123" i="4"/>
  <c r="C123" i="4"/>
  <c r="D192" i="4"/>
  <c r="C192" i="4"/>
  <c r="E192" i="4"/>
  <c r="F192" i="4"/>
  <c r="F168" i="4"/>
  <c r="D168" i="4"/>
  <c r="C168" i="4"/>
  <c r="E168" i="4"/>
  <c r="D104" i="4"/>
  <c r="C104" i="4"/>
  <c r="F104" i="4"/>
  <c r="E104" i="4"/>
  <c r="F105" i="4"/>
  <c r="E105" i="4"/>
  <c r="D105" i="4"/>
  <c r="C105" i="4"/>
  <c r="C196" i="4"/>
  <c r="F196" i="4"/>
  <c r="D196" i="4"/>
  <c r="E196" i="4"/>
  <c r="C116" i="4"/>
  <c r="F116" i="4"/>
  <c r="E116" i="4"/>
  <c r="D116" i="4"/>
  <c r="E160" i="4"/>
  <c r="D160" i="4"/>
  <c r="C160" i="4"/>
  <c r="F160" i="4"/>
  <c r="E141" i="4"/>
  <c r="C141" i="4"/>
  <c r="D141" i="4"/>
  <c r="F141" i="4"/>
  <c r="D108" i="4"/>
  <c r="C108" i="4"/>
  <c r="F108" i="4"/>
  <c r="E108" i="4"/>
  <c r="D126" i="4"/>
  <c r="C126" i="4"/>
  <c r="F126" i="4"/>
  <c r="E126" i="4"/>
  <c r="C191" i="4"/>
  <c r="D191" i="4"/>
  <c r="F191" i="4"/>
  <c r="E191" i="4"/>
  <c r="G115" i="3"/>
  <c r="F121" i="3" s="1" a="1"/>
  <c r="F121" i="3" s="1"/>
  <c r="F115" i="3"/>
  <c r="F120" i="3" s="1" a="1"/>
  <c r="F120" i="3" s="1"/>
  <c r="D14" i="4" a="1"/>
  <c r="G20" i="4" a="1"/>
  <c r="E20" i="4" a="1"/>
  <c r="F20" i="4" a="1"/>
  <c r="D20" i="4" a="1"/>
  <c r="C251" i="4" a="1"/>
  <c r="C248" i="4" a="1"/>
  <c r="D95" i="4" a="1"/>
  <c r="C265" i="4" a="1"/>
  <c r="C283" i="4" a="1"/>
  <c r="C273" i="4" a="1"/>
  <c r="C243" i="4" a="1"/>
  <c r="C300" i="4" a="1"/>
  <c r="D53" i="4" a="1"/>
  <c r="C302" i="4" a="1"/>
  <c r="C212" i="4" a="1"/>
  <c r="C235" i="4" a="1"/>
  <c r="D60" i="4" a="1"/>
  <c r="C240" i="4" a="1"/>
  <c r="C205" i="4" a="1"/>
  <c r="D87" i="4" a="1"/>
  <c r="C257" i="4" a="1"/>
  <c r="D78" i="4" a="1"/>
  <c r="C260" i="4" a="1"/>
  <c r="D93" i="4" a="1"/>
  <c r="C214" i="4" a="1"/>
  <c r="F19" i="4" a="1"/>
  <c r="D56" i="4" a="1"/>
  <c r="D54" i="4" a="1"/>
  <c r="C244" i="4" a="1"/>
  <c r="D64" i="4" a="1"/>
  <c r="C222" i="4" a="1"/>
  <c r="C209" i="4" a="1"/>
  <c r="D98" i="4" a="1"/>
  <c r="C299" i="4" a="1"/>
  <c r="D61" i="4" a="1"/>
  <c r="C207" i="4" a="1"/>
  <c r="C211" i="4" a="1"/>
  <c r="C264" i="4" a="1"/>
  <c r="D97" i="4" a="1"/>
  <c r="C294" i="4" a="1"/>
  <c r="C267" i="4" a="1"/>
  <c r="C304" i="4" a="1"/>
  <c r="D85" i="4" a="1"/>
  <c r="D70" i="4" a="1"/>
  <c r="D83" i="4" a="1"/>
  <c r="C250" i="4" a="1"/>
  <c r="C295" i="4" a="1"/>
  <c r="C253" i="4" a="1"/>
  <c r="C228" i="4" a="1"/>
  <c r="B6" i="4" a="1"/>
  <c r="D51" i="4" a="1"/>
  <c r="D76" i="4" a="1"/>
  <c r="C268" i="4" a="1"/>
  <c r="C289" i="4" a="1"/>
  <c r="D62" i="4" a="1"/>
  <c r="D63" i="4" a="1"/>
  <c r="D80" i="4" a="1"/>
  <c r="C247" i="4" a="1"/>
  <c r="C233" i="4" a="1"/>
  <c r="D13" i="4" a="1"/>
  <c r="C266" i="4" a="1"/>
  <c r="D69" i="4" a="1"/>
  <c r="D82" i="4" a="1"/>
  <c r="D75" i="4" a="1"/>
  <c r="D59" i="4" a="1"/>
  <c r="D88" i="4" a="1"/>
  <c r="C278" i="4" a="1"/>
  <c r="C271" i="4" a="1"/>
  <c r="C280" i="4" a="1"/>
  <c r="C237" i="4" a="1"/>
  <c r="C297" i="4" a="1"/>
  <c r="D81" i="4" a="1"/>
  <c r="C231" i="4" a="1"/>
  <c r="C298" i="4" a="1"/>
  <c r="C239" i="4" a="1"/>
  <c r="C225" i="4" a="1"/>
  <c r="C242" i="4" a="1"/>
  <c r="D66" i="4" a="1"/>
  <c r="E19" i="4" a="1"/>
  <c r="C270" i="4" a="1"/>
  <c r="C272" i="4" a="1"/>
  <c r="C293" i="4" a="1"/>
  <c r="D65" i="4" a="1"/>
  <c r="G19" i="4" a="1"/>
  <c r="D94" i="4" a="1"/>
  <c r="C223" i="4" a="1"/>
  <c r="D79" i="4" a="1"/>
  <c r="C206" i="4" a="1"/>
  <c r="D96" i="4" a="1"/>
  <c r="C286" i="4" a="1"/>
  <c r="C279" i="4" a="1"/>
  <c r="C296" i="4" a="1"/>
  <c r="C241" i="4" a="1"/>
  <c r="C301" i="4" a="1"/>
  <c r="D19" i="4" a="1"/>
  <c r="D73" i="4" a="1"/>
  <c r="C291" i="4" a="1"/>
  <c r="D57" i="4" a="1"/>
  <c r="C258" i="4" a="1"/>
  <c r="D91" i="4" a="1"/>
  <c r="C274" i="4" a="1"/>
  <c r="D84" i="4" a="1"/>
  <c r="C220" i="4" a="1"/>
  <c r="C234" i="4" a="1"/>
  <c r="C287" i="4" a="1"/>
  <c r="C276" i="4" a="1"/>
  <c r="C221" i="4" a="1"/>
  <c r="C261" i="4" a="1"/>
  <c r="C275" i="4" a="1"/>
  <c r="C219" i="4" a="1"/>
  <c r="C232" i="4" a="1"/>
  <c r="D90" i="4" a="1"/>
  <c r="D89" i="4" a="1"/>
  <c r="D55" i="4" a="1"/>
  <c r="C236" i="4" a="1"/>
  <c r="D52" i="4" a="1"/>
  <c r="D92" i="4" a="1"/>
  <c r="C262" i="4" a="1"/>
  <c r="C215" i="4" a="1"/>
  <c r="C303" i="4" a="1"/>
  <c r="C292" i="4" a="1"/>
  <c r="C229" i="4" a="1"/>
  <c r="C269" i="4" a="1"/>
  <c r="D77" i="4" a="1"/>
  <c r="D86" i="4" a="1"/>
  <c r="C210" i="4" a="1"/>
  <c r="C282" i="4" a="1"/>
  <c r="C204" i="4" a="1"/>
  <c r="D67" i="4" a="1"/>
  <c r="D99" i="4" a="1"/>
  <c r="C226" i="4" a="1"/>
  <c r="D68" i="4" a="1"/>
  <c r="C218" i="4" a="1"/>
  <c r="C246" i="4" a="1"/>
  <c r="C208" i="4" a="1"/>
  <c r="C255" i="4" a="1"/>
  <c r="C252" i="4" a="1"/>
  <c r="C284" i="4" a="1"/>
  <c r="C213" i="4" a="1"/>
  <c r="C245" i="4" a="1"/>
  <c r="C281" i="4" a="1"/>
  <c r="C290" i="4" a="1"/>
  <c r="D58" i="4" a="1"/>
  <c r="D74" i="4" a="1"/>
  <c r="C230" i="4" a="1"/>
  <c r="D50" i="4" a="1"/>
  <c r="C224" i="4" a="1"/>
  <c r="D71" i="4" a="1"/>
  <c r="C216" i="4" a="1"/>
  <c r="C259" i="4" a="1"/>
  <c r="D72" i="4" a="1"/>
  <c r="C238" i="4" a="1"/>
  <c r="C254" i="4" a="1"/>
  <c r="C227" i="4" a="1"/>
  <c r="C263" i="4" a="1"/>
  <c r="C256" i="4" a="1"/>
  <c r="C288" i="4" a="1"/>
  <c r="C217" i="4" a="1"/>
  <c r="C249" i="4" a="1"/>
  <c r="C285" i="4" a="1"/>
  <c r="C277" i="4" a="1"/>
  <c r="C277" i="4" l="1"/>
  <c r="C285" i="4"/>
  <c r="C249" i="4"/>
  <c r="C217" i="4"/>
  <c r="C288" i="4"/>
  <c r="C256" i="4"/>
  <c r="C263" i="4"/>
  <c r="C227" i="4"/>
  <c r="C254" i="4"/>
  <c r="C238" i="4"/>
  <c r="D72" i="4"/>
  <c r="C259" i="4"/>
  <c r="C216" i="4"/>
  <c r="D71" i="4"/>
  <c r="C224" i="4"/>
  <c r="D50" i="4"/>
  <c r="C230" i="4"/>
  <c r="D74" i="4"/>
  <c r="D58" i="4"/>
  <c r="C290" i="4"/>
  <c r="C281" i="4"/>
  <c r="C245" i="4"/>
  <c r="C213" i="4"/>
  <c r="C284" i="4"/>
  <c r="C252" i="4"/>
  <c r="C255" i="4"/>
  <c r="C208" i="4"/>
  <c r="C246" i="4"/>
  <c r="C218" i="4"/>
  <c r="D68" i="4"/>
  <c r="C226" i="4"/>
  <c r="D99" i="4"/>
  <c r="D67" i="4"/>
  <c r="C204" i="4"/>
  <c r="C282" i="4"/>
  <c r="C210" i="4"/>
  <c r="D86" i="4"/>
  <c r="D77" i="4"/>
  <c r="C269" i="4"/>
  <c r="C229" i="4"/>
  <c r="C292" i="4"/>
  <c r="C303" i="4"/>
  <c r="C215" i="4"/>
  <c r="C262" i="4"/>
  <c r="D92" i="4"/>
  <c r="D52" i="4"/>
  <c r="C236" i="4"/>
  <c r="D55" i="4"/>
  <c r="D89" i="4"/>
  <c r="D90" i="4"/>
  <c r="C232" i="4"/>
  <c r="C219" i="4"/>
  <c r="C275" i="4"/>
  <c r="C261" i="4"/>
  <c r="C221" i="4"/>
  <c r="C276" i="4"/>
  <c r="C287" i="4"/>
  <c r="C234" i="4"/>
  <c r="C220" i="4"/>
  <c r="D84" i="4"/>
  <c r="C274" i="4"/>
  <c r="D91" i="4"/>
  <c r="C258" i="4"/>
  <c r="D57" i="4"/>
  <c r="C291" i="4"/>
  <c r="D73" i="4"/>
  <c r="D19" i="4"/>
  <c r="C301" i="4"/>
  <c r="C241" i="4"/>
  <c r="C296" i="4"/>
  <c r="C279" i="4"/>
  <c r="C286" i="4"/>
  <c r="D96" i="4"/>
  <c r="C206" i="4"/>
  <c r="D79" i="4"/>
  <c r="C223" i="4"/>
  <c r="D94" i="4"/>
  <c r="G19" i="4"/>
  <c r="D65" i="4"/>
  <c r="C293" i="4"/>
  <c r="C272" i="4"/>
  <c r="C270" i="4"/>
  <c r="E19" i="4"/>
  <c r="D66" i="4"/>
  <c r="C242" i="4"/>
  <c r="C225" i="4"/>
  <c r="C239" i="4"/>
  <c r="C298" i="4"/>
  <c r="C231" i="4"/>
  <c r="D81" i="4"/>
  <c r="C297" i="4"/>
  <c r="C237" i="4"/>
  <c r="C280" i="4"/>
  <c r="C271" i="4"/>
  <c r="C278" i="4"/>
  <c r="D88" i="4"/>
  <c r="D59" i="4"/>
  <c r="D75" i="4"/>
  <c r="D82" i="4"/>
  <c r="D69" i="4"/>
  <c r="C266" i="4"/>
  <c r="D13" i="4"/>
  <c r="C233" i="4"/>
  <c r="C247" i="4"/>
  <c r="D80" i="4"/>
  <c r="D63" i="4"/>
  <c r="D62" i="4"/>
  <c r="C289" i="4"/>
  <c r="C268" i="4"/>
  <c r="D76" i="4"/>
  <c r="D51" i="4"/>
  <c r="B6" i="4"/>
  <c r="C228" i="4"/>
  <c r="C253" i="4"/>
  <c r="C295" i="4"/>
  <c r="C250" i="4"/>
  <c r="D83" i="4"/>
  <c r="D70" i="4"/>
  <c r="D85" i="4"/>
  <c r="C304" i="4"/>
  <c r="C267" i="4"/>
  <c r="C294" i="4"/>
  <c r="D97" i="4"/>
  <c r="C264" i="4"/>
  <c r="C211" i="4"/>
  <c r="C207" i="4"/>
  <c r="D61" i="4"/>
  <c r="C299" i="4"/>
  <c r="D98" i="4"/>
  <c r="C209" i="4"/>
  <c r="C222" i="4"/>
  <c r="D64" i="4"/>
  <c r="C244" i="4"/>
  <c r="D54" i="4"/>
  <c r="D56" i="4"/>
  <c r="F19" i="4"/>
  <c r="C214" i="4"/>
  <c r="D93" i="4"/>
  <c r="C260" i="4"/>
  <c r="D78" i="4"/>
  <c r="C257" i="4"/>
  <c r="D87" i="4"/>
  <c r="C205" i="4"/>
  <c r="C240" i="4"/>
  <c r="D60" i="4"/>
  <c r="C235" i="4"/>
  <c r="C212" i="4"/>
  <c r="C302" i="4"/>
  <c r="D53" i="4"/>
  <c r="C300" i="4"/>
  <c r="C243" i="4"/>
  <c r="C273" i="4"/>
  <c r="C283" i="4"/>
  <c r="C265" i="4"/>
  <c r="D95" i="4"/>
  <c r="C248" i="4"/>
  <c r="C251" i="4"/>
  <c r="D20" i="4"/>
  <c r="F20" i="4"/>
  <c r="E20" i="4"/>
  <c r="G20" i="4"/>
  <c r="D14" i="4"/>
  <c r="F122" i="3" a="1"/>
  <c r="F122" i="3" s="1"/>
  <c r="D15" i="4" a="1"/>
  <c r="D15" i="4" l="1"/>
  <c r="C316" i="4"/>
  <c r="C314" i="4"/>
  <c r="C322" i="4"/>
  <c r="C319" i="4"/>
  <c r="C327" i="4"/>
  <c r="C315" i="4"/>
  <c r="C321" i="4"/>
  <c r="C328" i="4"/>
  <c r="C310" i="4"/>
  <c r="C317" i="4"/>
  <c r="C312" i="4"/>
  <c r="C323" i="4"/>
  <c r="C308" i="4"/>
  <c r="C309" i="4"/>
  <c r="C313" i="4"/>
  <c r="C318" i="4"/>
  <c r="C330" i="4"/>
  <c r="C307" i="4"/>
  <c r="C326" i="4"/>
  <c r="C311" i="4"/>
  <c r="C329" i="4"/>
  <c r="C331" i="4"/>
  <c r="D331" i="4" s="1"/>
  <c r="G331" i="4" s="1" a="1"/>
  <c r="G331" i="4" s="1"/>
  <c r="C325" i="4"/>
  <c r="C320" i="4"/>
  <c r="C324" i="4"/>
  <c r="D325" i="4" l="1"/>
  <c r="G325" i="4" s="1" a="1"/>
  <c r="G325" i="4" s="1"/>
  <c r="E325" i="4"/>
  <c r="E313" i="4"/>
  <c r="D313" i="4"/>
  <c r="G313" i="4" s="1" a="1"/>
  <c r="G313" i="4" s="1"/>
  <c r="D321" i="4"/>
  <c r="G321" i="4" s="1" a="1"/>
  <c r="G321" i="4" s="1"/>
  <c r="E321" i="4"/>
  <c r="E309" i="4"/>
  <c r="D309" i="4"/>
  <c r="G309" i="4" s="1" a="1"/>
  <c r="G309" i="4" s="1"/>
  <c r="F308" i="4" s="1"/>
  <c r="E329" i="4"/>
  <c r="D329" i="4"/>
  <c r="G329" i="4" s="1" a="1"/>
  <c r="G329" i="4" s="1"/>
  <c r="D327" i="4"/>
  <c r="G327" i="4" s="1" a="1"/>
  <c r="G327" i="4" s="1"/>
  <c r="E327" i="4"/>
  <c r="D323" i="4"/>
  <c r="G323" i="4" s="1" a="1"/>
  <c r="G323" i="4" s="1"/>
  <c r="E323" i="4"/>
  <c r="E312" i="4"/>
  <c r="D312" i="4"/>
  <c r="G312" i="4" s="1" a="1"/>
  <c r="G312" i="4" s="1"/>
  <c r="E316" i="4"/>
  <c r="D316" i="4"/>
  <c r="G316" i="4" s="1" a="1"/>
  <c r="G316" i="4" s="1"/>
  <c r="E315" i="4"/>
  <c r="D315" i="4"/>
  <c r="G315" i="4" s="1" a="1"/>
  <c r="G315" i="4" s="1"/>
  <c r="D308" i="4"/>
  <c r="G308" i="4" s="1" a="1"/>
  <c r="G308" i="4" s="1"/>
  <c r="E308" i="4"/>
  <c r="E311" i="4"/>
  <c r="D311" i="4"/>
  <c r="G311" i="4" s="1" a="1"/>
  <c r="G311" i="4" s="1"/>
  <c r="D319" i="4"/>
  <c r="G319" i="4" s="1" a="1"/>
  <c r="G319" i="4" s="1"/>
  <c r="E319" i="4"/>
  <c r="D326" i="4"/>
  <c r="G326" i="4" s="1" a="1"/>
  <c r="G326" i="4" s="1"/>
  <c r="E326" i="4"/>
  <c r="D322" i="4"/>
  <c r="G322" i="4" s="1" a="1"/>
  <c r="G322" i="4" s="1"/>
  <c r="F321" i="4" s="1"/>
  <c r="E322" i="4"/>
  <c r="D307" i="4"/>
  <c r="G307" i="4" s="1" a="1"/>
  <c r="G307" i="4" s="1"/>
  <c r="E307" i="4"/>
  <c r="D317" i="4"/>
  <c r="G317" i="4" s="1" a="1"/>
  <c r="G317" i="4" s="1"/>
  <c r="E317" i="4"/>
  <c r="D314" i="4"/>
  <c r="G314" i="4" s="1" a="1"/>
  <c r="G314" i="4" s="1"/>
  <c r="E314" i="4"/>
  <c r="E324" i="4"/>
  <c r="D324" i="4"/>
  <c r="G324" i="4" s="1" a="1"/>
  <c r="G324" i="4" s="1"/>
  <c r="F323" i="4" s="1"/>
  <c r="E330" i="4"/>
  <c r="D330" i="4"/>
  <c r="G330" i="4" s="1" a="1"/>
  <c r="G330" i="4" s="1"/>
  <c r="F329" i="4" s="1"/>
  <c r="D310" i="4"/>
  <c r="G310" i="4" s="1" a="1"/>
  <c r="G310" i="4" s="1"/>
  <c r="E310" i="4"/>
  <c r="D320" i="4"/>
  <c r="G320" i="4" s="1" a="1"/>
  <c r="G320" i="4" s="1"/>
  <c r="E320" i="4"/>
  <c r="D318" i="4"/>
  <c r="G318" i="4" s="1" a="1"/>
  <c r="G318" i="4" s="1"/>
  <c r="F317" i="4" s="1"/>
  <c r="E318" i="4"/>
  <c r="E328" i="4"/>
  <c r="D328" i="4"/>
  <c r="G328" i="4" s="1" a="1"/>
  <c r="G328" i="4" s="1"/>
  <c r="F325" i="4" l="1"/>
  <c r="F319" i="4"/>
  <c r="F320" i="4"/>
  <c r="F314" i="4"/>
  <c r="F316" i="4"/>
  <c r="F311" i="4"/>
  <c r="F313" i="4"/>
  <c r="F330" i="4"/>
  <c r="F307" i="4"/>
  <c r="F322" i="4"/>
  <c r="F326" i="4"/>
  <c r="F309" i="4"/>
  <c r="F318" i="4"/>
  <c r="F315" i="4"/>
  <c r="F328" i="4"/>
  <c r="F312" i="4"/>
  <c r="F327" i="4"/>
  <c r="F310" i="4"/>
  <c r="F324"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<sst xmlns="http://schemas.openxmlformats.org/spreadsheetml/2006/main" count="347" uniqueCount="295">
  <si>
    <t>Random Sales with a Competitor That May Enter</t>
  </si>
  <si>
    <t>ModelRisk example  ·  General use  ·  GU-12</t>
  </si>
  <si>
    <t>What is it worth to keep a competitor out?  Monthly sales when a rival may enter the market.</t>
  </si>
  <si>
    <t>Next:  Inputs  ▸</t>
  </si>
  <si>
    <t>Model card</t>
  </si>
  <si>
    <t>Industry</t>
  </si>
  <si>
    <t>General use</t>
  </si>
  <si>
    <t>Difficulty</t>
  </si>
  <si>
    <t>★★☆☆☆   Poisson sales around a growing trend, cut by a competitor that may or may not enter, at an uncertain month.</t>
  </si>
  <si>
    <t>Business question</t>
  </si>
  <si>
    <t>A company sells about 88 units a month, a number that grows by 1.3 a month. There is an 80% chance that a competitor enters the market some time between month 20 and month 50 and takes 30% of the sales. How many units will the company sell over the next 100 months, how many will it lose, and what is each month of delay to the competitor worth?</t>
  </si>
  <si>
    <t>Who it is for</t>
  </si>
  <si>
    <t>Planners forecasting sales that a single uncertain event could change: a competitor, a substitute, a regulation, a price war.</t>
  </si>
  <si>
    <t>Main outputs</t>
  </si>
  <si>
    <t>Units sold over 100 months at P10 / median / P90 · units and margin lost to the competitor · the chance that it never enters · the value of each month of delay · monthly bands.</t>
  </si>
  <si>
    <t>ModelRisk techniques</t>
  </si>
  <si>
    <t>Poisson sales around a trend (VosePoisson) · an event that may happen (VoseBernoulli) in an uncertain month (VoseStepUniform, where the original rounded a continuous uniform) · a lower Poisson rate once it happens, which gives the same distribution as removing each sale with a 30% chance.</t>
  </si>
  <si>
    <t>File</t>
  </si>
  <si>
    <t>GU-12 Random sales with a competitor that may enter  ·  Version 1.0  ·  October 2026  ·  re-issues the example Poisson Sales with Competitor  ·  built with ModelRisk 10</t>
  </si>
  <si>
    <t>The business question</t>
  </si>
  <si>
    <t>A company sells about 88 units a month of a niche product, and sales grow by about 1.3 units a month. Sales arrive at random, so each month's number is Poisson. A competitor is preparing a similar product: there is an 80% chance it launches, in a month somewhere between the 20th and the 50th, and from then on it is expected to take 30% of the company's sales. Each unit earns a margin of US$450. The company wants its sales forecast for the next 100 months, the sales at risk, and a value for actions that would delay the competitor, such as locking in key customers.</t>
  </si>
  <si>
    <t>How the model works</t>
  </si>
  <si>
    <t>Three sheets after this one, read from left to right. Each one feeds the next.</t>
  </si>
  <si>
    <t>1  Inputs</t>
  </si>
  <si>
    <t>Current monthly sales and their growth, the competitor's chance of entering, its window and the share of sales it takes, and the margin per unit.</t>
  </si>
  <si>
    <t>2  Months</t>
  </si>
  <si>
    <t>VoseBernoulli decides whether the competitor enters and VoseStepUniform in which month. From that month on, each month's expected sales are 30% lower. Sales are Poisson around the expected number; the sales lost are the expected sales the competitor takes.</t>
  </si>
  <si>
    <t>3  Results</t>
  </si>
  <si>
    <t>Units sold over 100 months, the units and margin lost, the value of each month of delay, and the monthly bands.</t>
  </si>
  <si>
    <t>How to use it</t>
  </si>
  <si>
    <t>Step 1</t>
  </si>
  <si>
    <t>Set sales, growth, the competitor and the margin on the Inputs sheet.</t>
  </si>
  <si>
    <t>Step 2</t>
  </si>
  <si>
    <t>Run a simulation from the ModelRisk ribbon (10,000 samples with a fixed seed are set).</t>
  </si>
  <si>
    <t>Step 3</t>
  </si>
  <si>
    <t>Compare the value of a month's delay with the cost of actions that would cause it.</t>
  </si>
  <si>
    <t>Workbook map</t>
  </si>
  <si>
    <t>Inputs</t>
  </si>
  <si>
    <t>Sales, growth, the competitor and the margin.</t>
  </si>
  <si>
    <t>Months</t>
  </si>
  <si>
    <t>The competitor's entry and 100 months of sales; outputs and checks.</t>
  </si>
  <si>
    <t>Results</t>
  </si>
  <si>
    <t>Sales, sales lost, value of a delay and monthly bands.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</si>
  <si>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</si>
  <si>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</si>
  <si>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</si>
  <si>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</si>
  <si>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</si>
  <si>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</si>
  <si>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</si>
  <si>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</si>
  <si>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</si>
  <si>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</si>
  <si>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</si>
  <si>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</si>
  <si>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</si>
  <si>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thousand (US$k), except the margin per unit in US$.</t>
  </si>
  <si>
    <t>Sales lost</t>
  </si>
  <si>
    <t>The expected sales the competitor takes in this iteration: 30% of the expected sales from its entry month on.</t>
  </si>
  <si>
    <t>Key assumptions and limitations</t>
  </si>
  <si>
    <t>Poisson</t>
  </si>
  <si>
    <t>Sales arrive independently at a steady rate within a month.</t>
  </si>
  <si>
    <t>Competitor</t>
  </si>
  <si>
    <t>If it enters, it takes the same share every month from its first month on; no ramp-up and no response from the company.</t>
  </si>
  <si>
    <t>Trend</t>
  </si>
  <si>
    <t>Linear growth, as in the original example, with or without the competitor.</t>
  </si>
  <si>
    <t>Data</t>
  </si>
  <si>
    <t>The sales, growth, chance of entry, window and share are those of ModelRisk's earlier Poisson Sales with Competitor example; the margin is added here.</t>
  </si>
  <si>
    <t>ModelRisk functions used</t>
  </si>
  <si>
    <t>VoseBernoulli</t>
  </si>
  <si>
    <t>Whether the competitor enters.</t>
  </si>
  <si>
    <t>VoseStepUniform</t>
  </si>
  <si>
    <t>The month it enters: each month from 20 to 50 equally likely. The original example rounded VoseUniform(19.5, 50.5), which gives the same.</t>
  </si>
  <si>
    <t>VosePoisson</t>
  </si>
  <si>
    <t>Each month's sales around the expected number, lower once the competitor is in.</t>
  </si>
  <si>
    <t>VoseOutput</t>
  </si>
  <si>
    <t>Monthly sales as an output range, and the totals.</t>
  </si>
  <si>
    <t>VoseSimMean, VoseSimPercentile</t>
  </si>
  <si>
    <t>Statistics of the simulation, the monthly means and bands.</t>
  </si>
  <si>
    <t>Further reading</t>
  </si>
  <si>
    <t>Forecasting sales</t>
  </si>
  <si>
    <t>Vose, D. (2008). Risk Analysis: A Quantitative Guide, 3rd edition. Wiley: forecasting random events and the effect of a competitor.</t>
  </si>
  <si>
    <t>© 2026 Vose Software   ·   www.vosesoftware.com   ·   An illustrative example: the figures are invented for teaching and do not describe a real company, project or asset.</t>
  </si>
  <si>
    <t>INPUTS   ·   Sales now, the competitor and the margin. Change only the yellow cells.</t>
  </si>
  <si>
    <t>◂  About</t>
  </si>
  <si>
    <t>Next:  Months  ▸</t>
  </si>
  <si>
    <t>How to read this sheet:  yellow cells are inputs.</t>
  </si>
  <si>
    <t>1   Sales now</t>
  </si>
  <si>
    <t>The current monthly sales and their trend.</t>
  </si>
  <si>
    <t>Assumption</t>
  </si>
  <si>
    <t>Unit</t>
  </si>
  <si>
    <t>Value in model</t>
  </si>
  <si>
    <t>Uncertainty</t>
  </si>
  <si>
    <t>Basis / source (illustrative)</t>
  </si>
  <si>
    <t>Units sold per month now</t>
  </si>
  <si>
    <t>units</t>
  </si>
  <si>
    <t>Fixed</t>
  </si>
  <si>
    <t>Increase in units per month, each month</t>
  </si>
  <si>
    <t>2   The competitor</t>
  </si>
  <si>
    <t>Whether it enters, when, and what it takes.</t>
  </si>
  <si>
    <t>Chance that it enters</t>
  </si>
  <si>
    <t>probability</t>
  </si>
  <si>
    <t>Earliest month it could enter</t>
  </si>
  <si>
    <t>month</t>
  </si>
  <si>
    <t>Latest month it could enter</t>
  </si>
  <si>
    <t>Each month in the window equally likely.</t>
  </si>
  <si>
    <t>Share of sales it takes once it is in</t>
  </si>
  <si>
    <t>share</t>
  </si>
  <si>
    <t>3   Value</t>
  </si>
  <si>
    <t>Margin per unit sold</t>
  </si>
  <si>
    <t>US$</t>
  </si>
  <si>
    <t>Added here to put a value on the sales.</t>
  </si>
  <si>
    <t>MONTHS   ·   Whether and when the competitor enters, and 100 months of sales.</t>
  </si>
  <si>
    <t>◂  Inputs</t>
  </si>
  <si>
    <t>Next:  Results  ▸</t>
  </si>
  <si>
    <t>1   The competitor this iteration</t>
  </si>
  <si>
    <t>Whether it enters and in which month.</t>
  </si>
  <si>
    <t>Competitor enters?  (1 = yes)</t>
  </si>
  <si>
    <t>1 / 0</t>
  </si>
  <si>
    <t>VoseBernoulli(chance)</t>
  </si>
  <si>
    <t>Month it would enter</t>
  </si>
  <si>
    <t>VoseStepUniform(earliest, latest): each whole month equally likely</t>
  </si>
  <si>
    <t>2   Month by month</t>
  </si>
  <si>
    <t>Expected sales follow the trend and drop by the competitor's share from its entry month on.</t>
  </si>
  <si>
    <t>Month</t>
  </si>
  <si>
    <t>Expected sales</t>
  </si>
  <si>
    <t>Competitor in?</t>
  </si>
  <si>
    <t>Expected after it</t>
  </si>
  <si>
    <t>Units sold</t>
  </si>
  <si>
    <t>Expected lost</t>
  </si>
  <si>
    <t>How it is calculated</t>
  </si>
  <si>
    <t>1 = yes</t>
  </si>
  <si>
    <t>this iteration</t>
  </si>
  <si>
    <t>Expected sales = sales now + increase × month</t>
  </si>
  <si>
    <t>Competitor in: it enters (this iteration) and the month is its entry month or later</t>
  </si>
  <si>
    <t>Expected after it = expected sales × (1 − share) once it is in</t>
  </si>
  <si>
    <t>Units sold: VosePoisson(expected after it), one output range 'Units sold'</t>
  </si>
  <si>
    <t>Expected lost = expected sales − expected after it</t>
  </si>
  <si>
    <t>Total</t>
  </si>
  <si>
    <t>3   Value in this iteration</t>
  </si>
  <si>
    <t>Key outputs, recorded by ModelRisk at every sample (VoseOutput). Their statistics appear on the Results sheet.</t>
  </si>
  <si>
    <t>Output</t>
  </si>
  <si>
    <t>Value</t>
  </si>
  <si>
    <t>Meaning</t>
  </si>
  <si>
    <t>Units sold over 100 months</t>
  </si>
  <si>
    <t>Units lost to the competitor  (expected)</t>
  </si>
  <si>
    <t>0 if it does not enter.</t>
  </si>
  <si>
    <t>Margin lost</t>
  </si>
  <si>
    <t>US$k</t>
  </si>
  <si>
    <t>Competitor never enters?  (1 = yes)</t>
  </si>
  <si>
    <t>Expected units without any competitor</t>
  </si>
  <si>
    <t>The same in every iteration.</t>
  </si>
  <si>
    <t>Margin per month of delay to its entry, at the window's middle</t>
  </si>
  <si>
    <t>A month's delay keeps that month's share of sales.</t>
  </si>
  <si>
    <t>4   Model checks</t>
  </si>
  <si>
    <t>Should all read OK. A CHECK means an input has been set outside the range the model is built for.</t>
  </si>
  <si>
    <t>The window lies within the 100 months, earliest ≤ latest</t>
  </si>
  <si>
    <t>Expected sales are not negative in any month</t>
  </si>
  <si>
    <t>RESULTS   ·   Filled in automatically from the last simulation. Run a simulation after changing any input.</t>
  </si>
  <si>
    <t>◂  Months</t>
  </si>
  <si>
    <t>1   Sales over 100 months</t>
  </si>
  <si>
    <t>Units sold per month — 10th / 50th / 90th percentile band</t>
  </si>
  <si>
    <t>Units sold with the competitor's possible entry, against the sales without it.</t>
  </si>
  <si>
    <t>Measure</t>
  </si>
  <si>
    <t>Mean units sold</t>
  </si>
  <si>
    <t>Mean units lost to the competitor</t>
  </si>
  <si>
    <t>Mean margin lost</t>
  </si>
  <si>
    <t>Chance that the competitor never enters</t>
  </si>
  <si>
    <t>Margin per month of delay to its entry</t>
  </si>
  <si>
    <t>10th pct</t>
  </si>
  <si>
    <t>Median</t>
  </si>
  <si>
    <t>90th pct</t>
  </si>
  <si>
    <t>Mean</t>
  </si>
  <si>
    <t>Units lost to the competitor</t>
  </si>
  <si>
    <t>2   How to read these results</t>
  </si>
  <si>
    <t>•  Without a competitor the company would sell about 15,400 units over the 100 months. With the competitor's 80% chance of entering, it sells about 12,600 on average and loses about 2,800 units, or about US$1.2 million of margin.</t>
  </si>
  <si>
    <t>•  The histogram has two humps: the iterations in which the competitor enters, and the one in five in which it never does. That is why the 90th percentile of units sold is close to the no-competitor figure while the median is far below it.</t>
  </si>
  <si>
    <t>•  Each month the competitor's entry is delayed keeps about 40 units, worth about US$18,000 of margin in the middle of the window: the budget to set against actions that would hold it off.</t>
  </si>
  <si>
    <t>•  A Poisson rate cut by 30% gives the same distribution as removing each sale with a 30% chance, so this model and GU-11, which thins the deaths with a binomial, use two equivalent forms of the same step change.</t>
  </si>
  <si>
    <t>Chart data</t>
  </si>
  <si>
    <t>Statistics of the last simulation behind the charts and the ranking above. Grouped: click + in the left margin to show them.</t>
  </si>
  <si>
    <t>Cumulative probability</t>
  </si>
  <si>
    <t>Exceedance</t>
  </si>
  <si>
    <t>Units</t>
  </si>
  <si>
    <t>Period</t>
  </si>
  <si>
    <t>10th percentile</t>
  </si>
  <si>
    <t>90th percentile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</si>
  <si>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</si>
  <si>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</si>
  <si>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</si>
  <si>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</si>
  <si>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</si>
  <si>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</si>
  <si>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</si>
  <si>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</si>
  <si>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</si>
  <si>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</si>
  <si>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</si>
  <si>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</si>
  <si>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</si>
  <si>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</si>
  <si>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</si>
  <si>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</si>
  <si>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</si>
  <si>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</si>
  <si>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</si>
  <si>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</si>
  <si>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</si>
  <si>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</si>
  <si>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</si>
  <si>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</si>
  <si>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</si>
  <si>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</si>
  <si>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</si>
  <si>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</si>
  <si>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</si>
  <si>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</si>
  <si>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</si>
  <si>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</si>
  <si>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</si>
  <si>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</si>
  <si>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</si>
  <si>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</si>
  <si>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</si>
  <si>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</si>
  <si>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</si>
  <si>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</si>
  <si>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</si>
  <si>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</si>
  <si>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</si>
  <si>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</si>
  <si>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</si>
  <si>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</si>
  <si>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</si>
  <si>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</si>
  <si>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</si>
  <si>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</si>
  <si>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</si>
  <si>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</si>
  <si>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</si>
  <si>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</si>
  <si>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</si>
  <si>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</si>
  <si>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</si>
  <si>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</si>
  <si>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</si>
  <si>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</si>
  <si>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</si>
  <si>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</si>
  <si>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</si>
  <si>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</si>
  <si>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</si>
  <si>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</si>
  <si>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</si>
  <si>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</si>
  <si>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</si>
  <si>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</si>
  <si>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</si>
  <si>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</si>
  <si>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</si>
  <si>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</si>
  <si>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</si>
  <si>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</si>
  <si>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</si>
  <si>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</si>
  <si>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</si>
  <si>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</si>
  <si>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</si>
  <si>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</si>
  <si>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</si>
  <si>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</si>
  <si>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</si>
  <si>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</si>
  <si>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</si>
  <si>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</si>
  <si>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</si>
  <si>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</si>
  <si>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</si>
  <si>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</si>
  <si>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</si>
  <si>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</si>
  <si>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</si>
  <si>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</si>
  <si>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</si>
  <si>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</si>
  <si>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</si>
  <si>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</si>
  <si>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Percentiles: Units</t>
  </si>
  <si>
    <t>Histogram: Units</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</si>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</sst>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quot;–&quot;_)"/>
    <numFmt numFmtId="165" formatCode="#,##0.0_);\(#,##0.0\);&quot;–&quot;_)"/>
    <numFmt numFmtId="166" formatCode="#,##0_);\(#,##0\);&quot;–&quot;_);&quot;–&quot;"/>
    <numFmt numFmtId="167" formatCode="0.0%;\-0.0%;0.0%;&quot;–&quot;"/>
    <numFmt numFmtId="168" formatCode="#,##0;\-#,##0;#,##0;&quot;–&quot;"/>
    <numFmt numFmtId="169" formatCode="0.0%"/>
  </numFmts>
  <fonts count="25" x14ac:knownFonts="1">
    <font>
      <sz val="11"/>
      <color theme="1"/>
      <name val="Calibri"/>
      <family val="2"/>
      <scheme val="minor"/>
    </font>
    <font>
      <sz val="10"/>
      <color rgb="FF0E4F92"/>
      <name val="Calibri"/>
      <family val="2"/>
      <charset val="204"/>
    </font>
    <font>
      <sz val="10"/>
      <color rgb="FF9A3412"/>
      <name val="Calibri"/>
      <family val="2"/>
      <charset val="204"/>
    </font>
    <font>
      <sz val="10"/>
      <color rgb="FF0F2A47"/>
      <name val="Calibri"/>
      <family val="2"/>
      <charset val="204"/>
    </font>
    <font>
      <b/>
      <sz val="10"/>
      <color rgb="FF14532D"/>
      <name val="Calibri"/>
      <family val="2"/>
      <charset val="204"/>
    </font>
    <font>
      <b/>
      <sz val="16"/>
      <color rgb="FFFFFFFF"/>
      <name val="Calibri"/>
      <family val="2"/>
      <charset val="204"/>
    </font>
    <font>
      <sz val="10"/>
      <color rgb="FFD6E2F0"/>
      <name val="Calibri"/>
      <family val="2"/>
      <charset val="204"/>
    </font>
    <font>
      <sz val="9"/>
      <color rgb="FFD6E2F0"/>
      <name val="Calibri"/>
      <family val="2"/>
      <charset val="204"/>
    </font>
    <font>
      <u/>
      <sz val="9"/>
      <color rgb="FF0E4F92"/>
      <name val="Calibri"/>
      <family val="2"/>
      <charset val="204"/>
    </font>
    <font>
      <b/>
      <sz val="20"/>
      <color rgb="FFFFFFFF"/>
      <name val="Calibri"/>
      <family val="2"/>
      <charset val="204"/>
    </font>
    <font>
      <b/>
      <sz val="12"/>
      <color rgb="FF0E4F92"/>
      <name val="Calibri"/>
      <family val="2"/>
      <charset val="204"/>
    </font>
    <font>
      <b/>
      <sz val="10"/>
      <color rgb="FF3F5876"/>
      <name val="Calibri"/>
      <family val="2"/>
      <charset val="204"/>
    </font>
    <font>
      <b/>
      <sz val="10"/>
      <color rgb="FF0F2A47"/>
      <name val="Calibri"/>
      <family val="2"/>
      <charset val="204"/>
    </font>
    <font>
      <i/>
      <sz val="9"/>
      <color rgb="FF3F5876"/>
      <name val="Calibri"/>
      <family val="2"/>
      <charset val="204"/>
    </font>
    <font>
      <u/>
      <sz val="10"/>
      <color rgb="FF0E4F92"/>
      <name val="Calibri"/>
      <family val="2"/>
      <charset val="204"/>
    </font>
    <font>
      <b/>
      <sz val="10"/>
      <color rgb="FF0E4F92"/>
      <name val="Calibri"/>
      <family val="2"/>
      <charset val="204"/>
    </font>
    <font>
      <i/>
      <sz val="9"/>
      <color rgb="FF8AA0BA"/>
      <name val="Calibri"/>
      <family val="2"/>
      <charset val="204"/>
    </font>
    <font>
      <b/>
      <sz val="9"/>
      <color rgb="FF3F5876"/>
      <name val="Calibri"/>
      <family val="2"/>
      <charset val="204"/>
    </font>
    <font>
      <sz val="9"/>
      <color rgb="FF3F5876"/>
      <name val="Calibri"/>
      <family val="2"/>
      <charset val="204"/>
    </font>
    <font>
      <sz val="8"/>
      <color rgb="FF3F5876"/>
      <name val="Calibri"/>
      <family val="2"/>
      <charset val="204"/>
    </font>
    <font>
      <b/>
      <sz val="10"/>
      <color rgb="FF15803D"/>
      <name val="Calibri"/>
      <family val="2"/>
      <charset val="204"/>
    </font>
    <font>
      <sz val="10"/>
      <color rgb="FF3F5876"/>
      <name val="Calibri"/>
      <family val="2"/>
      <charset val="204"/>
    </font>
    <font>
      <b/>
      <sz val="13"/>
      <color rgb="FF0E4F92"/>
      <name val="Calibri"/>
      <family val="2"/>
      <charset val="204"/>
    </font>
    <font>
      <sz val="9"/>
      <color rgb="FF8AA0BA"/>
      <name val="Calibri"/>
      <family val="2"/>
      <charset val="204"/>
    </font>
    <font>
      <b/>
      <sz val="11"/>
      <color rgb="FF0E4F92"/>
      <name val="Calibri"/>
      <family val="2"/>
      <charset val="204"/>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3F5876"/>
      </top>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0">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9" fontId="1" fillId="2" borderId="7" xfId="1" applyNumberFormat="1" applyBorder="1">
      <alignment horizontal="right" vertical="center"/>
    </xf>
    <xf numFmtId="1" fontId="1" fillId="2" borderId="7" xfId="1" applyNumberFormat="1" applyBorder="1">
      <alignment horizontal="right" vertical="center"/>
    </xf>
    <xf numFmtId="1" fontId="2" fillId="3" borderId="7" xfId="2"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5" fontId="3" fillId="0" borderId="8" xfId="3" applyNumberFormat="1" applyBorder="1">
      <alignment horizontal="right" vertical="center"/>
    </xf>
    <xf numFmtId="1" fontId="3" fillId="0" borderId="8" xfId="3" applyNumberFormat="1" applyBorder="1">
      <alignment horizontal="right" vertical="center"/>
    </xf>
    <xf numFmtId="164" fontId="4" fillId="4" borderId="9" xfId="4" applyNumberFormat="1" applyBorder="1">
      <alignment horizontal="right" vertical="center"/>
    </xf>
    <xf numFmtId="0" fontId="12" fillId="0" borderId="10" xfId="0" applyFont="1" applyBorder="1" applyAlignment="1">
      <alignment horizontal="left" vertical="center" indent="1"/>
    </xf>
    <xf numFmtId="164" fontId="12" fillId="0" borderId="10" xfId="3" applyNumberFormat="1" applyFont="1" applyBorder="1">
      <alignment horizontal="right" vertical="center"/>
    </xf>
    <xf numFmtId="0" fontId="0" fillId="0" borderId="10" xfId="0" applyBorder="1"/>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3" fillId="0" borderId="8" xfId="3"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4" fillId="0" borderId="5" xfId="0" applyFont="1" applyBorder="1"/>
    <xf numFmtId="0" fontId="21" fillId="0" borderId="6" xfId="0" applyFont="1" applyBorder="1" applyAlignment="1">
      <alignment horizontal="left" vertical="center" indent="1"/>
    </xf>
    <xf numFmtId="166" fontId="22" fillId="5" borderId="7" xfId="5" applyNumberFormat="1" applyFont="1" applyBorder="1">
      <alignment horizontal="right" vertical="center"/>
    </xf>
    <xf numFmtId="166" fontId="1" fillId="5" borderId="7" xfId="5" applyNumberFormat="1" applyBorder="1">
      <alignment horizontal="right" vertical="center"/>
    </xf>
    <xf numFmtId="167" fontId="1" fillId="5" borderId="7" xfId="5" applyNumberFormat="1" applyBorder="1">
      <alignment horizontal="right" vertical="center"/>
    </xf>
    <xf numFmtId="0" fontId="11" fillId="0" borderId="6" xfId="0" applyFont="1" applyBorder="1" applyAlignment="1">
      <alignment horizontal="left" vertical="center" indent="1"/>
    </xf>
    <xf numFmtId="168"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1" fillId="0" borderId="0" xfId="0" applyFont="1" applyAlignment="1">
      <alignment horizontal="left" vertical="center" indent="1"/>
    </xf>
    <xf numFmtId="169" fontId="3" fillId="0" borderId="2" xfId="3" applyNumberFormat="1">
      <alignment horizontal="right" vertical="center"/>
    </xf>
    <xf numFmtId="0" fontId="23" fillId="0" borderId="0" xfId="0" applyFont="1"/>
    <xf numFmtId="1"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6">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Results!$B$102:$B$201</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Results!$E$102:$E$201</c:f>
              <c:numCache>
                <c:formatCode>#,##0.00</c:formatCode>
                <c:ptCount val="100"/>
                <c:pt idx="0">
                  <c:v>101</c:v>
                </c:pt>
                <c:pt idx="1">
                  <c:v>103</c:v>
                </c:pt>
                <c:pt idx="2">
                  <c:v>104</c:v>
                </c:pt>
                <c:pt idx="3">
                  <c:v>106</c:v>
                </c:pt>
                <c:pt idx="4">
                  <c:v>107</c:v>
                </c:pt>
                <c:pt idx="5">
                  <c:v>108</c:v>
                </c:pt>
                <c:pt idx="6">
                  <c:v>110</c:v>
                </c:pt>
                <c:pt idx="7">
                  <c:v>111</c:v>
                </c:pt>
                <c:pt idx="8">
                  <c:v>113</c:v>
                </c:pt>
                <c:pt idx="9">
                  <c:v>114</c:v>
                </c:pt>
                <c:pt idx="10">
                  <c:v>115</c:v>
                </c:pt>
                <c:pt idx="11">
                  <c:v>117</c:v>
                </c:pt>
                <c:pt idx="12">
                  <c:v>118</c:v>
                </c:pt>
                <c:pt idx="13">
                  <c:v>120</c:v>
                </c:pt>
                <c:pt idx="14">
                  <c:v>121</c:v>
                </c:pt>
                <c:pt idx="15">
                  <c:v>122</c:v>
                </c:pt>
                <c:pt idx="16">
                  <c:v>123</c:v>
                </c:pt>
                <c:pt idx="17">
                  <c:v>125</c:v>
                </c:pt>
                <c:pt idx="18">
                  <c:v>126</c:v>
                </c:pt>
                <c:pt idx="19">
                  <c:v>128</c:v>
                </c:pt>
                <c:pt idx="20">
                  <c:v>129</c:v>
                </c:pt>
                <c:pt idx="21">
                  <c:v>130</c:v>
                </c:pt>
                <c:pt idx="22">
                  <c:v>131</c:v>
                </c:pt>
                <c:pt idx="23">
                  <c:v>133</c:v>
                </c:pt>
                <c:pt idx="24">
                  <c:v>133</c:v>
                </c:pt>
                <c:pt idx="25">
                  <c:v>135</c:v>
                </c:pt>
                <c:pt idx="26">
                  <c:v>136</c:v>
                </c:pt>
                <c:pt idx="27">
                  <c:v>137</c:v>
                </c:pt>
                <c:pt idx="28">
                  <c:v>138</c:v>
                </c:pt>
                <c:pt idx="29">
                  <c:v>139</c:v>
                </c:pt>
                <c:pt idx="30">
                  <c:v>140</c:v>
                </c:pt>
                <c:pt idx="31">
                  <c:v>141</c:v>
                </c:pt>
                <c:pt idx="32">
                  <c:v>142</c:v>
                </c:pt>
                <c:pt idx="33">
                  <c:v>144</c:v>
                </c:pt>
                <c:pt idx="34">
                  <c:v>144</c:v>
                </c:pt>
                <c:pt idx="35">
                  <c:v>145</c:v>
                </c:pt>
                <c:pt idx="36">
                  <c:v>147</c:v>
                </c:pt>
                <c:pt idx="37">
                  <c:v>147</c:v>
                </c:pt>
                <c:pt idx="38">
                  <c:v>148</c:v>
                </c:pt>
                <c:pt idx="39">
                  <c:v>149</c:v>
                </c:pt>
                <c:pt idx="40">
                  <c:v>150</c:v>
                </c:pt>
                <c:pt idx="41">
                  <c:v>151</c:v>
                </c:pt>
                <c:pt idx="42">
                  <c:v>151</c:v>
                </c:pt>
                <c:pt idx="43">
                  <c:v>152</c:v>
                </c:pt>
                <c:pt idx="44">
                  <c:v>153</c:v>
                </c:pt>
                <c:pt idx="45">
                  <c:v>153</c:v>
                </c:pt>
                <c:pt idx="46">
                  <c:v>153</c:v>
                </c:pt>
                <c:pt idx="47">
                  <c:v>154</c:v>
                </c:pt>
                <c:pt idx="48">
                  <c:v>153</c:v>
                </c:pt>
                <c:pt idx="49">
                  <c:v>153</c:v>
                </c:pt>
                <c:pt idx="50">
                  <c:v>154</c:v>
                </c:pt>
                <c:pt idx="51">
                  <c:v>156</c:v>
                </c:pt>
                <c:pt idx="52">
                  <c:v>157</c:v>
                </c:pt>
                <c:pt idx="53">
                  <c:v>159</c:v>
                </c:pt>
                <c:pt idx="54">
                  <c:v>159</c:v>
                </c:pt>
                <c:pt idx="55">
                  <c:v>161</c:v>
                </c:pt>
                <c:pt idx="56">
                  <c:v>162</c:v>
                </c:pt>
                <c:pt idx="57">
                  <c:v>164</c:v>
                </c:pt>
                <c:pt idx="58">
                  <c:v>164</c:v>
                </c:pt>
                <c:pt idx="59">
                  <c:v>166</c:v>
                </c:pt>
                <c:pt idx="60">
                  <c:v>167</c:v>
                </c:pt>
                <c:pt idx="61">
                  <c:v>168</c:v>
                </c:pt>
                <c:pt idx="62">
                  <c:v>169</c:v>
                </c:pt>
                <c:pt idx="63">
                  <c:v>171</c:v>
                </c:pt>
                <c:pt idx="64">
                  <c:v>172</c:v>
                </c:pt>
                <c:pt idx="65">
                  <c:v>174</c:v>
                </c:pt>
                <c:pt idx="66">
                  <c:v>175</c:v>
                </c:pt>
                <c:pt idx="67">
                  <c:v>176</c:v>
                </c:pt>
                <c:pt idx="68">
                  <c:v>178</c:v>
                </c:pt>
                <c:pt idx="69">
                  <c:v>179</c:v>
                </c:pt>
                <c:pt idx="70">
                  <c:v>180</c:v>
                </c:pt>
                <c:pt idx="71">
                  <c:v>181</c:v>
                </c:pt>
                <c:pt idx="72">
                  <c:v>182</c:v>
                </c:pt>
                <c:pt idx="73">
                  <c:v>184</c:v>
                </c:pt>
                <c:pt idx="74">
                  <c:v>185</c:v>
                </c:pt>
                <c:pt idx="75">
                  <c:v>187</c:v>
                </c:pt>
                <c:pt idx="76">
                  <c:v>188</c:v>
                </c:pt>
                <c:pt idx="77">
                  <c:v>190</c:v>
                </c:pt>
                <c:pt idx="78">
                  <c:v>191</c:v>
                </c:pt>
                <c:pt idx="79">
                  <c:v>191</c:v>
                </c:pt>
                <c:pt idx="80">
                  <c:v>193</c:v>
                </c:pt>
                <c:pt idx="81">
                  <c:v>195</c:v>
                </c:pt>
                <c:pt idx="82">
                  <c:v>195</c:v>
                </c:pt>
                <c:pt idx="83">
                  <c:v>197</c:v>
                </c:pt>
                <c:pt idx="84">
                  <c:v>199</c:v>
                </c:pt>
                <c:pt idx="85">
                  <c:v>200</c:v>
                </c:pt>
                <c:pt idx="86">
                  <c:v>201</c:v>
                </c:pt>
                <c:pt idx="87">
                  <c:v>203</c:v>
                </c:pt>
                <c:pt idx="88">
                  <c:v>204</c:v>
                </c:pt>
                <c:pt idx="89">
                  <c:v>205</c:v>
                </c:pt>
                <c:pt idx="90">
                  <c:v>206</c:v>
                </c:pt>
                <c:pt idx="91">
                  <c:v>207</c:v>
                </c:pt>
                <c:pt idx="92">
                  <c:v>209</c:v>
                </c:pt>
                <c:pt idx="93">
                  <c:v>210</c:v>
                </c:pt>
                <c:pt idx="94">
                  <c:v>212</c:v>
                </c:pt>
                <c:pt idx="95">
                  <c:v>213</c:v>
                </c:pt>
                <c:pt idx="96">
                  <c:v>214</c:v>
                </c:pt>
                <c:pt idx="97">
                  <c:v>215</c:v>
                </c:pt>
                <c:pt idx="98">
                  <c:v>217</c:v>
                </c:pt>
                <c:pt idx="99">
                  <c:v>219</c:v>
                </c:pt>
              </c:numCache>
            </c:numRef>
          </c:val>
          <c:smooth val="0"/>
          <c:extLst>
            <c:ext xmlns:c16="http://schemas.microsoft.com/office/drawing/2014/chart" uri="{C3380CC4-5D6E-409C-BE32-E72D297353CC}">
              <c16:uniqueId val="{00000000-A3C5-4B80-A7B5-AFF091C3359E}"/>
            </c:ext>
          </c:extLst>
        </c:ser>
        <c:ser>
          <c:idx val="1"/>
          <c:order val="1"/>
          <c:tx>
            <c:v>Median</c:v>
          </c:tx>
          <c:spPr>
            <a:ln w="28575">
              <a:solidFill>
                <a:srgbClr val="0E4F92"/>
              </a:solidFill>
              <a:prstDash val="solid"/>
            </a:ln>
          </c:spPr>
          <c:marker>
            <c:symbol val="none"/>
          </c:marker>
          <c:cat>
            <c:strRef>
              <c:f>Results!$B$102:$B$201</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Results!$D$102:$D$201</c:f>
              <c:numCache>
                <c:formatCode>#,##0.00</c:formatCode>
                <c:ptCount val="100"/>
                <c:pt idx="0">
                  <c:v>89</c:v>
                </c:pt>
                <c:pt idx="1">
                  <c:v>91</c:v>
                </c:pt>
                <c:pt idx="2">
                  <c:v>92</c:v>
                </c:pt>
                <c:pt idx="3">
                  <c:v>93</c:v>
                </c:pt>
                <c:pt idx="4">
                  <c:v>94</c:v>
                </c:pt>
                <c:pt idx="5">
                  <c:v>96</c:v>
                </c:pt>
                <c:pt idx="6">
                  <c:v>97</c:v>
                </c:pt>
                <c:pt idx="7">
                  <c:v>98</c:v>
                </c:pt>
                <c:pt idx="8">
                  <c:v>99</c:v>
                </c:pt>
                <c:pt idx="9">
                  <c:v>101</c:v>
                </c:pt>
                <c:pt idx="10">
                  <c:v>102</c:v>
                </c:pt>
                <c:pt idx="11">
                  <c:v>104</c:v>
                </c:pt>
                <c:pt idx="12">
                  <c:v>105</c:v>
                </c:pt>
                <c:pt idx="13">
                  <c:v>106</c:v>
                </c:pt>
                <c:pt idx="14">
                  <c:v>107</c:v>
                </c:pt>
                <c:pt idx="15">
                  <c:v>109</c:v>
                </c:pt>
                <c:pt idx="16">
                  <c:v>110</c:v>
                </c:pt>
                <c:pt idx="17">
                  <c:v>111</c:v>
                </c:pt>
                <c:pt idx="18">
                  <c:v>113</c:v>
                </c:pt>
                <c:pt idx="19">
                  <c:v>113</c:v>
                </c:pt>
                <c:pt idx="20">
                  <c:v>114</c:v>
                </c:pt>
                <c:pt idx="21">
                  <c:v>115</c:v>
                </c:pt>
                <c:pt idx="22">
                  <c:v>116</c:v>
                </c:pt>
                <c:pt idx="23">
                  <c:v>117</c:v>
                </c:pt>
                <c:pt idx="24">
                  <c:v>118</c:v>
                </c:pt>
                <c:pt idx="25">
                  <c:v>118</c:v>
                </c:pt>
                <c:pt idx="26">
                  <c:v>119</c:v>
                </c:pt>
                <c:pt idx="27">
                  <c:v>120</c:v>
                </c:pt>
                <c:pt idx="28">
                  <c:v>121</c:v>
                </c:pt>
                <c:pt idx="29">
                  <c:v>121</c:v>
                </c:pt>
                <c:pt idx="30">
                  <c:v>121</c:v>
                </c:pt>
                <c:pt idx="31">
                  <c:v>121</c:v>
                </c:pt>
                <c:pt idx="32">
                  <c:v>122</c:v>
                </c:pt>
                <c:pt idx="33">
                  <c:v>121</c:v>
                </c:pt>
                <c:pt idx="34">
                  <c:v>121</c:v>
                </c:pt>
                <c:pt idx="35">
                  <c:v>120</c:v>
                </c:pt>
                <c:pt idx="36">
                  <c:v>119</c:v>
                </c:pt>
                <c:pt idx="37">
                  <c:v>116</c:v>
                </c:pt>
                <c:pt idx="38">
                  <c:v>114</c:v>
                </c:pt>
                <c:pt idx="39">
                  <c:v>111</c:v>
                </c:pt>
                <c:pt idx="40">
                  <c:v>110</c:v>
                </c:pt>
                <c:pt idx="41">
                  <c:v>110</c:v>
                </c:pt>
                <c:pt idx="42">
                  <c:v>109</c:v>
                </c:pt>
                <c:pt idx="43">
                  <c:v>109</c:v>
                </c:pt>
                <c:pt idx="44">
                  <c:v>109</c:v>
                </c:pt>
                <c:pt idx="45">
                  <c:v>109</c:v>
                </c:pt>
                <c:pt idx="46">
                  <c:v>109</c:v>
                </c:pt>
                <c:pt idx="47">
                  <c:v>109</c:v>
                </c:pt>
                <c:pt idx="48">
                  <c:v>110</c:v>
                </c:pt>
                <c:pt idx="49">
                  <c:v>110</c:v>
                </c:pt>
                <c:pt idx="50">
                  <c:v>111</c:v>
                </c:pt>
                <c:pt idx="51">
                  <c:v>112</c:v>
                </c:pt>
                <c:pt idx="52">
                  <c:v>113</c:v>
                </c:pt>
                <c:pt idx="53">
                  <c:v>114</c:v>
                </c:pt>
                <c:pt idx="54">
                  <c:v>115</c:v>
                </c:pt>
                <c:pt idx="55">
                  <c:v>116</c:v>
                </c:pt>
                <c:pt idx="56">
                  <c:v>117</c:v>
                </c:pt>
                <c:pt idx="57">
                  <c:v>118</c:v>
                </c:pt>
                <c:pt idx="58">
                  <c:v>118</c:v>
                </c:pt>
                <c:pt idx="59">
                  <c:v>119</c:v>
                </c:pt>
                <c:pt idx="60">
                  <c:v>121</c:v>
                </c:pt>
                <c:pt idx="61">
                  <c:v>121</c:v>
                </c:pt>
                <c:pt idx="62">
                  <c:v>122</c:v>
                </c:pt>
                <c:pt idx="63">
                  <c:v>123</c:v>
                </c:pt>
                <c:pt idx="64">
                  <c:v>124</c:v>
                </c:pt>
                <c:pt idx="65">
                  <c:v>125</c:v>
                </c:pt>
                <c:pt idx="66">
                  <c:v>126</c:v>
                </c:pt>
                <c:pt idx="67">
                  <c:v>127</c:v>
                </c:pt>
                <c:pt idx="68">
                  <c:v>128</c:v>
                </c:pt>
                <c:pt idx="69">
                  <c:v>129</c:v>
                </c:pt>
                <c:pt idx="70">
                  <c:v>130</c:v>
                </c:pt>
                <c:pt idx="71">
                  <c:v>131</c:v>
                </c:pt>
                <c:pt idx="72">
                  <c:v>132</c:v>
                </c:pt>
                <c:pt idx="73">
                  <c:v>132</c:v>
                </c:pt>
                <c:pt idx="74">
                  <c:v>133</c:v>
                </c:pt>
                <c:pt idx="75">
                  <c:v>134</c:v>
                </c:pt>
                <c:pt idx="76">
                  <c:v>135</c:v>
                </c:pt>
                <c:pt idx="77">
                  <c:v>136</c:v>
                </c:pt>
                <c:pt idx="78">
                  <c:v>137</c:v>
                </c:pt>
                <c:pt idx="79">
                  <c:v>138</c:v>
                </c:pt>
                <c:pt idx="80">
                  <c:v>139</c:v>
                </c:pt>
                <c:pt idx="81">
                  <c:v>140</c:v>
                </c:pt>
                <c:pt idx="82">
                  <c:v>141</c:v>
                </c:pt>
                <c:pt idx="83">
                  <c:v>142</c:v>
                </c:pt>
                <c:pt idx="84">
                  <c:v>142</c:v>
                </c:pt>
                <c:pt idx="85">
                  <c:v>144</c:v>
                </c:pt>
                <c:pt idx="86">
                  <c:v>144</c:v>
                </c:pt>
                <c:pt idx="87">
                  <c:v>145</c:v>
                </c:pt>
                <c:pt idx="88">
                  <c:v>146</c:v>
                </c:pt>
                <c:pt idx="89">
                  <c:v>147</c:v>
                </c:pt>
                <c:pt idx="90">
                  <c:v>148</c:v>
                </c:pt>
                <c:pt idx="91">
                  <c:v>149</c:v>
                </c:pt>
                <c:pt idx="92">
                  <c:v>150</c:v>
                </c:pt>
                <c:pt idx="93">
                  <c:v>151</c:v>
                </c:pt>
                <c:pt idx="94">
                  <c:v>152</c:v>
                </c:pt>
                <c:pt idx="95">
                  <c:v>153</c:v>
                </c:pt>
                <c:pt idx="96">
                  <c:v>154</c:v>
                </c:pt>
                <c:pt idx="97">
                  <c:v>154</c:v>
                </c:pt>
                <c:pt idx="98">
                  <c:v>156</c:v>
                </c:pt>
                <c:pt idx="99">
                  <c:v>157</c:v>
                </c:pt>
              </c:numCache>
            </c:numRef>
          </c:val>
          <c:smooth val="0"/>
          <c:extLst>
            <c:ext xmlns:c16="http://schemas.microsoft.com/office/drawing/2014/chart" uri="{C3380CC4-5D6E-409C-BE32-E72D297353CC}">
              <c16:uniqueId val="{00000001-A3C5-4B80-A7B5-AFF091C3359E}"/>
            </c:ext>
          </c:extLst>
        </c:ser>
        <c:ser>
          <c:idx val="2"/>
          <c:order val="2"/>
          <c:tx>
            <c:v>Mean</c:v>
          </c:tx>
          <c:spPr>
            <a:ln w="19050">
              <a:solidFill>
                <a:srgbClr val="B45309"/>
              </a:solidFill>
              <a:prstDash val="solid"/>
            </a:ln>
          </c:spPr>
          <c:marker>
            <c:symbol val="none"/>
          </c:marker>
          <c:cat>
            <c:strRef>
              <c:f>Results!$B$102:$B$201</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Results!$F$102:$F$201</c:f>
              <c:numCache>
                <c:formatCode>#,##0.00</c:formatCode>
                <c:ptCount val="100"/>
                <c:pt idx="0">
                  <c:v>89.38296914845742</c:v>
                </c:pt>
                <c:pt idx="1">
                  <c:v>90.647132356617831</c:v>
                </c:pt>
                <c:pt idx="2">
                  <c:v>91.991199559978</c:v>
                </c:pt>
                <c:pt idx="3">
                  <c:v>93.34881744087204</c:v>
                </c:pt>
                <c:pt idx="4">
                  <c:v>94.567678383919201</c:v>
                </c:pt>
                <c:pt idx="5">
                  <c:v>95.691034551727583</c:v>
                </c:pt>
                <c:pt idx="6">
                  <c:v>97.051002550127507</c:v>
                </c:pt>
                <c:pt idx="7">
                  <c:v>98.201610080504025</c:v>
                </c:pt>
                <c:pt idx="8">
                  <c:v>99.732336616830835</c:v>
                </c:pt>
                <c:pt idx="9">
                  <c:v>100.94919745987299</c:v>
                </c:pt>
                <c:pt idx="10">
                  <c:v>102.40012000600029</c:v>
                </c:pt>
                <c:pt idx="11">
                  <c:v>103.77788889444473</c:v>
                </c:pt>
                <c:pt idx="12">
                  <c:v>104.84469223461173</c:v>
                </c:pt>
                <c:pt idx="13">
                  <c:v>106.30771538576928</c:v>
                </c:pt>
                <c:pt idx="14">
                  <c:v>107.48687434371719</c:v>
                </c:pt>
                <c:pt idx="15">
                  <c:v>108.6220811040552</c:v>
                </c:pt>
                <c:pt idx="16">
                  <c:v>110.01595079753987</c:v>
                </c:pt>
                <c:pt idx="17">
                  <c:v>111.56537826891345</c:v>
                </c:pt>
                <c:pt idx="18">
                  <c:v>112.70828541427072</c:v>
                </c:pt>
                <c:pt idx="19">
                  <c:v>113.04460223011151</c:v>
                </c:pt>
                <c:pt idx="20">
                  <c:v>113.20926046302316</c:v>
                </c:pt>
                <c:pt idx="21">
                  <c:v>113.5914795739787</c:v>
                </c:pt>
                <c:pt idx="22">
                  <c:v>114.19610980549028</c:v>
                </c:pt>
                <c:pt idx="23">
                  <c:v>114.53502675133757</c:v>
                </c:pt>
                <c:pt idx="24">
                  <c:v>114.66123306165308</c:v>
                </c:pt>
                <c:pt idx="25">
                  <c:v>114.88374418720936</c:v>
                </c:pt>
                <c:pt idx="26">
                  <c:v>115.18100905045252</c:v>
                </c:pt>
                <c:pt idx="27">
                  <c:v>115.52137606880343</c:v>
                </c:pt>
                <c:pt idx="28">
                  <c:v>115.75173758687934</c:v>
                </c:pt>
                <c:pt idx="29">
                  <c:v>115.92684634231712</c:v>
                </c:pt>
                <c:pt idx="30">
                  <c:v>115.97824891244562</c:v>
                </c:pt>
                <c:pt idx="31">
                  <c:v>116.09510475523776</c:v>
                </c:pt>
                <c:pt idx="32">
                  <c:v>116.35891794589729</c:v>
                </c:pt>
                <c:pt idx="33">
                  <c:v>116.48612430621532</c:v>
                </c:pt>
                <c:pt idx="34">
                  <c:v>116.69248462423121</c:v>
                </c:pt>
                <c:pt idx="35">
                  <c:v>116.79668983449173</c:v>
                </c:pt>
                <c:pt idx="36">
                  <c:v>117.00655032751638</c:v>
                </c:pt>
                <c:pt idx="37">
                  <c:v>117.12295614780739</c:v>
                </c:pt>
                <c:pt idx="38">
                  <c:v>117.20526026301314</c:v>
                </c:pt>
                <c:pt idx="39">
                  <c:v>117.0578028901445</c:v>
                </c:pt>
                <c:pt idx="40">
                  <c:v>117.23291164558228</c:v>
                </c:pt>
                <c:pt idx="41">
                  <c:v>117.18405920296014</c:v>
                </c:pt>
                <c:pt idx="42">
                  <c:v>116.91564578228912</c:v>
                </c:pt>
                <c:pt idx="43">
                  <c:v>117.15170758537927</c:v>
                </c:pt>
                <c:pt idx="44">
                  <c:v>117.11765588279414</c:v>
                </c:pt>
                <c:pt idx="45">
                  <c:v>116.94779738986949</c:v>
                </c:pt>
                <c:pt idx="46">
                  <c:v>116.70378518925946</c:v>
                </c:pt>
                <c:pt idx="47">
                  <c:v>116.70478523926197</c:v>
                </c:pt>
                <c:pt idx="48">
                  <c:v>116.55517775888795</c:v>
                </c:pt>
                <c:pt idx="49">
                  <c:v>116.25926296314816</c:v>
                </c:pt>
                <c:pt idx="50">
                  <c:v>117.16660833041652</c:v>
                </c:pt>
                <c:pt idx="51">
                  <c:v>118.27096354817741</c:v>
                </c:pt>
                <c:pt idx="52">
                  <c:v>119.29066453322666</c:v>
                </c:pt>
                <c:pt idx="53">
                  <c:v>120.18660933046652</c:v>
                </c:pt>
                <c:pt idx="54">
                  <c:v>121.19870993549678</c:v>
                </c:pt>
                <c:pt idx="55">
                  <c:v>122.2373618680934</c:v>
                </c:pt>
                <c:pt idx="56">
                  <c:v>123.21511075553778</c:v>
                </c:pt>
                <c:pt idx="57">
                  <c:v>124.34976748837443</c:v>
                </c:pt>
                <c:pt idx="58">
                  <c:v>124.89089454472723</c:v>
                </c:pt>
                <c:pt idx="59">
                  <c:v>126.10055502775138</c:v>
                </c:pt>
                <c:pt idx="60">
                  <c:v>127.15905795289764</c:v>
                </c:pt>
                <c:pt idx="61">
                  <c:v>128.22226111305565</c:v>
                </c:pt>
                <c:pt idx="62">
                  <c:v>128.98514925746287</c:v>
                </c:pt>
                <c:pt idx="63">
                  <c:v>130.06215310765538</c:v>
                </c:pt>
                <c:pt idx="64">
                  <c:v>131.10655532776639</c:v>
                </c:pt>
                <c:pt idx="65">
                  <c:v>132.00010000500026</c:v>
                </c:pt>
                <c:pt idx="66">
                  <c:v>133.002800140007</c:v>
                </c:pt>
                <c:pt idx="67">
                  <c:v>134.08730436521827</c:v>
                </c:pt>
                <c:pt idx="68">
                  <c:v>134.94004700235013</c:v>
                </c:pt>
                <c:pt idx="69">
                  <c:v>136.17405870293516</c:v>
                </c:pt>
                <c:pt idx="70">
                  <c:v>137.18985949297465</c:v>
                </c:pt>
                <c:pt idx="71">
                  <c:v>138.07830391519576</c:v>
                </c:pt>
                <c:pt idx="72">
                  <c:v>138.89584479223961</c:v>
                </c:pt>
                <c:pt idx="73">
                  <c:v>139.82024101205062</c:v>
                </c:pt>
                <c:pt idx="74">
                  <c:v>140.75753787689385</c:v>
                </c:pt>
                <c:pt idx="75">
                  <c:v>141.91359567978398</c:v>
                </c:pt>
                <c:pt idx="76">
                  <c:v>143.04535226761337</c:v>
                </c:pt>
                <c:pt idx="77">
                  <c:v>143.92304615230762</c:v>
                </c:pt>
                <c:pt idx="78">
                  <c:v>144.82739136956849</c:v>
                </c:pt>
                <c:pt idx="79">
                  <c:v>145.81534076703835</c:v>
                </c:pt>
                <c:pt idx="80">
                  <c:v>146.74973748687435</c:v>
                </c:pt>
                <c:pt idx="81">
                  <c:v>147.72243612180608</c:v>
                </c:pt>
                <c:pt idx="82">
                  <c:v>148.71968598429922</c:v>
                </c:pt>
                <c:pt idx="83">
                  <c:v>149.81969098454923</c:v>
                </c:pt>
                <c:pt idx="84">
                  <c:v>150.79203960198009</c:v>
                </c:pt>
                <c:pt idx="85">
                  <c:v>151.79138956947847</c:v>
                </c:pt>
                <c:pt idx="86">
                  <c:v>152.81109055452774</c:v>
                </c:pt>
                <c:pt idx="87">
                  <c:v>153.884394219711</c:v>
                </c:pt>
                <c:pt idx="88">
                  <c:v>154.88239411970599</c:v>
                </c:pt>
                <c:pt idx="89">
                  <c:v>155.80229011450572</c:v>
                </c:pt>
                <c:pt idx="90">
                  <c:v>156.58237911895594</c:v>
                </c:pt>
                <c:pt idx="91">
                  <c:v>157.72168608430422</c:v>
                </c:pt>
                <c:pt idx="92">
                  <c:v>158.61958097904895</c:v>
                </c:pt>
                <c:pt idx="93">
                  <c:v>159.95814790739536</c:v>
                </c:pt>
                <c:pt idx="94">
                  <c:v>160.87884394219711</c:v>
                </c:pt>
                <c:pt idx="95">
                  <c:v>161.72048602430121</c:v>
                </c:pt>
                <c:pt idx="96">
                  <c:v>162.74648732436623</c:v>
                </c:pt>
                <c:pt idx="97">
                  <c:v>163.43707185359267</c:v>
                </c:pt>
                <c:pt idx="98">
                  <c:v>164.73203660183009</c:v>
                </c:pt>
                <c:pt idx="99">
                  <c:v>165.8546427321366</c:v>
                </c:pt>
              </c:numCache>
            </c:numRef>
          </c:val>
          <c:smooth val="0"/>
          <c:extLst>
            <c:ext xmlns:c16="http://schemas.microsoft.com/office/drawing/2014/chart" uri="{C3380CC4-5D6E-409C-BE32-E72D297353CC}">
              <c16:uniqueId val="{00000002-A3C5-4B80-A7B5-AFF091C3359E}"/>
            </c:ext>
          </c:extLst>
        </c:ser>
        <c:ser>
          <c:idx val="3"/>
          <c:order val="3"/>
          <c:tx>
            <c:v>10th percentile</c:v>
          </c:tx>
          <c:spPr>
            <a:ln w="15875">
              <a:solidFill>
                <a:srgbClr val="0E4F92"/>
              </a:solidFill>
              <a:prstDash val="dash"/>
            </a:ln>
          </c:spPr>
          <c:marker>
            <c:symbol val="none"/>
          </c:marker>
          <c:cat>
            <c:strRef>
              <c:f>Results!$B$102:$B$201</c:f>
              <c:strCach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strCache>
            </c:strRef>
          </c:cat>
          <c:val>
            <c:numRef>
              <c:f>Results!$C$102:$C$201</c:f>
              <c:numCache>
                <c:formatCode>#,##0.00</c:formatCode>
                <c:ptCount val="100"/>
                <c:pt idx="0">
                  <c:v>78</c:v>
                </c:pt>
                <c:pt idx="1">
                  <c:v>78</c:v>
                </c:pt>
                <c:pt idx="2">
                  <c:v>80</c:v>
                </c:pt>
                <c:pt idx="3">
                  <c:v>81</c:v>
                </c:pt>
                <c:pt idx="4">
                  <c:v>82</c:v>
                </c:pt>
                <c:pt idx="5">
                  <c:v>83</c:v>
                </c:pt>
                <c:pt idx="6">
                  <c:v>85</c:v>
                </c:pt>
                <c:pt idx="7">
                  <c:v>86</c:v>
                </c:pt>
                <c:pt idx="8">
                  <c:v>87</c:v>
                </c:pt>
                <c:pt idx="9">
                  <c:v>88</c:v>
                </c:pt>
                <c:pt idx="10">
                  <c:v>90</c:v>
                </c:pt>
                <c:pt idx="11">
                  <c:v>91</c:v>
                </c:pt>
                <c:pt idx="12">
                  <c:v>92</c:v>
                </c:pt>
                <c:pt idx="13">
                  <c:v>93</c:v>
                </c:pt>
                <c:pt idx="14">
                  <c:v>94</c:v>
                </c:pt>
                <c:pt idx="15">
                  <c:v>96</c:v>
                </c:pt>
                <c:pt idx="16">
                  <c:v>97</c:v>
                </c:pt>
                <c:pt idx="17">
                  <c:v>98</c:v>
                </c:pt>
                <c:pt idx="18">
                  <c:v>99</c:v>
                </c:pt>
                <c:pt idx="19">
                  <c:v>99</c:v>
                </c:pt>
                <c:pt idx="20">
                  <c:v>98</c:v>
                </c:pt>
                <c:pt idx="21">
                  <c:v>96</c:v>
                </c:pt>
                <c:pt idx="22">
                  <c:v>93</c:v>
                </c:pt>
                <c:pt idx="23">
                  <c:v>89</c:v>
                </c:pt>
                <c:pt idx="24">
                  <c:v>87</c:v>
                </c:pt>
                <c:pt idx="25">
                  <c:v>86</c:v>
                </c:pt>
                <c:pt idx="26">
                  <c:v>85</c:v>
                </c:pt>
                <c:pt idx="27">
                  <c:v>85</c:v>
                </c:pt>
                <c:pt idx="28">
                  <c:v>85</c:v>
                </c:pt>
                <c:pt idx="29">
                  <c:v>85</c:v>
                </c:pt>
                <c:pt idx="30">
                  <c:v>85</c:v>
                </c:pt>
                <c:pt idx="31">
                  <c:v>85</c:v>
                </c:pt>
                <c:pt idx="32">
                  <c:v>86</c:v>
                </c:pt>
                <c:pt idx="33">
                  <c:v>86</c:v>
                </c:pt>
                <c:pt idx="34">
                  <c:v>86</c:v>
                </c:pt>
                <c:pt idx="35">
                  <c:v>87</c:v>
                </c:pt>
                <c:pt idx="36">
                  <c:v>88</c:v>
                </c:pt>
                <c:pt idx="37">
                  <c:v>88</c:v>
                </c:pt>
                <c:pt idx="38">
                  <c:v>89</c:v>
                </c:pt>
                <c:pt idx="39">
                  <c:v>89</c:v>
                </c:pt>
                <c:pt idx="40">
                  <c:v>90</c:v>
                </c:pt>
                <c:pt idx="41">
                  <c:v>90</c:v>
                </c:pt>
                <c:pt idx="42">
                  <c:v>91</c:v>
                </c:pt>
                <c:pt idx="43">
                  <c:v>92</c:v>
                </c:pt>
                <c:pt idx="44">
                  <c:v>92</c:v>
                </c:pt>
                <c:pt idx="45">
                  <c:v>93</c:v>
                </c:pt>
                <c:pt idx="46">
                  <c:v>93</c:v>
                </c:pt>
                <c:pt idx="47">
                  <c:v>94</c:v>
                </c:pt>
                <c:pt idx="48">
                  <c:v>95</c:v>
                </c:pt>
                <c:pt idx="49">
                  <c:v>95</c:v>
                </c:pt>
                <c:pt idx="50">
                  <c:v>96</c:v>
                </c:pt>
                <c:pt idx="51">
                  <c:v>97</c:v>
                </c:pt>
                <c:pt idx="52">
                  <c:v>98</c:v>
                </c:pt>
                <c:pt idx="53">
                  <c:v>99</c:v>
                </c:pt>
                <c:pt idx="54">
                  <c:v>99</c:v>
                </c:pt>
                <c:pt idx="55">
                  <c:v>101</c:v>
                </c:pt>
                <c:pt idx="56">
                  <c:v>102</c:v>
                </c:pt>
                <c:pt idx="57">
                  <c:v>102</c:v>
                </c:pt>
                <c:pt idx="58">
                  <c:v>103</c:v>
                </c:pt>
                <c:pt idx="59">
                  <c:v>104</c:v>
                </c:pt>
                <c:pt idx="60">
                  <c:v>105</c:v>
                </c:pt>
                <c:pt idx="61">
                  <c:v>106</c:v>
                </c:pt>
                <c:pt idx="62">
                  <c:v>107</c:v>
                </c:pt>
                <c:pt idx="63">
                  <c:v>107</c:v>
                </c:pt>
                <c:pt idx="64">
                  <c:v>108</c:v>
                </c:pt>
                <c:pt idx="65">
                  <c:v>109</c:v>
                </c:pt>
                <c:pt idx="66">
                  <c:v>110</c:v>
                </c:pt>
                <c:pt idx="67">
                  <c:v>111</c:v>
                </c:pt>
                <c:pt idx="68">
                  <c:v>112</c:v>
                </c:pt>
                <c:pt idx="69">
                  <c:v>113</c:v>
                </c:pt>
                <c:pt idx="70">
                  <c:v>113</c:v>
                </c:pt>
                <c:pt idx="71">
                  <c:v>114</c:v>
                </c:pt>
                <c:pt idx="72">
                  <c:v>115</c:v>
                </c:pt>
                <c:pt idx="73">
                  <c:v>116</c:v>
                </c:pt>
                <c:pt idx="74">
                  <c:v>117</c:v>
                </c:pt>
                <c:pt idx="75">
                  <c:v>118</c:v>
                </c:pt>
                <c:pt idx="76">
                  <c:v>119</c:v>
                </c:pt>
                <c:pt idx="77">
                  <c:v>119</c:v>
                </c:pt>
                <c:pt idx="78">
                  <c:v>120</c:v>
                </c:pt>
                <c:pt idx="79">
                  <c:v>121</c:v>
                </c:pt>
                <c:pt idx="80">
                  <c:v>122</c:v>
                </c:pt>
                <c:pt idx="81">
                  <c:v>122</c:v>
                </c:pt>
                <c:pt idx="82">
                  <c:v>124</c:v>
                </c:pt>
                <c:pt idx="83">
                  <c:v>124</c:v>
                </c:pt>
                <c:pt idx="84">
                  <c:v>125</c:v>
                </c:pt>
                <c:pt idx="85">
                  <c:v>126</c:v>
                </c:pt>
                <c:pt idx="86">
                  <c:v>127</c:v>
                </c:pt>
                <c:pt idx="87">
                  <c:v>128</c:v>
                </c:pt>
                <c:pt idx="88">
                  <c:v>129</c:v>
                </c:pt>
                <c:pt idx="89">
                  <c:v>130</c:v>
                </c:pt>
                <c:pt idx="90">
                  <c:v>131</c:v>
                </c:pt>
                <c:pt idx="91">
                  <c:v>131</c:v>
                </c:pt>
                <c:pt idx="92">
                  <c:v>132</c:v>
                </c:pt>
                <c:pt idx="93">
                  <c:v>133</c:v>
                </c:pt>
                <c:pt idx="94">
                  <c:v>134</c:v>
                </c:pt>
                <c:pt idx="95">
                  <c:v>135</c:v>
                </c:pt>
                <c:pt idx="96">
                  <c:v>136</c:v>
                </c:pt>
                <c:pt idx="97">
                  <c:v>136</c:v>
                </c:pt>
                <c:pt idx="98">
                  <c:v>137</c:v>
                </c:pt>
                <c:pt idx="99">
                  <c:v>139</c:v>
                </c:pt>
              </c:numCache>
            </c:numRef>
          </c:val>
          <c:smooth val="0"/>
          <c:extLst>
            <c:ext xmlns:c16="http://schemas.microsoft.com/office/drawing/2014/chart" uri="{C3380CC4-5D6E-409C-BE32-E72D297353CC}">
              <c16:uniqueId val="{00000003-A3C5-4B80-A7B5-AFF091C3359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10"/>
        <c:tickMarkSkip val="10"/>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Units per month</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Units sold over 100 months</c:v>
          </c:tx>
          <c:spPr>
            <a:solidFill>
              <a:srgbClr val="0E4F92"/>
            </a:solidFill>
            <a:ln>
              <a:noFill/>
              <a:prstDash val="solid"/>
            </a:ln>
          </c:spPr>
          <c:invertIfNegative val="1"/>
          <c:cat>
            <c:numRef>
              <c:f>Results!$E$307:$E$330</c:f>
              <c:numCache>
                <c:formatCode>#,##0.00</c:formatCode>
                <c:ptCount val="24"/>
                <c:pt idx="0">
                  <c:v>11280.1875</c:v>
                </c:pt>
                <c:pt idx="1">
                  <c:v>11464.5625</c:v>
                </c:pt>
                <c:pt idx="2">
                  <c:v>11648.9375</c:v>
                </c:pt>
                <c:pt idx="3">
                  <c:v>11833.3125</c:v>
                </c:pt>
                <c:pt idx="4">
                  <c:v>12017.6875</c:v>
                </c:pt>
                <c:pt idx="5">
                  <c:v>12202.0625</c:v>
                </c:pt>
                <c:pt idx="6">
                  <c:v>12386.4375</c:v>
                </c:pt>
                <c:pt idx="7">
                  <c:v>12570.8125</c:v>
                </c:pt>
                <c:pt idx="8">
                  <c:v>12755.1875</c:v>
                </c:pt>
                <c:pt idx="9">
                  <c:v>12939.5625</c:v>
                </c:pt>
                <c:pt idx="10">
                  <c:v>13123.9375</c:v>
                </c:pt>
                <c:pt idx="11">
                  <c:v>13308.3125</c:v>
                </c:pt>
                <c:pt idx="12">
                  <c:v>13492.6875</c:v>
                </c:pt>
                <c:pt idx="13">
                  <c:v>13677.0625</c:v>
                </c:pt>
                <c:pt idx="14">
                  <c:v>13861.4375</c:v>
                </c:pt>
                <c:pt idx="15">
                  <c:v>14045.8125</c:v>
                </c:pt>
                <c:pt idx="16">
                  <c:v>14230.1875</c:v>
                </c:pt>
                <c:pt idx="17">
                  <c:v>14414.5625</c:v>
                </c:pt>
                <c:pt idx="18">
                  <c:v>14598.9375</c:v>
                </c:pt>
                <c:pt idx="19">
                  <c:v>14783.3125</c:v>
                </c:pt>
                <c:pt idx="20">
                  <c:v>14967.6875</c:v>
                </c:pt>
                <c:pt idx="21">
                  <c:v>15152.0625</c:v>
                </c:pt>
                <c:pt idx="22">
                  <c:v>15336.4375</c:v>
                </c:pt>
                <c:pt idx="23">
                  <c:v>15520.8125</c:v>
                </c:pt>
              </c:numCache>
            </c:numRef>
          </c:cat>
          <c:val>
            <c:numRef>
              <c:f>Results!$F$307:$F$330</c:f>
              <c:numCache>
                <c:formatCode>0.0%</c:formatCode>
                <c:ptCount val="24"/>
                <c:pt idx="0">
                  <c:v>5.8187499999999996E-2</c:v>
                </c:pt>
                <c:pt idx="1">
                  <c:v>0.12046634615384615</c:v>
                </c:pt>
                <c:pt idx="2">
                  <c:v>0.13042948717948719</c:v>
                </c:pt>
                <c:pt idx="3">
                  <c:v>0.11828508771929824</c:v>
                </c:pt>
                <c:pt idx="4">
                  <c:v>0.11192845394736844</c:v>
                </c:pt>
                <c:pt idx="5">
                  <c:v>0.10835937500000004</c:v>
                </c:pt>
                <c:pt idx="6">
                  <c:v>9.6212797619047552E-2</c:v>
                </c:pt>
                <c:pt idx="7">
                  <c:v>4.3732108450316609E-2</c:v>
                </c:pt>
                <c:pt idx="8">
                  <c:v>7.6361124491544086E-3</c:v>
                </c:pt>
                <c:pt idx="9">
                  <c:v>7.7598905723896827E-4</c:v>
                </c:pt>
                <c:pt idx="10">
                  <c:v>7.7598905723907929E-4</c:v>
                </c:pt>
                <c:pt idx="11">
                  <c:v>7.7598905723907929E-4</c:v>
                </c:pt>
                <c:pt idx="12">
                  <c:v>7.7598905723907929E-4</c:v>
                </c:pt>
                <c:pt idx="13">
                  <c:v>7.7598905723907929E-4</c:v>
                </c:pt>
                <c:pt idx="14">
                  <c:v>7.7598905723896827E-4</c:v>
                </c:pt>
                <c:pt idx="15">
                  <c:v>7.7598905723907929E-4</c:v>
                </c:pt>
                <c:pt idx="16">
                  <c:v>7.7598905723907929E-4</c:v>
                </c:pt>
                <c:pt idx="17">
                  <c:v>7.7598905723907929E-4</c:v>
                </c:pt>
                <c:pt idx="18">
                  <c:v>7.7598905723907929E-4</c:v>
                </c:pt>
                <c:pt idx="19">
                  <c:v>7.7598905723896827E-4</c:v>
                </c:pt>
                <c:pt idx="20">
                  <c:v>7.7598905723907929E-4</c:v>
                </c:pt>
                <c:pt idx="21">
                  <c:v>1.9802714646464548E-2</c:v>
                </c:pt>
                <c:pt idx="22">
                  <c:v>0.10807461873638347</c:v>
                </c:pt>
                <c:pt idx="23">
                  <c:v>5.7573529411764746E-2</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1FAF-451A-B021-457A29F1BF7C}"/>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Units</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37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69"/>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67" t="s">
        <v>20</v>
      </c>
      <c r="C16" s="66"/>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ht="12" customHeight="1" x14ac:dyDescent="0.45"/>
    <row r="37" spans="2:3" ht="22.05" customHeight="1" x14ac:dyDescent="0.5">
      <c r="B37" s="7" t="s">
        <v>36</v>
      </c>
      <c r="C37" s="8"/>
    </row>
    <row r="38" spans="2:3" x14ac:dyDescent="0.45">
      <c r="B38" s="14" t="s">
        <v>37</v>
      </c>
      <c r="C38" s="10" t="s">
        <v>38</v>
      </c>
    </row>
    <row r="39" spans="2:3" x14ac:dyDescent="0.45">
      <c r="B39" s="14" t="s">
        <v>39</v>
      </c>
      <c r="C39" s="10" t="s">
        <v>40</v>
      </c>
    </row>
    <row r="40" spans="2:3" x14ac:dyDescent="0.45">
      <c r="B40" s="14" t="s">
        <v>41</v>
      </c>
      <c r="C40" s="10" t="s">
        <v>42</v>
      </c>
    </row>
    <row r="41" spans="2:3" ht="12" customHeight="1" x14ac:dyDescent="0.45"/>
    <row r="42" spans="2:3" ht="22.05" customHeight="1" x14ac:dyDescent="0.5">
      <c r="B42" s="7" t="s">
        <v>43</v>
      </c>
      <c r="C42" s="8"/>
    </row>
    <row r="43" spans="2:3" x14ac:dyDescent="0.45">
      <c r="B43" s="15" t="s">
        <v>44</v>
      </c>
      <c r="C43" s="12" t="s">
        <v>45</v>
      </c>
    </row>
    <row r="44" spans="2:3" x14ac:dyDescent="0.45">
      <c r="B44" s="16" t="s">
        <v>46</v>
      </c>
      <c r="C44" s="12" t="s">
        <v>47</v>
      </c>
    </row>
    <row r="45" spans="2:3" x14ac:dyDescent="0.45">
      <c r="B45" s="17" t="s">
        <v>48</v>
      </c>
      <c r="C45" s="12" t="s">
        <v>49</v>
      </c>
    </row>
    <row r="46" spans="2:3" x14ac:dyDescent="0.45">
      <c r="B46" s="18" t="s">
        <v>50</v>
      </c>
      <c r="C46" s="12" t="s">
        <v>51</v>
      </c>
    </row>
    <row r="47" spans="2:3" x14ac:dyDescent="0.45">
      <c r="B47" s="19" t="s">
        <v>52</v>
      </c>
      <c r="C47" s="12" t="s">
        <v>53</v>
      </c>
    </row>
    <row r="48" spans="2:3" ht="12" customHeight="1" x14ac:dyDescent="0.45"/>
    <row r="49" spans="2:3" ht="22.05" customHeight="1" x14ac:dyDescent="0.5">
      <c r="B49" s="7" t="s">
        <v>54</v>
      </c>
      <c r="C49" s="8"/>
    </row>
    <row r="50" spans="2:3" x14ac:dyDescent="0.45">
      <c r="B50" s="9" t="s">
        <v>55</v>
      </c>
      <c r="C50" s="10" t="s">
        <v>56</v>
      </c>
    </row>
    <row r="51" spans="2:3" x14ac:dyDescent="0.45">
      <c r="B51" s="9" t="s">
        <v>57</v>
      </c>
      <c r="C51" s="10" t="s">
        <v>58</v>
      </c>
    </row>
    <row r="52" spans="2:3" ht="12" customHeight="1" x14ac:dyDescent="0.45"/>
    <row r="53" spans="2:3" ht="22.05" customHeight="1" x14ac:dyDescent="0.5">
      <c r="B53" s="7" t="s">
        <v>59</v>
      </c>
      <c r="C53" s="8"/>
    </row>
    <row r="54" spans="2:3" x14ac:dyDescent="0.45">
      <c r="B54" s="9" t="s">
        <v>60</v>
      </c>
      <c r="C54" s="10" t="s">
        <v>61</v>
      </c>
    </row>
    <row r="55" spans="2:3" x14ac:dyDescent="0.45">
      <c r="B55" s="9" t="s">
        <v>62</v>
      </c>
      <c r="C55" s="10" t="s">
        <v>63</v>
      </c>
    </row>
    <row r="56" spans="2:3" x14ac:dyDescent="0.45">
      <c r="B56" s="9" t="s">
        <v>64</v>
      </c>
      <c r="C56" s="10" t="s">
        <v>65</v>
      </c>
    </row>
    <row r="57" spans="2:3" ht="26.25" x14ac:dyDescent="0.45">
      <c r="B57" s="9" t="s">
        <v>66</v>
      </c>
      <c r="C57" s="10" t="s">
        <v>67</v>
      </c>
    </row>
    <row r="58" spans="2:3" ht="12" customHeight="1" x14ac:dyDescent="0.45"/>
    <row r="59" spans="2:3" ht="22.05" customHeight="1" x14ac:dyDescent="0.5">
      <c r="B59" s="7" t="s">
        <v>68</v>
      </c>
      <c r="C59" s="8"/>
    </row>
    <row r="60" spans="2:3" x14ac:dyDescent="0.45">
      <c r="B60" s="20" t="s">
        <v>69</v>
      </c>
      <c r="C60" s="10" t="s">
        <v>70</v>
      </c>
    </row>
    <row r="61" spans="2:3" x14ac:dyDescent="0.45">
      <c r="B61" s="20" t="s">
        <v>71</v>
      </c>
      <c r="C61" s="10" t="s">
        <v>72</v>
      </c>
    </row>
    <row r="62" spans="2:3" x14ac:dyDescent="0.45">
      <c r="B62" s="20" t="s">
        <v>73</v>
      </c>
      <c r="C62" s="10" t="s">
        <v>74</v>
      </c>
    </row>
    <row r="63" spans="2:3" x14ac:dyDescent="0.45">
      <c r="B63" s="20" t="s">
        <v>75</v>
      </c>
      <c r="C63" s="10" t="s">
        <v>76</v>
      </c>
    </row>
    <row r="64" spans="2:3" ht="26.25" x14ac:dyDescent="0.45">
      <c r="B64" s="20" t="s">
        <v>77</v>
      </c>
      <c r="C64" s="10" t="s">
        <v>78</v>
      </c>
    </row>
    <row r="65" spans="2:3" ht="12" customHeight="1" x14ac:dyDescent="0.45"/>
    <row r="66" spans="2:3" ht="22.05" customHeight="1" x14ac:dyDescent="0.5">
      <c r="B66" s="7" t="s">
        <v>79</v>
      </c>
      <c r="C66" s="8"/>
    </row>
    <row r="67" spans="2:3" x14ac:dyDescent="0.45">
      <c r="B67" s="9" t="s">
        <v>80</v>
      </c>
      <c r="C67" s="10" t="s">
        <v>81</v>
      </c>
    </row>
    <row r="68" spans="2:3" ht="16.05" customHeight="1" x14ac:dyDescent="0.45"/>
    <row r="69" spans="2:3" x14ac:dyDescent="0.45">
      <c r="B69" s="65" t="s">
        <v>82</v>
      </c>
      <c r="C69" s="66"/>
    </row>
  </sheetData>
  <mergeCells count="2">
    <mergeCell ref="B69:C69"/>
    <mergeCell ref="B16:C16"/>
  </mergeCells>
  <hyperlinks>
    <hyperlink ref="D4" location="'Inputs'!A1" display="Next:  Inputs  ▸" xr:uid="{00000000-0004-0000-0000-000000000000}"/>
    <hyperlink ref="B38" location="'Inputs'!A1" display="Inputs" xr:uid="{00000000-0004-0000-0000-000001000000}"/>
    <hyperlink ref="B39" location="'Months'!A1" display="Months" xr:uid="{00000000-0004-0000-0000-000002000000}"/>
    <hyperlink ref="B40"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5"/>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83</v>
      </c>
      <c r="C3" s="1"/>
      <c r="D3" s="1"/>
      <c r="E3" s="1"/>
      <c r="F3" s="1"/>
      <c r="G3" s="1"/>
      <c r="H3" s="1"/>
      <c r="I3" s="1"/>
      <c r="J3" s="1"/>
    </row>
    <row r="4" spans="1:10" ht="20" customHeight="1" x14ac:dyDescent="0.45">
      <c r="A4" s="5"/>
      <c r="B4" s="22" t="s">
        <v>84</v>
      </c>
      <c r="C4" s="5"/>
      <c r="D4" s="5"/>
      <c r="E4" s="5"/>
      <c r="F4" s="5"/>
      <c r="G4" s="5"/>
      <c r="H4" s="5"/>
      <c r="I4" s="5"/>
      <c r="J4" s="6" t="s">
        <v>85</v>
      </c>
    </row>
    <row r="5" spans="1:10" ht="8" customHeight="1" x14ac:dyDescent="0.45"/>
    <row r="6" spans="1:10" ht="20" customHeight="1" x14ac:dyDescent="0.45">
      <c r="B6" s="68" t="s">
        <v>86</v>
      </c>
      <c r="C6" s="66"/>
      <c r="D6" s="66"/>
      <c r="E6" s="66"/>
      <c r="F6" s="66"/>
      <c r="G6" s="66"/>
      <c r="H6" s="66"/>
      <c r="I6" s="66"/>
      <c r="J6" s="66"/>
    </row>
    <row r="7" spans="1:10" ht="6" customHeight="1" x14ac:dyDescent="0.45"/>
    <row r="8" spans="1:10" ht="22.05" customHeight="1" x14ac:dyDescent="0.5">
      <c r="B8" s="7" t="s">
        <v>87</v>
      </c>
      <c r="C8" s="8"/>
      <c r="D8" s="8"/>
      <c r="E8" s="8"/>
      <c r="F8" s="8"/>
      <c r="G8" s="8"/>
      <c r="H8" s="8"/>
      <c r="I8" s="8"/>
      <c r="J8" s="8"/>
    </row>
    <row r="9" spans="1:10" ht="18" customHeight="1" x14ac:dyDescent="0.45">
      <c r="B9" s="13" t="s">
        <v>88</v>
      </c>
    </row>
    <row r="10" spans="1:10" ht="18" customHeight="1" x14ac:dyDescent="0.45">
      <c r="B10" s="23" t="s">
        <v>89</v>
      </c>
      <c r="C10" s="23" t="s">
        <v>90</v>
      </c>
      <c r="D10" s="24" t="s">
        <v>91</v>
      </c>
      <c r="E10" s="23" t="s">
        <v>92</v>
      </c>
      <c r="F10" s="5"/>
      <c r="G10" s="5"/>
      <c r="H10" s="5"/>
      <c r="I10" s="5"/>
      <c r="J10" s="23" t="s">
        <v>93</v>
      </c>
    </row>
    <row r="11" spans="1:10" x14ac:dyDescent="0.45">
      <c r="B11" s="25" t="s">
        <v>94</v>
      </c>
      <c r="C11" s="26" t="s">
        <v>95</v>
      </c>
      <c r="D11" s="27">
        <v>88</v>
      </c>
      <c r="E11" s="26" t="s">
        <v>96</v>
      </c>
      <c r="F11" s="28"/>
      <c r="G11" s="28"/>
      <c r="H11" s="28"/>
      <c r="I11" s="28"/>
      <c r="J11" s="29"/>
    </row>
    <row r="12" spans="1:10" x14ac:dyDescent="0.45">
      <c r="B12" s="25" t="s">
        <v>97</v>
      </c>
      <c r="C12" s="26" t="s">
        <v>95</v>
      </c>
      <c r="D12" s="30">
        <v>1.3</v>
      </c>
      <c r="E12" s="26" t="s">
        <v>96</v>
      </c>
      <c r="F12" s="28"/>
      <c r="G12" s="28"/>
      <c r="H12" s="28"/>
      <c r="I12" s="28"/>
      <c r="J12" s="29"/>
    </row>
    <row r="13" spans="1:10" ht="8" customHeight="1" x14ac:dyDescent="0.45"/>
    <row r="14" spans="1:10" ht="22.05" customHeight="1" x14ac:dyDescent="0.5">
      <c r="B14" s="7" t="s">
        <v>98</v>
      </c>
      <c r="C14" s="8"/>
      <c r="D14" s="8"/>
      <c r="E14" s="8"/>
      <c r="F14" s="8"/>
      <c r="G14" s="8"/>
      <c r="H14" s="8"/>
      <c r="I14" s="8"/>
      <c r="J14" s="8"/>
    </row>
    <row r="15" spans="1:10" ht="18" customHeight="1" x14ac:dyDescent="0.45">
      <c r="B15" s="13" t="s">
        <v>99</v>
      </c>
    </row>
    <row r="16" spans="1:10" ht="18" customHeight="1" x14ac:dyDescent="0.45">
      <c r="B16" s="23" t="s">
        <v>89</v>
      </c>
      <c r="C16" s="23" t="s">
        <v>90</v>
      </c>
      <c r="D16" s="24" t="s">
        <v>91</v>
      </c>
      <c r="E16" s="23" t="s">
        <v>92</v>
      </c>
      <c r="F16" s="5"/>
      <c r="G16" s="5"/>
      <c r="H16" s="5"/>
      <c r="I16" s="5"/>
      <c r="J16" s="23" t="s">
        <v>93</v>
      </c>
    </row>
    <row r="17" spans="2:10" x14ac:dyDescent="0.45">
      <c r="B17" s="25" t="s">
        <v>100</v>
      </c>
      <c r="C17" s="26" t="s">
        <v>101</v>
      </c>
      <c r="D17" s="31">
        <v>0.8</v>
      </c>
      <c r="E17" s="26" t="s">
        <v>96</v>
      </c>
      <c r="F17" s="28"/>
      <c r="G17" s="28"/>
      <c r="H17" s="28"/>
      <c r="I17" s="28"/>
      <c r="J17" s="29"/>
    </row>
    <row r="18" spans="2:10" x14ac:dyDescent="0.45">
      <c r="B18" s="25" t="s">
        <v>102</v>
      </c>
      <c r="C18" s="26" t="s">
        <v>103</v>
      </c>
      <c r="D18" s="32">
        <v>20</v>
      </c>
      <c r="E18" s="26" t="s">
        <v>96</v>
      </c>
      <c r="F18" s="28"/>
      <c r="G18" s="28"/>
      <c r="H18" s="28"/>
      <c r="I18" s="28"/>
      <c r="J18" s="29"/>
    </row>
    <row r="19" spans="2:10" x14ac:dyDescent="0.45">
      <c r="B19" s="25" t="s">
        <v>104</v>
      </c>
      <c r="C19" s="26" t="s">
        <v>103</v>
      </c>
      <c r="D19" s="32">
        <v>50</v>
      </c>
      <c r="E19" s="26" t="s">
        <v>96</v>
      </c>
      <c r="F19" s="28"/>
      <c r="G19" s="28"/>
      <c r="H19" s="28"/>
      <c r="I19" s="28"/>
      <c r="J19" s="29" t="s">
        <v>105</v>
      </c>
    </row>
    <row r="20" spans="2:10" x14ac:dyDescent="0.45">
      <c r="B20" s="25" t="s">
        <v>106</v>
      </c>
      <c r="C20" s="26" t="s">
        <v>107</v>
      </c>
      <c r="D20" s="31">
        <v>0.3</v>
      </c>
      <c r="E20" s="26" t="s">
        <v>96</v>
      </c>
      <c r="F20" s="28"/>
      <c r="G20" s="28"/>
      <c r="H20" s="28"/>
      <c r="I20" s="28"/>
      <c r="J20" s="29"/>
    </row>
    <row r="21" spans="2:10" ht="8" customHeight="1" x14ac:dyDescent="0.45"/>
    <row r="22" spans="2:10" ht="22.05" customHeight="1" x14ac:dyDescent="0.5">
      <c r="B22" s="7" t="s">
        <v>108</v>
      </c>
      <c r="C22" s="8"/>
      <c r="D22" s="8"/>
      <c r="E22" s="8"/>
      <c r="F22" s="8"/>
      <c r="G22" s="8"/>
      <c r="H22" s="8"/>
      <c r="I22" s="8"/>
      <c r="J22" s="8"/>
    </row>
    <row r="23" spans="2:10" ht="18" customHeight="1" x14ac:dyDescent="0.45">
      <c r="B23" s="23" t="s">
        <v>89</v>
      </c>
      <c r="C23" s="23" t="s">
        <v>90</v>
      </c>
      <c r="D23" s="24" t="s">
        <v>91</v>
      </c>
      <c r="E23" s="23" t="s">
        <v>92</v>
      </c>
      <c r="F23" s="5"/>
      <c r="G23" s="5"/>
      <c r="H23" s="5"/>
      <c r="I23" s="5"/>
      <c r="J23" s="23" t="s">
        <v>93</v>
      </c>
    </row>
    <row r="24" spans="2:10" x14ac:dyDescent="0.45">
      <c r="B24" s="25" t="s">
        <v>109</v>
      </c>
      <c r="C24" s="26" t="s">
        <v>110</v>
      </c>
      <c r="D24" s="27">
        <v>450</v>
      </c>
      <c r="E24" s="26" t="s">
        <v>96</v>
      </c>
      <c r="F24" s="28"/>
      <c r="G24" s="28"/>
      <c r="H24" s="28"/>
      <c r="I24" s="28"/>
      <c r="J24" s="29" t="s">
        <v>111</v>
      </c>
    </row>
    <row r="25" spans="2:10" ht="8" customHeight="1" x14ac:dyDescent="0.45"/>
  </sheetData>
  <mergeCells count="1">
    <mergeCell ref="B6:J6"/>
  </mergeCells>
  <dataValidations count="3">
    <dataValidation type="decimal" showErrorMessage="1" errorTitle="Value" error="Enter a value of zero or more." sqref="D11 D24" xr:uid="{00000000-0002-0000-0100-000000000000}">
      <formula1>0</formula1>
      <formula2>1000000000000</formula2>
    </dataValidation>
    <dataValidation type="decimal" showErrorMessage="1" errorTitle="Probability" error="Enter a value between 0% and 100%." sqref="D17 D20" xr:uid="{00000000-0002-0000-0100-000001000000}">
      <formula1>0</formula1>
      <formula2>1</formula2>
    </dataValidation>
    <dataValidation type="whole" showErrorMessage="1" errorTitle="Whole number" error="Enter a whole number." sqref="D18:D19" xr:uid="{00000000-0002-0000-0100-000002000000}">
      <formula1>0</formula1>
      <formula2>1000000</formula2>
    </dataValidation>
  </dataValidations>
  <hyperlinks>
    <hyperlink ref="B4" location="'About'!A1" display="◂  About" xr:uid="{00000000-0004-0000-0100-000000000000}"/>
    <hyperlink ref="J4" location="'Months'!A1" display="Next:  Month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I131"/>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9" customWidth="1"/>
    <col min="3" max="3" width="13" customWidth="1"/>
    <col min="4" max="4" width="12" customWidth="1"/>
    <col min="5" max="7" width="13" customWidth="1"/>
    <col min="8" max="8" width="2" customWidth="1"/>
    <col min="9" max="9" width="66"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112</v>
      </c>
      <c r="C3" s="1"/>
      <c r="D3" s="1"/>
      <c r="E3" s="1"/>
      <c r="F3" s="1"/>
      <c r="G3" s="1"/>
      <c r="H3" s="1"/>
      <c r="I3" s="1"/>
    </row>
    <row r="4" spans="1:9" ht="20" customHeight="1" x14ac:dyDescent="0.45">
      <c r="A4" s="5"/>
      <c r="B4" s="22" t="s">
        <v>113</v>
      </c>
      <c r="C4" s="5"/>
      <c r="D4" s="5"/>
      <c r="E4" s="5"/>
      <c r="F4" s="5"/>
      <c r="G4" s="5"/>
      <c r="H4" s="5"/>
      <c r="I4" s="6" t="s">
        <v>114</v>
      </c>
    </row>
    <row r="5" spans="1:9" ht="8" customHeight="1" x14ac:dyDescent="0.45"/>
    <row r="6" spans="1:9" ht="22.05" customHeight="1" x14ac:dyDescent="0.5">
      <c r="B6" s="7" t="s">
        <v>115</v>
      </c>
      <c r="C6" s="8"/>
      <c r="D6" s="8"/>
      <c r="E6" s="8"/>
      <c r="F6" s="8"/>
      <c r="G6" s="8"/>
      <c r="H6" s="8"/>
      <c r="I6" s="8"/>
    </row>
    <row r="7" spans="1:9" ht="18" customHeight="1" x14ac:dyDescent="0.45">
      <c r="B7" s="13" t="s">
        <v>116</v>
      </c>
    </row>
    <row r="8" spans="1:9" x14ac:dyDescent="0.45">
      <c r="B8" s="25" t="s">
        <v>117</v>
      </c>
      <c r="C8" s="28"/>
      <c r="D8" s="28"/>
      <c r="E8" s="26" t="s">
        <v>118</v>
      </c>
      <c r="F8" s="33" cm="1">
        <f t="array" aca="1" ref="F8" ca="1">_xll.VoseInput("Competitor enters","1/0")+_xll.VoseBernoulli(PEnter)</f>
        <v>1</v>
      </c>
      <c r="G8" s="28"/>
      <c r="H8" s="28"/>
      <c r="I8" s="26" t="s">
        <v>119</v>
      </c>
    </row>
    <row r="9" spans="1:9" x14ac:dyDescent="0.45">
      <c r="B9" s="25" t="s">
        <v>120</v>
      </c>
      <c r="C9" s="28"/>
      <c r="D9" s="28"/>
      <c r="E9" s="26" t="s">
        <v>103</v>
      </c>
      <c r="F9" s="33" cm="1">
        <f t="array" aca="1" ref="F9" ca="1">_xll.VoseInput("Entry month","month")+_xll.VoseStepUniform(Earliest,Latest)</f>
        <v>47</v>
      </c>
      <c r="G9" s="28"/>
      <c r="H9" s="28"/>
      <c r="I9" s="26" t="s">
        <v>121</v>
      </c>
    </row>
    <row r="10" spans="1:9" ht="8" customHeight="1" x14ac:dyDescent="0.45"/>
    <row r="11" spans="1:9" ht="22.05" customHeight="1" x14ac:dyDescent="0.5">
      <c r="B11" s="7" t="s">
        <v>122</v>
      </c>
      <c r="C11" s="8"/>
      <c r="D11" s="8"/>
      <c r="E11" s="8"/>
      <c r="F11" s="8"/>
      <c r="G11" s="8"/>
      <c r="H11" s="8"/>
      <c r="I11" s="8"/>
    </row>
    <row r="12" spans="1:9" ht="18" customHeight="1" x14ac:dyDescent="0.45">
      <c r="B12" s="13" t="s">
        <v>123</v>
      </c>
    </row>
    <row r="13" spans="1:9" ht="32" customHeight="1" x14ac:dyDescent="0.45">
      <c r="B13" s="34" t="s">
        <v>124</v>
      </c>
      <c r="C13" s="35" t="s">
        <v>125</v>
      </c>
      <c r="D13" s="35" t="s">
        <v>126</v>
      </c>
      <c r="E13" s="35" t="s">
        <v>127</v>
      </c>
      <c r="F13" s="35" t="s">
        <v>128</v>
      </c>
      <c r="G13" s="35" t="s">
        <v>129</v>
      </c>
      <c r="H13" s="36"/>
      <c r="I13" s="34" t="s">
        <v>130</v>
      </c>
    </row>
    <row r="14" spans="1:9" x14ac:dyDescent="0.45">
      <c r="B14" s="37"/>
      <c r="C14" s="37" t="s">
        <v>95</v>
      </c>
      <c r="D14" s="37" t="s">
        <v>131</v>
      </c>
      <c r="E14" s="37" t="s">
        <v>95</v>
      </c>
      <c r="F14" s="37" t="s">
        <v>132</v>
      </c>
      <c r="G14" s="37" t="s">
        <v>95</v>
      </c>
      <c r="H14" s="37"/>
      <c r="I14" s="37"/>
    </row>
    <row r="15" spans="1:9" x14ac:dyDescent="0.45">
      <c r="B15" s="38">
        <v>1</v>
      </c>
      <c r="C15" s="39">
        <f t="shared" ref="C15:C46" si="0">Sales0+Growth*B15</f>
        <v>89.3</v>
      </c>
      <c r="D15" s="40">
        <f t="shared" ref="D15:D46" ca="1" si="1">IF(AND(Enters=1,B15&gt;=EntryMonth),1,0)</f>
        <v>0</v>
      </c>
      <c r="E15" s="39">
        <f t="shared" ref="E15:E46" ca="1" si="2">C15*(1-Share*D15)</f>
        <v>89.3</v>
      </c>
      <c r="F15" s="41" cm="1">
        <f t="array" aca="1" ref="F15" ca="1">_xll.VoseOutput("Month 1","units","Units sold",1)+_xll.VosePoisson(E15)</f>
        <v>94</v>
      </c>
      <c r="G15" s="39">
        <f t="shared" ref="G15:G46" ca="1" si="3">C15-E15</f>
        <v>0</v>
      </c>
      <c r="H15" s="28"/>
      <c r="I15" s="26" t="s">
        <v>133</v>
      </c>
    </row>
    <row r="16" spans="1:9" x14ac:dyDescent="0.45">
      <c r="B16" s="38">
        <v>2</v>
      </c>
      <c r="C16" s="39">
        <f t="shared" si="0"/>
        <v>90.6</v>
      </c>
      <c r="D16" s="40">
        <f t="shared" ca="1" si="1"/>
        <v>0</v>
      </c>
      <c r="E16" s="39">
        <f t="shared" ca="1" si="2"/>
        <v>90.6</v>
      </c>
      <c r="F16" s="41" cm="1">
        <f t="array" aca="1" ref="F16" ca="1">_xll.VoseOutput("Month 2","units","Units sold",2)+_xll.VosePoisson(E16)</f>
        <v>100</v>
      </c>
      <c r="G16" s="39">
        <f t="shared" ca="1" si="3"/>
        <v>0</v>
      </c>
      <c r="H16" s="28"/>
      <c r="I16" s="26" t="s">
        <v>134</v>
      </c>
    </row>
    <row r="17" spans="2:9" x14ac:dyDescent="0.45">
      <c r="B17" s="38">
        <v>3</v>
      </c>
      <c r="C17" s="39">
        <f t="shared" si="0"/>
        <v>91.9</v>
      </c>
      <c r="D17" s="40">
        <f t="shared" ca="1" si="1"/>
        <v>0</v>
      </c>
      <c r="E17" s="39">
        <f t="shared" ca="1" si="2"/>
        <v>91.9</v>
      </c>
      <c r="F17" s="41" cm="1">
        <f t="array" aca="1" ref="F17" ca="1">_xll.VoseOutput("Month 3","units","Units sold",3)+_xll.VosePoisson(E17)</f>
        <v>101</v>
      </c>
      <c r="G17" s="39">
        <f t="shared" ca="1" si="3"/>
        <v>0</v>
      </c>
      <c r="H17" s="28"/>
      <c r="I17" s="26" t="s">
        <v>135</v>
      </c>
    </row>
    <row r="18" spans="2:9" x14ac:dyDescent="0.45">
      <c r="B18" s="38">
        <v>4</v>
      </c>
      <c r="C18" s="39">
        <f t="shared" si="0"/>
        <v>93.2</v>
      </c>
      <c r="D18" s="40">
        <f t="shared" ca="1" si="1"/>
        <v>0</v>
      </c>
      <c r="E18" s="39">
        <f t="shared" ca="1" si="2"/>
        <v>93.2</v>
      </c>
      <c r="F18" s="41" cm="1">
        <f t="array" aca="1" ref="F18" ca="1">_xll.VoseOutput("Month 4","units","Units sold",4)+_xll.VosePoisson(E18)</f>
        <v>97</v>
      </c>
      <c r="G18" s="39">
        <f t="shared" ca="1" si="3"/>
        <v>0</v>
      </c>
      <c r="H18" s="28"/>
      <c r="I18" s="26" t="s">
        <v>136</v>
      </c>
    </row>
    <row r="19" spans="2:9" x14ac:dyDescent="0.45">
      <c r="B19" s="38">
        <v>5</v>
      </c>
      <c r="C19" s="39">
        <f t="shared" si="0"/>
        <v>94.5</v>
      </c>
      <c r="D19" s="40">
        <f t="shared" ca="1" si="1"/>
        <v>0</v>
      </c>
      <c r="E19" s="39">
        <f t="shared" ca="1" si="2"/>
        <v>94.5</v>
      </c>
      <c r="F19" s="41" cm="1">
        <f t="array" aca="1" ref="F19" ca="1">_xll.VoseOutput("Month 5","units","Units sold",5)+_xll.VosePoisson(E19)</f>
        <v>86</v>
      </c>
      <c r="G19" s="39">
        <f t="shared" ca="1" si="3"/>
        <v>0</v>
      </c>
      <c r="H19" s="28"/>
      <c r="I19" s="26" t="s">
        <v>137</v>
      </c>
    </row>
    <row r="20" spans="2:9" x14ac:dyDescent="0.45">
      <c r="B20" s="38">
        <v>6</v>
      </c>
      <c r="C20" s="39">
        <f t="shared" si="0"/>
        <v>95.8</v>
      </c>
      <c r="D20" s="40">
        <f t="shared" ca="1" si="1"/>
        <v>0</v>
      </c>
      <c r="E20" s="39">
        <f t="shared" ca="1" si="2"/>
        <v>95.8</v>
      </c>
      <c r="F20" s="41" cm="1">
        <f t="array" aca="1" ref="F20" ca="1">_xll.VoseOutput("Month 6","units","Units sold",6)+_xll.VosePoisson(E20)</f>
        <v>95</v>
      </c>
      <c r="G20" s="39">
        <f t="shared" ca="1" si="3"/>
        <v>0</v>
      </c>
      <c r="H20" s="28"/>
      <c r="I20" s="28"/>
    </row>
    <row r="21" spans="2:9" x14ac:dyDescent="0.45">
      <c r="B21" s="38">
        <v>7</v>
      </c>
      <c r="C21" s="39">
        <f t="shared" si="0"/>
        <v>97.1</v>
      </c>
      <c r="D21" s="40">
        <f t="shared" ca="1" si="1"/>
        <v>0</v>
      </c>
      <c r="E21" s="39">
        <f t="shared" ca="1" si="2"/>
        <v>97.1</v>
      </c>
      <c r="F21" s="41" cm="1">
        <f t="array" aca="1" ref="F21" ca="1">_xll.VoseOutput("Month 7","units","Units sold",7)+_xll.VosePoisson(E21)</f>
        <v>97</v>
      </c>
      <c r="G21" s="39">
        <f t="shared" ca="1" si="3"/>
        <v>0</v>
      </c>
      <c r="H21" s="28"/>
      <c r="I21" s="28"/>
    </row>
    <row r="22" spans="2:9" x14ac:dyDescent="0.45">
      <c r="B22" s="38">
        <v>8</v>
      </c>
      <c r="C22" s="39">
        <f t="shared" si="0"/>
        <v>98.4</v>
      </c>
      <c r="D22" s="40">
        <f t="shared" ca="1" si="1"/>
        <v>0</v>
      </c>
      <c r="E22" s="39">
        <f t="shared" ca="1" si="2"/>
        <v>98.4</v>
      </c>
      <c r="F22" s="41" cm="1">
        <f t="array" aca="1" ref="F22" ca="1">_xll.VoseOutput("Month 8","units","Units sold",8)+_xll.VosePoisson(E22)</f>
        <v>87</v>
      </c>
      <c r="G22" s="39">
        <f t="shared" ca="1" si="3"/>
        <v>0</v>
      </c>
      <c r="H22" s="28"/>
      <c r="I22" s="28"/>
    </row>
    <row r="23" spans="2:9" x14ac:dyDescent="0.45">
      <c r="B23" s="38">
        <v>9</v>
      </c>
      <c r="C23" s="39">
        <f t="shared" si="0"/>
        <v>99.7</v>
      </c>
      <c r="D23" s="40">
        <f t="shared" ca="1" si="1"/>
        <v>0</v>
      </c>
      <c r="E23" s="39">
        <f t="shared" ca="1" si="2"/>
        <v>99.7</v>
      </c>
      <c r="F23" s="41" cm="1">
        <f t="array" aca="1" ref="F23" ca="1">_xll.VoseOutput("Month 9","units","Units sold",9)+_xll.VosePoisson(E23)</f>
        <v>106</v>
      </c>
      <c r="G23" s="39">
        <f t="shared" ca="1" si="3"/>
        <v>0</v>
      </c>
      <c r="H23" s="28"/>
      <c r="I23" s="28"/>
    </row>
    <row r="24" spans="2:9" x14ac:dyDescent="0.45">
      <c r="B24" s="38">
        <v>10</v>
      </c>
      <c r="C24" s="39">
        <f t="shared" si="0"/>
        <v>101</v>
      </c>
      <c r="D24" s="40">
        <f t="shared" ca="1" si="1"/>
        <v>0</v>
      </c>
      <c r="E24" s="39">
        <f t="shared" ca="1" si="2"/>
        <v>101</v>
      </c>
      <c r="F24" s="41" cm="1">
        <f t="array" aca="1" ref="F24" ca="1">_xll.VoseOutput("Month 10","units","Units sold",10)+_xll.VosePoisson(E24)</f>
        <v>105</v>
      </c>
      <c r="G24" s="39">
        <f t="shared" ca="1" si="3"/>
        <v>0</v>
      </c>
      <c r="H24" s="28"/>
      <c r="I24" s="28"/>
    </row>
    <row r="25" spans="2:9" x14ac:dyDescent="0.45">
      <c r="B25" s="38">
        <v>11</v>
      </c>
      <c r="C25" s="39">
        <f t="shared" si="0"/>
        <v>102.3</v>
      </c>
      <c r="D25" s="40">
        <f t="shared" ca="1" si="1"/>
        <v>0</v>
      </c>
      <c r="E25" s="39">
        <f t="shared" ca="1" si="2"/>
        <v>102.3</v>
      </c>
      <c r="F25" s="41" cm="1">
        <f t="array" aca="1" ref="F25" ca="1">_xll.VoseOutput("Month 11","units","Units sold",11)+_xll.VosePoisson(E25)</f>
        <v>89</v>
      </c>
      <c r="G25" s="39">
        <f t="shared" ca="1" si="3"/>
        <v>0</v>
      </c>
      <c r="H25" s="28"/>
      <c r="I25" s="28"/>
    </row>
    <row r="26" spans="2:9" x14ac:dyDescent="0.45">
      <c r="B26" s="38">
        <v>12</v>
      </c>
      <c r="C26" s="39">
        <f t="shared" si="0"/>
        <v>103.6</v>
      </c>
      <c r="D26" s="40">
        <f t="shared" ca="1" si="1"/>
        <v>0</v>
      </c>
      <c r="E26" s="39">
        <f t="shared" ca="1" si="2"/>
        <v>103.6</v>
      </c>
      <c r="F26" s="41" cm="1">
        <f t="array" aca="1" ref="F26" ca="1">_xll.VoseOutput("Month 12","units","Units sold",12)+_xll.VosePoisson(E26)</f>
        <v>106</v>
      </c>
      <c r="G26" s="39">
        <f t="shared" ca="1" si="3"/>
        <v>0</v>
      </c>
      <c r="H26" s="28"/>
      <c r="I26" s="28"/>
    </row>
    <row r="27" spans="2:9" x14ac:dyDescent="0.45">
      <c r="B27" s="38">
        <v>13</v>
      </c>
      <c r="C27" s="39">
        <f t="shared" si="0"/>
        <v>104.9</v>
      </c>
      <c r="D27" s="40">
        <f t="shared" ca="1" si="1"/>
        <v>0</v>
      </c>
      <c r="E27" s="39">
        <f t="shared" ca="1" si="2"/>
        <v>104.9</v>
      </c>
      <c r="F27" s="41" cm="1">
        <f t="array" aca="1" ref="F27" ca="1">_xll.VoseOutput("Month 13","units","Units sold",13)+_xll.VosePoisson(E27)</f>
        <v>108</v>
      </c>
      <c r="G27" s="39">
        <f t="shared" ca="1" si="3"/>
        <v>0</v>
      </c>
      <c r="H27" s="28"/>
      <c r="I27" s="28"/>
    </row>
    <row r="28" spans="2:9" x14ac:dyDescent="0.45">
      <c r="B28" s="38">
        <v>14</v>
      </c>
      <c r="C28" s="39">
        <f t="shared" si="0"/>
        <v>106.2</v>
      </c>
      <c r="D28" s="40">
        <f t="shared" ca="1" si="1"/>
        <v>0</v>
      </c>
      <c r="E28" s="39">
        <f t="shared" ca="1" si="2"/>
        <v>106.2</v>
      </c>
      <c r="F28" s="41" cm="1">
        <f t="array" aca="1" ref="F28" ca="1">_xll.VoseOutput("Month 14","units","Units sold",14)+_xll.VosePoisson(E28)</f>
        <v>122</v>
      </c>
      <c r="G28" s="39">
        <f t="shared" ca="1" si="3"/>
        <v>0</v>
      </c>
      <c r="H28" s="28"/>
      <c r="I28" s="28"/>
    </row>
    <row r="29" spans="2:9" x14ac:dyDescent="0.45">
      <c r="B29" s="38">
        <v>15</v>
      </c>
      <c r="C29" s="39">
        <f t="shared" si="0"/>
        <v>107.5</v>
      </c>
      <c r="D29" s="40">
        <f t="shared" ca="1" si="1"/>
        <v>0</v>
      </c>
      <c r="E29" s="39">
        <f t="shared" ca="1" si="2"/>
        <v>107.5</v>
      </c>
      <c r="F29" s="41" cm="1">
        <f t="array" aca="1" ref="F29" ca="1">_xll.VoseOutput("Month 15","units","Units sold",15)+_xll.VosePoisson(E29)</f>
        <v>117</v>
      </c>
      <c r="G29" s="39">
        <f t="shared" ca="1" si="3"/>
        <v>0</v>
      </c>
      <c r="H29" s="28"/>
      <c r="I29" s="28"/>
    </row>
    <row r="30" spans="2:9" x14ac:dyDescent="0.45">
      <c r="B30" s="38">
        <v>16</v>
      </c>
      <c r="C30" s="39">
        <f t="shared" si="0"/>
        <v>108.8</v>
      </c>
      <c r="D30" s="40">
        <f t="shared" ca="1" si="1"/>
        <v>0</v>
      </c>
      <c r="E30" s="39">
        <f t="shared" ca="1" si="2"/>
        <v>108.8</v>
      </c>
      <c r="F30" s="41" cm="1">
        <f t="array" aca="1" ref="F30" ca="1">_xll.VoseOutput("Month 16","units","Units sold",16)+_xll.VosePoisson(E30)</f>
        <v>124</v>
      </c>
      <c r="G30" s="39">
        <f t="shared" ca="1" si="3"/>
        <v>0</v>
      </c>
      <c r="H30" s="28"/>
      <c r="I30" s="28"/>
    </row>
    <row r="31" spans="2:9" x14ac:dyDescent="0.45">
      <c r="B31" s="38">
        <v>17</v>
      </c>
      <c r="C31" s="39">
        <f t="shared" si="0"/>
        <v>110.1</v>
      </c>
      <c r="D31" s="40">
        <f t="shared" ca="1" si="1"/>
        <v>0</v>
      </c>
      <c r="E31" s="39">
        <f t="shared" ca="1" si="2"/>
        <v>110.1</v>
      </c>
      <c r="F31" s="41" cm="1">
        <f t="array" aca="1" ref="F31" ca="1">_xll.VoseOutput("Month 17","units","Units sold",17)+_xll.VosePoisson(E31)</f>
        <v>76</v>
      </c>
      <c r="G31" s="39">
        <f t="shared" ca="1" si="3"/>
        <v>0</v>
      </c>
      <c r="H31" s="28"/>
      <c r="I31" s="28"/>
    </row>
    <row r="32" spans="2:9" x14ac:dyDescent="0.45">
      <c r="B32" s="38">
        <v>18</v>
      </c>
      <c r="C32" s="39">
        <f t="shared" si="0"/>
        <v>111.4</v>
      </c>
      <c r="D32" s="40">
        <f t="shared" ca="1" si="1"/>
        <v>0</v>
      </c>
      <c r="E32" s="39">
        <f t="shared" ca="1" si="2"/>
        <v>111.4</v>
      </c>
      <c r="F32" s="41" cm="1">
        <f t="array" aca="1" ref="F32" ca="1">_xll.VoseOutput("Month 18","units","Units sold",18)+_xll.VosePoisson(E32)</f>
        <v>87</v>
      </c>
      <c r="G32" s="39">
        <f t="shared" ca="1" si="3"/>
        <v>0</v>
      </c>
      <c r="H32" s="28"/>
      <c r="I32" s="28"/>
    </row>
    <row r="33" spans="2:9" x14ac:dyDescent="0.45">
      <c r="B33" s="38">
        <v>19</v>
      </c>
      <c r="C33" s="39">
        <f t="shared" si="0"/>
        <v>112.7</v>
      </c>
      <c r="D33" s="40">
        <f t="shared" ca="1" si="1"/>
        <v>0</v>
      </c>
      <c r="E33" s="39">
        <f t="shared" ca="1" si="2"/>
        <v>112.7</v>
      </c>
      <c r="F33" s="41" cm="1">
        <f t="array" aca="1" ref="F33" ca="1">_xll.VoseOutput("Month 19","units","Units sold",19)+_xll.VosePoisson(E33)</f>
        <v>103</v>
      </c>
      <c r="G33" s="39">
        <f t="shared" ca="1" si="3"/>
        <v>0</v>
      </c>
      <c r="H33" s="28"/>
      <c r="I33" s="28"/>
    </row>
    <row r="34" spans="2:9" x14ac:dyDescent="0.45">
      <c r="B34" s="38">
        <v>20</v>
      </c>
      <c r="C34" s="39">
        <f t="shared" si="0"/>
        <v>114</v>
      </c>
      <c r="D34" s="40">
        <f t="shared" ca="1" si="1"/>
        <v>0</v>
      </c>
      <c r="E34" s="39">
        <f t="shared" ca="1" si="2"/>
        <v>114</v>
      </c>
      <c r="F34" s="41" cm="1">
        <f t="array" aca="1" ref="F34" ca="1">_xll.VoseOutput("Month 20","units","Units sold",20)+_xll.VosePoisson(E34)</f>
        <v>128</v>
      </c>
      <c r="G34" s="39">
        <f t="shared" ca="1" si="3"/>
        <v>0</v>
      </c>
      <c r="H34" s="28"/>
      <c r="I34" s="28"/>
    </row>
    <row r="35" spans="2:9" x14ac:dyDescent="0.45">
      <c r="B35" s="38">
        <v>21</v>
      </c>
      <c r="C35" s="39">
        <f t="shared" si="0"/>
        <v>115.3</v>
      </c>
      <c r="D35" s="40">
        <f t="shared" ca="1" si="1"/>
        <v>0</v>
      </c>
      <c r="E35" s="39">
        <f t="shared" ca="1" si="2"/>
        <v>115.3</v>
      </c>
      <c r="F35" s="41" cm="1">
        <f t="array" aca="1" ref="F35" ca="1">_xll.VoseOutput("Month 21","units","Units sold",21)+_xll.VosePoisson(E35)</f>
        <v>115</v>
      </c>
      <c r="G35" s="39">
        <f t="shared" ca="1" si="3"/>
        <v>0</v>
      </c>
      <c r="H35" s="28"/>
      <c r="I35" s="28"/>
    </row>
    <row r="36" spans="2:9" x14ac:dyDescent="0.45">
      <c r="B36" s="38">
        <v>22</v>
      </c>
      <c r="C36" s="39">
        <f t="shared" si="0"/>
        <v>116.6</v>
      </c>
      <c r="D36" s="40">
        <f t="shared" ca="1" si="1"/>
        <v>0</v>
      </c>
      <c r="E36" s="39">
        <f t="shared" ca="1" si="2"/>
        <v>116.6</v>
      </c>
      <c r="F36" s="41" cm="1">
        <f t="array" aca="1" ref="F36" ca="1">_xll.VoseOutput("Month 22","units","Units sold",22)+_xll.VosePoisson(E36)</f>
        <v>115</v>
      </c>
      <c r="G36" s="39">
        <f t="shared" ca="1" si="3"/>
        <v>0</v>
      </c>
      <c r="H36" s="28"/>
      <c r="I36" s="28"/>
    </row>
    <row r="37" spans="2:9" x14ac:dyDescent="0.45">
      <c r="B37" s="38">
        <v>23</v>
      </c>
      <c r="C37" s="39">
        <f t="shared" si="0"/>
        <v>117.9</v>
      </c>
      <c r="D37" s="40">
        <f t="shared" ca="1" si="1"/>
        <v>0</v>
      </c>
      <c r="E37" s="39">
        <f t="shared" ca="1" si="2"/>
        <v>117.9</v>
      </c>
      <c r="F37" s="41" cm="1">
        <f t="array" aca="1" ref="F37" ca="1">_xll.VoseOutput("Month 23","units","Units sold",23)+_xll.VosePoisson(E37)</f>
        <v>103</v>
      </c>
      <c r="G37" s="39">
        <f t="shared" ca="1" si="3"/>
        <v>0</v>
      </c>
      <c r="H37" s="28"/>
      <c r="I37" s="28"/>
    </row>
    <row r="38" spans="2:9" x14ac:dyDescent="0.45">
      <c r="B38" s="38">
        <v>24</v>
      </c>
      <c r="C38" s="39">
        <f t="shared" si="0"/>
        <v>119.2</v>
      </c>
      <c r="D38" s="40">
        <f t="shared" ca="1" si="1"/>
        <v>0</v>
      </c>
      <c r="E38" s="39">
        <f t="shared" ca="1" si="2"/>
        <v>119.2</v>
      </c>
      <c r="F38" s="41" cm="1">
        <f t="array" aca="1" ref="F38" ca="1">_xll.VoseOutput("Month 24","units","Units sold",24)+_xll.VosePoisson(E38)</f>
        <v>111</v>
      </c>
      <c r="G38" s="39">
        <f t="shared" ca="1" si="3"/>
        <v>0</v>
      </c>
      <c r="H38" s="28"/>
      <c r="I38" s="28"/>
    </row>
    <row r="39" spans="2:9" x14ac:dyDescent="0.45">
      <c r="B39" s="38">
        <v>25</v>
      </c>
      <c r="C39" s="39">
        <f t="shared" si="0"/>
        <v>120.5</v>
      </c>
      <c r="D39" s="40">
        <f t="shared" ca="1" si="1"/>
        <v>0</v>
      </c>
      <c r="E39" s="39">
        <f t="shared" ca="1" si="2"/>
        <v>120.5</v>
      </c>
      <c r="F39" s="41" cm="1">
        <f t="array" aca="1" ref="F39" ca="1">_xll.VoseOutput("Month 25","units","Units sold",25)+_xll.VosePoisson(E39)</f>
        <v>136</v>
      </c>
      <c r="G39" s="39">
        <f t="shared" ca="1" si="3"/>
        <v>0</v>
      </c>
      <c r="H39" s="28"/>
      <c r="I39" s="28"/>
    </row>
    <row r="40" spans="2:9" x14ac:dyDescent="0.45">
      <c r="B40" s="38">
        <v>26</v>
      </c>
      <c r="C40" s="39">
        <f t="shared" si="0"/>
        <v>121.80000000000001</v>
      </c>
      <c r="D40" s="40">
        <f t="shared" ca="1" si="1"/>
        <v>0</v>
      </c>
      <c r="E40" s="39">
        <f t="shared" ca="1" si="2"/>
        <v>121.80000000000001</v>
      </c>
      <c r="F40" s="41" cm="1">
        <f t="array" aca="1" ref="F40" ca="1">_xll.VoseOutput("Month 26","units","Units sold",26)+_xll.VosePoisson(E40)</f>
        <v>111</v>
      </c>
      <c r="G40" s="39">
        <f t="shared" ca="1" si="3"/>
        <v>0</v>
      </c>
      <c r="H40" s="28"/>
      <c r="I40" s="28"/>
    </row>
    <row r="41" spans="2:9" x14ac:dyDescent="0.45">
      <c r="B41" s="38">
        <v>27</v>
      </c>
      <c r="C41" s="39">
        <f t="shared" si="0"/>
        <v>123.1</v>
      </c>
      <c r="D41" s="40">
        <f t="shared" ca="1" si="1"/>
        <v>0</v>
      </c>
      <c r="E41" s="39">
        <f t="shared" ca="1" si="2"/>
        <v>123.1</v>
      </c>
      <c r="F41" s="41" cm="1">
        <f t="array" aca="1" ref="F41" ca="1">_xll.VoseOutput("Month 27","units","Units sold",27)+_xll.VosePoisson(E41)</f>
        <v>142</v>
      </c>
      <c r="G41" s="39">
        <f t="shared" ca="1" si="3"/>
        <v>0</v>
      </c>
      <c r="H41" s="28"/>
      <c r="I41" s="28"/>
    </row>
    <row r="42" spans="2:9" x14ac:dyDescent="0.45">
      <c r="B42" s="38">
        <v>28</v>
      </c>
      <c r="C42" s="39">
        <f t="shared" si="0"/>
        <v>124.4</v>
      </c>
      <c r="D42" s="40">
        <f t="shared" ca="1" si="1"/>
        <v>0</v>
      </c>
      <c r="E42" s="39">
        <f t="shared" ca="1" si="2"/>
        <v>124.4</v>
      </c>
      <c r="F42" s="41" cm="1">
        <f t="array" aca="1" ref="F42" ca="1">_xll.VoseOutput("Month 28","units","Units sold",28)+_xll.VosePoisson(E42)</f>
        <v>127</v>
      </c>
      <c r="G42" s="39">
        <f t="shared" ca="1" si="3"/>
        <v>0</v>
      </c>
      <c r="H42" s="28"/>
      <c r="I42" s="28"/>
    </row>
    <row r="43" spans="2:9" x14ac:dyDescent="0.45">
      <c r="B43" s="38">
        <v>29</v>
      </c>
      <c r="C43" s="39">
        <f t="shared" si="0"/>
        <v>125.7</v>
      </c>
      <c r="D43" s="40">
        <f t="shared" ca="1" si="1"/>
        <v>0</v>
      </c>
      <c r="E43" s="39">
        <f t="shared" ca="1" si="2"/>
        <v>125.7</v>
      </c>
      <c r="F43" s="41" cm="1">
        <f t="array" aca="1" ref="F43" ca="1">_xll.VoseOutput("Month 29","units","Units sold",29)+_xll.VosePoisson(E43)</f>
        <v>117</v>
      </c>
      <c r="G43" s="39">
        <f t="shared" ca="1" si="3"/>
        <v>0</v>
      </c>
      <c r="H43" s="28"/>
      <c r="I43" s="28"/>
    </row>
    <row r="44" spans="2:9" x14ac:dyDescent="0.45">
      <c r="B44" s="38">
        <v>30</v>
      </c>
      <c r="C44" s="39">
        <f t="shared" si="0"/>
        <v>127</v>
      </c>
      <c r="D44" s="40">
        <f t="shared" ca="1" si="1"/>
        <v>0</v>
      </c>
      <c r="E44" s="39">
        <f t="shared" ca="1" si="2"/>
        <v>127</v>
      </c>
      <c r="F44" s="41" cm="1">
        <f t="array" aca="1" ref="F44" ca="1">_xll.VoseOutput("Month 30","units","Units sold",30)+_xll.VosePoisson(E44)</f>
        <v>113</v>
      </c>
      <c r="G44" s="39">
        <f t="shared" ca="1" si="3"/>
        <v>0</v>
      </c>
      <c r="H44" s="28"/>
      <c r="I44" s="28"/>
    </row>
    <row r="45" spans="2:9" x14ac:dyDescent="0.45">
      <c r="B45" s="38">
        <v>31</v>
      </c>
      <c r="C45" s="39">
        <f t="shared" si="0"/>
        <v>128.30000000000001</v>
      </c>
      <c r="D45" s="40">
        <f t="shared" ca="1" si="1"/>
        <v>0</v>
      </c>
      <c r="E45" s="39">
        <f t="shared" ca="1" si="2"/>
        <v>128.30000000000001</v>
      </c>
      <c r="F45" s="41" cm="1">
        <f t="array" aca="1" ref="F45" ca="1">_xll.VoseOutput("Month 31","units","Units sold",31)+_xll.VosePoisson(E45)</f>
        <v>122</v>
      </c>
      <c r="G45" s="39">
        <f t="shared" ca="1" si="3"/>
        <v>0</v>
      </c>
      <c r="H45" s="28"/>
      <c r="I45" s="28"/>
    </row>
    <row r="46" spans="2:9" x14ac:dyDescent="0.45">
      <c r="B46" s="38">
        <v>32</v>
      </c>
      <c r="C46" s="39">
        <f t="shared" si="0"/>
        <v>129.6</v>
      </c>
      <c r="D46" s="40">
        <f t="shared" ca="1" si="1"/>
        <v>0</v>
      </c>
      <c r="E46" s="39">
        <f t="shared" ca="1" si="2"/>
        <v>129.6</v>
      </c>
      <c r="F46" s="41" cm="1">
        <f t="array" aca="1" ref="F46" ca="1">_xll.VoseOutput("Month 32","units","Units sold",32)+_xll.VosePoisson(E46)</f>
        <v>128</v>
      </c>
      <c r="G46" s="39">
        <f t="shared" ca="1" si="3"/>
        <v>0</v>
      </c>
      <c r="H46" s="28"/>
      <c r="I46" s="28"/>
    </row>
    <row r="47" spans="2:9" x14ac:dyDescent="0.45">
      <c r="B47" s="38">
        <v>33</v>
      </c>
      <c r="C47" s="39">
        <f t="shared" ref="C47:C78" si="4">Sales0+Growth*B47</f>
        <v>130.9</v>
      </c>
      <c r="D47" s="40">
        <f t="shared" ref="D47:D78" ca="1" si="5">IF(AND(Enters=1,B47&gt;=EntryMonth),1,0)</f>
        <v>0</v>
      </c>
      <c r="E47" s="39">
        <f t="shared" ref="E47:E78" ca="1" si="6">C47*(1-Share*D47)</f>
        <v>130.9</v>
      </c>
      <c r="F47" s="41" cm="1">
        <f t="array" aca="1" ref="F47" ca="1">_xll.VoseOutput("Month 33","units","Units sold",33)+_xll.VosePoisson(E47)</f>
        <v>133</v>
      </c>
      <c r="G47" s="39">
        <f t="shared" ref="G47:G78" ca="1" si="7">C47-E47</f>
        <v>0</v>
      </c>
      <c r="H47" s="28"/>
      <c r="I47" s="28"/>
    </row>
    <row r="48" spans="2:9" x14ac:dyDescent="0.45">
      <c r="B48" s="38">
        <v>34</v>
      </c>
      <c r="C48" s="39">
        <f t="shared" si="4"/>
        <v>132.19999999999999</v>
      </c>
      <c r="D48" s="40">
        <f t="shared" ca="1" si="5"/>
        <v>0</v>
      </c>
      <c r="E48" s="39">
        <f t="shared" ca="1" si="6"/>
        <v>132.19999999999999</v>
      </c>
      <c r="F48" s="41" cm="1">
        <f t="array" aca="1" ref="F48" ca="1">_xll.VoseOutput("Month 34","units","Units sold",34)+_xll.VosePoisson(E48)</f>
        <v>121</v>
      </c>
      <c r="G48" s="39">
        <f t="shared" ca="1" si="7"/>
        <v>0</v>
      </c>
      <c r="H48" s="28"/>
      <c r="I48" s="28"/>
    </row>
    <row r="49" spans="2:9" x14ac:dyDescent="0.45">
      <c r="B49" s="38">
        <v>35</v>
      </c>
      <c r="C49" s="39">
        <f t="shared" si="4"/>
        <v>133.5</v>
      </c>
      <c r="D49" s="40">
        <f t="shared" ca="1" si="5"/>
        <v>0</v>
      </c>
      <c r="E49" s="39">
        <f t="shared" ca="1" si="6"/>
        <v>133.5</v>
      </c>
      <c r="F49" s="41" cm="1">
        <f t="array" aca="1" ref="F49" ca="1">_xll.VoseOutput("Month 35","units","Units sold",35)+_xll.VosePoisson(E49)</f>
        <v>151</v>
      </c>
      <c r="G49" s="39">
        <f t="shared" ca="1" si="7"/>
        <v>0</v>
      </c>
      <c r="H49" s="28"/>
      <c r="I49" s="28"/>
    </row>
    <row r="50" spans="2:9" x14ac:dyDescent="0.45">
      <c r="B50" s="38">
        <v>36</v>
      </c>
      <c r="C50" s="39">
        <f t="shared" si="4"/>
        <v>134.80000000000001</v>
      </c>
      <c r="D50" s="40">
        <f t="shared" ca="1" si="5"/>
        <v>0</v>
      </c>
      <c r="E50" s="39">
        <f t="shared" ca="1" si="6"/>
        <v>134.80000000000001</v>
      </c>
      <c r="F50" s="41" cm="1">
        <f t="array" aca="1" ref="F50" ca="1">_xll.VoseOutput("Month 36","units","Units sold",36)+_xll.VosePoisson(E50)</f>
        <v>147</v>
      </c>
      <c r="G50" s="39">
        <f t="shared" ca="1" si="7"/>
        <v>0</v>
      </c>
      <c r="H50" s="28"/>
      <c r="I50" s="28"/>
    </row>
    <row r="51" spans="2:9" x14ac:dyDescent="0.45">
      <c r="B51" s="38">
        <v>37</v>
      </c>
      <c r="C51" s="39">
        <f t="shared" si="4"/>
        <v>136.1</v>
      </c>
      <c r="D51" s="40">
        <f t="shared" ca="1" si="5"/>
        <v>0</v>
      </c>
      <c r="E51" s="39">
        <f t="shared" ca="1" si="6"/>
        <v>136.1</v>
      </c>
      <c r="F51" s="41" cm="1">
        <f t="array" aca="1" ref="F51" ca="1">_xll.VoseOutput("Month 37","units","Units sold",37)+_xll.VosePoisson(E51)</f>
        <v>128</v>
      </c>
      <c r="G51" s="39">
        <f t="shared" ca="1" si="7"/>
        <v>0</v>
      </c>
      <c r="H51" s="28"/>
      <c r="I51" s="28"/>
    </row>
    <row r="52" spans="2:9" x14ac:dyDescent="0.45">
      <c r="B52" s="38">
        <v>38</v>
      </c>
      <c r="C52" s="39">
        <f t="shared" si="4"/>
        <v>137.4</v>
      </c>
      <c r="D52" s="40">
        <f t="shared" ca="1" si="5"/>
        <v>0</v>
      </c>
      <c r="E52" s="39">
        <f t="shared" ca="1" si="6"/>
        <v>137.4</v>
      </c>
      <c r="F52" s="41" cm="1">
        <f t="array" aca="1" ref="F52" ca="1">_xll.VoseOutput("Month 38","units","Units sold",38)+_xll.VosePoisson(E52)</f>
        <v>147</v>
      </c>
      <c r="G52" s="39">
        <f t="shared" ca="1" si="7"/>
        <v>0</v>
      </c>
      <c r="H52" s="28"/>
      <c r="I52" s="28"/>
    </row>
    <row r="53" spans="2:9" x14ac:dyDescent="0.45">
      <c r="B53" s="38">
        <v>39</v>
      </c>
      <c r="C53" s="39">
        <f t="shared" si="4"/>
        <v>138.69999999999999</v>
      </c>
      <c r="D53" s="40">
        <f t="shared" ca="1" si="5"/>
        <v>0</v>
      </c>
      <c r="E53" s="39">
        <f t="shared" ca="1" si="6"/>
        <v>138.69999999999999</v>
      </c>
      <c r="F53" s="41" cm="1">
        <f t="array" aca="1" ref="F53" ca="1">_xll.VoseOutput("Month 39","units","Units sold",39)+_xll.VosePoisson(E53)</f>
        <v>144</v>
      </c>
      <c r="G53" s="39">
        <f t="shared" ca="1" si="7"/>
        <v>0</v>
      </c>
      <c r="H53" s="28"/>
      <c r="I53" s="28"/>
    </row>
    <row r="54" spans="2:9" x14ac:dyDescent="0.45">
      <c r="B54" s="38">
        <v>40</v>
      </c>
      <c r="C54" s="39">
        <f t="shared" si="4"/>
        <v>140</v>
      </c>
      <c r="D54" s="40">
        <f t="shared" ca="1" si="5"/>
        <v>0</v>
      </c>
      <c r="E54" s="39">
        <f t="shared" ca="1" si="6"/>
        <v>140</v>
      </c>
      <c r="F54" s="41" cm="1">
        <f t="array" aca="1" ref="F54" ca="1">_xll.VoseOutput("Month 40","units","Units sold",40)+_xll.VosePoisson(E54)</f>
        <v>119</v>
      </c>
      <c r="G54" s="39">
        <f t="shared" ca="1" si="7"/>
        <v>0</v>
      </c>
      <c r="H54" s="28"/>
      <c r="I54" s="28"/>
    </row>
    <row r="55" spans="2:9" x14ac:dyDescent="0.45">
      <c r="B55" s="38">
        <v>41</v>
      </c>
      <c r="C55" s="39">
        <f t="shared" si="4"/>
        <v>141.30000000000001</v>
      </c>
      <c r="D55" s="40">
        <f t="shared" ca="1" si="5"/>
        <v>0</v>
      </c>
      <c r="E55" s="39">
        <f t="shared" ca="1" si="6"/>
        <v>141.30000000000001</v>
      </c>
      <c r="F55" s="41" cm="1">
        <f t="array" aca="1" ref="F55" ca="1">_xll.VoseOutput("Month 41","units","Units sold",41)+_xll.VosePoisson(E55)</f>
        <v>165</v>
      </c>
      <c r="G55" s="39">
        <f t="shared" ca="1" si="7"/>
        <v>0</v>
      </c>
      <c r="H55" s="28"/>
      <c r="I55" s="28"/>
    </row>
    <row r="56" spans="2:9" x14ac:dyDescent="0.45">
      <c r="B56" s="38">
        <v>42</v>
      </c>
      <c r="C56" s="39">
        <f t="shared" si="4"/>
        <v>142.6</v>
      </c>
      <c r="D56" s="40">
        <f t="shared" ca="1" si="5"/>
        <v>0</v>
      </c>
      <c r="E56" s="39">
        <f t="shared" ca="1" si="6"/>
        <v>142.6</v>
      </c>
      <c r="F56" s="41" cm="1">
        <f t="array" aca="1" ref="F56" ca="1">_xll.VoseOutput("Month 42","units","Units sold",42)+_xll.VosePoisson(E56)</f>
        <v>126</v>
      </c>
      <c r="G56" s="39">
        <f t="shared" ca="1" si="7"/>
        <v>0</v>
      </c>
      <c r="H56" s="28"/>
      <c r="I56" s="28"/>
    </row>
    <row r="57" spans="2:9" x14ac:dyDescent="0.45">
      <c r="B57" s="38">
        <v>43</v>
      </c>
      <c r="C57" s="39">
        <f t="shared" si="4"/>
        <v>143.9</v>
      </c>
      <c r="D57" s="40">
        <f t="shared" ca="1" si="5"/>
        <v>0</v>
      </c>
      <c r="E57" s="39">
        <f t="shared" ca="1" si="6"/>
        <v>143.9</v>
      </c>
      <c r="F57" s="41" cm="1">
        <f t="array" aca="1" ref="F57" ca="1">_xll.VoseOutput("Month 43","units","Units sold",43)+_xll.VosePoisson(E57)</f>
        <v>137</v>
      </c>
      <c r="G57" s="39">
        <f t="shared" ca="1" si="7"/>
        <v>0</v>
      </c>
      <c r="H57" s="28"/>
      <c r="I57" s="28"/>
    </row>
    <row r="58" spans="2:9" x14ac:dyDescent="0.45">
      <c r="B58" s="38">
        <v>44</v>
      </c>
      <c r="C58" s="39">
        <f t="shared" si="4"/>
        <v>145.19999999999999</v>
      </c>
      <c r="D58" s="40">
        <f t="shared" ca="1" si="5"/>
        <v>0</v>
      </c>
      <c r="E58" s="39">
        <f t="shared" ca="1" si="6"/>
        <v>145.19999999999999</v>
      </c>
      <c r="F58" s="41" cm="1">
        <f t="array" aca="1" ref="F58" ca="1">_xll.VoseOutput("Month 44","units","Units sold",44)+_xll.VosePoisson(E58)</f>
        <v>127</v>
      </c>
      <c r="G58" s="39">
        <f t="shared" ca="1" si="7"/>
        <v>0</v>
      </c>
      <c r="H58" s="28"/>
      <c r="I58" s="28"/>
    </row>
    <row r="59" spans="2:9" x14ac:dyDescent="0.45">
      <c r="B59" s="38">
        <v>45</v>
      </c>
      <c r="C59" s="39">
        <f t="shared" si="4"/>
        <v>146.5</v>
      </c>
      <c r="D59" s="40">
        <f t="shared" ca="1" si="5"/>
        <v>0</v>
      </c>
      <c r="E59" s="39">
        <f t="shared" ca="1" si="6"/>
        <v>146.5</v>
      </c>
      <c r="F59" s="41" cm="1">
        <f t="array" aca="1" ref="F59" ca="1">_xll.VoseOutput("Month 45","units","Units sold",45)+_xll.VosePoisson(E59)</f>
        <v>130</v>
      </c>
      <c r="G59" s="39">
        <f t="shared" ca="1" si="7"/>
        <v>0</v>
      </c>
      <c r="H59" s="28"/>
      <c r="I59" s="28"/>
    </row>
    <row r="60" spans="2:9" x14ac:dyDescent="0.45">
      <c r="B60" s="38">
        <v>46</v>
      </c>
      <c r="C60" s="39">
        <f t="shared" si="4"/>
        <v>147.80000000000001</v>
      </c>
      <c r="D60" s="40">
        <f t="shared" ca="1" si="5"/>
        <v>0</v>
      </c>
      <c r="E60" s="39">
        <f t="shared" ca="1" si="6"/>
        <v>147.80000000000001</v>
      </c>
      <c r="F60" s="41" cm="1">
        <f t="array" aca="1" ref="F60" ca="1">_xll.VoseOutput("Month 46","units","Units sold",46)+_xll.VosePoisson(E60)</f>
        <v>149</v>
      </c>
      <c r="G60" s="39">
        <f t="shared" ca="1" si="7"/>
        <v>0</v>
      </c>
      <c r="H60" s="28"/>
      <c r="I60" s="28"/>
    </row>
    <row r="61" spans="2:9" x14ac:dyDescent="0.45">
      <c r="B61" s="38">
        <v>47</v>
      </c>
      <c r="C61" s="39">
        <f t="shared" si="4"/>
        <v>149.1</v>
      </c>
      <c r="D61" s="40">
        <f t="shared" ca="1" si="5"/>
        <v>1</v>
      </c>
      <c r="E61" s="39">
        <f t="shared" ca="1" si="6"/>
        <v>104.36999999999999</v>
      </c>
      <c r="F61" s="41" cm="1">
        <f t="array" aca="1" ref="F61" ca="1">_xll.VoseOutput("Month 47","units","Units sold",47)+_xll.VosePoisson(E61)</f>
        <v>98</v>
      </c>
      <c r="G61" s="39">
        <f t="shared" ca="1" si="7"/>
        <v>44.730000000000004</v>
      </c>
      <c r="H61" s="28"/>
      <c r="I61" s="28"/>
    </row>
    <row r="62" spans="2:9" x14ac:dyDescent="0.45">
      <c r="B62" s="38">
        <v>48</v>
      </c>
      <c r="C62" s="39">
        <f t="shared" si="4"/>
        <v>150.4</v>
      </c>
      <c r="D62" s="40">
        <f t="shared" ca="1" si="5"/>
        <v>1</v>
      </c>
      <c r="E62" s="39">
        <f t="shared" ca="1" si="6"/>
        <v>105.28</v>
      </c>
      <c r="F62" s="41" cm="1">
        <f t="array" aca="1" ref="F62" ca="1">_xll.VoseOutput("Month 48","units","Units sold",48)+_xll.VosePoisson(E62)</f>
        <v>106</v>
      </c>
      <c r="G62" s="39">
        <f t="shared" ca="1" si="7"/>
        <v>45.120000000000005</v>
      </c>
      <c r="H62" s="28"/>
      <c r="I62" s="28"/>
    </row>
    <row r="63" spans="2:9" x14ac:dyDescent="0.45">
      <c r="B63" s="38">
        <v>49</v>
      </c>
      <c r="C63" s="39">
        <f t="shared" si="4"/>
        <v>151.69999999999999</v>
      </c>
      <c r="D63" s="40">
        <f t="shared" ca="1" si="5"/>
        <v>1</v>
      </c>
      <c r="E63" s="39">
        <f t="shared" ca="1" si="6"/>
        <v>106.18999999999998</v>
      </c>
      <c r="F63" s="41" cm="1">
        <f t="array" aca="1" ref="F63" ca="1">_xll.VoseOutput("Month 49","units","Units sold",49)+_xll.VosePoisson(E63)</f>
        <v>114</v>
      </c>
      <c r="G63" s="39">
        <f t="shared" ca="1" si="7"/>
        <v>45.510000000000005</v>
      </c>
      <c r="H63" s="28"/>
      <c r="I63" s="28"/>
    </row>
    <row r="64" spans="2:9" x14ac:dyDescent="0.45">
      <c r="B64" s="38">
        <v>50</v>
      </c>
      <c r="C64" s="39">
        <f t="shared" si="4"/>
        <v>153</v>
      </c>
      <c r="D64" s="40">
        <f t="shared" ca="1" si="5"/>
        <v>1</v>
      </c>
      <c r="E64" s="39">
        <f t="shared" ca="1" si="6"/>
        <v>107.1</v>
      </c>
      <c r="F64" s="41" cm="1">
        <f t="array" aca="1" ref="F64" ca="1">_xll.VoseOutput("Month 50","units","Units sold",50)+_xll.VosePoisson(E64)</f>
        <v>107</v>
      </c>
      <c r="G64" s="39">
        <f t="shared" ca="1" si="7"/>
        <v>45.900000000000006</v>
      </c>
      <c r="H64" s="28"/>
      <c r="I64" s="28"/>
    </row>
    <row r="65" spans="2:9" x14ac:dyDescent="0.45">
      <c r="B65" s="38">
        <v>51</v>
      </c>
      <c r="C65" s="39">
        <f t="shared" si="4"/>
        <v>154.30000000000001</v>
      </c>
      <c r="D65" s="40">
        <f t="shared" ca="1" si="5"/>
        <v>1</v>
      </c>
      <c r="E65" s="39">
        <f t="shared" ca="1" si="6"/>
        <v>108.01</v>
      </c>
      <c r="F65" s="41" cm="1">
        <f t="array" aca="1" ref="F65" ca="1">_xll.VoseOutput("Month 51","units","Units sold",51)+_xll.VosePoisson(E65)</f>
        <v>115</v>
      </c>
      <c r="G65" s="39">
        <f t="shared" ca="1" si="7"/>
        <v>46.290000000000006</v>
      </c>
      <c r="H65" s="28"/>
      <c r="I65" s="28"/>
    </row>
    <row r="66" spans="2:9" x14ac:dyDescent="0.45">
      <c r="B66" s="38">
        <v>52</v>
      </c>
      <c r="C66" s="39">
        <f t="shared" si="4"/>
        <v>155.60000000000002</v>
      </c>
      <c r="D66" s="40">
        <f t="shared" ca="1" si="5"/>
        <v>1</v>
      </c>
      <c r="E66" s="39">
        <f t="shared" ca="1" si="6"/>
        <v>108.92000000000002</v>
      </c>
      <c r="F66" s="41" cm="1">
        <f t="array" aca="1" ref="F66" ca="1">_xll.VoseOutput("Month 52","units","Units sold",52)+_xll.VosePoisson(E66)</f>
        <v>113</v>
      </c>
      <c r="G66" s="39">
        <f t="shared" ca="1" si="7"/>
        <v>46.680000000000007</v>
      </c>
      <c r="H66" s="28"/>
      <c r="I66" s="28"/>
    </row>
    <row r="67" spans="2:9" x14ac:dyDescent="0.45">
      <c r="B67" s="38">
        <v>53</v>
      </c>
      <c r="C67" s="39">
        <f t="shared" si="4"/>
        <v>156.9</v>
      </c>
      <c r="D67" s="40">
        <f t="shared" ca="1" si="5"/>
        <v>1</v>
      </c>
      <c r="E67" s="39">
        <f t="shared" ca="1" si="6"/>
        <v>109.83</v>
      </c>
      <c r="F67" s="41" cm="1">
        <f t="array" aca="1" ref="F67" ca="1">_xll.VoseOutput("Month 53","units","Units sold",53)+_xll.VosePoisson(E67)</f>
        <v>110</v>
      </c>
      <c r="G67" s="39">
        <f t="shared" ca="1" si="7"/>
        <v>47.070000000000007</v>
      </c>
      <c r="H67" s="28"/>
      <c r="I67" s="28"/>
    </row>
    <row r="68" spans="2:9" x14ac:dyDescent="0.45">
      <c r="B68" s="38">
        <v>54</v>
      </c>
      <c r="C68" s="39">
        <f t="shared" si="4"/>
        <v>158.19999999999999</v>
      </c>
      <c r="D68" s="40">
        <f t="shared" ca="1" si="5"/>
        <v>1</v>
      </c>
      <c r="E68" s="39">
        <f t="shared" ca="1" si="6"/>
        <v>110.73999999999998</v>
      </c>
      <c r="F68" s="41" cm="1">
        <f t="array" aca="1" ref="F68" ca="1">_xll.VoseOutput("Month 54","units","Units sold",54)+_xll.VosePoisson(E68)</f>
        <v>97</v>
      </c>
      <c r="G68" s="39">
        <f t="shared" ca="1" si="7"/>
        <v>47.460000000000008</v>
      </c>
      <c r="H68" s="28"/>
      <c r="I68" s="28"/>
    </row>
    <row r="69" spans="2:9" x14ac:dyDescent="0.45">
      <c r="B69" s="38">
        <v>55</v>
      </c>
      <c r="C69" s="39">
        <f t="shared" si="4"/>
        <v>159.5</v>
      </c>
      <c r="D69" s="40">
        <f t="shared" ca="1" si="5"/>
        <v>1</v>
      </c>
      <c r="E69" s="39">
        <f t="shared" ca="1" si="6"/>
        <v>111.64999999999999</v>
      </c>
      <c r="F69" s="41" cm="1">
        <f t="array" aca="1" ref="F69" ca="1">_xll.VoseOutput("Month 55","units","Units sold",55)+_xll.VosePoisson(E69)</f>
        <v>111</v>
      </c>
      <c r="G69" s="39">
        <f t="shared" ca="1" si="7"/>
        <v>47.850000000000009</v>
      </c>
      <c r="H69" s="28"/>
      <c r="I69" s="28"/>
    </row>
    <row r="70" spans="2:9" x14ac:dyDescent="0.45">
      <c r="B70" s="38">
        <v>56</v>
      </c>
      <c r="C70" s="39">
        <f t="shared" si="4"/>
        <v>160.80000000000001</v>
      </c>
      <c r="D70" s="40">
        <f t="shared" ca="1" si="5"/>
        <v>1</v>
      </c>
      <c r="E70" s="39">
        <f t="shared" ca="1" si="6"/>
        <v>112.56</v>
      </c>
      <c r="F70" s="41" cm="1">
        <f t="array" aca="1" ref="F70" ca="1">_xll.VoseOutput("Month 56","units","Units sold",56)+_xll.VosePoisson(E70)</f>
        <v>108</v>
      </c>
      <c r="G70" s="39">
        <f t="shared" ca="1" si="7"/>
        <v>48.240000000000009</v>
      </c>
      <c r="H70" s="28"/>
      <c r="I70" s="28"/>
    </row>
    <row r="71" spans="2:9" x14ac:dyDescent="0.45">
      <c r="B71" s="38">
        <v>57</v>
      </c>
      <c r="C71" s="39">
        <f t="shared" si="4"/>
        <v>162.10000000000002</v>
      </c>
      <c r="D71" s="40">
        <f t="shared" ca="1" si="5"/>
        <v>1</v>
      </c>
      <c r="E71" s="39">
        <f t="shared" ca="1" si="6"/>
        <v>113.47000000000001</v>
      </c>
      <c r="F71" s="41" cm="1">
        <f t="array" aca="1" ref="F71" ca="1">_xll.VoseOutput("Month 57","units","Units sold",57)+_xll.VosePoisson(E71)</f>
        <v>127</v>
      </c>
      <c r="G71" s="39">
        <f t="shared" ca="1" si="7"/>
        <v>48.63000000000001</v>
      </c>
      <c r="H71" s="28"/>
      <c r="I71" s="28"/>
    </row>
    <row r="72" spans="2:9" x14ac:dyDescent="0.45">
      <c r="B72" s="38">
        <v>58</v>
      </c>
      <c r="C72" s="39">
        <f t="shared" si="4"/>
        <v>163.4</v>
      </c>
      <c r="D72" s="40">
        <f t="shared" ca="1" si="5"/>
        <v>1</v>
      </c>
      <c r="E72" s="39">
        <f t="shared" ca="1" si="6"/>
        <v>114.38</v>
      </c>
      <c r="F72" s="41" cm="1">
        <f t="array" aca="1" ref="F72" ca="1">_xll.VoseOutput("Month 58","units","Units sold",58)+_xll.VosePoisson(E72)</f>
        <v>113</v>
      </c>
      <c r="G72" s="39">
        <f t="shared" ca="1" si="7"/>
        <v>49.02000000000001</v>
      </c>
      <c r="H72" s="28"/>
      <c r="I72" s="28"/>
    </row>
    <row r="73" spans="2:9" x14ac:dyDescent="0.45">
      <c r="B73" s="38">
        <v>59</v>
      </c>
      <c r="C73" s="39">
        <f t="shared" si="4"/>
        <v>164.7</v>
      </c>
      <c r="D73" s="40">
        <f t="shared" ca="1" si="5"/>
        <v>1</v>
      </c>
      <c r="E73" s="39">
        <f t="shared" ca="1" si="6"/>
        <v>115.28999999999998</v>
      </c>
      <c r="F73" s="41" cm="1">
        <f t="array" aca="1" ref="F73" ca="1">_xll.VoseOutput("Month 59","units","Units sold",59)+_xll.VosePoisson(E73)</f>
        <v>119</v>
      </c>
      <c r="G73" s="39">
        <f t="shared" ca="1" si="7"/>
        <v>49.410000000000011</v>
      </c>
      <c r="H73" s="28"/>
      <c r="I73" s="28"/>
    </row>
    <row r="74" spans="2:9" x14ac:dyDescent="0.45">
      <c r="B74" s="38">
        <v>60</v>
      </c>
      <c r="C74" s="39">
        <f t="shared" si="4"/>
        <v>166</v>
      </c>
      <c r="D74" s="40">
        <f t="shared" ca="1" si="5"/>
        <v>1</v>
      </c>
      <c r="E74" s="39">
        <f t="shared" ca="1" si="6"/>
        <v>116.19999999999999</v>
      </c>
      <c r="F74" s="41" cm="1">
        <f t="array" aca="1" ref="F74" ca="1">_xll.VoseOutput("Month 60","units","Units sold",60)+_xll.VosePoisson(E74)</f>
        <v>110</v>
      </c>
      <c r="G74" s="39">
        <f t="shared" ca="1" si="7"/>
        <v>49.800000000000011</v>
      </c>
      <c r="H74" s="28"/>
      <c r="I74" s="28"/>
    </row>
    <row r="75" spans="2:9" x14ac:dyDescent="0.45">
      <c r="B75" s="38">
        <v>61</v>
      </c>
      <c r="C75" s="39">
        <f t="shared" si="4"/>
        <v>167.3</v>
      </c>
      <c r="D75" s="40">
        <f t="shared" ca="1" si="5"/>
        <v>1</v>
      </c>
      <c r="E75" s="39">
        <f t="shared" ca="1" si="6"/>
        <v>117.11</v>
      </c>
      <c r="F75" s="41" cm="1">
        <f t="array" aca="1" ref="F75" ca="1">_xll.VoseOutput("Month 61","units","Units sold",61)+_xll.VosePoisson(E75)</f>
        <v>116</v>
      </c>
      <c r="G75" s="39">
        <f t="shared" ca="1" si="7"/>
        <v>50.190000000000012</v>
      </c>
      <c r="H75" s="28"/>
      <c r="I75" s="28"/>
    </row>
    <row r="76" spans="2:9" x14ac:dyDescent="0.45">
      <c r="B76" s="38">
        <v>62</v>
      </c>
      <c r="C76" s="39">
        <f t="shared" si="4"/>
        <v>168.60000000000002</v>
      </c>
      <c r="D76" s="40">
        <f t="shared" ca="1" si="5"/>
        <v>1</v>
      </c>
      <c r="E76" s="39">
        <f t="shared" ca="1" si="6"/>
        <v>118.02000000000001</v>
      </c>
      <c r="F76" s="41" cm="1">
        <f t="array" aca="1" ref="F76" ca="1">_xll.VoseOutput("Month 62","units","Units sold",62)+_xll.VosePoisson(E76)</f>
        <v>121</v>
      </c>
      <c r="G76" s="39">
        <f t="shared" ca="1" si="7"/>
        <v>50.580000000000013</v>
      </c>
      <c r="H76" s="28"/>
      <c r="I76" s="28"/>
    </row>
    <row r="77" spans="2:9" x14ac:dyDescent="0.45">
      <c r="B77" s="38">
        <v>63</v>
      </c>
      <c r="C77" s="39">
        <f t="shared" si="4"/>
        <v>169.9</v>
      </c>
      <c r="D77" s="40">
        <f t="shared" ca="1" si="5"/>
        <v>1</v>
      </c>
      <c r="E77" s="39">
        <f t="shared" ca="1" si="6"/>
        <v>118.92999999999999</v>
      </c>
      <c r="F77" s="41" cm="1">
        <f t="array" aca="1" ref="F77" ca="1">_xll.VoseOutput("Month 63","units","Units sold",63)+_xll.VosePoisson(E77)</f>
        <v>96</v>
      </c>
      <c r="G77" s="39">
        <f t="shared" ca="1" si="7"/>
        <v>50.970000000000013</v>
      </c>
      <c r="H77" s="28"/>
      <c r="I77" s="28"/>
    </row>
    <row r="78" spans="2:9" x14ac:dyDescent="0.45">
      <c r="B78" s="38">
        <v>64</v>
      </c>
      <c r="C78" s="39">
        <f t="shared" si="4"/>
        <v>171.2</v>
      </c>
      <c r="D78" s="40">
        <f t="shared" ca="1" si="5"/>
        <v>1</v>
      </c>
      <c r="E78" s="39">
        <f t="shared" ca="1" si="6"/>
        <v>119.83999999999999</v>
      </c>
      <c r="F78" s="41" cm="1">
        <f t="array" aca="1" ref="F78" ca="1">_xll.VoseOutput("Month 64","units","Units sold",64)+_xll.VosePoisson(E78)</f>
        <v>118</v>
      </c>
      <c r="G78" s="39">
        <f t="shared" ca="1" si="7"/>
        <v>51.36</v>
      </c>
      <c r="H78" s="28"/>
      <c r="I78" s="28"/>
    </row>
    <row r="79" spans="2:9" x14ac:dyDescent="0.45">
      <c r="B79" s="38">
        <v>65</v>
      </c>
      <c r="C79" s="39">
        <f t="shared" ref="C79:C110" si="8">Sales0+Growth*B79</f>
        <v>172.5</v>
      </c>
      <c r="D79" s="40">
        <f t="shared" ref="D79:D114" ca="1" si="9">IF(AND(Enters=1,B79&gt;=EntryMonth),1,0)</f>
        <v>1</v>
      </c>
      <c r="E79" s="39">
        <f t="shared" ref="E79:E110" ca="1" si="10">C79*(1-Share*D79)</f>
        <v>120.74999999999999</v>
      </c>
      <c r="F79" s="41" cm="1">
        <f t="array" aca="1" ref="F79" ca="1">_xll.VoseOutput("Month 65","units","Units sold",65)+_xll.VosePoisson(E79)</f>
        <v>132</v>
      </c>
      <c r="G79" s="39">
        <f t="shared" ref="G79:G114" ca="1" si="11">C79-E79</f>
        <v>51.750000000000014</v>
      </c>
      <c r="H79" s="28"/>
      <c r="I79" s="28"/>
    </row>
    <row r="80" spans="2:9" x14ac:dyDescent="0.45">
      <c r="B80" s="38">
        <v>66</v>
      </c>
      <c r="C80" s="39">
        <f t="shared" si="8"/>
        <v>173.8</v>
      </c>
      <c r="D80" s="40">
        <f t="shared" ca="1" si="9"/>
        <v>1</v>
      </c>
      <c r="E80" s="39">
        <f t="shared" ca="1" si="10"/>
        <v>121.66</v>
      </c>
      <c r="F80" s="41" cm="1">
        <f t="array" aca="1" ref="F80" ca="1">_xll.VoseOutput("Month 66","units","Units sold",66)+_xll.VosePoisson(E80)</f>
        <v>108</v>
      </c>
      <c r="G80" s="39">
        <f t="shared" ca="1" si="11"/>
        <v>52.140000000000015</v>
      </c>
      <c r="H80" s="28"/>
      <c r="I80" s="28"/>
    </row>
    <row r="81" spans="2:9" x14ac:dyDescent="0.45">
      <c r="B81" s="38">
        <v>67</v>
      </c>
      <c r="C81" s="39">
        <f t="shared" si="8"/>
        <v>175.10000000000002</v>
      </c>
      <c r="D81" s="40">
        <f t="shared" ca="1" si="9"/>
        <v>1</v>
      </c>
      <c r="E81" s="39">
        <f t="shared" ca="1" si="10"/>
        <v>122.57000000000001</v>
      </c>
      <c r="F81" s="41" cm="1">
        <f t="array" aca="1" ref="F81" ca="1">_xll.VoseOutput("Month 67","units","Units sold",67)+_xll.VosePoisson(E81)</f>
        <v>112</v>
      </c>
      <c r="G81" s="39">
        <f t="shared" ca="1" si="11"/>
        <v>52.530000000000015</v>
      </c>
      <c r="H81" s="28"/>
      <c r="I81" s="28"/>
    </row>
    <row r="82" spans="2:9" x14ac:dyDescent="0.45">
      <c r="B82" s="38">
        <v>68</v>
      </c>
      <c r="C82" s="39">
        <f t="shared" si="8"/>
        <v>176.4</v>
      </c>
      <c r="D82" s="40">
        <f t="shared" ca="1" si="9"/>
        <v>1</v>
      </c>
      <c r="E82" s="39">
        <f t="shared" ca="1" si="10"/>
        <v>123.47999999999999</v>
      </c>
      <c r="F82" s="41" cm="1">
        <f t="array" aca="1" ref="F82" ca="1">_xll.VoseOutput("Month 68","units","Units sold",68)+_xll.VosePoisson(E82)</f>
        <v>101</v>
      </c>
      <c r="G82" s="39">
        <f t="shared" ca="1" si="11"/>
        <v>52.920000000000016</v>
      </c>
      <c r="H82" s="28"/>
      <c r="I82" s="28"/>
    </row>
    <row r="83" spans="2:9" x14ac:dyDescent="0.45">
      <c r="B83" s="38">
        <v>69</v>
      </c>
      <c r="C83" s="39">
        <f t="shared" si="8"/>
        <v>177.7</v>
      </c>
      <c r="D83" s="40">
        <f t="shared" ca="1" si="9"/>
        <v>1</v>
      </c>
      <c r="E83" s="39">
        <f t="shared" ca="1" si="10"/>
        <v>124.38999999999999</v>
      </c>
      <c r="F83" s="41" cm="1">
        <f t="array" aca="1" ref="F83" ca="1">_xll.VoseOutput("Month 69","units","Units sold",69)+_xll.VosePoisson(E83)</f>
        <v>134</v>
      </c>
      <c r="G83" s="39">
        <f t="shared" ca="1" si="11"/>
        <v>53.31</v>
      </c>
      <c r="H83" s="28"/>
      <c r="I83" s="28"/>
    </row>
    <row r="84" spans="2:9" x14ac:dyDescent="0.45">
      <c r="B84" s="38">
        <v>70</v>
      </c>
      <c r="C84" s="39">
        <f t="shared" si="8"/>
        <v>179</v>
      </c>
      <c r="D84" s="40">
        <f t="shared" ca="1" si="9"/>
        <v>1</v>
      </c>
      <c r="E84" s="39">
        <f t="shared" ca="1" si="10"/>
        <v>125.3</v>
      </c>
      <c r="F84" s="41" cm="1">
        <f t="array" aca="1" ref="F84" ca="1">_xll.VoseOutput("Month 70","units","Units sold",70)+_xll.VosePoisson(E84)</f>
        <v>130</v>
      </c>
      <c r="G84" s="39">
        <f t="shared" ca="1" si="11"/>
        <v>53.7</v>
      </c>
      <c r="H84" s="28"/>
      <c r="I84" s="28"/>
    </row>
    <row r="85" spans="2:9" x14ac:dyDescent="0.45">
      <c r="B85" s="38">
        <v>71</v>
      </c>
      <c r="C85" s="39">
        <f t="shared" si="8"/>
        <v>180.3</v>
      </c>
      <c r="D85" s="40">
        <f t="shared" ca="1" si="9"/>
        <v>1</v>
      </c>
      <c r="E85" s="39">
        <f t="shared" ca="1" si="10"/>
        <v>126.21</v>
      </c>
      <c r="F85" s="41" cm="1">
        <f t="array" aca="1" ref="F85" ca="1">_xll.VoseOutput("Month 71","units","Units sold",71)+_xll.VosePoisson(E85)</f>
        <v>134</v>
      </c>
      <c r="G85" s="39">
        <f t="shared" ca="1" si="11"/>
        <v>54.090000000000018</v>
      </c>
      <c r="H85" s="28"/>
      <c r="I85" s="28"/>
    </row>
    <row r="86" spans="2:9" x14ac:dyDescent="0.45">
      <c r="B86" s="38">
        <v>72</v>
      </c>
      <c r="C86" s="39">
        <f t="shared" si="8"/>
        <v>181.60000000000002</v>
      </c>
      <c r="D86" s="40">
        <f t="shared" ca="1" si="9"/>
        <v>1</v>
      </c>
      <c r="E86" s="39">
        <f t="shared" ca="1" si="10"/>
        <v>127.12</v>
      </c>
      <c r="F86" s="41" cm="1">
        <f t="array" aca="1" ref="F86" ca="1">_xll.VoseOutput("Month 72","units","Units sold",72)+_xll.VosePoisson(E86)</f>
        <v>121</v>
      </c>
      <c r="G86" s="39">
        <f t="shared" ca="1" si="11"/>
        <v>54.480000000000018</v>
      </c>
      <c r="H86" s="28"/>
      <c r="I86" s="28"/>
    </row>
    <row r="87" spans="2:9" x14ac:dyDescent="0.45">
      <c r="B87" s="38">
        <v>73</v>
      </c>
      <c r="C87" s="39">
        <f t="shared" si="8"/>
        <v>182.9</v>
      </c>
      <c r="D87" s="40">
        <f t="shared" ca="1" si="9"/>
        <v>1</v>
      </c>
      <c r="E87" s="39">
        <f t="shared" ca="1" si="10"/>
        <v>128.03</v>
      </c>
      <c r="F87" s="41" cm="1">
        <f t="array" aca="1" ref="F87" ca="1">_xll.VoseOutput("Month 73","units","Units sold",73)+_xll.VosePoisson(E87)</f>
        <v>129</v>
      </c>
      <c r="G87" s="39">
        <f t="shared" ca="1" si="11"/>
        <v>54.870000000000005</v>
      </c>
      <c r="H87" s="28"/>
      <c r="I87" s="28"/>
    </row>
    <row r="88" spans="2:9" x14ac:dyDescent="0.45">
      <c r="B88" s="38">
        <v>74</v>
      </c>
      <c r="C88" s="39">
        <f t="shared" si="8"/>
        <v>184.2</v>
      </c>
      <c r="D88" s="40">
        <f t="shared" ca="1" si="9"/>
        <v>1</v>
      </c>
      <c r="E88" s="39">
        <f t="shared" ca="1" si="10"/>
        <v>128.94</v>
      </c>
      <c r="F88" s="41" cm="1">
        <f t="array" aca="1" ref="F88" ca="1">_xll.VoseOutput("Month 74","units","Units sold",74)+_xll.VosePoisson(E88)</f>
        <v>111</v>
      </c>
      <c r="G88" s="39">
        <f t="shared" ca="1" si="11"/>
        <v>55.259999999999991</v>
      </c>
      <c r="H88" s="28"/>
      <c r="I88" s="28"/>
    </row>
    <row r="89" spans="2:9" x14ac:dyDescent="0.45">
      <c r="B89" s="38">
        <v>75</v>
      </c>
      <c r="C89" s="39">
        <f t="shared" si="8"/>
        <v>185.5</v>
      </c>
      <c r="D89" s="40">
        <f t="shared" ca="1" si="9"/>
        <v>1</v>
      </c>
      <c r="E89" s="39">
        <f t="shared" ca="1" si="10"/>
        <v>129.85</v>
      </c>
      <c r="F89" s="41" cm="1">
        <f t="array" aca="1" ref="F89" ca="1">_xll.VoseOutput("Month 75","units","Units sold",75)+_xll.VosePoisson(E89)</f>
        <v>114</v>
      </c>
      <c r="G89" s="39">
        <f t="shared" ca="1" si="11"/>
        <v>55.650000000000006</v>
      </c>
      <c r="H89" s="28"/>
      <c r="I89" s="28"/>
    </row>
    <row r="90" spans="2:9" x14ac:dyDescent="0.45">
      <c r="B90" s="38">
        <v>76</v>
      </c>
      <c r="C90" s="39">
        <f t="shared" si="8"/>
        <v>186.8</v>
      </c>
      <c r="D90" s="40">
        <f t="shared" ca="1" si="9"/>
        <v>1</v>
      </c>
      <c r="E90" s="39">
        <f t="shared" ca="1" si="10"/>
        <v>130.76</v>
      </c>
      <c r="F90" s="41" cm="1">
        <f t="array" aca="1" ref="F90" ca="1">_xll.VoseOutput("Month 76","units","Units sold",76)+_xll.VosePoisson(E90)</f>
        <v>125</v>
      </c>
      <c r="G90" s="39">
        <f t="shared" ca="1" si="11"/>
        <v>56.04000000000002</v>
      </c>
      <c r="H90" s="28"/>
      <c r="I90" s="28"/>
    </row>
    <row r="91" spans="2:9" x14ac:dyDescent="0.45">
      <c r="B91" s="38">
        <v>77</v>
      </c>
      <c r="C91" s="39">
        <f t="shared" si="8"/>
        <v>188.10000000000002</v>
      </c>
      <c r="D91" s="40">
        <f t="shared" ca="1" si="9"/>
        <v>1</v>
      </c>
      <c r="E91" s="39">
        <f t="shared" ca="1" si="10"/>
        <v>131.67000000000002</v>
      </c>
      <c r="F91" s="41" cm="1">
        <f t="array" aca="1" ref="F91" ca="1">_xll.VoseOutput("Month 77","units","Units sold",77)+_xll.VosePoisson(E91)</f>
        <v>119</v>
      </c>
      <c r="G91" s="39">
        <f t="shared" ca="1" si="11"/>
        <v>56.430000000000007</v>
      </c>
      <c r="H91" s="28"/>
      <c r="I91" s="28"/>
    </row>
    <row r="92" spans="2:9" x14ac:dyDescent="0.45">
      <c r="B92" s="38">
        <v>78</v>
      </c>
      <c r="C92" s="39">
        <f t="shared" si="8"/>
        <v>189.4</v>
      </c>
      <c r="D92" s="40">
        <f t="shared" ca="1" si="9"/>
        <v>1</v>
      </c>
      <c r="E92" s="39">
        <f t="shared" ca="1" si="10"/>
        <v>132.57999999999998</v>
      </c>
      <c r="F92" s="41" cm="1">
        <f t="array" aca="1" ref="F92" ca="1">_xll.VoseOutput("Month 78","units","Units sold",78)+_xll.VosePoisson(E92)</f>
        <v>122</v>
      </c>
      <c r="G92" s="39">
        <f t="shared" ca="1" si="11"/>
        <v>56.820000000000022</v>
      </c>
      <c r="H92" s="28"/>
      <c r="I92" s="28"/>
    </row>
    <row r="93" spans="2:9" x14ac:dyDescent="0.45">
      <c r="B93" s="38">
        <v>79</v>
      </c>
      <c r="C93" s="39">
        <f t="shared" si="8"/>
        <v>190.7</v>
      </c>
      <c r="D93" s="40">
        <f t="shared" ca="1" si="9"/>
        <v>1</v>
      </c>
      <c r="E93" s="39">
        <f t="shared" ca="1" si="10"/>
        <v>133.48999999999998</v>
      </c>
      <c r="F93" s="41" cm="1">
        <f t="array" aca="1" ref="F93" ca="1">_xll.VoseOutput("Month 79","units","Units sold",79)+_xll.VosePoisson(E93)</f>
        <v>123</v>
      </c>
      <c r="G93" s="39">
        <f t="shared" ca="1" si="11"/>
        <v>57.210000000000008</v>
      </c>
      <c r="H93" s="28"/>
      <c r="I93" s="28"/>
    </row>
    <row r="94" spans="2:9" x14ac:dyDescent="0.45">
      <c r="B94" s="38">
        <v>80</v>
      </c>
      <c r="C94" s="39">
        <f t="shared" si="8"/>
        <v>192</v>
      </c>
      <c r="D94" s="40">
        <f t="shared" ca="1" si="9"/>
        <v>1</v>
      </c>
      <c r="E94" s="39">
        <f t="shared" ca="1" si="10"/>
        <v>134.39999999999998</v>
      </c>
      <c r="F94" s="41" cm="1">
        <f t="array" aca="1" ref="F94" ca="1">_xll.VoseOutput("Month 80","units","Units sold",80)+_xll.VosePoisson(E94)</f>
        <v>121</v>
      </c>
      <c r="G94" s="39">
        <f t="shared" ca="1" si="11"/>
        <v>57.600000000000023</v>
      </c>
      <c r="H94" s="28"/>
      <c r="I94" s="28"/>
    </row>
    <row r="95" spans="2:9" x14ac:dyDescent="0.45">
      <c r="B95" s="38">
        <v>81</v>
      </c>
      <c r="C95" s="39">
        <f t="shared" si="8"/>
        <v>193.3</v>
      </c>
      <c r="D95" s="40">
        <f t="shared" ca="1" si="9"/>
        <v>1</v>
      </c>
      <c r="E95" s="39">
        <f t="shared" ca="1" si="10"/>
        <v>135.31</v>
      </c>
      <c r="F95" s="41" cm="1">
        <f t="array" aca="1" ref="F95" ca="1">_xll.VoseOutput("Month 81","units","Units sold",81)+_xll.VosePoisson(E95)</f>
        <v>121</v>
      </c>
      <c r="G95" s="39">
        <f t="shared" ca="1" si="11"/>
        <v>57.990000000000009</v>
      </c>
      <c r="H95" s="28"/>
      <c r="I95" s="28"/>
    </row>
    <row r="96" spans="2:9" x14ac:dyDescent="0.45">
      <c r="B96" s="38">
        <v>82</v>
      </c>
      <c r="C96" s="39">
        <f t="shared" si="8"/>
        <v>194.60000000000002</v>
      </c>
      <c r="D96" s="40">
        <f t="shared" ca="1" si="9"/>
        <v>1</v>
      </c>
      <c r="E96" s="39">
        <f t="shared" ca="1" si="10"/>
        <v>136.22</v>
      </c>
      <c r="F96" s="41" cm="1">
        <f t="array" aca="1" ref="F96" ca="1">_xll.VoseOutput("Month 82","units","Units sold",82)+_xll.VosePoisson(E96)</f>
        <v>130</v>
      </c>
      <c r="G96" s="39">
        <f t="shared" ca="1" si="11"/>
        <v>58.380000000000024</v>
      </c>
      <c r="H96" s="28"/>
      <c r="I96" s="28"/>
    </row>
    <row r="97" spans="2:9" x14ac:dyDescent="0.45">
      <c r="B97" s="38">
        <v>83</v>
      </c>
      <c r="C97" s="39">
        <f t="shared" si="8"/>
        <v>195.9</v>
      </c>
      <c r="D97" s="40">
        <f t="shared" ca="1" si="9"/>
        <v>1</v>
      </c>
      <c r="E97" s="39">
        <f t="shared" ca="1" si="10"/>
        <v>137.13</v>
      </c>
      <c r="F97" s="41" cm="1">
        <f t="array" aca="1" ref="F97" ca="1">_xll.VoseOutput("Month 83","units","Units sold",83)+_xll.VosePoisson(E97)</f>
        <v>121</v>
      </c>
      <c r="G97" s="39">
        <f t="shared" ca="1" si="11"/>
        <v>58.77000000000001</v>
      </c>
      <c r="H97" s="28"/>
      <c r="I97" s="28"/>
    </row>
    <row r="98" spans="2:9" x14ac:dyDescent="0.45">
      <c r="B98" s="38">
        <v>84</v>
      </c>
      <c r="C98" s="39">
        <f t="shared" si="8"/>
        <v>197.2</v>
      </c>
      <c r="D98" s="40">
        <f t="shared" ca="1" si="9"/>
        <v>1</v>
      </c>
      <c r="E98" s="39">
        <f t="shared" ca="1" si="10"/>
        <v>138.04</v>
      </c>
      <c r="F98" s="41" cm="1">
        <f t="array" aca="1" ref="F98" ca="1">_xll.VoseOutput("Month 84","units","Units sold",84)+_xll.VosePoisson(E98)</f>
        <v>125</v>
      </c>
      <c r="G98" s="39">
        <f t="shared" ca="1" si="11"/>
        <v>59.16</v>
      </c>
      <c r="H98" s="28"/>
      <c r="I98" s="28"/>
    </row>
    <row r="99" spans="2:9" x14ac:dyDescent="0.45">
      <c r="B99" s="38">
        <v>85</v>
      </c>
      <c r="C99" s="39">
        <f t="shared" si="8"/>
        <v>198.5</v>
      </c>
      <c r="D99" s="40">
        <f t="shared" ca="1" si="9"/>
        <v>1</v>
      </c>
      <c r="E99" s="39">
        <f t="shared" ca="1" si="10"/>
        <v>138.94999999999999</v>
      </c>
      <c r="F99" s="41" cm="1">
        <f t="array" aca="1" ref="F99" ca="1">_xll.VoseOutput("Month 85","units","Units sold",85)+_xll.VosePoisson(E99)</f>
        <v>139</v>
      </c>
      <c r="G99" s="39">
        <f t="shared" ca="1" si="11"/>
        <v>59.550000000000011</v>
      </c>
      <c r="H99" s="28"/>
      <c r="I99" s="28"/>
    </row>
    <row r="100" spans="2:9" x14ac:dyDescent="0.45">
      <c r="B100" s="38">
        <v>86</v>
      </c>
      <c r="C100" s="39">
        <f t="shared" si="8"/>
        <v>199.8</v>
      </c>
      <c r="D100" s="40">
        <f t="shared" ca="1" si="9"/>
        <v>1</v>
      </c>
      <c r="E100" s="39">
        <f t="shared" ca="1" si="10"/>
        <v>139.85999999999999</v>
      </c>
      <c r="F100" s="41" cm="1">
        <f t="array" aca="1" ref="F100" ca="1">_xll.VoseOutput("Month 86","units","Units sold",86)+_xll.VosePoisson(E100)</f>
        <v>140</v>
      </c>
      <c r="G100" s="39">
        <f t="shared" ca="1" si="11"/>
        <v>59.940000000000026</v>
      </c>
      <c r="H100" s="28"/>
      <c r="I100" s="28"/>
    </row>
    <row r="101" spans="2:9" x14ac:dyDescent="0.45">
      <c r="B101" s="38">
        <v>87</v>
      </c>
      <c r="C101" s="39">
        <f t="shared" si="8"/>
        <v>201.10000000000002</v>
      </c>
      <c r="D101" s="40">
        <f t="shared" ca="1" si="9"/>
        <v>1</v>
      </c>
      <c r="E101" s="39">
        <f t="shared" ca="1" si="10"/>
        <v>140.77000000000001</v>
      </c>
      <c r="F101" s="41" cm="1">
        <f t="array" aca="1" ref="F101" ca="1">_xll.VoseOutput("Month 87","units","Units sold",87)+_xll.VosePoisson(E101)</f>
        <v>109</v>
      </c>
      <c r="G101" s="39">
        <f t="shared" ca="1" si="11"/>
        <v>60.330000000000013</v>
      </c>
      <c r="H101" s="28"/>
      <c r="I101" s="28"/>
    </row>
    <row r="102" spans="2:9" x14ac:dyDescent="0.45">
      <c r="B102" s="38">
        <v>88</v>
      </c>
      <c r="C102" s="39">
        <f t="shared" si="8"/>
        <v>202.4</v>
      </c>
      <c r="D102" s="40">
        <f t="shared" ca="1" si="9"/>
        <v>1</v>
      </c>
      <c r="E102" s="39">
        <f t="shared" ca="1" si="10"/>
        <v>141.68</v>
      </c>
      <c r="F102" s="41" cm="1">
        <f t="array" aca="1" ref="F102" ca="1">_xll.VoseOutput("Month 88","units","Units sold",88)+_xll.VosePoisson(E102)</f>
        <v>143</v>
      </c>
      <c r="G102" s="39">
        <f t="shared" ca="1" si="11"/>
        <v>60.72</v>
      </c>
      <c r="H102" s="28"/>
      <c r="I102" s="28"/>
    </row>
    <row r="103" spans="2:9" x14ac:dyDescent="0.45">
      <c r="B103" s="38">
        <v>89</v>
      </c>
      <c r="C103" s="39">
        <f t="shared" si="8"/>
        <v>203.7</v>
      </c>
      <c r="D103" s="40">
        <f t="shared" ca="1" si="9"/>
        <v>1</v>
      </c>
      <c r="E103" s="39">
        <f t="shared" ca="1" si="10"/>
        <v>142.58999999999997</v>
      </c>
      <c r="F103" s="41" cm="1">
        <f t="array" aca="1" ref="F103" ca="1">_xll.VoseOutput("Month 89","units","Units sold",89)+_xll.VosePoisson(E103)</f>
        <v>151</v>
      </c>
      <c r="G103" s="39">
        <f t="shared" ca="1" si="11"/>
        <v>61.110000000000014</v>
      </c>
      <c r="H103" s="28"/>
      <c r="I103" s="28"/>
    </row>
    <row r="104" spans="2:9" x14ac:dyDescent="0.45">
      <c r="B104" s="38">
        <v>90</v>
      </c>
      <c r="C104" s="39">
        <f t="shared" si="8"/>
        <v>205</v>
      </c>
      <c r="D104" s="40">
        <f t="shared" ca="1" si="9"/>
        <v>1</v>
      </c>
      <c r="E104" s="39">
        <f t="shared" ca="1" si="10"/>
        <v>143.5</v>
      </c>
      <c r="F104" s="41" cm="1">
        <f t="array" aca="1" ref="F104" ca="1">_xll.VoseOutput("Month 90","units","Units sold",90)+_xll.VosePoisson(E104)</f>
        <v>152</v>
      </c>
      <c r="G104" s="39">
        <f t="shared" ca="1" si="11"/>
        <v>61.5</v>
      </c>
      <c r="H104" s="28"/>
      <c r="I104" s="28"/>
    </row>
    <row r="105" spans="2:9" x14ac:dyDescent="0.45">
      <c r="B105" s="38">
        <v>91</v>
      </c>
      <c r="C105" s="39">
        <f t="shared" si="8"/>
        <v>206.3</v>
      </c>
      <c r="D105" s="40">
        <f t="shared" ca="1" si="9"/>
        <v>1</v>
      </c>
      <c r="E105" s="39">
        <f t="shared" ca="1" si="10"/>
        <v>144.41</v>
      </c>
      <c r="F105" s="41" cm="1">
        <f t="array" aca="1" ref="F105" ca="1">_xll.VoseOutput("Month 91","units","Units sold",91)+_xll.VosePoisson(E105)</f>
        <v>156</v>
      </c>
      <c r="G105" s="39">
        <f t="shared" ca="1" si="11"/>
        <v>61.890000000000015</v>
      </c>
      <c r="H105" s="28"/>
      <c r="I105" s="28"/>
    </row>
    <row r="106" spans="2:9" x14ac:dyDescent="0.45">
      <c r="B106" s="38">
        <v>92</v>
      </c>
      <c r="C106" s="39">
        <f t="shared" si="8"/>
        <v>207.60000000000002</v>
      </c>
      <c r="D106" s="40">
        <f t="shared" ca="1" si="9"/>
        <v>1</v>
      </c>
      <c r="E106" s="39">
        <f t="shared" ca="1" si="10"/>
        <v>145.32</v>
      </c>
      <c r="F106" s="41" cm="1">
        <f t="array" aca="1" ref="F106" ca="1">_xll.VoseOutput("Month 92","units","Units sold",92)+_xll.VosePoisson(E106)</f>
        <v>144</v>
      </c>
      <c r="G106" s="39">
        <f t="shared" ca="1" si="11"/>
        <v>62.28000000000003</v>
      </c>
      <c r="H106" s="28"/>
      <c r="I106" s="28"/>
    </row>
    <row r="107" spans="2:9" x14ac:dyDescent="0.45">
      <c r="B107" s="38">
        <v>93</v>
      </c>
      <c r="C107" s="39">
        <f t="shared" si="8"/>
        <v>208.9</v>
      </c>
      <c r="D107" s="40">
        <f t="shared" ca="1" si="9"/>
        <v>1</v>
      </c>
      <c r="E107" s="39">
        <f t="shared" ca="1" si="10"/>
        <v>146.22999999999999</v>
      </c>
      <c r="F107" s="41" cm="1">
        <f t="array" aca="1" ref="F107" ca="1">_xll.VoseOutput("Month 93","units","Units sold",93)+_xll.VosePoisson(E107)</f>
        <v>161</v>
      </c>
      <c r="G107" s="39">
        <f t="shared" ca="1" si="11"/>
        <v>62.670000000000016</v>
      </c>
      <c r="H107" s="28"/>
      <c r="I107" s="28"/>
    </row>
    <row r="108" spans="2:9" x14ac:dyDescent="0.45">
      <c r="B108" s="38">
        <v>94</v>
      </c>
      <c r="C108" s="39">
        <f t="shared" si="8"/>
        <v>210.2</v>
      </c>
      <c r="D108" s="40">
        <f t="shared" ca="1" si="9"/>
        <v>1</v>
      </c>
      <c r="E108" s="39">
        <f t="shared" ca="1" si="10"/>
        <v>147.13999999999999</v>
      </c>
      <c r="F108" s="41" cm="1">
        <f t="array" aca="1" ref="F108" ca="1">_xll.VoseOutput("Month 94","units","Units sold",94)+_xll.VosePoisson(E108)</f>
        <v>134</v>
      </c>
      <c r="G108" s="39">
        <f t="shared" ca="1" si="11"/>
        <v>63.06</v>
      </c>
      <c r="H108" s="28"/>
      <c r="I108" s="28"/>
    </row>
    <row r="109" spans="2:9" x14ac:dyDescent="0.45">
      <c r="B109" s="38">
        <v>95</v>
      </c>
      <c r="C109" s="39">
        <f t="shared" si="8"/>
        <v>211.5</v>
      </c>
      <c r="D109" s="40">
        <f t="shared" ca="1" si="9"/>
        <v>1</v>
      </c>
      <c r="E109" s="39">
        <f t="shared" ca="1" si="10"/>
        <v>148.04999999999998</v>
      </c>
      <c r="F109" s="41" cm="1">
        <f t="array" aca="1" ref="F109" ca="1">_xll.VoseOutput("Month 95","units","Units sold",95)+_xll.VosePoisson(E109)</f>
        <v>135</v>
      </c>
      <c r="G109" s="39">
        <f t="shared" ca="1" si="11"/>
        <v>63.450000000000017</v>
      </c>
      <c r="H109" s="28"/>
      <c r="I109" s="28"/>
    </row>
    <row r="110" spans="2:9" x14ac:dyDescent="0.45">
      <c r="B110" s="38">
        <v>96</v>
      </c>
      <c r="C110" s="39">
        <f t="shared" si="8"/>
        <v>212.8</v>
      </c>
      <c r="D110" s="40">
        <f t="shared" ca="1" si="9"/>
        <v>1</v>
      </c>
      <c r="E110" s="39">
        <f t="shared" ca="1" si="10"/>
        <v>148.96</v>
      </c>
      <c r="F110" s="41" cm="1">
        <f t="array" aca="1" ref="F110" ca="1">_xll.VoseOutput("Month 96","units","Units sold",96)+_xll.VosePoisson(E110)</f>
        <v>168</v>
      </c>
      <c r="G110" s="39">
        <f t="shared" ca="1" si="11"/>
        <v>63.84</v>
      </c>
      <c r="H110" s="28"/>
      <c r="I110" s="28"/>
    </row>
    <row r="111" spans="2:9" x14ac:dyDescent="0.45">
      <c r="B111" s="38">
        <v>97</v>
      </c>
      <c r="C111" s="39">
        <f t="shared" ref="C111:C142" si="12">Sales0+Growth*B111</f>
        <v>214.10000000000002</v>
      </c>
      <c r="D111" s="40">
        <f t="shared" ca="1" si="9"/>
        <v>1</v>
      </c>
      <c r="E111" s="39">
        <f t="shared" ref="E111:E142" ca="1" si="13">C111*(1-Share*D111)</f>
        <v>149.87</v>
      </c>
      <c r="F111" s="41" cm="1">
        <f t="array" aca="1" ref="F111" ca="1">_xll.VoseOutput("Month 97","units","Units sold",97)+_xll.VosePoisson(E111)</f>
        <v>153</v>
      </c>
      <c r="G111" s="39">
        <f t="shared" ca="1" si="11"/>
        <v>64.230000000000018</v>
      </c>
      <c r="H111" s="28"/>
      <c r="I111" s="28"/>
    </row>
    <row r="112" spans="2:9" x14ac:dyDescent="0.45">
      <c r="B112" s="38">
        <v>98</v>
      </c>
      <c r="C112" s="39">
        <f t="shared" si="12"/>
        <v>215.4</v>
      </c>
      <c r="D112" s="40">
        <f t="shared" ca="1" si="9"/>
        <v>1</v>
      </c>
      <c r="E112" s="39">
        <f t="shared" ca="1" si="13"/>
        <v>150.78</v>
      </c>
      <c r="F112" s="41" cm="1">
        <f t="array" aca="1" ref="F112" ca="1">_xll.VoseOutput("Month 98","units","Units sold",98)+_xll.VosePoisson(E112)</f>
        <v>156</v>
      </c>
      <c r="G112" s="39">
        <f t="shared" ca="1" si="11"/>
        <v>64.62</v>
      </c>
      <c r="H112" s="28"/>
      <c r="I112" s="28"/>
    </row>
    <row r="113" spans="2:9" x14ac:dyDescent="0.45">
      <c r="B113" s="38">
        <v>99</v>
      </c>
      <c r="C113" s="39">
        <f t="shared" si="12"/>
        <v>216.70000000000002</v>
      </c>
      <c r="D113" s="40">
        <f t="shared" ca="1" si="9"/>
        <v>1</v>
      </c>
      <c r="E113" s="39">
        <f t="shared" ca="1" si="13"/>
        <v>151.69</v>
      </c>
      <c r="F113" s="41" cm="1">
        <f t="array" aca="1" ref="F113" ca="1">_xll.VoseOutput("Month 99","units","Units sold",99)+_xll.VosePoisson(E113)</f>
        <v>155</v>
      </c>
      <c r="G113" s="39">
        <f t="shared" ca="1" si="11"/>
        <v>65.010000000000019</v>
      </c>
      <c r="H113" s="28"/>
      <c r="I113" s="28"/>
    </row>
    <row r="114" spans="2:9" x14ac:dyDescent="0.45">
      <c r="B114" s="38">
        <v>100</v>
      </c>
      <c r="C114" s="39">
        <f t="shared" si="12"/>
        <v>218</v>
      </c>
      <c r="D114" s="40">
        <f t="shared" ca="1" si="9"/>
        <v>1</v>
      </c>
      <c r="E114" s="39">
        <f t="shared" ca="1" si="13"/>
        <v>152.6</v>
      </c>
      <c r="F114" s="41" cm="1">
        <f t="array" aca="1" ref="F114" ca="1">_xll.VoseOutput("Month 100","units","Units sold",100)+_xll.VosePoisson(E114)</f>
        <v>150</v>
      </c>
      <c r="G114" s="39">
        <f t="shared" ca="1" si="11"/>
        <v>65.400000000000006</v>
      </c>
      <c r="H114" s="28"/>
      <c r="I114" s="28"/>
    </row>
    <row r="115" spans="2:9" x14ac:dyDescent="0.45">
      <c r="B115" s="42" t="s">
        <v>138</v>
      </c>
      <c r="C115" s="43">
        <f>SUM(C15:C114)</f>
        <v>15365</v>
      </c>
      <c r="D115" s="44"/>
      <c r="E115" s="43">
        <f ca="1">SUM(E15:E114)</f>
        <v>12391.490000000002</v>
      </c>
      <c r="F115" s="43">
        <f ca="1">SUM(F15:F114)</f>
        <v>12170</v>
      </c>
      <c r="G115" s="43">
        <f ca="1">SUM(G15:G114)</f>
        <v>2973.51</v>
      </c>
      <c r="H115" s="44"/>
      <c r="I115" s="44"/>
    </row>
    <row r="116" spans="2:9" ht="8" customHeight="1" x14ac:dyDescent="0.45"/>
    <row r="117" spans="2:9" ht="22.05" customHeight="1" x14ac:dyDescent="0.5">
      <c r="B117" s="7" t="s">
        <v>139</v>
      </c>
      <c r="C117" s="8"/>
      <c r="D117" s="8"/>
      <c r="E117" s="8"/>
      <c r="F117" s="8"/>
      <c r="G117" s="8"/>
      <c r="H117" s="8"/>
      <c r="I117" s="8"/>
    </row>
    <row r="118" spans="2:9" ht="18" customHeight="1" x14ac:dyDescent="0.45">
      <c r="B118" s="13" t="s">
        <v>140</v>
      </c>
    </row>
    <row r="119" spans="2:9" ht="18" customHeight="1" x14ac:dyDescent="0.45">
      <c r="B119" s="45" t="s">
        <v>141</v>
      </c>
      <c r="C119" s="5"/>
      <c r="D119" s="5"/>
      <c r="E119" s="45" t="s">
        <v>90</v>
      </c>
      <c r="F119" s="46" t="s">
        <v>142</v>
      </c>
      <c r="G119" s="5"/>
      <c r="H119" s="5"/>
      <c r="I119" s="45" t="s">
        <v>143</v>
      </c>
    </row>
    <row r="120" spans="2:9" x14ac:dyDescent="0.45">
      <c r="B120" s="25" t="s">
        <v>144</v>
      </c>
      <c r="C120" s="28"/>
      <c r="D120" s="28"/>
      <c r="E120" s="26" t="s">
        <v>95</v>
      </c>
      <c r="F120" s="41" cm="1">
        <f t="array" aca="1" ref="F120" ca="1">_xll.VoseOutput("Units sold, total","units")+F115</f>
        <v>12170</v>
      </c>
      <c r="G120" s="28"/>
      <c r="H120" s="28"/>
      <c r="I120" s="26"/>
    </row>
    <row r="121" spans="2:9" x14ac:dyDescent="0.45">
      <c r="B121" s="25" t="s">
        <v>145</v>
      </c>
      <c r="C121" s="28"/>
      <c r="D121" s="28"/>
      <c r="E121" s="26" t="s">
        <v>95</v>
      </c>
      <c r="F121" s="41" cm="1">
        <f t="array" aca="1" ref="F121" ca="1">_xll.VoseOutput("Units lost to the competitor","units")+G115</f>
        <v>2973.51</v>
      </c>
      <c r="G121" s="28"/>
      <c r="H121" s="28"/>
      <c r="I121" s="26" t="s">
        <v>146</v>
      </c>
    </row>
    <row r="122" spans="2:9" x14ac:dyDescent="0.45">
      <c r="B122" s="25" t="s">
        <v>147</v>
      </c>
      <c r="C122" s="28"/>
      <c r="D122" s="28"/>
      <c r="E122" s="26" t="s">
        <v>148</v>
      </c>
      <c r="F122" s="41" cm="1">
        <f t="array" aca="1" ref="F122" ca="1">_xll.VoseOutput("Margin lost","US$k")+Lost*Margin/1000</f>
        <v>1338.0795000000001</v>
      </c>
      <c r="G122" s="28"/>
      <c r="H122" s="28"/>
      <c r="I122" s="26"/>
    </row>
    <row r="123" spans="2:9" x14ac:dyDescent="0.45">
      <c r="B123" s="25" t="s">
        <v>149</v>
      </c>
      <c r="C123" s="28"/>
      <c r="D123" s="28"/>
      <c r="E123" s="26" t="s">
        <v>118</v>
      </c>
      <c r="F123" s="40">
        <f ca="1">1-Enters</f>
        <v>0</v>
      </c>
      <c r="G123" s="28"/>
      <c r="H123" s="28"/>
      <c r="I123" s="26"/>
    </row>
    <row r="124" spans="2:9" x14ac:dyDescent="0.45">
      <c r="B124" s="25" t="s">
        <v>150</v>
      </c>
      <c r="C124" s="28"/>
      <c r="D124" s="28"/>
      <c r="E124" s="26" t="s">
        <v>95</v>
      </c>
      <c r="F124" s="47">
        <f>SUM(ExpSales)</f>
        <v>15365</v>
      </c>
      <c r="G124" s="28"/>
      <c r="H124" s="28"/>
      <c r="I124" s="26" t="s">
        <v>151</v>
      </c>
    </row>
    <row r="125" spans="2:9" x14ac:dyDescent="0.45">
      <c r="B125" s="25" t="s">
        <v>152</v>
      </c>
      <c r="C125" s="28"/>
      <c r="D125" s="28"/>
      <c r="E125" s="26" t="s">
        <v>148</v>
      </c>
      <c r="F125" s="39">
        <f>Share*(Sales0+Growth*(Earliest+Latest)/2)*Margin/1000</f>
        <v>18.022500000000001</v>
      </c>
      <c r="G125" s="28"/>
      <c r="H125" s="28"/>
      <c r="I125" s="26" t="s">
        <v>153</v>
      </c>
    </row>
    <row r="126" spans="2:9" ht="8" customHeight="1" x14ac:dyDescent="0.45"/>
    <row r="127" spans="2:9" ht="22.05" customHeight="1" x14ac:dyDescent="0.5">
      <c r="B127" s="7" t="s">
        <v>154</v>
      </c>
      <c r="C127" s="8"/>
      <c r="D127" s="8"/>
      <c r="E127" s="8"/>
      <c r="F127" s="8"/>
      <c r="G127" s="8"/>
      <c r="H127" s="8"/>
      <c r="I127" s="8"/>
    </row>
    <row r="128" spans="2:9" ht="18" customHeight="1" x14ac:dyDescent="0.45">
      <c r="B128" s="13" t="s">
        <v>155</v>
      </c>
    </row>
    <row r="129" spans="2:9" x14ac:dyDescent="0.45">
      <c r="B129" s="25" t="s">
        <v>156</v>
      </c>
      <c r="C129" s="28"/>
      <c r="D129" s="28"/>
      <c r="E129" s="28"/>
      <c r="F129" s="48" t="str">
        <f>IF(AND(Earliest&gt;=1,Earliest&lt;=Latest,Latest&lt;=100),"OK","CHECK")</f>
        <v>OK</v>
      </c>
      <c r="G129" s="28"/>
      <c r="H129" s="28"/>
      <c r="I129" s="28"/>
    </row>
    <row r="130" spans="2:9" x14ac:dyDescent="0.45">
      <c r="B130" s="25" t="s">
        <v>157</v>
      </c>
      <c r="C130" s="28"/>
      <c r="D130" s="28"/>
      <c r="E130" s="28"/>
      <c r="F130" s="48" t="str">
        <f>IF(MIN(ExpSales)&gt;=0,"OK","CHECK")</f>
        <v>OK</v>
      </c>
      <c r="G130" s="28"/>
      <c r="H130" s="28"/>
      <c r="I130" s="28"/>
    </row>
    <row r="131" spans="2:9" ht="14" customHeight="1" x14ac:dyDescent="0.45"/>
  </sheetData>
  <conditionalFormatting sqref="F129:F130">
    <cfRule type="expression" dxfId="5" priority="1">
      <formula>F129="CHECK"</formula>
    </cfRule>
  </conditionalFormatting>
  <hyperlinks>
    <hyperlink ref="B4" location="'Inputs'!A1" display="◂  Inputs" xr:uid="{00000000-0004-0000-0200-000000000000}"/>
    <hyperlink ref="I4" location="'Results'!A1" display="Next:  Results  ▸" xr:uid="{00000000-0004-0000-0200-000001000000}"/>
  </hyperlinks>
  <printOptions horizontalCentered="1"/>
  <pageMargins left="0.4" right="0.4" top="0.5" bottom="0.6" header="0.25" footer="0.25"/>
  <pageSetup paperSize="9" scale="97"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331"/>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158</v>
      </c>
      <c r="C3" s="1"/>
      <c r="D3" s="1"/>
      <c r="E3" s="1"/>
      <c r="F3" s="1"/>
      <c r="G3" s="1"/>
      <c r="H3" s="1"/>
      <c r="I3" s="1"/>
      <c r="J3" s="1"/>
      <c r="K3" s="1"/>
      <c r="L3" s="1"/>
      <c r="M3" s="1"/>
      <c r="N3" s="1"/>
      <c r="O3" s="1"/>
      <c r="P3" s="1"/>
      <c r="Q3" s="1"/>
      <c r="R3" s="1"/>
    </row>
    <row r="4" spans="1:18" ht="20" customHeight="1" x14ac:dyDescent="0.45">
      <c r="A4" s="5"/>
      <c r="B4" s="22" t="s">
        <v>159</v>
      </c>
      <c r="C4" s="5"/>
      <c r="D4" s="5"/>
      <c r="E4" s="5"/>
      <c r="F4" s="5"/>
      <c r="G4" s="5"/>
      <c r="H4" s="5"/>
      <c r="I4" s="5"/>
      <c r="J4" s="5"/>
      <c r="K4" s="5"/>
      <c r="L4" s="5"/>
      <c r="M4" s="5"/>
      <c r="N4" s="5"/>
      <c r="O4" s="5"/>
      <c r="P4" s="5"/>
      <c r="Q4" s="5"/>
      <c r="R4" s="5"/>
    </row>
    <row r="5" spans="1:18" ht="8" customHeight="1" x14ac:dyDescent="0.45"/>
    <row r="6" spans="1:18" ht="26" customHeight="1" x14ac:dyDescent="0.45">
      <c r="B6" s="49" t="str" cm="1">
        <f t="array" aca="1" ref="B6" ca="1">IF(ISNUMBER(_xll.VoseSimMean(Units)),"✔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0"/>
      <c r="D6" s="50"/>
      <c r="E6" s="50"/>
      <c r="F6" s="50"/>
      <c r="G6" s="50"/>
    </row>
    <row r="7" spans="1:18" x14ac:dyDescent="0.45">
      <c r="B7" s="51"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160</v>
      </c>
      <c r="C9" s="8"/>
      <c r="D9" s="8"/>
      <c r="E9" s="8"/>
      <c r="F9" s="8"/>
      <c r="G9" s="8"/>
      <c r="I9" s="52" t="s">
        <v>161</v>
      </c>
      <c r="J9" s="8"/>
      <c r="K9" s="8"/>
      <c r="L9" s="8"/>
      <c r="M9" s="8"/>
      <c r="N9" s="8"/>
      <c r="O9" s="8"/>
      <c r="P9" s="8"/>
      <c r="Q9" s="8"/>
      <c r="R9" s="8"/>
    </row>
    <row r="10" spans="1:18" ht="18" customHeight="1" x14ac:dyDescent="0.45">
      <c r="B10" s="13" t="s">
        <v>162</v>
      </c>
    </row>
    <row r="11" spans="1:18" ht="18" customHeight="1" x14ac:dyDescent="0.45">
      <c r="B11" s="23" t="s">
        <v>163</v>
      </c>
      <c r="C11" s="23" t="s">
        <v>90</v>
      </c>
      <c r="D11" s="24" t="s">
        <v>142</v>
      </c>
      <c r="E11" s="5"/>
      <c r="F11" s="5"/>
      <c r="G11" s="5"/>
    </row>
    <row r="12" spans="1:18" x14ac:dyDescent="0.45">
      <c r="B12" s="53" t="s">
        <v>150</v>
      </c>
      <c r="C12" s="26" t="s">
        <v>95</v>
      </c>
      <c r="D12" s="47">
        <f>ExpNoComp</f>
        <v>15365</v>
      </c>
      <c r="E12" s="28"/>
      <c r="F12" s="28"/>
      <c r="G12" s="28"/>
    </row>
    <row r="13" spans="1:18" ht="22.05" customHeight="1" x14ac:dyDescent="0.45">
      <c r="B13" s="38" t="s">
        <v>164</v>
      </c>
      <c r="C13" s="26" t="s">
        <v>95</v>
      </c>
      <c r="D13" s="54" cm="1">
        <f t="array" aca="1" ref="D13" ca="1">_xll.VoseSimMean(Units)</f>
        <v>12587.4638</v>
      </c>
      <c r="E13" s="28"/>
      <c r="F13" s="28"/>
      <c r="G13" s="28"/>
    </row>
    <row r="14" spans="1:18" x14ac:dyDescent="0.45">
      <c r="B14" s="25" t="s">
        <v>165</v>
      </c>
      <c r="C14" s="26" t="s">
        <v>95</v>
      </c>
      <c r="D14" s="55" cm="1">
        <f t="array" aca="1" ref="D14" ca="1">_xll.VoseSimMean(Lost)</f>
        <v>2778.703443000094</v>
      </c>
      <c r="E14" s="28"/>
      <c r="F14" s="28"/>
      <c r="G14" s="28"/>
    </row>
    <row r="15" spans="1:18" x14ac:dyDescent="0.45">
      <c r="B15" s="38" t="s">
        <v>166</v>
      </c>
      <c r="C15" s="26" t="s">
        <v>148</v>
      </c>
      <c r="D15" s="55" cm="1">
        <f t="array" aca="1" ref="D15" ca="1">_xll.VoseSimMean(MarginLost)</f>
        <v>1250.4165493500254</v>
      </c>
      <c r="E15" s="28"/>
      <c r="F15" s="28"/>
      <c r="G15" s="28"/>
    </row>
    <row r="16" spans="1:18" x14ac:dyDescent="0.45">
      <c r="B16" s="25" t="s">
        <v>167</v>
      </c>
      <c r="C16" s="26" t="s">
        <v>101</v>
      </c>
      <c r="D16" s="56" cm="1">
        <f t="array" aca="1" ref="D16" ca="1">_xll.VoseSimMean(NoEntry)</f>
        <v>0.19950000000000001</v>
      </c>
      <c r="E16" s="28"/>
      <c r="F16" s="28"/>
      <c r="G16" s="28"/>
    </row>
    <row r="17" spans="2:18" x14ac:dyDescent="0.45">
      <c r="B17" s="57" t="s">
        <v>168</v>
      </c>
      <c r="C17" s="26" t="s">
        <v>148</v>
      </c>
      <c r="D17" s="39">
        <f>DelayValue</f>
        <v>18.022500000000001</v>
      </c>
      <c r="E17" s="28"/>
      <c r="F17" s="28"/>
      <c r="G17" s="28"/>
    </row>
    <row r="18" spans="2:18" ht="18" customHeight="1" x14ac:dyDescent="0.45">
      <c r="B18" s="23" t="s">
        <v>163</v>
      </c>
      <c r="C18" s="23" t="s">
        <v>90</v>
      </c>
      <c r="D18" s="24" t="s">
        <v>169</v>
      </c>
      <c r="E18" s="24" t="s">
        <v>170</v>
      </c>
      <c r="F18" s="24" t="s">
        <v>171</v>
      </c>
      <c r="G18" s="24" t="s">
        <v>172</v>
      </c>
    </row>
    <row r="19" spans="2:18" x14ac:dyDescent="0.45">
      <c r="B19" s="25" t="s">
        <v>128</v>
      </c>
      <c r="C19" s="26" t="s">
        <v>95</v>
      </c>
      <c r="D19" s="55" cm="1">
        <f t="array" aca="1" ref="D19" ca="1">_xll.VoseSimPercentile(Units,0.1)</f>
        <v>11433</v>
      </c>
      <c r="E19" s="55" cm="1">
        <f t="array" aca="1" ref="E19" ca="1">_xll.VoseSimPercentile(Units,0.5)</f>
        <v>12039</v>
      </c>
      <c r="F19" s="55" cm="1">
        <f t="array" aca="1" ref="F19" ca="1">_xll.VoseSimPercentile(Units,0.9)</f>
        <v>15369</v>
      </c>
      <c r="G19" s="55" cm="1">
        <f t="array" aca="1" ref="G19" ca="1">_xll.VoseSimMean(Units)</f>
        <v>12587.4638</v>
      </c>
    </row>
    <row r="20" spans="2:18" x14ac:dyDescent="0.45">
      <c r="B20" s="25" t="s">
        <v>173</v>
      </c>
      <c r="C20" s="26" t="s">
        <v>95</v>
      </c>
      <c r="D20" s="58" cm="1">
        <f t="array" aca="1" ref="D20" ca="1">_xll.VoseSimPercentile(Lost,0.1)</f>
        <v>0</v>
      </c>
      <c r="E20" s="58" cm="1">
        <f t="array" aca="1" ref="E20" ca="1">_xll.VoseSimPercentile(Lost,0.5)</f>
        <v>3317.3100000000009</v>
      </c>
      <c r="F20" s="58" cm="1">
        <f t="array" aca="1" ref="F20" ca="1">_xll.VoseSimPercentile(Lost,0.9)</f>
        <v>3930.03</v>
      </c>
      <c r="G20" s="58" cm="1">
        <f t="array" aca="1" ref="G20" ca="1">_xll.VoseSimMean(Lost)</f>
        <v>2778.703443000094</v>
      </c>
    </row>
    <row r="21" spans="2:18" ht="8" customHeight="1" x14ac:dyDescent="0.45"/>
    <row r="25" spans="2:18" x14ac:dyDescent="0.45">
      <c r="I25" s="52" t="s">
        <v>144</v>
      </c>
      <c r="J25" s="8"/>
      <c r="K25" s="8"/>
      <c r="L25" s="8"/>
      <c r="M25" s="8"/>
      <c r="N25" s="8"/>
      <c r="O25" s="8"/>
      <c r="P25" s="8"/>
      <c r="Q25" s="8"/>
      <c r="R25" s="8"/>
    </row>
    <row r="40" spans="2:7" ht="22.05" customHeight="1" x14ac:dyDescent="0.5">
      <c r="B40" s="7" t="s">
        <v>174</v>
      </c>
      <c r="C40" s="8"/>
      <c r="D40" s="8"/>
      <c r="E40" s="8"/>
      <c r="F40" s="8"/>
      <c r="G40" s="8"/>
    </row>
    <row r="41" spans="2:7" ht="32" customHeight="1" x14ac:dyDescent="0.45">
      <c r="B41" s="67" t="s">
        <v>175</v>
      </c>
      <c r="C41" s="66"/>
      <c r="D41" s="66"/>
      <c r="E41" s="66"/>
      <c r="F41" s="66"/>
      <c r="G41" s="66"/>
    </row>
    <row r="42" spans="2:7" ht="32" customHeight="1" x14ac:dyDescent="0.45">
      <c r="B42" s="67" t="s">
        <v>176</v>
      </c>
      <c r="C42" s="66"/>
      <c r="D42" s="66"/>
      <c r="E42" s="66"/>
      <c r="F42" s="66"/>
      <c r="G42" s="66"/>
    </row>
    <row r="43" spans="2:7" ht="32" customHeight="1" x14ac:dyDescent="0.45">
      <c r="B43" s="67" t="s">
        <v>177</v>
      </c>
      <c r="C43" s="66"/>
      <c r="D43" s="66"/>
      <c r="E43" s="66"/>
      <c r="F43" s="66"/>
      <c r="G43" s="66"/>
    </row>
    <row r="44" spans="2:7" ht="32" customHeight="1" x14ac:dyDescent="0.45">
      <c r="B44" s="67" t="s">
        <v>178</v>
      </c>
      <c r="C44" s="66"/>
      <c r="D44" s="66"/>
      <c r="E44" s="66"/>
      <c r="F44" s="66"/>
      <c r="G44" s="66"/>
    </row>
    <row r="45" spans="2:7" ht="14" customHeight="1" x14ac:dyDescent="0.45"/>
    <row r="46" spans="2:7" ht="14" customHeight="1" x14ac:dyDescent="0.45"/>
    <row r="47" spans="2:7" ht="22.05" customHeight="1" x14ac:dyDescent="0.5">
      <c r="B47" s="7" t="s">
        <v>179</v>
      </c>
      <c r="C47" s="8"/>
      <c r="D47" s="8"/>
      <c r="E47" s="8"/>
      <c r="F47" s="8"/>
      <c r="G47" s="8"/>
    </row>
    <row r="48" spans="2:7" ht="18" customHeight="1" x14ac:dyDescent="0.45">
      <c r="B48" s="13" t="s">
        <v>180</v>
      </c>
    </row>
    <row r="49" spans="2:7" ht="28.05" hidden="1" customHeight="1" outlineLevel="1" x14ac:dyDescent="0.45">
      <c r="B49" s="24" t="s">
        <v>181</v>
      </c>
      <c r="C49" s="24" t="s">
        <v>182</v>
      </c>
      <c r="D49" s="24" t="s">
        <v>183</v>
      </c>
      <c r="E49" s="5"/>
      <c r="F49" s="5"/>
      <c r="G49" s="5"/>
    </row>
    <row r="50" spans="2:7" hidden="1" outlineLevel="1" x14ac:dyDescent="0.45">
      <c r="B50" s="59">
        <v>0.01</v>
      </c>
      <c r="C50" s="59">
        <f t="shared" ref="C50:C81" si="0">1-B50</f>
        <v>0.99</v>
      </c>
      <c r="D50" s="60" cm="1">
        <f t="array" aca="1" ref="D50" ca="1">IF(ISNUMBER(_xll.VoseSimPercentile(Units,$B50)),_xll.VoseSimPercentile(Units,$B50),NA())</f>
        <v>11233</v>
      </c>
    </row>
    <row r="51" spans="2:7" hidden="1" outlineLevel="1" x14ac:dyDescent="0.45">
      <c r="B51" s="59">
        <v>0.03</v>
      </c>
      <c r="C51" s="59">
        <f t="shared" si="0"/>
        <v>0.97</v>
      </c>
      <c r="D51" s="60" cm="1">
        <f t="array" aca="1" ref="D51" ca="1">IF(ISNUMBER(_xll.VoseSimPercentile(Units,$B51)),_xll.VoseSimPercentile(Units,$B51),NA())</f>
        <v>11302</v>
      </c>
    </row>
    <row r="52" spans="2:7" hidden="1" outlineLevel="1" x14ac:dyDescent="0.45">
      <c r="B52" s="59">
        <v>0.05</v>
      </c>
      <c r="C52" s="59">
        <f t="shared" si="0"/>
        <v>0.95</v>
      </c>
      <c r="D52" s="60" cm="1">
        <f t="array" aca="1" ref="D52" ca="1">IF(ISNUMBER(_xll.VoseSimPercentile(Units,$B52)),_xll.VoseSimPercentile(Units,$B52),NA())</f>
        <v>11347</v>
      </c>
    </row>
    <row r="53" spans="2:7" hidden="1" outlineLevel="1" x14ac:dyDescent="0.45">
      <c r="B53" s="59">
        <v>7.0000000000000007E-2</v>
      </c>
      <c r="C53" s="59">
        <f t="shared" si="0"/>
        <v>0.92999999999999994</v>
      </c>
      <c r="D53" s="60" cm="1">
        <f t="array" aca="1" ref="D53" ca="1">IF(ISNUMBER(_xll.VoseSimPercentile(Units,$B53)),_xll.VoseSimPercentile(Units,$B53),NA())</f>
        <v>11386</v>
      </c>
    </row>
    <row r="54" spans="2:7" hidden="1" outlineLevel="1" x14ac:dyDescent="0.45">
      <c r="B54" s="59">
        <v>0.09</v>
      </c>
      <c r="C54" s="59">
        <f t="shared" si="0"/>
        <v>0.91</v>
      </c>
      <c r="D54" s="60" cm="1">
        <f t="array" aca="1" ref="D54" ca="1">IF(ISNUMBER(_xll.VoseSimPercentile(Units,$B54)),_xll.VoseSimPercentile(Units,$B54),NA())</f>
        <v>11418</v>
      </c>
    </row>
    <row r="55" spans="2:7" hidden="1" outlineLevel="1" x14ac:dyDescent="0.45">
      <c r="B55" s="59">
        <v>0.11</v>
      </c>
      <c r="C55" s="59">
        <f t="shared" si="0"/>
        <v>0.89</v>
      </c>
      <c r="D55" s="60" cm="1">
        <f t="array" aca="1" ref="D55" ca="1">IF(ISNUMBER(_xll.VoseSimPercentile(Units,$B55)),_xll.VoseSimPercentile(Units,$B55),NA())</f>
        <v>11446</v>
      </c>
    </row>
    <row r="56" spans="2:7" hidden="1" outlineLevel="1" x14ac:dyDescent="0.45">
      <c r="B56" s="59">
        <v>0.13</v>
      </c>
      <c r="C56" s="59">
        <f t="shared" si="0"/>
        <v>0.87</v>
      </c>
      <c r="D56" s="60" cm="1">
        <f t="array" aca="1" ref="D56" ca="1">IF(ISNUMBER(_xll.VoseSimPercentile(Units,$B56)),_xll.VoseSimPercentile(Units,$B56),NA())</f>
        <v>11476</v>
      </c>
    </row>
    <row r="57" spans="2:7" hidden="1" outlineLevel="1" x14ac:dyDescent="0.45">
      <c r="B57" s="59">
        <v>0.15</v>
      </c>
      <c r="C57" s="59">
        <f t="shared" si="0"/>
        <v>0.85</v>
      </c>
      <c r="D57" s="60" cm="1">
        <f t="array" aca="1" ref="D57" ca="1">IF(ISNUMBER(_xll.VoseSimPercentile(Units,$B57)),_xll.VoseSimPercentile(Units,$B57),NA())</f>
        <v>11507</v>
      </c>
    </row>
    <row r="58" spans="2:7" hidden="1" outlineLevel="1" x14ac:dyDescent="0.45">
      <c r="B58" s="59">
        <v>0.17</v>
      </c>
      <c r="C58" s="59">
        <f t="shared" si="0"/>
        <v>0.83</v>
      </c>
      <c r="D58" s="60" cm="1">
        <f t="array" aca="1" ref="D58" ca="1">IF(ISNUMBER(_xll.VoseSimPercentile(Units,$B58)),_xll.VoseSimPercentile(Units,$B58),NA())</f>
        <v>11534</v>
      </c>
    </row>
    <row r="59" spans="2:7" hidden="1" outlineLevel="1" x14ac:dyDescent="0.45">
      <c r="B59" s="59">
        <v>0.19</v>
      </c>
      <c r="C59" s="59">
        <f t="shared" si="0"/>
        <v>0.81</v>
      </c>
      <c r="D59" s="60" cm="1">
        <f t="array" aca="1" ref="D59" ca="1">IF(ISNUMBER(_xll.VoseSimPercentile(Units,$B59)),_xll.VoseSimPercentile(Units,$B59),NA())</f>
        <v>11565</v>
      </c>
    </row>
    <row r="60" spans="2:7" hidden="1" outlineLevel="1" x14ac:dyDescent="0.45">
      <c r="B60" s="59">
        <v>0.21</v>
      </c>
      <c r="C60" s="59">
        <f t="shared" si="0"/>
        <v>0.79</v>
      </c>
      <c r="D60" s="60" cm="1">
        <f t="array" aca="1" ref="D60" ca="1">IF(ISNUMBER(_xll.VoseSimPercentile(Units,$B60)),_xll.VoseSimPercentile(Units,$B60),NA())</f>
        <v>11590</v>
      </c>
    </row>
    <row r="61" spans="2:7" hidden="1" outlineLevel="1" x14ac:dyDescent="0.45">
      <c r="B61" s="59">
        <v>0.23</v>
      </c>
      <c r="C61" s="59">
        <f t="shared" si="0"/>
        <v>0.77</v>
      </c>
      <c r="D61" s="60" cm="1">
        <f t="array" aca="1" ref="D61" ca="1">IF(ISNUMBER(_xll.VoseSimPercentile(Units,$B61)),_xll.VoseSimPercentile(Units,$B61),NA())</f>
        <v>11621</v>
      </c>
    </row>
    <row r="62" spans="2:7" hidden="1" outlineLevel="1" x14ac:dyDescent="0.45">
      <c r="B62" s="59">
        <v>0.25</v>
      </c>
      <c r="C62" s="59">
        <f t="shared" si="0"/>
        <v>0.75</v>
      </c>
      <c r="D62" s="60" cm="1">
        <f t="array" aca="1" ref="D62" ca="1">IF(ISNUMBER(_xll.VoseSimPercentile(Units,$B62)),_xll.VoseSimPercentile(Units,$B62),NA())</f>
        <v>11649</v>
      </c>
    </row>
    <row r="63" spans="2:7" hidden="1" outlineLevel="1" x14ac:dyDescent="0.45">
      <c r="B63" s="59">
        <v>0.27</v>
      </c>
      <c r="C63" s="59">
        <f t="shared" si="0"/>
        <v>0.73</v>
      </c>
      <c r="D63" s="60" cm="1">
        <f t="array" aca="1" ref="D63" ca="1">IF(ISNUMBER(_xll.VoseSimPercentile(Units,$B63)),_xll.VoseSimPercentile(Units,$B63),NA())</f>
        <v>11682</v>
      </c>
    </row>
    <row r="64" spans="2:7" hidden="1" outlineLevel="1" x14ac:dyDescent="0.45">
      <c r="B64" s="59">
        <v>0.28999999999999998</v>
      </c>
      <c r="C64" s="59">
        <f t="shared" si="0"/>
        <v>0.71</v>
      </c>
      <c r="D64" s="60" cm="1">
        <f t="array" aca="1" ref="D64" ca="1">IF(ISNUMBER(_xll.VoseSimPercentile(Units,$B64)),_xll.VoseSimPercentile(Units,$B64),NA())</f>
        <v>11709</v>
      </c>
    </row>
    <row r="65" spans="2:4" hidden="1" outlineLevel="1" x14ac:dyDescent="0.45">
      <c r="B65" s="59">
        <v>0.31</v>
      </c>
      <c r="C65" s="59">
        <f t="shared" si="0"/>
        <v>0.69</v>
      </c>
      <c r="D65" s="60" cm="1">
        <f t="array" aca="1" ref="D65" ca="1">IF(ISNUMBER(_xll.VoseSimPercentile(Units,$B65)),_xll.VoseSimPercentile(Units,$B65),NA())</f>
        <v>11735</v>
      </c>
    </row>
    <row r="66" spans="2:4" hidden="1" outlineLevel="1" x14ac:dyDescent="0.45">
      <c r="B66" s="59">
        <v>0.33</v>
      </c>
      <c r="C66" s="59">
        <f t="shared" si="0"/>
        <v>0.66999999999999993</v>
      </c>
      <c r="D66" s="60" cm="1">
        <f t="array" aca="1" ref="D66" ca="1">IF(ISNUMBER(_xll.VoseSimPercentile(Units,$B66)),_xll.VoseSimPercentile(Units,$B66),NA())</f>
        <v>11764</v>
      </c>
    </row>
    <row r="67" spans="2:4" hidden="1" outlineLevel="1" x14ac:dyDescent="0.45">
      <c r="B67" s="59">
        <v>0.35</v>
      </c>
      <c r="C67" s="59">
        <f t="shared" si="0"/>
        <v>0.65</v>
      </c>
      <c r="D67" s="60" cm="1">
        <f t="array" aca="1" ref="D67" ca="1">IF(ISNUMBER(_xll.VoseSimPercentile(Units,$B67)),_xll.VoseSimPercentile(Units,$B67),NA())</f>
        <v>11793</v>
      </c>
    </row>
    <row r="68" spans="2:4" hidden="1" outlineLevel="1" x14ac:dyDescent="0.45">
      <c r="B68" s="59">
        <v>0.37</v>
      </c>
      <c r="C68" s="59">
        <f t="shared" si="0"/>
        <v>0.63</v>
      </c>
      <c r="D68" s="60" cm="1">
        <f t="array" aca="1" ref="D68" ca="1">IF(ISNUMBER(_xll.VoseSimPercentile(Units,$B68)),_xll.VoseSimPercentile(Units,$B68),NA())</f>
        <v>11825</v>
      </c>
    </row>
    <row r="69" spans="2:4" hidden="1" outlineLevel="1" x14ac:dyDescent="0.45">
      <c r="B69" s="59">
        <v>0.39</v>
      </c>
      <c r="C69" s="59">
        <f t="shared" si="0"/>
        <v>0.61</v>
      </c>
      <c r="D69" s="60" cm="1">
        <f t="array" aca="1" ref="D69" ca="1">IF(ISNUMBER(_xll.VoseSimPercentile(Units,$B69)),_xll.VoseSimPercentile(Units,$B69),NA())</f>
        <v>11855</v>
      </c>
    </row>
    <row r="70" spans="2:4" hidden="1" outlineLevel="1" x14ac:dyDescent="0.45">
      <c r="B70" s="59">
        <v>0.41</v>
      </c>
      <c r="C70" s="59">
        <f t="shared" si="0"/>
        <v>0.59000000000000008</v>
      </c>
      <c r="D70" s="60" cm="1">
        <f t="array" aca="1" ref="D70" ca="1">IF(ISNUMBER(_xll.VoseSimPercentile(Units,$B70)),_xll.VoseSimPercentile(Units,$B70),NA())</f>
        <v>11889</v>
      </c>
    </row>
    <row r="71" spans="2:4" hidden="1" outlineLevel="1" x14ac:dyDescent="0.45">
      <c r="B71" s="59">
        <v>0.43</v>
      </c>
      <c r="C71" s="59">
        <f t="shared" si="0"/>
        <v>0.57000000000000006</v>
      </c>
      <c r="D71" s="60" cm="1">
        <f t="array" aca="1" ref="D71" ca="1">IF(ISNUMBER(_xll.VoseSimPercentile(Units,$B71)),_xll.VoseSimPercentile(Units,$B71),NA())</f>
        <v>11921</v>
      </c>
    </row>
    <row r="72" spans="2:4" hidden="1" outlineLevel="1" x14ac:dyDescent="0.45">
      <c r="B72" s="59">
        <v>0.45</v>
      </c>
      <c r="C72" s="59">
        <f t="shared" si="0"/>
        <v>0.55000000000000004</v>
      </c>
      <c r="D72" s="60" cm="1">
        <f t="array" aca="1" ref="D72" ca="1">IF(ISNUMBER(_xll.VoseSimPercentile(Units,$B72)),_xll.VoseSimPercentile(Units,$B72),NA())</f>
        <v>11958</v>
      </c>
    </row>
    <row r="73" spans="2:4" hidden="1" outlineLevel="1" x14ac:dyDescent="0.45">
      <c r="B73" s="59">
        <v>0.47</v>
      </c>
      <c r="C73" s="59">
        <f t="shared" si="0"/>
        <v>0.53</v>
      </c>
      <c r="D73" s="60" cm="1">
        <f t="array" aca="1" ref="D73" ca="1">IF(ISNUMBER(_xll.VoseSimPercentile(Units,$B73)),_xll.VoseSimPercentile(Units,$B73),NA())</f>
        <v>11991</v>
      </c>
    </row>
    <row r="74" spans="2:4" hidden="1" outlineLevel="1" x14ac:dyDescent="0.45">
      <c r="B74" s="59">
        <v>0.49</v>
      </c>
      <c r="C74" s="59">
        <f t="shared" si="0"/>
        <v>0.51</v>
      </c>
      <c r="D74" s="60" cm="1">
        <f t="array" aca="1" ref="D74" ca="1">IF(ISNUMBER(_xll.VoseSimPercentile(Units,$B74)),_xll.VoseSimPercentile(Units,$B74),NA())</f>
        <v>12022</v>
      </c>
    </row>
    <row r="75" spans="2:4" hidden="1" outlineLevel="1" x14ac:dyDescent="0.45">
      <c r="B75" s="59">
        <v>0.51</v>
      </c>
      <c r="C75" s="59">
        <f t="shared" si="0"/>
        <v>0.49</v>
      </c>
      <c r="D75" s="60" cm="1">
        <f t="array" aca="1" ref="D75" ca="1">IF(ISNUMBER(_xll.VoseSimPercentile(Units,$B75)),_xll.VoseSimPercentile(Units,$B75),NA())</f>
        <v>12053</v>
      </c>
    </row>
    <row r="76" spans="2:4" hidden="1" outlineLevel="1" x14ac:dyDescent="0.45">
      <c r="B76" s="59">
        <v>0.53</v>
      </c>
      <c r="C76" s="59">
        <f t="shared" si="0"/>
        <v>0.47</v>
      </c>
      <c r="D76" s="60" cm="1">
        <f t="array" aca="1" ref="D76" ca="1">IF(ISNUMBER(_xll.VoseSimPercentile(Units,$B76)),_xll.VoseSimPercentile(Units,$B76),NA())</f>
        <v>12089</v>
      </c>
    </row>
    <row r="77" spans="2:4" hidden="1" outlineLevel="1" x14ac:dyDescent="0.45">
      <c r="B77" s="59">
        <v>0.55000000000000004</v>
      </c>
      <c r="C77" s="59">
        <f t="shared" si="0"/>
        <v>0.44999999999999996</v>
      </c>
      <c r="D77" s="60" cm="1">
        <f t="array" aca="1" ref="D77" ca="1">IF(ISNUMBER(_xll.VoseSimPercentile(Units,$B77)),_xll.VoseSimPercentile(Units,$B77),NA())</f>
        <v>12119</v>
      </c>
    </row>
    <row r="78" spans="2:4" hidden="1" outlineLevel="1" x14ac:dyDescent="0.45">
      <c r="B78" s="59">
        <v>0.56999999999999995</v>
      </c>
      <c r="C78" s="59">
        <f t="shared" si="0"/>
        <v>0.43000000000000005</v>
      </c>
      <c r="D78" s="60" cm="1">
        <f t="array" aca="1" ref="D78" ca="1">IF(ISNUMBER(_xll.VoseSimPercentile(Units,$B78)),_xll.VoseSimPercentile(Units,$B78),NA())</f>
        <v>12153</v>
      </c>
    </row>
    <row r="79" spans="2:4" hidden="1" outlineLevel="1" x14ac:dyDescent="0.45">
      <c r="B79" s="59">
        <v>0.59</v>
      </c>
      <c r="C79" s="59">
        <f t="shared" si="0"/>
        <v>0.41000000000000003</v>
      </c>
      <c r="D79" s="60" cm="1">
        <f t="array" aca="1" ref="D79" ca="1">IF(ISNUMBER(_xll.VoseSimPercentile(Units,$B79)),_xll.VoseSimPercentile(Units,$B79),NA())</f>
        <v>12184</v>
      </c>
    </row>
    <row r="80" spans="2:4" hidden="1" outlineLevel="1" x14ac:dyDescent="0.45">
      <c r="B80" s="59">
        <v>0.61</v>
      </c>
      <c r="C80" s="59">
        <f t="shared" si="0"/>
        <v>0.39</v>
      </c>
      <c r="D80" s="60" cm="1">
        <f t="array" aca="1" ref="D80" ca="1">IF(ISNUMBER(_xll.VoseSimPercentile(Units,$B80)),_xll.VoseSimPercentile(Units,$B80),NA())</f>
        <v>12220</v>
      </c>
    </row>
    <row r="81" spans="2:4" hidden="1" outlineLevel="1" x14ac:dyDescent="0.45">
      <c r="B81" s="59">
        <v>0.63</v>
      </c>
      <c r="C81" s="59">
        <f t="shared" si="0"/>
        <v>0.37</v>
      </c>
      <c r="D81" s="60" cm="1">
        <f t="array" aca="1" ref="D81" ca="1">IF(ISNUMBER(_xll.VoseSimPercentile(Units,$B81)),_xll.VoseSimPercentile(Units,$B81),NA())</f>
        <v>12258</v>
      </c>
    </row>
    <row r="82" spans="2:4" hidden="1" outlineLevel="1" x14ac:dyDescent="0.45">
      <c r="B82" s="59">
        <v>0.65</v>
      </c>
      <c r="C82" s="59">
        <f t="shared" ref="C82:C113" si="1">1-B82</f>
        <v>0.35</v>
      </c>
      <c r="D82" s="60" cm="1">
        <f t="array" aca="1" ref="D82" ca="1">IF(ISNUMBER(_xll.VoseSimPercentile(Units,$B82)),_xll.VoseSimPercentile(Units,$B82),NA())</f>
        <v>12290</v>
      </c>
    </row>
    <row r="83" spans="2:4" hidden="1" outlineLevel="1" x14ac:dyDescent="0.45">
      <c r="B83" s="59">
        <v>0.67</v>
      </c>
      <c r="C83" s="59">
        <f t="shared" si="1"/>
        <v>0.32999999999999996</v>
      </c>
      <c r="D83" s="60" cm="1">
        <f t="array" aca="1" ref="D83" ca="1">IF(ISNUMBER(_xll.VoseSimPercentile(Units,$B83)),_xll.VoseSimPercentile(Units,$B83),NA())</f>
        <v>12324</v>
      </c>
    </row>
    <row r="84" spans="2:4" hidden="1" outlineLevel="1" x14ac:dyDescent="0.45">
      <c r="B84" s="59">
        <v>0.69</v>
      </c>
      <c r="C84" s="59">
        <f t="shared" si="1"/>
        <v>0.31000000000000005</v>
      </c>
      <c r="D84" s="60" cm="1">
        <f t="array" aca="1" ref="D84" ca="1">IF(ISNUMBER(_xll.VoseSimPercentile(Units,$B84)),_xll.VoseSimPercentile(Units,$B84),NA())</f>
        <v>12361</v>
      </c>
    </row>
    <row r="85" spans="2:4" hidden="1" outlineLevel="1" x14ac:dyDescent="0.45">
      <c r="B85" s="59">
        <v>0.71</v>
      </c>
      <c r="C85" s="59">
        <f t="shared" si="1"/>
        <v>0.29000000000000004</v>
      </c>
      <c r="D85" s="60" cm="1">
        <f t="array" aca="1" ref="D85" ca="1">IF(ISNUMBER(_xll.VoseSimPercentile(Units,$B85)),_xll.VoseSimPercentile(Units,$B85),NA())</f>
        <v>12397</v>
      </c>
    </row>
    <row r="86" spans="2:4" hidden="1" outlineLevel="1" x14ac:dyDescent="0.45">
      <c r="B86" s="59">
        <v>0.73</v>
      </c>
      <c r="C86" s="59">
        <f t="shared" si="1"/>
        <v>0.27</v>
      </c>
      <c r="D86" s="60" cm="1">
        <f t="array" aca="1" ref="D86" ca="1">IF(ISNUMBER(_xll.VoseSimPercentile(Units,$B86)),_xll.VoseSimPercentile(Units,$B86),NA())</f>
        <v>12439</v>
      </c>
    </row>
    <row r="87" spans="2:4" hidden="1" outlineLevel="1" x14ac:dyDescent="0.45">
      <c r="B87" s="59">
        <v>0.75</v>
      </c>
      <c r="C87" s="59">
        <f t="shared" si="1"/>
        <v>0.25</v>
      </c>
      <c r="D87" s="60" cm="1">
        <f t="array" aca="1" ref="D87" ca="1">IF(ISNUMBER(_xll.VoseSimPercentile(Units,$B87)),_xll.VoseSimPercentile(Units,$B87),NA())</f>
        <v>12481</v>
      </c>
    </row>
    <row r="88" spans="2:4" hidden="1" outlineLevel="1" x14ac:dyDescent="0.45">
      <c r="B88" s="59">
        <v>0.77</v>
      </c>
      <c r="C88" s="59">
        <f t="shared" si="1"/>
        <v>0.22999999999999998</v>
      </c>
      <c r="D88" s="60" cm="1">
        <f t="array" aca="1" ref="D88" ca="1">IF(ISNUMBER(_xll.VoseSimPercentile(Units,$B88)),_xll.VoseSimPercentile(Units,$B88),NA())</f>
        <v>12538</v>
      </c>
    </row>
    <row r="89" spans="2:4" hidden="1" outlineLevel="1" x14ac:dyDescent="0.45">
      <c r="B89" s="59">
        <v>0.79</v>
      </c>
      <c r="C89" s="59">
        <f t="shared" si="1"/>
        <v>0.20999999999999996</v>
      </c>
      <c r="D89" s="60" cm="1">
        <f t="array" aca="1" ref="D89" ca="1">IF(ISNUMBER(_xll.VoseSimPercentile(Units,$B89)),_xll.VoseSimPercentile(Units,$B89),NA())</f>
        <v>12618</v>
      </c>
    </row>
    <row r="90" spans="2:4" hidden="1" outlineLevel="1" x14ac:dyDescent="0.45">
      <c r="B90" s="59">
        <v>0.81</v>
      </c>
      <c r="C90" s="59">
        <f t="shared" si="1"/>
        <v>0.18999999999999995</v>
      </c>
      <c r="D90" s="60" cm="1">
        <f t="array" aca="1" ref="D90" ca="1">IF(ISNUMBER(_xll.VoseSimPercentile(Units,$B90)),_xll.VoseSimPercentile(Units,$B90),NA())</f>
        <v>15167</v>
      </c>
    </row>
    <row r="91" spans="2:4" hidden="1" outlineLevel="1" x14ac:dyDescent="0.45">
      <c r="B91" s="59">
        <v>0.83</v>
      </c>
      <c r="C91" s="59">
        <f t="shared" si="1"/>
        <v>0.17000000000000004</v>
      </c>
      <c r="D91" s="60" cm="1">
        <f t="array" aca="1" ref="D91" ca="1">IF(ISNUMBER(_xll.VoseSimPercentile(Units,$B91)),_xll.VoseSimPercentile(Units,$B91),NA())</f>
        <v>15246</v>
      </c>
    </row>
    <row r="92" spans="2:4" hidden="1" outlineLevel="1" x14ac:dyDescent="0.45">
      <c r="B92" s="59">
        <v>0.85</v>
      </c>
      <c r="C92" s="59">
        <f t="shared" si="1"/>
        <v>0.15000000000000002</v>
      </c>
      <c r="D92" s="60" cm="1">
        <f t="array" aca="1" ref="D92" ca="1">IF(ISNUMBER(_xll.VoseSimPercentile(Units,$B92)),_xll.VoseSimPercentile(Units,$B92),NA())</f>
        <v>15282</v>
      </c>
    </row>
    <row r="93" spans="2:4" hidden="1" outlineLevel="1" x14ac:dyDescent="0.45">
      <c r="B93" s="59">
        <v>0.87</v>
      </c>
      <c r="C93" s="59">
        <f t="shared" si="1"/>
        <v>0.13</v>
      </c>
      <c r="D93" s="60" cm="1">
        <f t="array" aca="1" ref="D93" ca="1">IF(ISNUMBER(_xll.VoseSimPercentile(Units,$B93)),_xll.VoseSimPercentile(Units,$B93),NA())</f>
        <v>15316</v>
      </c>
    </row>
    <row r="94" spans="2:4" hidden="1" outlineLevel="1" x14ac:dyDescent="0.45">
      <c r="B94" s="59">
        <v>0.89</v>
      </c>
      <c r="C94" s="59">
        <f t="shared" si="1"/>
        <v>0.10999999999999999</v>
      </c>
      <c r="D94" s="60" cm="1">
        <f t="array" aca="1" ref="D94" ca="1">IF(ISNUMBER(_xll.VoseSimPercentile(Units,$B94)),_xll.VoseSimPercentile(Units,$B94),NA())</f>
        <v>15351</v>
      </c>
    </row>
    <row r="95" spans="2:4" hidden="1" outlineLevel="1" x14ac:dyDescent="0.45">
      <c r="B95" s="59">
        <v>0.91</v>
      </c>
      <c r="C95" s="59">
        <f t="shared" si="1"/>
        <v>8.9999999999999969E-2</v>
      </c>
      <c r="D95" s="60" cm="1">
        <f t="array" aca="1" ref="D95" ca="1">IF(ISNUMBER(_xll.VoseSimPercentile(Units,$B95)),_xll.VoseSimPercentile(Units,$B95),NA())</f>
        <v>15384</v>
      </c>
    </row>
    <row r="96" spans="2:4" hidden="1" outlineLevel="1" x14ac:dyDescent="0.45">
      <c r="B96" s="59">
        <v>0.93</v>
      </c>
      <c r="C96" s="59">
        <f t="shared" si="1"/>
        <v>6.9999999999999951E-2</v>
      </c>
      <c r="D96" s="60" cm="1">
        <f t="array" aca="1" ref="D96" ca="1">IF(ISNUMBER(_xll.VoseSimPercentile(Units,$B96)),_xll.VoseSimPercentile(Units,$B96),NA())</f>
        <v>15416</v>
      </c>
    </row>
    <row r="97" spans="2:7" hidden="1" outlineLevel="1" x14ac:dyDescent="0.45">
      <c r="B97" s="59">
        <v>0.95</v>
      </c>
      <c r="C97" s="59">
        <f t="shared" si="1"/>
        <v>5.0000000000000044E-2</v>
      </c>
      <c r="D97" s="60" cm="1">
        <f t="array" aca="1" ref="D97" ca="1">IF(ISNUMBER(_xll.VoseSimPercentile(Units,$B97)),_xll.VoseSimPercentile(Units,$B97),NA())</f>
        <v>15452</v>
      </c>
    </row>
    <row r="98" spans="2:7" hidden="1" outlineLevel="1" x14ac:dyDescent="0.45">
      <c r="B98" s="59">
        <v>0.97</v>
      </c>
      <c r="C98" s="59">
        <f t="shared" si="1"/>
        <v>3.0000000000000027E-2</v>
      </c>
      <c r="D98" s="60" cm="1">
        <f t="array" aca="1" ref="D98" ca="1">IF(ISNUMBER(_xll.VoseSimPercentile(Units,$B98)),_xll.VoseSimPercentile(Units,$B98),NA())</f>
        <v>15496</v>
      </c>
    </row>
    <row r="99" spans="2:7" hidden="1" outlineLevel="1" x14ac:dyDescent="0.45">
      <c r="B99" s="59">
        <v>0.99</v>
      </c>
      <c r="C99" s="59">
        <f t="shared" si="1"/>
        <v>1.0000000000000009E-2</v>
      </c>
      <c r="D99" s="60" cm="1">
        <f t="array" aca="1" ref="D99" ca="1">IF(ISNUMBER(_xll.VoseSimPercentile(Units,$B99)),_xll.VoseSimPercentile(Units,$B99),NA())</f>
        <v>15571</v>
      </c>
    </row>
    <row r="100" spans="2:7" hidden="1" outlineLevel="1" x14ac:dyDescent="0.45"/>
    <row r="101" spans="2:7" ht="28.05" hidden="1" customHeight="1" outlineLevel="1" x14ac:dyDescent="0.45">
      <c r="B101" s="23" t="s">
        <v>184</v>
      </c>
      <c r="C101" s="24" t="s">
        <v>185</v>
      </c>
      <c r="D101" s="24" t="s">
        <v>170</v>
      </c>
      <c r="E101" s="24" t="s">
        <v>186</v>
      </c>
      <c r="F101" s="24" t="s">
        <v>172</v>
      </c>
      <c r="G101" s="5"/>
    </row>
    <row r="102" spans="2:7" hidden="1" outlineLevel="1" x14ac:dyDescent="0.45">
      <c r="B102" s="61" t="s">
        <v>187</v>
      </c>
      <c r="C102" s="60" cm="1">
        <f t="array" aca="1" ref="C102" ca="1">IF(ISNUMBER(_xll.VoseSimPercentile(Sold_1,0.1)),_xll.VoseSimPercentile(Sold_1,0.1),NA())</f>
        <v>78</v>
      </c>
      <c r="D102" s="60" cm="1">
        <f t="array" aca="1" ref="D102" ca="1">IF(ISNUMBER(_xll.VoseSimPercentile(Sold_1,0.5)),_xll.VoseSimPercentile(Sold_1,0.5),NA())</f>
        <v>89</v>
      </c>
      <c r="E102" s="60" cm="1">
        <f t="array" aca="1" ref="E102" ca="1">IF(ISNUMBER(_xll.VoseSimPercentile(Sold_1,0.9)),_xll.VoseSimPercentile(Sold_1,0.9),NA())</f>
        <v>101</v>
      </c>
      <c r="F102" s="60" cm="1">
        <f t="array" aca="1" ref="F102" ca="1">IF(ISNUMBER(_xll.VoseSimMean(Sold_1)),_xll.VoseSimMean(Sold_1),NA())</f>
        <v>89.38296914845742</v>
      </c>
    </row>
    <row r="103" spans="2:7" hidden="1" outlineLevel="1" x14ac:dyDescent="0.45">
      <c r="B103" s="61" t="s">
        <v>188</v>
      </c>
      <c r="C103" s="60" cm="1">
        <f t="array" aca="1" ref="C103" ca="1">IF(ISNUMBER(_xll.VoseSimPercentile(Sold_2,0.1)),_xll.VoseSimPercentile(Sold_2,0.1),NA())</f>
        <v>78</v>
      </c>
      <c r="D103" s="60" cm="1">
        <f t="array" aca="1" ref="D103" ca="1">IF(ISNUMBER(_xll.VoseSimPercentile(Sold_2,0.5)),_xll.VoseSimPercentile(Sold_2,0.5),NA())</f>
        <v>91</v>
      </c>
      <c r="E103" s="60" cm="1">
        <f t="array" aca="1" ref="E103" ca="1">IF(ISNUMBER(_xll.VoseSimPercentile(Sold_2,0.9)),_xll.VoseSimPercentile(Sold_2,0.9),NA())</f>
        <v>103</v>
      </c>
      <c r="F103" s="60" cm="1">
        <f t="array" aca="1" ref="F103" ca="1">IF(ISNUMBER(_xll.VoseSimMean(Sold_2)),_xll.VoseSimMean(Sold_2),NA())</f>
        <v>90.647132356617831</v>
      </c>
    </row>
    <row r="104" spans="2:7" hidden="1" outlineLevel="1" x14ac:dyDescent="0.45">
      <c r="B104" s="61" t="s">
        <v>189</v>
      </c>
      <c r="C104" s="60" cm="1">
        <f t="array" aca="1" ref="C104" ca="1">IF(ISNUMBER(_xll.VoseSimPercentile(Sold_3,0.1)),_xll.VoseSimPercentile(Sold_3,0.1),NA())</f>
        <v>80</v>
      </c>
      <c r="D104" s="60" cm="1">
        <f t="array" aca="1" ref="D104" ca="1">IF(ISNUMBER(_xll.VoseSimPercentile(Sold_3,0.5)),_xll.VoseSimPercentile(Sold_3,0.5),NA())</f>
        <v>92</v>
      </c>
      <c r="E104" s="60" cm="1">
        <f t="array" aca="1" ref="E104" ca="1">IF(ISNUMBER(_xll.VoseSimPercentile(Sold_3,0.9)),_xll.VoseSimPercentile(Sold_3,0.9),NA())</f>
        <v>104</v>
      </c>
      <c r="F104" s="60" cm="1">
        <f t="array" aca="1" ref="F104" ca="1">IF(ISNUMBER(_xll.VoseSimMean(Sold_3)),_xll.VoseSimMean(Sold_3),NA())</f>
        <v>91.991199559978</v>
      </c>
    </row>
    <row r="105" spans="2:7" hidden="1" outlineLevel="1" x14ac:dyDescent="0.45">
      <c r="B105" s="61" t="s">
        <v>190</v>
      </c>
      <c r="C105" s="60" cm="1">
        <f t="array" aca="1" ref="C105" ca="1">IF(ISNUMBER(_xll.VoseSimPercentile(Sold_4,0.1)),_xll.VoseSimPercentile(Sold_4,0.1),NA())</f>
        <v>81</v>
      </c>
      <c r="D105" s="60" cm="1">
        <f t="array" aca="1" ref="D105" ca="1">IF(ISNUMBER(_xll.VoseSimPercentile(Sold_4,0.5)),_xll.VoseSimPercentile(Sold_4,0.5),NA())</f>
        <v>93</v>
      </c>
      <c r="E105" s="60" cm="1">
        <f t="array" aca="1" ref="E105" ca="1">IF(ISNUMBER(_xll.VoseSimPercentile(Sold_4,0.9)),_xll.VoseSimPercentile(Sold_4,0.9),NA())</f>
        <v>106</v>
      </c>
      <c r="F105" s="60" cm="1">
        <f t="array" aca="1" ref="F105" ca="1">IF(ISNUMBER(_xll.VoseSimMean(Sold_4)),_xll.VoseSimMean(Sold_4),NA())</f>
        <v>93.34881744087204</v>
      </c>
    </row>
    <row r="106" spans="2:7" hidden="1" outlineLevel="1" x14ac:dyDescent="0.45">
      <c r="B106" s="61" t="s">
        <v>191</v>
      </c>
      <c r="C106" s="60" cm="1">
        <f t="array" aca="1" ref="C106" ca="1">IF(ISNUMBER(_xll.VoseSimPercentile(Sold_5,0.1)),_xll.VoseSimPercentile(Sold_5,0.1),NA())</f>
        <v>82</v>
      </c>
      <c r="D106" s="60" cm="1">
        <f t="array" aca="1" ref="D106" ca="1">IF(ISNUMBER(_xll.VoseSimPercentile(Sold_5,0.5)),_xll.VoseSimPercentile(Sold_5,0.5),NA())</f>
        <v>94</v>
      </c>
      <c r="E106" s="60" cm="1">
        <f t="array" aca="1" ref="E106" ca="1">IF(ISNUMBER(_xll.VoseSimPercentile(Sold_5,0.9)),_xll.VoseSimPercentile(Sold_5,0.9),NA())</f>
        <v>107</v>
      </c>
      <c r="F106" s="60" cm="1">
        <f t="array" aca="1" ref="F106" ca="1">IF(ISNUMBER(_xll.VoseSimMean(Sold_5)),_xll.VoseSimMean(Sold_5),NA())</f>
        <v>94.567678383919201</v>
      </c>
    </row>
    <row r="107" spans="2:7" hidden="1" outlineLevel="1" x14ac:dyDescent="0.45">
      <c r="B107" s="61" t="s">
        <v>192</v>
      </c>
      <c r="C107" s="60" cm="1">
        <f t="array" aca="1" ref="C107" ca="1">IF(ISNUMBER(_xll.VoseSimPercentile(Sold_6,0.1)),_xll.VoseSimPercentile(Sold_6,0.1),NA())</f>
        <v>83</v>
      </c>
      <c r="D107" s="60" cm="1">
        <f t="array" aca="1" ref="D107" ca="1">IF(ISNUMBER(_xll.VoseSimPercentile(Sold_6,0.5)),_xll.VoseSimPercentile(Sold_6,0.5),NA())</f>
        <v>96</v>
      </c>
      <c r="E107" s="60" cm="1">
        <f t="array" aca="1" ref="E107" ca="1">IF(ISNUMBER(_xll.VoseSimPercentile(Sold_6,0.9)),_xll.VoseSimPercentile(Sold_6,0.9),NA())</f>
        <v>108</v>
      </c>
      <c r="F107" s="60" cm="1">
        <f t="array" aca="1" ref="F107" ca="1">IF(ISNUMBER(_xll.VoseSimMean(Sold_6)),_xll.VoseSimMean(Sold_6),NA())</f>
        <v>95.691034551727583</v>
      </c>
    </row>
    <row r="108" spans="2:7" hidden="1" outlineLevel="1" x14ac:dyDescent="0.45">
      <c r="B108" s="61" t="s">
        <v>193</v>
      </c>
      <c r="C108" s="60" cm="1">
        <f t="array" aca="1" ref="C108" ca="1">IF(ISNUMBER(_xll.VoseSimPercentile(Sold_7,0.1)),_xll.VoseSimPercentile(Sold_7,0.1),NA())</f>
        <v>85</v>
      </c>
      <c r="D108" s="60" cm="1">
        <f t="array" aca="1" ref="D108" ca="1">IF(ISNUMBER(_xll.VoseSimPercentile(Sold_7,0.5)),_xll.VoseSimPercentile(Sold_7,0.5),NA())</f>
        <v>97</v>
      </c>
      <c r="E108" s="60" cm="1">
        <f t="array" aca="1" ref="E108" ca="1">IF(ISNUMBER(_xll.VoseSimPercentile(Sold_7,0.9)),_xll.VoseSimPercentile(Sold_7,0.9),NA())</f>
        <v>110</v>
      </c>
      <c r="F108" s="60" cm="1">
        <f t="array" aca="1" ref="F108" ca="1">IF(ISNUMBER(_xll.VoseSimMean(Sold_7)),_xll.VoseSimMean(Sold_7),NA())</f>
        <v>97.051002550127507</v>
      </c>
    </row>
    <row r="109" spans="2:7" hidden="1" outlineLevel="1" x14ac:dyDescent="0.45">
      <c r="B109" s="61" t="s">
        <v>194</v>
      </c>
      <c r="C109" s="60" cm="1">
        <f t="array" aca="1" ref="C109" ca="1">IF(ISNUMBER(_xll.VoseSimPercentile(Sold_8,0.1)),_xll.VoseSimPercentile(Sold_8,0.1),NA())</f>
        <v>86</v>
      </c>
      <c r="D109" s="60" cm="1">
        <f t="array" aca="1" ref="D109" ca="1">IF(ISNUMBER(_xll.VoseSimPercentile(Sold_8,0.5)),_xll.VoseSimPercentile(Sold_8,0.5),NA())</f>
        <v>98</v>
      </c>
      <c r="E109" s="60" cm="1">
        <f t="array" aca="1" ref="E109" ca="1">IF(ISNUMBER(_xll.VoseSimPercentile(Sold_8,0.9)),_xll.VoseSimPercentile(Sold_8,0.9),NA())</f>
        <v>111</v>
      </c>
      <c r="F109" s="60" cm="1">
        <f t="array" aca="1" ref="F109" ca="1">IF(ISNUMBER(_xll.VoseSimMean(Sold_8)),_xll.VoseSimMean(Sold_8),NA())</f>
        <v>98.201610080504025</v>
      </c>
    </row>
    <row r="110" spans="2:7" hidden="1" outlineLevel="1" x14ac:dyDescent="0.45">
      <c r="B110" s="61" t="s">
        <v>195</v>
      </c>
      <c r="C110" s="60" cm="1">
        <f t="array" aca="1" ref="C110" ca="1">IF(ISNUMBER(_xll.VoseSimPercentile(Sold_9,0.1)),_xll.VoseSimPercentile(Sold_9,0.1),NA())</f>
        <v>87</v>
      </c>
      <c r="D110" s="60" cm="1">
        <f t="array" aca="1" ref="D110" ca="1">IF(ISNUMBER(_xll.VoseSimPercentile(Sold_9,0.5)),_xll.VoseSimPercentile(Sold_9,0.5),NA())</f>
        <v>99</v>
      </c>
      <c r="E110" s="60" cm="1">
        <f t="array" aca="1" ref="E110" ca="1">IF(ISNUMBER(_xll.VoseSimPercentile(Sold_9,0.9)),_xll.VoseSimPercentile(Sold_9,0.9),NA())</f>
        <v>113</v>
      </c>
      <c r="F110" s="60" cm="1">
        <f t="array" aca="1" ref="F110" ca="1">IF(ISNUMBER(_xll.VoseSimMean(Sold_9)),_xll.VoseSimMean(Sold_9),NA())</f>
        <v>99.732336616830835</v>
      </c>
    </row>
    <row r="111" spans="2:7" hidden="1" outlineLevel="1" x14ac:dyDescent="0.45">
      <c r="B111" s="61" t="s">
        <v>196</v>
      </c>
      <c r="C111" s="60" cm="1">
        <f t="array" aca="1" ref="C111" ca="1">IF(ISNUMBER(_xll.VoseSimPercentile(Sold_10,0.1)),_xll.VoseSimPercentile(Sold_10,0.1),NA())</f>
        <v>88</v>
      </c>
      <c r="D111" s="60" cm="1">
        <f t="array" aca="1" ref="D111" ca="1">IF(ISNUMBER(_xll.VoseSimPercentile(Sold_10,0.5)),_xll.VoseSimPercentile(Sold_10,0.5),NA())</f>
        <v>101</v>
      </c>
      <c r="E111" s="60" cm="1">
        <f t="array" aca="1" ref="E111" ca="1">IF(ISNUMBER(_xll.VoseSimPercentile(Sold_10,0.9)),_xll.VoseSimPercentile(Sold_10,0.9),NA())</f>
        <v>114</v>
      </c>
      <c r="F111" s="60" cm="1">
        <f t="array" aca="1" ref="F111" ca="1">IF(ISNUMBER(_xll.VoseSimMean(Sold_10)),_xll.VoseSimMean(Sold_10),NA())</f>
        <v>100.94919745987299</v>
      </c>
    </row>
    <row r="112" spans="2:7" hidden="1" outlineLevel="1" x14ac:dyDescent="0.45">
      <c r="B112" s="61" t="s">
        <v>197</v>
      </c>
      <c r="C112" s="60" cm="1">
        <f t="array" aca="1" ref="C112" ca="1">IF(ISNUMBER(_xll.VoseSimPercentile(Sold_11,0.1)),_xll.VoseSimPercentile(Sold_11,0.1),NA())</f>
        <v>90</v>
      </c>
      <c r="D112" s="60" cm="1">
        <f t="array" aca="1" ref="D112" ca="1">IF(ISNUMBER(_xll.VoseSimPercentile(Sold_11,0.5)),_xll.VoseSimPercentile(Sold_11,0.5),NA())</f>
        <v>102</v>
      </c>
      <c r="E112" s="60" cm="1">
        <f t="array" aca="1" ref="E112" ca="1">IF(ISNUMBER(_xll.VoseSimPercentile(Sold_11,0.9)),_xll.VoseSimPercentile(Sold_11,0.9),NA())</f>
        <v>115</v>
      </c>
      <c r="F112" s="60" cm="1">
        <f t="array" aca="1" ref="F112" ca="1">IF(ISNUMBER(_xll.VoseSimMean(Sold_11)),_xll.VoseSimMean(Sold_11),NA())</f>
        <v>102.40012000600029</v>
      </c>
    </row>
    <row r="113" spans="2:6" hidden="1" outlineLevel="1" x14ac:dyDescent="0.45">
      <c r="B113" s="61" t="s">
        <v>198</v>
      </c>
      <c r="C113" s="60" cm="1">
        <f t="array" aca="1" ref="C113" ca="1">IF(ISNUMBER(_xll.VoseSimPercentile(Sold_12,0.1)),_xll.VoseSimPercentile(Sold_12,0.1),NA())</f>
        <v>91</v>
      </c>
      <c r="D113" s="60" cm="1">
        <f t="array" aca="1" ref="D113" ca="1">IF(ISNUMBER(_xll.VoseSimPercentile(Sold_12,0.5)),_xll.VoseSimPercentile(Sold_12,0.5),NA())</f>
        <v>104</v>
      </c>
      <c r="E113" s="60" cm="1">
        <f t="array" aca="1" ref="E113" ca="1">IF(ISNUMBER(_xll.VoseSimPercentile(Sold_12,0.9)),_xll.VoseSimPercentile(Sold_12,0.9),NA())</f>
        <v>117</v>
      </c>
      <c r="F113" s="60" cm="1">
        <f t="array" aca="1" ref="F113" ca="1">IF(ISNUMBER(_xll.VoseSimMean(Sold_12)),_xll.VoseSimMean(Sold_12),NA())</f>
        <v>103.77788889444473</v>
      </c>
    </row>
    <row r="114" spans="2:6" hidden="1" outlineLevel="1" x14ac:dyDescent="0.45">
      <c r="B114" s="61" t="s">
        <v>199</v>
      </c>
      <c r="C114" s="60" cm="1">
        <f t="array" aca="1" ref="C114" ca="1">IF(ISNUMBER(_xll.VoseSimPercentile(Sold_13,0.1)),_xll.VoseSimPercentile(Sold_13,0.1),NA())</f>
        <v>92</v>
      </c>
      <c r="D114" s="60" cm="1">
        <f t="array" aca="1" ref="D114" ca="1">IF(ISNUMBER(_xll.VoseSimPercentile(Sold_13,0.5)),_xll.VoseSimPercentile(Sold_13,0.5),NA())</f>
        <v>105</v>
      </c>
      <c r="E114" s="60" cm="1">
        <f t="array" aca="1" ref="E114" ca="1">IF(ISNUMBER(_xll.VoseSimPercentile(Sold_13,0.9)),_xll.VoseSimPercentile(Sold_13,0.9),NA())</f>
        <v>118</v>
      </c>
      <c r="F114" s="60" cm="1">
        <f t="array" aca="1" ref="F114" ca="1">IF(ISNUMBER(_xll.VoseSimMean(Sold_13)),_xll.VoseSimMean(Sold_13),NA())</f>
        <v>104.84469223461173</v>
      </c>
    </row>
    <row r="115" spans="2:6" hidden="1" outlineLevel="1" x14ac:dyDescent="0.45">
      <c r="B115" s="61" t="s">
        <v>200</v>
      </c>
      <c r="C115" s="60" cm="1">
        <f t="array" aca="1" ref="C115" ca="1">IF(ISNUMBER(_xll.VoseSimPercentile(Sold_14,0.1)),_xll.VoseSimPercentile(Sold_14,0.1),NA())</f>
        <v>93</v>
      </c>
      <c r="D115" s="60" cm="1">
        <f t="array" aca="1" ref="D115" ca="1">IF(ISNUMBER(_xll.VoseSimPercentile(Sold_14,0.5)),_xll.VoseSimPercentile(Sold_14,0.5),NA())</f>
        <v>106</v>
      </c>
      <c r="E115" s="60" cm="1">
        <f t="array" aca="1" ref="E115" ca="1">IF(ISNUMBER(_xll.VoseSimPercentile(Sold_14,0.9)),_xll.VoseSimPercentile(Sold_14,0.9),NA())</f>
        <v>120</v>
      </c>
      <c r="F115" s="60" cm="1">
        <f t="array" aca="1" ref="F115" ca="1">IF(ISNUMBER(_xll.VoseSimMean(Sold_14)),_xll.VoseSimMean(Sold_14),NA())</f>
        <v>106.30771538576928</v>
      </c>
    </row>
    <row r="116" spans="2:6" hidden="1" outlineLevel="1" x14ac:dyDescent="0.45">
      <c r="B116" s="61" t="s">
        <v>201</v>
      </c>
      <c r="C116" s="60" cm="1">
        <f t="array" aca="1" ref="C116" ca="1">IF(ISNUMBER(_xll.VoseSimPercentile(Sold_15,0.1)),_xll.VoseSimPercentile(Sold_15,0.1),NA())</f>
        <v>94</v>
      </c>
      <c r="D116" s="60" cm="1">
        <f t="array" aca="1" ref="D116" ca="1">IF(ISNUMBER(_xll.VoseSimPercentile(Sold_15,0.5)),_xll.VoseSimPercentile(Sold_15,0.5),NA())</f>
        <v>107</v>
      </c>
      <c r="E116" s="60" cm="1">
        <f t="array" aca="1" ref="E116" ca="1">IF(ISNUMBER(_xll.VoseSimPercentile(Sold_15,0.9)),_xll.VoseSimPercentile(Sold_15,0.9),NA())</f>
        <v>121</v>
      </c>
      <c r="F116" s="60" cm="1">
        <f t="array" aca="1" ref="F116" ca="1">IF(ISNUMBER(_xll.VoseSimMean(Sold_15)),_xll.VoseSimMean(Sold_15),NA())</f>
        <v>107.48687434371719</v>
      </c>
    </row>
    <row r="117" spans="2:6" hidden="1" outlineLevel="1" x14ac:dyDescent="0.45">
      <c r="B117" s="61" t="s">
        <v>202</v>
      </c>
      <c r="C117" s="60" cm="1">
        <f t="array" aca="1" ref="C117" ca="1">IF(ISNUMBER(_xll.VoseSimPercentile(Sold_16,0.1)),_xll.VoseSimPercentile(Sold_16,0.1),NA())</f>
        <v>96</v>
      </c>
      <c r="D117" s="60" cm="1">
        <f t="array" aca="1" ref="D117" ca="1">IF(ISNUMBER(_xll.VoseSimPercentile(Sold_16,0.5)),_xll.VoseSimPercentile(Sold_16,0.5),NA())</f>
        <v>109</v>
      </c>
      <c r="E117" s="60" cm="1">
        <f t="array" aca="1" ref="E117" ca="1">IF(ISNUMBER(_xll.VoseSimPercentile(Sold_16,0.9)),_xll.VoseSimPercentile(Sold_16,0.9),NA())</f>
        <v>122</v>
      </c>
      <c r="F117" s="60" cm="1">
        <f t="array" aca="1" ref="F117" ca="1">IF(ISNUMBER(_xll.VoseSimMean(Sold_16)),_xll.VoseSimMean(Sold_16),NA())</f>
        <v>108.6220811040552</v>
      </c>
    </row>
    <row r="118" spans="2:6" hidden="1" outlineLevel="1" x14ac:dyDescent="0.45">
      <c r="B118" s="61" t="s">
        <v>203</v>
      </c>
      <c r="C118" s="60" cm="1">
        <f t="array" aca="1" ref="C118" ca="1">IF(ISNUMBER(_xll.VoseSimPercentile(Sold_17,0.1)),_xll.VoseSimPercentile(Sold_17,0.1),NA())</f>
        <v>97</v>
      </c>
      <c r="D118" s="60" cm="1">
        <f t="array" aca="1" ref="D118" ca="1">IF(ISNUMBER(_xll.VoseSimPercentile(Sold_17,0.5)),_xll.VoseSimPercentile(Sold_17,0.5),NA())</f>
        <v>110</v>
      </c>
      <c r="E118" s="60" cm="1">
        <f t="array" aca="1" ref="E118" ca="1">IF(ISNUMBER(_xll.VoseSimPercentile(Sold_17,0.9)),_xll.VoseSimPercentile(Sold_17,0.9),NA())</f>
        <v>123</v>
      </c>
      <c r="F118" s="60" cm="1">
        <f t="array" aca="1" ref="F118" ca="1">IF(ISNUMBER(_xll.VoseSimMean(Sold_17)),_xll.VoseSimMean(Sold_17),NA())</f>
        <v>110.01595079753987</v>
      </c>
    </row>
    <row r="119" spans="2:6" hidden="1" outlineLevel="1" x14ac:dyDescent="0.45">
      <c r="B119" s="61" t="s">
        <v>204</v>
      </c>
      <c r="C119" s="60" cm="1">
        <f t="array" aca="1" ref="C119" ca="1">IF(ISNUMBER(_xll.VoseSimPercentile(Sold_18,0.1)),_xll.VoseSimPercentile(Sold_18,0.1),NA())</f>
        <v>98</v>
      </c>
      <c r="D119" s="60" cm="1">
        <f t="array" aca="1" ref="D119" ca="1">IF(ISNUMBER(_xll.VoseSimPercentile(Sold_18,0.5)),_xll.VoseSimPercentile(Sold_18,0.5),NA())</f>
        <v>111</v>
      </c>
      <c r="E119" s="60" cm="1">
        <f t="array" aca="1" ref="E119" ca="1">IF(ISNUMBER(_xll.VoseSimPercentile(Sold_18,0.9)),_xll.VoseSimPercentile(Sold_18,0.9),NA())</f>
        <v>125</v>
      </c>
      <c r="F119" s="60" cm="1">
        <f t="array" aca="1" ref="F119" ca="1">IF(ISNUMBER(_xll.VoseSimMean(Sold_18)),_xll.VoseSimMean(Sold_18),NA())</f>
        <v>111.56537826891345</v>
      </c>
    </row>
    <row r="120" spans="2:6" hidden="1" outlineLevel="1" x14ac:dyDescent="0.45">
      <c r="B120" s="61" t="s">
        <v>205</v>
      </c>
      <c r="C120" s="60" cm="1">
        <f t="array" aca="1" ref="C120" ca="1">IF(ISNUMBER(_xll.VoseSimPercentile(Sold_19,0.1)),_xll.VoseSimPercentile(Sold_19,0.1),NA())</f>
        <v>99</v>
      </c>
      <c r="D120" s="60" cm="1">
        <f t="array" aca="1" ref="D120" ca="1">IF(ISNUMBER(_xll.VoseSimPercentile(Sold_19,0.5)),_xll.VoseSimPercentile(Sold_19,0.5),NA())</f>
        <v>113</v>
      </c>
      <c r="E120" s="60" cm="1">
        <f t="array" aca="1" ref="E120" ca="1">IF(ISNUMBER(_xll.VoseSimPercentile(Sold_19,0.9)),_xll.VoseSimPercentile(Sold_19,0.9),NA())</f>
        <v>126</v>
      </c>
      <c r="F120" s="60" cm="1">
        <f t="array" aca="1" ref="F120" ca="1">IF(ISNUMBER(_xll.VoseSimMean(Sold_19)),_xll.VoseSimMean(Sold_19),NA())</f>
        <v>112.70828541427072</v>
      </c>
    </row>
    <row r="121" spans="2:6" hidden="1" outlineLevel="1" x14ac:dyDescent="0.45">
      <c r="B121" s="61" t="s">
        <v>206</v>
      </c>
      <c r="C121" s="60" cm="1">
        <f t="array" aca="1" ref="C121" ca="1">IF(ISNUMBER(_xll.VoseSimPercentile(Sold_20,0.1)),_xll.VoseSimPercentile(Sold_20,0.1),NA())</f>
        <v>99</v>
      </c>
      <c r="D121" s="60" cm="1">
        <f t="array" aca="1" ref="D121" ca="1">IF(ISNUMBER(_xll.VoseSimPercentile(Sold_20,0.5)),_xll.VoseSimPercentile(Sold_20,0.5),NA())</f>
        <v>113</v>
      </c>
      <c r="E121" s="60" cm="1">
        <f t="array" aca="1" ref="E121" ca="1">IF(ISNUMBER(_xll.VoseSimPercentile(Sold_20,0.9)),_xll.VoseSimPercentile(Sold_20,0.9),NA())</f>
        <v>128</v>
      </c>
      <c r="F121" s="60" cm="1">
        <f t="array" aca="1" ref="F121" ca="1">IF(ISNUMBER(_xll.VoseSimMean(Sold_20)),_xll.VoseSimMean(Sold_20),NA())</f>
        <v>113.04460223011151</v>
      </c>
    </row>
    <row r="122" spans="2:6" hidden="1" outlineLevel="1" x14ac:dyDescent="0.45">
      <c r="B122" s="61" t="s">
        <v>207</v>
      </c>
      <c r="C122" s="60" cm="1">
        <f t="array" aca="1" ref="C122" ca="1">IF(ISNUMBER(_xll.VoseSimPercentile(Sold_21,0.1)),_xll.VoseSimPercentile(Sold_21,0.1),NA())</f>
        <v>98</v>
      </c>
      <c r="D122" s="60" cm="1">
        <f t="array" aca="1" ref="D122" ca="1">IF(ISNUMBER(_xll.VoseSimPercentile(Sold_21,0.5)),_xll.VoseSimPercentile(Sold_21,0.5),NA())</f>
        <v>114</v>
      </c>
      <c r="E122" s="60" cm="1">
        <f t="array" aca="1" ref="E122" ca="1">IF(ISNUMBER(_xll.VoseSimPercentile(Sold_21,0.9)),_xll.VoseSimPercentile(Sold_21,0.9),NA())</f>
        <v>129</v>
      </c>
      <c r="F122" s="60" cm="1">
        <f t="array" aca="1" ref="F122" ca="1">IF(ISNUMBER(_xll.VoseSimMean(Sold_21)),_xll.VoseSimMean(Sold_21),NA())</f>
        <v>113.20926046302316</v>
      </c>
    </row>
    <row r="123" spans="2:6" hidden="1" outlineLevel="1" x14ac:dyDescent="0.45">
      <c r="B123" s="61" t="s">
        <v>208</v>
      </c>
      <c r="C123" s="60" cm="1">
        <f t="array" aca="1" ref="C123" ca="1">IF(ISNUMBER(_xll.VoseSimPercentile(Sold_22,0.1)),_xll.VoseSimPercentile(Sold_22,0.1),NA())</f>
        <v>96</v>
      </c>
      <c r="D123" s="60" cm="1">
        <f t="array" aca="1" ref="D123" ca="1">IF(ISNUMBER(_xll.VoseSimPercentile(Sold_22,0.5)),_xll.VoseSimPercentile(Sold_22,0.5),NA())</f>
        <v>115</v>
      </c>
      <c r="E123" s="60" cm="1">
        <f t="array" aca="1" ref="E123" ca="1">IF(ISNUMBER(_xll.VoseSimPercentile(Sold_22,0.9)),_xll.VoseSimPercentile(Sold_22,0.9),NA())</f>
        <v>130</v>
      </c>
      <c r="F123" s="60" cm="1">
        <f t="array" aca="1" ref="F123" ca="1">IF(ISNUMBER(_xll.VoseSimMean(Sold_22)),_xll.VoseSimMean(Sold_22),NA())</f>
        <v>113.5914795739787</v>
      </c>
    </row>
    <row r="124" spans="2:6" hidden="1" outlineLevel="1" x14ac:dyDescent="0.45">
      <c r="B124" s="61" t="s">
        <v>209</v>
      </c>
      <c r="C124" s="60" cm="1">
        <f t="array" aca="1" ref="C124" ca="1">IF(ISNUMBER(_xll.VoseSimPercentile(Sold_23,0.1)),_xll.VoseSimPercentile(Sold_23,0.1),NA())</f>
        <v>93</v>
      </c>
      <c r="D124" s="60" cm="1">
        <f t="array" aca="1" ref="D124" ca="1">IF(ISNUMBER(_xll.VoseSimPercentile(Sold_23,0.5)),_xll.VoseSimPercentile(Sold_23,0.5),NA())</f>
        <v>116</v>
      </c>
      <c r="E124" s="60" cm="1">
        <f t="array" aca="1" ref="E124" ca="1">IF(ISNUMBER(_xll.VoseSimPercentile(Sold_23,0.9)),_xll.VoseSimPercentile(Sold_23,0.9),NA())</f>
        <v>131</v>
      </c>
      <c r="F124" s="60" cm="1">
        <f t="array" aca="1" ref="F124" ca="1">IF(ISNUMBER(_xll.VoseSimMean(Sold_23)),_xll.VoseSimMean(Sold_23),NA())</f>
        <v>114.19610980549028</v>
      </c>
    </row>
    <row r="125" spans="2:6" hidden="1" outlineLevel="1" x14ac:dyDescent="0.45">
      <c r="B125" s="61" t="s">
        <v>210</v>
      </c>
      <c r="C125" s="60" cm="1">
        <f t="array" aca="1" ref="C125" ca="1">IF(ISNUMBER(_xll.VoseSimPercentile(Sold_24,0.1)),_xll.VoseSimPercentile(Sold_24,0.1),NA())</f>
        <v>89</v>
      </c>
      <c r="D125" s="60" cm="1">
        <f t="array" aca="1" ref="D125" ca="1">IF(ISNUMBER(_xll.VoseSimPercentile(Sold_24,0.5)),_xll.VoseSimPercentile(Sold_24,0.5),NA())</f>
        <v>117</v>
      </c>
      <c r="E125" s="60" cm="1">
        <f t="array" aca="1" ref="E125" ca="1">IF(ISNUMBER(_xll.VoseSimPercentile(Sold_24,0.9)),_xll.VoseSimPercentile(Sold_24,0.9),NA())</f>
        <v>133</v>
      </c>
      <c r="F125" s="60" cm="1">
        <f t="array" aca="1" ref="F125" ca="1">IF(ISNUMBER(_xll.VoseSimMean(Sold_24)),_xll.VoseSimMean(Sold_24),NA())</f>
        <v>114.53502675133757</v>
      </c>
    </row>
    <row r="126" spans="2:6" hidden="1" outlineLevel="1" x14ac:dyDescent="0.45">
      <c r="B126" s="61" t="s">
        <v>211</v>
      </c>
      <c r="C126" s="60" cm="1">
        <f t="array" aca="1" ref="C126" ca="1">IF(ISNUMBER(_xll.VoseSimPercentile(Sold_25,0.1)),_xll.VoseSimPercentile(Sold_25,0.1),NA())</f>
        <v>87</v>
      </c>
      <c r="D126" s="60" cm="1">
        <f t="array" aca="1" ref="D126" ca="1">IF(ISNUMBER(_xll.VoseSimPercentile(Sold_25,0.5)),_xll.VoseSimPercentile(Sold_25,0.5),NA())</f>
        <v>118</v>
      </c>
      <c r="E126" s="60" cm="1">
        <f t="array" aca="1" ref="E126" ca="1">IF(ISNUMBER(_xll.VoseSimPercentile(Sold_25,0.9)),_xll.VoseSimPercentile(Sold_25,0.9),NA())</f>
        <v>133</v>
      </c>
      <c r="F126" s="60" cm="1">
        <f t="array" aca="1" ref="F126" ca="1">IF(ISNUMBER(_xll.VoseSimMean(Sold_25)),_xll.VoseSimMean(Sold_25),NA())</f>
        <v>114.66123306165308</v>
      </c>
    </row>
    <row r="127" spans="2:6" hidden="1" outlineLevel="1" x14ac:dyDescent="0.45">
      <c r="B127" s="61" t="s">
        <v>212</v>
      </c>
      <c r="C127" s="60" cm="1">
        <f t="array" aca="1" ref="C127" ca="1">IF(ISNUMBER(_xll.VoseSimPercentile(Sold_26,0.1)),_xll.VoseSimPercentile(Sold_26,0.1),NA())</f>
        <v>86</v>
      </c>
      <c r="D127" s="60" cm="1">
        <f t="array" aca="1" ref="D127" ca="1">IF(ISNUMBER(_xll.VoseSimPercentile(Sold_26,0.5)),_xll.VoseSimPercentile(Sold_26,0.5),NA())</f>
        <v>118</v>
      </c>
      <c r="E127" s="60" cm="1">
        <f t="array" aca="1" ref="E127" ca="1">IF(ISNUMBER(_xll.VoseSimPercentile(Sold_26,0.9)),_xll.VoseSimPercentile(Sold_26,0.9),NA())</f>
        <v>135</v>
      </c>
      <c r="F127" s="60" cm="1">
        <f t="array" aca="1" ref="F127" ca="1">IF(ISNUMBER(_xll.VoseSimMean(Sold_26)),_xll.VoseSimMean(Sold_26),NA())</f>
        <v>114.88374418720936</v>
      </c>
    </row>
    <row r="128" spans="2:6" hidden="1" outlineLevel="1" x14ac:dyDescent="0.45">
      <c r="B128" s="61" t="s">
        <v>213</v>
      </c>
      <c r="C128" s="60" cm="1">
        <f t="array" aca="1" ref="C128" ca="1">IF(ISNUMBER(_xll.VoseSimPercentile(Sold_27,0.1)),_xll.VoseSimPercentile(Sold_27,0.1),NA())</f>
        <v>85</v>
      </c>
      <c r="D128" s="60" cm="1">
        <f t="array" aca="1" ref="D128" ca="1">IF(ISNUMBER(_xll.VoseSimPercentile(Sold_27,0.5)),_xll.VoseSimPercentile(Sold_27,0.5),NA())</f>
        <v>119</v>
      </c>
      <c r="E128" s="60" cm="1">
        <f t="array" aca="1" ref="E128" ca="1">IF(ISNUMBER(_xll.VoseSimPercentile(Sold_27,0.9)),_xll.VoseSimPercentile(Sold_27,0.9),NA())</f>
        <v>136</v>
      </c>
      <c r="F128" s="60" cm="1">
        <f t="array" aca="1" ref="F128" ca="1">IF(ISNUMBER(_xll.VoseSimMean(Sold_27)),_xll.VoseSimMean(Sold_27),NA())</f>
        <v>115.18100905045252</v>
      </c>
    </row>
    <row r="129" spans="2:6" hidden="1" outlineLevel="1" x14ac:dyDescent="0.45">
      <c r="B129" s="61" t="s">
        <v>214</v>
      </c>
      <c r="C129" s="60" cm="1">
        <f t="array" aca="1" ref="C129" ca="1">IF(ISNUMBER(_xll.VoseSimPercentile(Sold_28,0.1)),_xll.VoseSimPercentile(Sold_28,0.1),NA())</f>
        <v>85</v>
      </c>
      <c r="D129" s="60" cm="1">
        <f t="array" aca="1" ref="D129" ca="1">IF(ISNUMBER(_xll.VoseSimPercentile(Sold_28,0.5)),_xll.VoseSimPercentile(Sold_28,0.5),NA())</f>
        <v>120</v>
      </c>
      <c r="E129" s="60" cm="1">
        <f t="array" aca="1" ref="E129" ca="1">IF(ISNUMBER(_xll.VoseSimPercentile(Sold_28,0.9)),_xll.VoseSimPercentile(Sold_28,0.9),NA())</f>
        <v>137</v>
      </c>
      <c r="F129" s="60" cm="1">
        <f t="array" aca="1" ref="F129" ca="1">IF(ISNUMBER(_xll.VoseSimMean(Sold_28)),_xll.VoseSimMean(Sold_28),NA())</f>
        <v>115.52137606880343</v>
      </c>
    </row>
    <row r="130" spans="2:6" hidden="1" outlineLevel="1" x14ac:dyDescent="0.45">
      <c r="B130" s="61" t="s">
        <v>215</v>
      </c>
      <c r="C130" s="60" cm="1">
        <f t="array" aca="1" ref="C130" ca="1">IF(ISNUMBER(_xll.VoseSimPercentile(Sold_29,0.1)),_xll.VoseSimPercentile(Sold_29,0.1),NA())</f>
        <v>85</v>
      </c>
      <c r="D130" s="60" cm="1">
        <f t="array" aca="1" ref="D130" ca="1">IF(ISNUMBER(_xll.VoseSimPercentile(Sold_29,0.5)),_xll.VoseSimPercentile(Sold_29,0.5),NA())</f>
        <v>121</v>
      </c>
      <c r="E130" s="60" cm="1">
        <f t="array" aca="1" ref="E130" ca="1">IF(ISNUMBER(_xll.VoseSimPercentile(Sold_29,0.9)),_xll.VoseSimPercentile(Sold_29,0.9),NA())</f>
        <v>138</v>
      </c>
      <c r="F130" s="60" cm="1">
        <f t="array" aca="1" ref="F130" ca="1">IF(ISNUMBER(_xll.VoseSimMean(Sold_29)),_xll.VoseSimMean(Sold_29),NA())</f>
        <v>115.75173758687934</v>
      </c>
    </row>
    <row r="131" spans="2:6" hidden="1" outlineLevel="1" x14ac:dyDescent="0.45">
      <c r="B131" s="61" t="s">
        <v>216</v>
      </c>
      <c r="C131" s="60" cm="1">
        <f t="array" aca="1" ref="C131" ca="1">IF(ISNUMBER(_xll.VoseSimPercentile(Sold_30,0.1)),_xll.VoseSimPercentile(Sold_30,0.1),NA())</f>
        <v>85</v>
      </c>
      <c r="D131" s="60" cm="1">
        <f t="array" aca="1" ref="D131" ca="1">IF(ISNUMBER(_xll.VoseSimPercentile(Sold_30,0.5)),_xll.VoseSimPercentile(Sold_30,0.5),NA())</f>
        <v>121</v>
      </c>
      <c r="E131" s="60" cm="1">
        <f t="array" aca="1" ref="E131" ca="1">IF(ISNUMBER(_xll.VoseSimPercentile(Sold_30,0.9)),_xll.VoseSimPercentile(Sold_30,0.9),NA())</f>
        <v>139</v>
      </c>
      <c r="F131" s="60" cm="1">
        <f t="array" aca="1" ref="F131" ca="1">IF(ISNUMBER(_xll.VoseSimMean(Sold_30)),_xll.VoseSimMean(Sold_30),NA())</f>
        <v>115.92684634231712</v>
      </c>
    </row>
    <row r="132" spans="2:6" hidden="1" outlineLevel="1" x14ac:dyDescent="0.45">
      <c r="B132" s="61" t="s">
        <v>217</v>
      </c>
      <c r="C132" s="60" cm="1">
        <f t="array" aca="1" ref="C132" ca="1">IF(ISNUMBER(_xll.VoseSimPercentile(Sold_31,0.1)),_xll.VoseSimPercentile(Sold_31,0.1),NA())</f>
        <v>85</v>
      </c>
      <c r="D132" s="60" cm="1">
        <f t="array" aca="1" ref="D132" ca="1">IF(ISNUMBER(_xll.VoseSimPercentile(Sold_31,0.5)),_xll.VoseSimPercentile(Sold_31,0.5),NA())</f>
        <v>121</v>
      </c>
      <c r="E132" s="60" cm="1">
        <f t="array" aca="1" ref="E132" ca="1">IF(ISNUMBER(_xll.VoseSimPercentile(Sold_31,0.9)),_xll.VoseSimPercentile(Sold_31,0.9),NA())</f>
        <v>140</v>
      </c>
      <c r="F132" s="60" cm="1">
        <f t="array" aca="1" ref="F132" ca="1">IF(ISNUMBER(_xll.VoseSimMean(Sold_31)),_xll.VoseSimMean(Sold_31),NA())</f>
        <v>115.97824891244562</v>
      </c>
    </row>
    <row r="133" spans="2:6" hidden="1" outlineLevel="1" x14ac:dyDescent="0.45">
      <c r="B133" s="61" t="s">
        <v>218</v>
      </c>
      <c r="C133" s="60" cm="1">
        <f t="array" aca="1" ref="C133" ca="1">IF(ISNUMBER(_xll.VoseSimPercentile(Sold_32,0.1)),_xll.VoseSimPercentile(Sold_32,0.1),NA())</f>
        <v>85</v>
      </c>
      <c r="D133" s="60" cm="1">
        <f t="array" aca="1" ref="D133" ca="1">IF(ISNUMBER(_xll.VoseSimPercentile(Sold_32,0.5)),_xll.VoseSimPercentile(Sold_32,0.5),NA())</f>
        <v>121</v>
      </c>
      <c r="E133" s="60" cm="1">
        <f t="array" aca="1" ref="E133" ca="1">IF(ISNUMBER(_xll.VoseSimPercentile(Sold_32,0.9)),_xll.VoseSimPercentile(Sold_32,0.9),NA())</f>
        <v>141</v>
      </c>
      <c r="F133" s="60" cm="1">
        <f t="array" aca="1" ref="F133" ca="1">IF(ISNUMBER(_xll.VoseSimMean(Sold_32)),_xll.VoseSimMean(Sold_32),NA())</f>
        <v>116.09510475523776</v>
      </c>
    </row>
    <row r="134" spans="2:6" hidden="1" outlineLevel="1" x14ac:dyDescent="0.45">
      <c r="B134" s="61" t="s">
        <v>219</v>
      </c>
      <c r="C134" s="60" cm="1">
        <f t="array" aca="1" ref="C134" ca="1">IF(ISNUMBER(_xll.VoseSimPercentile(Sold_33,0.1)),_xll.VoseSimPercentile(Sold_33,0.1),NA())</f>
        <v>86</v>
      </c>
      <c r="D134" s="60" cm="1">
        <f t="array" aca="1" ref="D134" ca="1">IF(ISNUMBER(_xll.VoseSimPercentile(Sold_33,0.5)),_xll.VoseSimPercentile(Sold_33,0.5),NA())</f>
        <v>122</v>
      </c>
      <c r="E134" s="60" cm="1">
        <f t="array" aca="1" ref="E134" ca="1">IF(ISNUMBER(_xll.VoseSimPercentile(Sold_33,0.9)),_xll.VoseSimPercentile(Sold_33,0.9),NA())</f>
        <v>142</v>
      </c>
      <c r="F134" s="60" cm="1">
        <f t="array" aca="1" ref="F134" ca="1">IF(ISNUMBER(_xll.VoseSimMean(Sold_33)),_xll.VoseSimMean(Sold_33),NA())</f>
        <v>116.35891794589729</v>
      </c>
    </row>
    <row r="135" spans="2:6" hidden="1" outlineLevel="1" x14ac:dyDescent="0.45">
      <c r="B135" s="61" t="s">
        <v>220</v>
      </c>
      <c r="C135" s="60" cm="1">
        <f t="array" aca="1" ref="C135" ca="1">IF(ISNUMBER(_xll.VoseSimPercentile(Sold_34,0.1)),_xll.VoseSimPercentile(Sold_34,0.1),NA())</f>
        <v>86</v>
      </c>
      <c r="D135" s="60" cm="1">
        <f t="array" aca="1" ref="D135" ca="1">IF(ISNUMBER(_xll.VoseSimPercentile(Sold_34,0.5)),_xll.VoseSimPercentile(Sold_34,0.5),NA())</f>
        <v>121</v>
      </c>
      <c r="E135" s="60" cm="1">
        <f t="array" aca="1" ref="E135" ca="1">IF(ISNUMBER(_xll.VoseSimPercentile(Sold_34,0.9)),_xll.VoseSimPercentile(Sold_34,0.9),NA())</f>
        <v>144</v>
      </c>
      <c r="F135" s="60" cm="1">
        <f t="array" aca="1" ref="F135" ca="1">IF(ISNUMBER(_xll.VoseSimMean(Sold_34)),_xll.VoseSimMean(Sold_34),NA())</f>
        <v>116.48612430621532</v>
      </c>
    </row>
    <row r="136" spans="2:6" hidden="1" outlineLevel="1" x14ac:dyDescent="0.45">
      <c r="B136" s="61" t="s">
        <v>221</v>
      </c>
      <c r="C136" s="60" cm="1">
        <f t="array" aca="1" ref="C136" ca="1">IF(ISNUMBER(_xll.VoseSimPercentile(Sold_35,0.1)),_xll.VoseSimPercentile(Sold_35,0.1),NA())</f>
        <v>86</v>
      </c>
      <c r="D136" s="60" cm="1">
        <f t="array" aca="1" ref="D136" ca="1">IF(ISNUMBER(_xll.VoseSimPercentile(Sold_35,0.5)),_xll.VoseSimPercentile(Sold_35,0.5),NA())</f>
        <v>121</v>
      </c>
      <c r="E136" s="60" cm="1">
        <f t="array" aca="1" ref="E136" ca="1">IF(ISNUMBER(_xll.VoseSimPercentile(Sold_35,0.9)),_xll.VoseSimPercentile(Sold_35,0.9),NA())</f>
        <v>144</v>
      </c>
      <c r="F136" s="60" cm="1">
        <f t="array" aca="1" ref="F136" ca="1">IF(ISNUMBER(_xll.VoseSimMean(Sold_35)),_xll.VoseSimMean(Sold_35),NA())</f>
        <v>116.69248462423121</v>
      </c>
    </row>
    <row r="137" spans="2:6" hidden="1" outlineLevel="1" x14ac:dyDescent="0.45">
      <c r="B137" s="61" t="s">
        <v>222</v>
      </c>
      <c r="C137" s="60" cm="1">
        <f t="array" aca="1" ref="C137" ca="1">IF(ISNUMBER(_xll.VoseSimPercentile(Sold_36,0.1)),_xll.VoseSimPercentile(Sold_36,0.1),NA())</f>
        <v>87</v>
      </c>
      <c r="D137" s="60" cm="1">
        <f t="array" aca="1" ref="D137" ca="1">IF(ISNUMBER(_xll.VoseSimPercentile(Sold_36,0.5)),_xll.VoseSimPercentile(Sold_36,0.5),NA())</f>
        <v>120</v>
      </c>
      <c r="E137" s="60" cm="1">
        <f t="array" aca="1" ref="E137" ca="1">IF(ISNUMBER(_xll.VoseSimPercentile(Sold_36,0.9)),_xll.VoseSimPercentile(Sold_36,0.9),NA())</f>
        <v>145</v>
      </c>
      <c r="F137" s="60" cm="1">
        <f t="array" aca="1" ref="F137" ca="1">IF(ISNUMBER(_xll.VoseSimMean(Sold_36)),_xll.VoseSimMean(Sold_36),NA())</f>
        <v>116.79668983449173</v>
      </c>
    </row>
    <row r="138" spans="2:6" hidden="1" outlineLevel="1" x14ac:dyDescent="0.45">
      <c r="B138" s="61" t="s">
        <v>223</v>
      </c>
      <c r="C138" s="60" cm="1">
        <f t="array" aca="1" ref="C138" ca="1">IF(ISNUMBER(_xll.VoseSimPercentile(Sold_37,0.1)),_xll.VoseSimPercentile(Sold_37,0.1),NA())</f>
        <v>88</v>
      </c>
      <c r="D138" s="60" cm="1">
        <f t="array" aca="1" ref="D138" ca="1">IF(ISNUMBER(_xll.VoseSimPercentile(Sold_37,0.5)),_xll.VoseSimPercentile(Sold_37,0.5),NA())</f>
        <v>119</v>
      </c>
      <c r="E138" s="60" cm="1">
        <f t="array" aca="1" ref="E138" ca="1">IF(ISNUMBER(_xll.VoseSimPercentile(Sold_37,0.9)),_xll.VoseSimPercentile(Sold_37,0.9),NA())</f>
        <v>147</v>
      </c>
      <c r="F138" s="60" cm="1">
        <f t="array" aca="1" ref="F138" ca="1">IF(ISNUMBER(_xll.VoseSimMean(Sold_37)),_xll.VoseSimMean(Sold_37),NA())</f>
        <v>117.00655032751638</v>
      </c>
    </row>
    <row r="139" spans="2:6" hidden="1" outlineLevel="1" x14ac:dyDescent="0.45">
      <c r="B139" s="61" t="s">
        <v>224</v>
      </c>
      <c r="C139" s="60" cm="1">
        <f t="array" aca="1" ref="C139" ca="1">IF(ISNUMBER(_xll.VoseSimPercentile(Sold_38,0.1)),_xll.VoseSimPercentile(Sold_38,0.1),NA())</f>
        <v>88</v>
      </c>
      <c r="D139" s="60" cm="1">
        <f t="array" aca="1" ref="D139" ca="1">IF(ISNUMBER(_xll.VoseSimPercentile(Sold_38,0.5)),_xll.VoseSimPercentile(Sold_38,0.5),NA())</f>
        <v>116</v>
      </c>
      <c r="E139" s="60" cm="1">
        <f t="array" aca="1" ref="E139" ca="1">IF(ISNUMBER(_xll.VoseSimPercentile(Sold_38,0.9)),_xll.VoseSimPercentile(Sold_38,0.9),NA())</f>
        <v>147</v>
      </c>
      <c r="F139" s="60" cm="1">
        <f t="array" aca="1" ref="F139" ca="1">IF(ISNUMBER(_xll.VoseSimMean(Sold_38)),_xll.VoseSimMean(Sold_38),NA())</f>
        <v>117.12295614780739</v>
      </c>
    </row>
    <row r="140" spans="2:6" hidden="1" outlineLevel="1" x14ac:dyDescent="0.45">
      <c r="B140" s="61" t="s">
        <v>225</v>
      </c>
      <c r="C140" s="60" cm="1">
        <f t="array" aca="1" ref="C140" ca="1">IF(ISNUMBER(_xll.VoseSimPercentile(Sold_39,0.1)),_xll.VoseSimPercentile(Sold_39,0.1),NA())</f>
        <v>89</v>
      </c>
      <c r="D140" s="60" cm="1">
        <f t="array" aca="1" ref="D140" ca="1">IF(ISNUMBER(_xll.VoseSimPercentile(Sold_39,0.5)),_xll.VoseSimPercentile(Sold_39,0.5),NA())</f>
        <v>114</v>
      </c>
      <c r="E140" s="60" cm="1">
        <f t="array" aca="1" ref="E140" ca="1">IF(ISNUMBER(_xll.VoseSimPercentile(Sold_39,0.9)),_xll.VoseSimPercentile(Sold_39,0.9),NA())</f>
        <v>148</v>
      </c>
      <c r="F140" s="60" cm="1">
        <f t="array" aca="1" ref="F140" ca="1">IF(ISNUMBER(_xll.VoseSimMean(Sold_39)),_xll.VoseSimMean(Sold_39),NA())</f>
        <v>117.20526026301314</v>
      </c>
    </row>
    <row r="141" spans="2:6" hidden="1" outlineLevel="1" x14ac:dyDescent="0.45">
      <c r="B141" s="61" t="s">
        <v>226</v>
      </c>
      <c r="C141" s="60" cm="1">
        <f t="array" aca="1" ref="C141" ca="1">IF(ISNUMBER(_xll.VoseSimPercentile(Sold_40,0.1)),_xll.VoseSimPercentile(Sold_40,0.1),NA())</f>
        <v>89</v>
      </c>
      <c r="D141" s="60" cm="1">
        <f t="array" aca="1" ref="D141" ca="1">IF(ISNUMBER(_xll.VoseSimPercentile(Sold_40,0.5)),_xll.VoseSimPercentile(Sold_40,0.5),NA())</f>
        <v>111</v>
      </c>
      <c r="E141" s="60" cm="1">
        <f t="array" aca="1" ref="E141" ca="1">IF(ISNUMBER(_xll.VoseSimPercentile(Sold_40,0.9)),_xll.VoseSimPercentile(Sold_40,0.9),NA())</f>
        <v>149</v>
      </c>
      <c r="F141" s="60" cm="1">
        <f t="array" aca="1" ref="F141" ca="1">IF(ISNUMBER(_xll.VoseSimMean(Sold_40)),_xll.VoseSimMean(Sold_40),NA())</f>
        <v>117.0578028901445</v>
      </c>
    </row>
    <row r="142" spans="2:6" hidden="1" outlineLevel="1" x14ac:dyDescent="0.45">
      <c r="B142" s="61" t="s">
        <v>227</v>
      </c>
      <c r="C142" s="60" cm="1">
        <f t="array" aca="1" ref="C142" ca="1">IF(ISNUMBER(_xll.VoseSimPercentile(Sold_41,0.1)),_xll.VoseSimPercentile(Sold_41,0.1),NA())</f>
        <v>90</v>
      </c>
      <c r="D142" s="60" cm="1">
        <f t="array" aca="1" ref="D142" ca="1">IF(ISNUMBER(_xll.VoseSimPercentile(Sold_41,0.5)),_xll.VoseSimPercentile(Sold_41,0.5),NA())</f>
        <v>110</v>
      </c>
      <c r="E142" s="60" cm="1">
        <f t="array" aca="1" ref="E142" ca="1">IF(ISNUMBER(_xll.VoseSimPercentile(Sold_41,0.9)),_xll.VoseSimPercentile(Sold_41,0.9),NA())</f>
        <v>150</v>
      </c>
      <c r="F142" s="60" cm="1">
        <f t="array" aca="1" ref="F142" ca="1">IF(ISNUMBER(_xll.VoseSimMean(Sold_41)),_xll.VoseSimMean(Sold_41),NA())</f>
        <v>117.23291164558228</v>
      </c>
    </row>
    <row r="143" spans="2:6" hidden="1" outlineLevel="1" x14ac:dyDescent="0.45">
      <c r="B143" s="61" t="s">
        <v>228</v>
      </c>
      <c r="C143" s="60" cm="1">
        <f t="array" aca="1" ref="C143" ca="1">IF(ISNUMBER(_xll.VoseSimPercentile(Sold_42,0.1)),_xll.VoseSimPercentile(Sold_42,0.1),NA())</f>
        <v>90</v>
      </c>
      <c r="D143" s="60" cm="1">
        <f t="array" aca="1" ref="D143" ca="1">IF(ISNUMBER(_xll.VoseSimPercentile(Sold_42,0.5)),_xll.VoseSimPercentile(Sold_42,0.5),NA())</f>
        <v>110</v>
      </c>
      <c r="E143" s="60" cm="1">
        <f t="array" aca="1" ref="E143" ca="1">IF(ISNUMBER(_xll.VoseSimPercentile(Sold_42,0.9)),_xll.VoseSimPercentile(Sold_42,0.9),NA())</f>
        <v>151</v>
      </c>
      <c r="F143" s="60" cm="1">
        <f t="array" aca="1" ref="F143" ca="1">IF(ISNUMBER(_xll.VoseSimMean(Sold_42)),_xll.VoseSimMean(Sold_42),NA())</f>
        <v>117.18405920296014</v>
      </c>
    </row>
    <row r="144" spans="2:6" hidden="1" outlineLevel="1" x14ac:dyDescent="0.45">
      <c r="B144" s="61" t="s">
        <v>229</v>
      </c>
      <c r="C144" s="60" cm="1">
        <f t="array" aca="1" ref="C144" ca="1">IF(ISNUMBER(_xll.VoseSimPercentile(Sold_43,0.1)),_xll.VoseSimPercentile(Sold_43,0.1),NA())</f>
        <v>91</v>
      </c>
      <c r="D144" s="60" cm="1">
        <f t="array" aca="1" ref="D144" ca="1">IF(ISNUMBER(_xll.VoseSimPercentile(Sold_43,0.5)),_xll.VoseSimPercentile(Sold_43,0.5),NA())</f>
        <v>109</v>
      </c>
      <c r="E144" s="60" cm="1">
        <f t="array" aca="1" ref="E144" ca="1">IF(ISNUMBER(_xll.VoseSimPercentile(Sold_43,0.9)),_xll.VoseSimPercentile(Sold_43,0.9),NA())</f>
        <v>151</v>
      </c>
      <c r="F144" s="60" cm="1">
        <f t="array" aca="1" ref="F144" ca="1">IF(ISNUMBER(_xll.VoseSimMean(Sold_43)),_xll.VoseSimMean(Sold_43),NA())</f>
        <v>116.91564578228912</v>
      </c>
    </row>
    <row r="145" spans="2:6" hidden="1" outlineLevel="1" x14ac:dyDescent="0.45">
      <c r="B145" s="61" t="s">
        <v>230</v>
      </c>
      <c r="C145" s="60" cm="1">
        <f t="array" aca="1" ref="C145" ca="1">IF(ISNUMBER(_xll.VoseSimPercentile(Sold_44,0.1)),_xll.VoseSimPercentile(Sold_44,0.1),NA())</f>
        <v>92</v>
      </c>
      <c r="D145" s="60" cm="1">
        <f t="array" aca="1" ref="D145" ca="1">IF(ISNUMBER(_xll.VoseSimPercentile(Sold_44,0.5)),_xll.VoseSimPercentile(Sold_44,0.5),NA())</f>
        <v>109</v>
      </c>
      <c r="E145" s="60" cm="1">
        <f t="array" aca="1" ref="E145" ca="1">IF(ISNUMBER(_xll.VoseSimPercentile(Sold_44,0.9)),_xll.VoseSimPercentile(Sold_44,0.9),NA())</f>
        <v>152</v>
      </c>
      <c r="F145" s="60" cm="1">
        <f t="array" aca="1" ref="F145" ca="1">IF(ISNUMBER(_xll.VoseSimMean(Sold_44)),_xll.VoseSimMean(Sold_44),NA())</f>
        <v>117.15170758537927</v>
      </c>
    </row>
    <row r="146" spans="2:6" hidden="1" outlineLevel="1" x14ac:dyDescent="0.45">
      <c r="B146" s="61" t="s">
        <v>231</v>
      </c>
      <c r="C146" s="60" cm="1">
        <f t="array" aca="1" ref="C146" ca="1">IF(ISNUMBER(_xll.VoseSimPercentile(Sold_45,0.1)),_xll.VoseSimPercentile(Sold_45,0.1),NA())</f>
        <v>92</v>
      </c>
      <c r="D146" s="60" cm="1">
        <f t="array" aca="1" ref="D146" ca="1">IF(ISNUMBER(_xll.VoseSimPercentile(Sold_45,0.5)),_xll.VoseSimPercentile(Sold_45,0.5),NA())</f>
        <v>109</v>
      </c>
      <c r="E146" s="60" cm="1">
        <f t="array" aca="1" ref="E146" ca="1">IF(ISNUMBER(_xll.VoseSimPercentile(Sold_45,0.9)),_xll.VoseSimPercentile(Sold_45,0.9),NA())</f>
        <v>153</v>
      </c>
      <c r="F146" s="60" cm="1">
        <f t="array" aca="1" ref="F146" ca="1">IF(ISNUMBER(_xll.VoseSimMean(Sold_45)),_xll.VoseSimMean(Sold_45),NA())</f>
        <v>117.11765588279414</v>
      </c>
    </row>
    <row r="147" spans="2:6" hidden="1" outlineLevel="1" x14ac:dyDescent="0.45">
      <c r="B147" s="61" t="s">
        <v>232</v>
      </c>
      <c r="C147" s="60" cm="1">
        <f t="array" aca="1" ref="C147" ca="1">IF(ISNUMBER(_xll.VoseSimPercentile(Sold_46,0.1)),_xll.VoseSimPercentile(Sold_46,0.1),NA())</f>
        <v>93</v>
      </c>
      <c r="D147" s="60" cm="1">
        <f t="array" aca="1" ref="D147" ca="1">IF(ISNUMBER(_xll.VoseSimPercentile(Sold_46,0.5)),_xll.VoseSimPercentile(Sold_46,0.5),NA())</f>
        <v>109</v>
      </c>
      <c r="E147" s="60" cm="1">
        <f t="array" aca="1" ref="E147" ca="1">IF(ISNUMBER(_xll.VoseSimPercentile(Sold_46,0.9)),_xll.VoseSimPercentile(Sold_46,0.9),NA())</f>
        <v>153</v>
      </c>
      <c r="F147" s="60" cm="1">
        <f t="array" aca="1" ref="F147" ca="1">IF(ISNUMBER(_xll.VoseSimMean(Sold_46)),_xll.VoseSimMean(Sold_46),NA())</f>
        <v>116.94779738986949</v>
      </c>
    </row>
    <row r="148" spans="2:6" hidden="1" outlineLevel="1" x14ac:dyDescent="0.45">
      <c r="B148" s="61" t="s">
        <v>233</v>
      </c>
      <c r="C148" s="60" cm="1">
        <f t="array" aca="1" ref="C148" ca="1">IF(ISNUMBER(_xll.VoseSimPercentile(Sold_47,0.1)),_xll.VoseSimPercentile(Sold_47,0.1),NA())</f>
        <v>93</v>
      </c>
      <c r="D148" s="60" cm="1">
        <f t="array" aca="1" ref="D148" ca="1">IF(ISNUMBER(_xll.VoseSimPercentile(Sold_47,0.5)),_xll.VoseSimPercentile(Sold_47,0.5),NA())</f>
        <v>109</v>
      </c>
      <c r="E148" s="60" cm="1">
        <f t="array" aca="1" ref="E148" ca="1">IF(ISNUMBER(_xll.VoseSimPercentile(Sold_47,0.9)),_xll.VoseSimPercentile(Sold_47,0.9),NA())</f>
        <v>153</v>
      </c>
      <c r="F148" s="60" cm="1">
        <f t="array" aca="1" ref="F148" ca="1">IF(ISNUMBER(_xll.VoseSimMean(Sold_47)),_xll.VoseSimMean(Sold_47),NA())</f>
        <v>116.70378518925946</v>
      </c>
    </row>
    <row r="149" spans="2:6" hidden="1" outlineLevel="1" x14ac:dyDescent="0.45">
      <c r="B149" s="61" t="s">
        <v>234</v>
      </c>
      <c r="C149" s="60" cm="1">
        <f t="array" aca="1" ref="C149" ca="1">IF(ISNUMBER(_xll.VoseSimPercentile(Sold_48,0.1)),_xll.VoseSimPercentile(Sold_48,0.1),NA())</f>
        <v>94</v>
      </c>
      <c r="D149" s="60" cm="1">
        <f t="array" aca="1" ref="D149" ca="1">IF(ISNUMBER(_xll.VoseSimPercentile(Sold_48,0.5)),_xll.VoseSimPercentile(Sold_48,0.5),NA())</f>
        <v>109</v>
      </c>
      <c r="E149" s="60" cm="1">
        <f t="array" aca="1" ref="E149" ca="1">IF(ISNUMBER(_xll.VoseSimPercentile(Sold_48,0.9)),_xll.VoseSimPercentile(Sold_48,0.9),NA())</f>
        <v>154</v>
      </c>
      <c r="F149" s="60" cm="1">
        <f t="array" aca="1" ref="F149" ca="1">IF(ISNUMBER(_xll.VoseSimMean(Sold_48)),_xll.VoseSimMean(Sold_48),NA())</f>
        <v>116.70478523926197</v>
      </c>
    </row>
    <row r="150" spans="2:6" hidden="1" outlineLevel="1" x14ac:dyDescent="0.45">
      <c r="B150" s="61" t="s">
        <v>235</v>
      </c>
      <c r="C150" s="60" cm="1">
        <f t="array" aca="1" ref="C150" ca="1">IF(ISNUMBER(_xll.VoseSimPercentile(Sold_49,0.1)),_xll.VoseSimPercentile(Sold_49,0.1),NA())</f>
        <v>95</v>
      </c>
      <c r="D150" s="60" cm="1">
        <f t="array" aca="1" ref="D150" ca="1">IF(ISNUMBER(_xll.VoseSimPercentile(Sold_49,0.5)),_xll.VoseSimPercentile(Sold_49,0.5),NA())</f>
        <v>110</v>
      </c>
      <c r="E150" s="60" cm="1">
        <f t="array" aca="1" ref="E150" ca="1">IF(ISNUMBER(_xll.VoseSimPercentile(Sold_49,0.9)),_xll.VoseSimPercentile(Sold_49,0.9),NA())</f>
        <v>153</v>
      </c>
      <c r="F150" s="60" cm="1">
        <f t="array" aca="1" ref="F150" ca="1">IF(ISNUMBER(_xll.VoseSimMean(Sold_49)),_xll.VoseSimMean(Sold_49),NA())</f>
        <v>116.55517775888795</v>
      </c>
    </row>
    <row r="151" spans="2:6" hidden="1" outlineLevel="1" x14ac:dyDescent="0.45">
      <c r="B151" s="61" t="s">
        <v>236</v>
      </c>
      <c r="C151" s="60" cm="1">
        <f t="array" aca="1" ref="C151" ca="1">IF(ISNUMBER(_xll.VoseSimPercentile(Sold_50,0.1)),_xll.VoseSimPercentile(Sold_50,0.1),NA())</f>
        <v>95</v>
      </c>
      <c r="D151" s="60" cm="1">
        <f t="array" aca="1" ref="D151" ca="1">IF(ISNUMBER(_xll.VoseSimPercentile(Sold_50,0.5)),_xll.VoseSimPercentile(Sold_50,0.5),NA())</f>
        <v>110</v>
      </c>
      <c r="E151" s="60" cm="1">
        <f t="array" aca="1" ref="E151" ca="1">IF(ISNUMBER(_xll.VoseSimPercentile(Sold_50,0.9)),_xll.VoseSimPercentile(Sold_50,0.9),NA())</f>
        <v>153</v>
      </c>
      <c r="F151" s="60" cm="1">
        <f t="array" aca="1" ref="F151" ca="1">IF(ISNUMBER(_xll.VoseSimMean(Sold_50)),_xll.VoseSimMean(Sold_50),NA())</f>
        <v>116.25926296314816</v>
      </c>
    </row>
    <row r="152" spans="2:6" hidden="1" outlineLevel="1" x14ac:dyDescent="0.45">
      <c r="B152" s="61" t="s">
        <v>237</v>
      </c>
      <c r="C152" s="60" cm="1">
        <f t="array" aca="1" ref="C152" ca="1">IF(ISNUMBER(_xll.VoseSimPercentile(Sold_51,0.1)),_xll.VoseSimPercentile(Sold_51,0.1),NA())</f>
        <v>96</v>
      </c>
      <c r="D152" s="60" cm="1">
        <f t="array" aca="1" ref="D152" ca="1">IF(ISNUMBER(_xll.VoseSimPercentile(Sold_51,0.5)),_xll.VoseSimPercentile(Sold_51,0.5),NA())</f>
        <v>111</v>
      </c>
      <c r="E152" s="60" cm="1">
        <f t="array" aca="1" ref="E152" ca="1">IF(ISNUMBER(_xll.VoseSimPercentile(Sold_51,0.9)),_xll.VoseSimPercentile(Sold_51,0.9),NA())</f>
        <v>154</v>
      </c>
      <c r="F152" s="60" cm="1">
        <f t="array" aca="1" ref="F152" ca="1">IF(ISNUMBER(_xll.VoseSimMean(Sold_51)),_xll.VoseSimMean(Sold_51),NA())</f>
        <v>117.16660833041652</v>
      </c>
    </row>
    <row r="153" spans="2:6" hidden="1" outlineLevel="1" x14ac:dyDescent="0.45">
      <c r="B153" s="61" t="s">
        <v>238</v>
      </c>
      <c r="C153" s="60" cm="1">
        <f t="array" aca="1" ref="C153" ca="1">IF(ISNUMBER(_xll.VoseSimPercentile(Sold_52,0.1)),_xll.VoseSimPercentile(Sold_52,0.1),NA())</f>
        <v>97</v>
      </c>
      <c r="D153" s="60" cm="1">
        <f t="array" aca="1" ref="D153" ca="1">IF(ISNUMBER(_xll.VoseSimPercentile(Sold_52,0.5)),_xll.VoseSimPercentile(Sold_52,0.5),NA())</f>
        <v>112</v>
      </c>
      <c r="E153" s="60" cm="1">
        <f t="array" aca="1" ref="E153" ca="1">IF(ISNUMBER(_xll.VoseSimPercentile(Sold_52,0.9)),_xll.VoseSimPercentile(Sold_52,0.9),NA())</f>
        <v>156</v>
      </c>
      <c r="F153" s="60" cm="1">
        <f t="array" aca="1" ref="F153" ca="1">IF(ISNUMBER(_xll.VoseSimMean(Sold_52)),_xll.VoseSimMean(Sold_52),NA())</f>
        <v>118.27096354817741</v>
      </c>
    </row>
    <row r="154" spans="2:6" hidden="1" outlineLevel="1" x14ac:dyDescent="0.45">
      <c r="B154" s="61" t="s">
        <v>239</v>
      </c>
      <c r="C154" s="60" cm="1">
        <f t="array" aca="1" ref="C154" ca="1">IF(ISNUMBER(_xll.VoseSimPercentile(Sold_53,0.1)),_xll.VoseSimPercentile(Sold_53,0.1),NA())</f>
        <v>98</v>
      </c>
      <c r="D154" s="60" cm="1">
        <f t="array" aca="1" ref="D154" ca="1">IF(ISNUMBER(_xll.VoseSimPercentile(Sold_53,0.5)),_xll.VoseSimPercentile(Sold_53,0.5),NA())</f>
        <v>113</v>
      </c>
      <c r="E154" s="60" cm="1">
        <f t="array" aca="1" ref="E154" ca="1">IF(ISNUMBER(_xll.VoseSimPercentile(Sold_53,0.9)),_xll.VoseSimPercentile(Sold_53,0.9),NA())</f>
        <v>157</v>
      </c>
      <c r="F154" s="60" cm="1">
        <f t="array" aca="1" ref="F154" ca="1">IF(ISNUMBER(_xll.VoseSimMean(Sold_53)),_xll.VoseSimMean(Sold_53),NA())</f>
        <v>119.29066453322666</v>
      </c>
    </row>
    <row r="155" spans="2:6" hidden="1" outlineLevel="1" x14ac:dyDescent="0.45">
      <c r="B155" s="61" t="s">
        <v>240</v>
      </c>
      <c r="C155" s="60" cm="1">
        <f t="array" aca="1" ref="C155" ca="1">IF(ISNUMBER(_xll.VoseSimPercentile(Sold_54,0.1)),_xll.VoseSimPercentile(Sold_54,0.1),NA())</f>
        <v>99</v>
      </c>
      <c r="D155" s="60" cm="1">
        <f t="array" aca="1" ref="D155" ca="1">IF(ISNUMBER(_xll.VoseSimPercentile(Sold_54,0.5)),_xll.VoseSimPercentile(Sold_54,0.5),NA())</f>
        <v>114</v>
      </c>
      <c r="E155" s="60" cm="1">
        <f t="array" aca="1" ref="E155" ca="1">IF(ISNUMBER(_xll.VoseSimPercentile(Sold_54,0.9)),_xll.VoseSimPercentile(Sold_54,0.9),NA())</f>
        <v>159</v>
      </c>
      <c r="F155" s="60" cm="1">
        <f t="array" aca="1" ref="F155" ca="1">IF(ISNUMBER(_xll.VoseSimMean(Sold_54)),_xll.VoseSimMean(Sold_54),NA())</f>
        <v>120.18660933046652</v>
      </c>
    </row>
    <row r="156" spans="2:6" hidden="1" outlineLevel="1" x14ac:dyDescent="0.45">
      <c r="B156" s="61" t="s">
        <v>241</v>
      </c>
      <c r="C156" s="60" cm="1">
        <f t="array" aca="1" ref="C156" ca="1">IF(ISNUMBER(_xll.VoseSimPercentile(Sold_55,0.1)),_xll.VoseSimPercentile(Sold_55,0.1),NA())</f>
        <v>99</v>
      </c>
      <c r="D156" s="60" cm="1">
        <f t="array" aca="1" ref="D156" ca="1">IF(ISNUMBER(_xll.VoseSimPercentile(Sold_55,0.5)),_xll.VoseSimPercentile(Sold_55,0.5),NA())</f>
        <v>115</v>
      </c>
      <c r="E156" s="60" cm="1">
        <f t="array" aca="1" ref="E156" ca="1">IF(ISNUMBER(_xll.VoseSimPercentile(Sold_55,0.9)),_xll.VoseSimPercentile(Sold_55,0.9),NA())</f>
        <v>159</v>
      </c>
      <c r="F156" s="60" cm="1">
        <f t="array" aca="1" ref="F156" ca="1">IF(ISNUMBER(_xll.VoseSimMean(Sold_55)),_xll.VoseSimMean(Sold_55),NA())</f>
        <v>121.19870993549678</v>
      </c>
    </row>
    <row r="157" spans="2:6" hidden="1" outlineLevel="1" x14ac:dyDescent="0.45">
      <c r="B157" s="61" t="s">
        <v>242</v>
      </c>
      <c r="C157" s="60" cm="1">
        <f t="array" aca="1" ref="C157" ca="1">IF(ISNUMBER(_xll.VoseSimPercentile(Sold_56,0.1)),_xll.VoseSimPercentile(Sold_56,0.1),NA())</f>
        <v>101</v>
      </c>
      <c r="D157" s="60" cm="1">
        <f t="array" aca="1" ref="D157" ca="1">IF(ISNUMBER(_xll.VoseSimPercentile(Sold_56,0.5)),_xll.VoseSimPercentile(Sold_56,0.5),NA())</f>
        <v>116</v>
      </c>
      <c r="E157" s="60" cm="1">
        <f t="array" aca="1" ref="E157" ca="1">IF(ISNUMBER(_xll.VoseSimPercentile(Sold_56,0.9)),_xll.VoseSimPercentile(Sold_56,0.9),NA())</f>
        <v>161</v>
      </c>
      <c r="F157" s="60" cm="1">
        <f t="array" aca="1" ref="F157" ca="1">IF(ISNUMBER(_xll.VoseSimMean(Sold_56)),_xll.VoseSimMean(Sold_56),NA())</f>
        <v>122.2373618680934</v>
      </c>
    </row>
    <row r="158" spans="2:6" hidden="1" outlineLevel="1" x14ac:dyDescent="0.45">
      <c r="B158" s="61" t="s">
        <v>243</v>
      </c>
      <c r="C158" s="60" cm="1">
        <f t="array" aca="1" ref="C158" ca="1">IF(ISNUMBER(_xll.VoseSimPercentile(Sold_57,0.1)),_xll.VoseSimPercentile(Sold_57,0.1),NA())</f>
        <v>102</v>
      </c>
      <c r="D158" s="60" cm="1">
        <f t="array" aca="1" ref="D158" ca="1">IF(ISNUMBER(_xll.VoseSimPercentile(Sold_57,0.5)),_xll.VoseSimPercentile(Sold_57,0.5),NA())</f>
        <v>117</v>
      </c>
      <c r="E158" s="60" cm="1">
        <f t="array" aca="1" ref="E158" ca="1">IF(ISNUMBER(_xll.VoseSimPercentile(Sold_57,0.9)),_xll.VoseSimPercentile(Sold_57,0.9),NA())</f>
        <v>162</v>
      </c>
      <c r="F158" s="60" cm="1">
        <f t="array" aca="1" ref="F158" ca="1">IF(ISNUMBER(_xll.VoseSimMean(Sold_57)),_xll.VoseSimMean(Sold_57),NA())</f>
        <v>123.21511075553778</v>
      </c>
    </row>
    <row r="159" spans="2:6" hidden="1" outlineLevel="1" x14ac:dyDescent="0.45">
      <c r="B159" s="61" t="s">
        <v>244</v>
      </c>
      <c r="C159" s="60" cm="1">
        <f t="array" aca="1" ref="C159" ca="1">IF(ISNUMBER(_xll.VoseSimPercentile(Sold_58,0.1)),_xll.VoseSimPercentile(Sold_58,0.1),NA())</f>
        <v>102</v>
      </c>
      <c r="D159" s="60" cm="1">
        <f t="array" aca="1" ref="D159" ca="1">IF(ISNUMBER(_xll.VoseSimPercentile(Sold_58,0.5)),_xll.VoseSimPercentile(Sold_58,0.5),NA())</f>
        <v>118</v>
      </c>
      <c r="E159" s="60" cm="1">
        <f t="array" aca="1" ref="E159" ca="1">IF(ISNUMBER(_xll.VoseSimPercentile(Sold_58,0.9)),_xll.VoseSimPercentile(Sold_58,0.9),NA())</f>
        <v>164</v>
      </c>
      <c r="F159" s="60" cm="1">
        <f t="array" aca="1" ref="F159" ca="1">IF(ISNUMBER(_xll.VoseSimMean(Sold_58)),_xll.VoseSimMean(Sold_58),NA())</f>
        <v>124.34976748837443</v>
      </c>
    </row>
    <row r="160" spans="2:6" hidden="1" outlineLevel="1" x14ac:dyDescent="0.45">
      <c r="B160" s="61" t="s">
        <v>245</v>
      </c>
      <c r="C160" s="60" cm="1">
        <f t="array" aca="1" ref="C160" ca="1">IF(ISNUMBER(_xll.VoseSimPercentile(Sold_59,0.1)),_xll.VoseSimPercentile(Sold_59,0.1),NA())</f>
        <v>103</v>
      </c>
      <c r="D160" s="60" cm="1">
        <f t="array" aca="1" ref="D160" ca="1">IF(ISNUMBER(_xll.VoseSimPercentile(Sold_59,0.5)),_xll.VoseSimPercentile(Sold_59,0.5),NA())</f>
        <v>118</v>
      </c>
      <c r="E160" s="60" cm="1">
        <f t="array" aca="1" ref="E160" ca="1">IF(ISNUMBER(_xll.VoseSimPercentile(Sold_59,0.9)),_xll.VoseSimPercentile(Sold_59,0.9),NA())</f>
        <v>164</v>
      </c>
      <c r="F160" s="60" cm="1">
        <f t="array" aca="1" ref="F160" ca="1">IF(ISNUMBER(_xll.VoseSimMean(Sold_59)),_xll.VoseSimMean(Sold_59),NA())</f>
        <v>124.89089454472723</v>
      </c>
    </row>
    <row r="161" spans="2:6" hidden="1" outlineLevel="1" x14ac:dyDescent="0.45">
      <c r="B161" s="61" t="s">
        <v>246</v>
      </c>
      <c r="C161" s="60" cm="1">
        <f t="array" aca="1" ref="C161" ca="1">IF(ISNUMBER(_xll.VoseSimPercentile(Sold_60,0.1)),_xll.VoseSimPercentile(Sold_60,0.1),NA())</f>
        <v>104</v>
      </c>
      <c r="D161" s="60" cm="1">
        <f t="array" aca="1" ref="D161" ca="1">IF(ISNUMBER(_xll.VoseSimPercentile(Sold_60,0.5)),_xll.VoseSimPercentile(Sold_60,0.5),NA())</f>
        <v>119</v>
      </c>
      <c r="E161" s="60" cm="1">
        <f t="array" aca="1" ref="E161" ca="1">IF(ISNUMBER(_xll.VoseSimPercentile(Sold_60,0.9)),_xll.VoseSimPercentile(Sold_60,0.9),NA())</f>
        <v>166</v>
      </c>
      <c r="F161" s="60" cm="1">
        <f t="array" aca="1" ref="F161" ca="1">IF(ISNUMBER(_xll.VoseSimMean(Sold_60)),_xll.VoseSimMean(Sold_60),NA())</f>
        <v>126.10055502775138</v>
      </c>
    </row>
    <row r="162" spans="2:6" hidden="1" outlineLevel="1" x14ac:dyDescent="0.45">
      <c r="B162" s="61" t="s">
        <v>247</v>
      </c>
      <c r="C162" s="60" cm="1">
        <f t="array" aca="1" ref="C162" ca="1">IF(ISNUMBER(_xll.VoseSimPercentile(Sold_61,0.1)),_xll.VoseSimPercentile(Sold_61,0.1),NA())</f>
        <v>105</v>
      </c>
      <c r="D162" s="60" cm="1">
        <f t="array" aca="1" ref="D162" ca="1">IF(ISNUMBER(_xll.VoseSimPercentile(Sold_61,0.5)),_xll.VoseSimPercentile(Sold_61,0.5),NA())</f>
        <v>121</v>
      </c>
      <c r="E162" s="60" cm="1">
        <f t="array" aca="1" ref="E162" ca="1">IF(ISNUMBER(_xll.VoseSimPercentile(Sold_61,0.9)),_xll.VoseSimPercentile(Sold_61,0.9),NA())</f>
        <v>167</v>
      </c>
      <c r="F162" s="60" cm="1">
        <f t="array" aca="1" ref="F162" ca="1">IF(ISNUMBER(_xll.VoseSimMean(Sold_61)),_xll.VoseSimMean(Sold_61),NA())</f>
        <v>127.15905795289764</v>
      </c>
    </row>
    <row r="163" spans="2:6" hidden="1" outlineLevel="1" x14ac:dyDescent="0.45">
      <c r="B163" s="61" t="s">
        <v>248</v>
      </c>
      <c r="C163" s="60" cm="1">
        <f t="array" aca="1" ref="C163" ca="1">IF(ISNUMBER(_xll.VoseSimPercentile(Sold_62,0.1)),_xll.VoseSimPercentile(Sold_62,0.1),NA())</f>
        <v>106</v>
      </c>
      <c r="D163" s="60" cm="1">
        <f t="array" aca="1" ref="D163" ca="1">IF(ISNUMBER(_xll.VoseSimPercentile(Sold_62,0.5)),_xll.VoseSimPercentile(Sold_62,0.5),NA())</f>
        <v>121</v>
      </c>
      <c r="E163" s="60" cm="1">
        <f t="array" aca="1" ref="E163" ca="1">IF(ISNUMBER(_xll.VoseSimPercentile(Sold_62,0.9)),_xll.VoseSimPercentile(Sold_62,0.9),NA())</f>
        <v>168</v>
      </c>
      <c r="F163" s="60" cm="1">
        <f t="array" aca="1" ref="F163" ca="1">IF(ISNUMBER(_xll.VoseSimMean(Sold_62)),_xll.VoseSimMean(Sold_62),NA())</f>
        <v>128.22226111305565</v>
      </c>
    </row>
    <row r="164" spans="2:6" hidden="1" outlineLevel="1" x14ac:dyDescent="0.45">
      <c r="B164" s="61" t="s">
        <v>249</v>
      </c>
      <c r="C164" s="60" cm="1">
        <f t="array" aca="1" ref="C164" ca="1">IF(ISNUMBER(_xll.VoseSimPercentile(Sold_63,0.1)),_xll.VoseSimPercentile(Sold_63,0.1),NA())</f>
        <v>107</v>
      </c>
      <c r="D164" s="60" cm="1">
        <f t="array" aca="1" ref="D164" ca="1">IF(ISNUMBER(_xll.VoseSimPercentile(Sold_63,0.5)),_xll.VoseSimPercentile(Sold_63,0.5),NA())</f>
        <v>122</v>
      </c>
      <c r="E164" s="60" cm="1">
        <f t="array" aca="1" ref="E164" ca="1">IF(ISNUMBER(_xll.VoseSimPercentile(Sold_63,0.9)),_xll.VoseSimPercentile(Sold_63,0.9),NA())</f>
        <v>169</v>
      </c>
      <c r="F164" s="60" cm="1">
        <f t="array" aca="1" ref="F164" ca="1">IF(ISNUMBER(_xll.VoseSimMean(Sold_63)),_xll.VoseSimMean(Sold_63),NA())</f>
        <v>128.98514925746287</v>
      </c>
    </row>
    <row r="165" spans="2:6" hidden="1" outlineLevel="1" x14ac:dyDescent="0.45">
      <c r="B165" s="61" t="s">
        <v>250</v>
      </c>
      <c r="C165" s="60" cm="1">
        <f t="array" aca="1" ref="C165" ca="1">IF(ISNUMBER(_xll.VoseSimPercentile(Sold_64,0.1)),_xll.VoseSimPercentile(Sold_64,0.1),NA())</f>
        <v>107</v>
      </c>
      <c r="D165" s="60" cm="1">
        <f t="array" aca="1" ref="D165" ca="1">IF(ISNUMBER(_xll.VoseSimPercentile(Sold_64,0.5)),_xll.VoseSimPercentile(Sold_64,0.5),NA())</f>
        <v>123</v>
      </c>
      <c r="E165" s="60" cm="1">
        <f t="array" aca="1" ref="E165" ca="1">IF(ISNUMBER(_xll.VoseSimPercentile(Sold_64,0.9)),_xll.VoseSimPercentile(Sold_64,0.9),NA())</f>
        <v>171</v>
      </c>
      <c r="F165" s="60" cm="1">
        <f t="array" aca="1" ref="F165" ca="1">IF(ISNUMBER(_xll.VoseSimMean(Sold_64)),_xll.VoseSimMean(Sold_64),NA())</f>
        <v>130.06215310765538</v>
      </c>
    </row>
    <row r="166" spans="2:6" hidden="1" outlineLevel="1" x14ac:dyDescent="0.45">
      <c r="B166" s="61" t="s">
        <v>251</v>
      </c>
      <c r="C166" s="60" cm="1">
        <f t="array" aca="1" ref="C166" ca="1">IF(ISNUMBER(_xll.VoseSimPercentile(Sold_65,0.1)),_xll.VoseSimPercentile(Sold_65,0.1),NA())</f>
        <v>108</v>
      </c>
      <c r="D166" s="60" cm="1">
        <f t="array" aca="1" ref="D166" ca="1">IF(ISNUMBER(_xll.VoseSimPercentile(Sold_65,0.5)),_xll.VoseSimPercentile(Sold_65,0.5),NA())</f>
        <v>124</v>
      </c>
      <c r="E166" s="60" cm="1">
        <f t="array" aca="1" ref="E166" ca="1">IF(ISNUMBER(_xll.VoseSimPercentile(Sold_65,0.9)),_xll.VoseSimPercentile(Sold_65,0.9),NA())</f>
        <v>172</v>
      </c>
      <c r="F166" s="60" cm="1">
        <f t="array" aca="1" ref="F166" ca="1">IF(ISNUMBER(_xll.VoseSimMean(Sold_65)),_xll.VoseSimMean(Sold_65),NA())</f>
        <v>131.10655532776639</v>
      </c>
    </row>
    <row r="167" spans="2:6" hidden="1" outlineLevel="1" x14ac:dyDescent="0.45">
      <c r="B167" s="61" t="s">
        <v>252</v>
      </c>
      <c r="C167" s="60" cm="1">
        <f t="array" aca="1" ref="C167" ca="1">IF(ISNUMBER(_xll.VoseSimPercentile(Sold_66,0.1)),_xll.VoseSimPercentile(Sold_66,0.1),NA())</f>
        <v>109</v>
      </c>
      <c r="D167" s="60" cm="1">
        <f t="array" aca="1" ref="D167" ca="1">IF(ISNUMBER(_xll.VoseSimPercentile(Sold_66,0.5)),_xll.VoseSimPercentile(Sold_66,0.5),NA())</f>
        <v>125</v>
      </c>
      <c r="E167" s="60" cm="1">
        <f t="array" aca="1" ref="E167" ca="1">IF(ISNUMBER(_xll.VoseSimPercentile(Sold_66,0.9)),_xll.VoseSimPercentile(Sold_66,0.9),NA())</f>
        <v>174</v>
      </c>
      <c r="F167" s="60" cm="1">
        <f t="array" aca="1" ref="F167" ca="1">IF(ISNUMBER(_xll.VoseSimMean(Sold_66)),_xll.VoseSimMean(Sold_66),NA())</f>
        <v>132.00010000500026</v>
      </c>
    </row>
    <row r="168" spans="2:6" hidden="1" outlineLevel="1" x14ac:dyDescent="0.45">
      <c r="B168" s="61" t="s">
        <v>253</v>
      </c>
      <c r="C168" s="60" cm="1">
        <f t="array" aca="1" ref="C168" ca="1">IF(ISNUMBER(_xll.VoseSimPercentile(Sold_67,0.1)),_xll.VoseSimPercentile(Sold_67,0.1),NA())</f>
        <v>110</v>
      </c>
      <c r="D168" s="60" cm="1">
        <f t="array" aca="1" ref="D168" ca="1">IF(ISNUMBER(_xll.VoseSimPercentile(Sold_67,0.5)),_xll.VoseSimPercentile(Sold_67,0.5),NA())</f>
        <v>126</v>
      </c>
      <c r="E168" s="60" cm="1">
        <f t="array" aca="1" ref="E168" ca="1">IF(ISNUMBER(_xll.VoseSimPercentile(Sold_67,0.9)),_xll.VoseSimPercentile(Sold_67,0.9),NA())</f>
        <v>175</v>
      </c>
      <c r="F168" s="60" cm="1">
        <f t="array" aca="1" ref="F168" ca="1">IF(ISNUMBER(_xll.VoseSimMean(Sold_67)),_xll.VoseSimMean(Sold_67),NA())</f>
        <v>133.002800140007</v>
      </c>
    </row>
    <row r="169" spans="2:6" hidden="1" outlineLevel="1" x14ac:dyDescent="0.45">
      <c r="B169" s="61" t="s">
        <v>254</v>
      </c>
      <c r="C169" s="60" cm="1">
        <f t="array" aca="1" ref="C169" ca="1">IF(ISNUMBER(_xll.VoseSimPercentile(Sold_68,0.1)),_xll.VoseSimPercentile(Sold_68,0.1),NA())</f>
        <v>111</v>
      </c>
      <c r="D169" s="60" cm="1">
        <f t="array" aca="1" ref="D169" ca="1">IF(ISNUMBER(_xll.VoseSimPercentile(Sold_68,0.5)),_xll.VoseSimPercentile(Sold_68,0.5),NA())</f>
        <v>127</v>
      </c>
      <c r="E169" s="60" cm="1">
        <f t="array" aca="1" ref="E169" ca="1">IF(ISNUMBER(_xll.VoseSimPercentile(Sold_68,0.9)),_xll.VoseSimPercentile(Sold_68,0.9),NA())</f>
        <v>176</v>
      </c>
      <c r="F169" s="60" cm="1">
        <f t="array" aca="1" ref="F169" ca="1">IF(ISNUMBER(_xll.VoseSimMean(Sold_68)),_xll.VoseSimMean(Sold_68),NA())</f>
        <v>134.08730436521827</v>
      </c>
    </row>
    <row r="170" spans="2:6" hidden="1" outlineLevel="1" x14ac:dyDescent="0.45">
      <c r="B170" s="61" t="s">
        <v>255</v>
      </c>
      <c r="C170" s="60" cm="1">
        <f t="array" aca="1" ref="C170" ca="1">IF(ISNUMBER(_xll.VoseSimPercentile(Sold_69,0.1)),_xll.VoseSimPercentile(Sold_69,0.1),NA())</f>
        <v>112</v>
      </c>
      <c r="D170" s="60" cm="1">
        <f t="array" aca="1" ref="D170" ca="1">IF(ISNUMBER(_xll.VoseSimPercentile(Sold_69,0.5)),_xll.VoseSimPercentile(Sold_69,0.5),NA())</f>
        <v>128</v>
      </c>
      <c r="E170" s="60" cm="1">
        <f t="array" aca="1" ref="E170" ca="1">IF(ISNUMBER(_xll.VoseSimPercentile(Sold_69,0.9)),_xll.VoseSimPercentile(Sold_69,0.9),NA())</f>
        <v>178</v>
      </c>
      <c r="F170" s="60" cm="1">
        <f t="array" aca="1" ref="F170" ca="1">IF(ISNUMBER(_xll.VoseSimMean(Sold_69)),_xll.VoseSimMean(Sold_69),NA())</f>
        <v>134.94004700235013</v>
      </c>
    </row>
    <row r="171" spans="2:6" hidden="1" outlineLevel="1" x14ac:dyDescent="0.45">
      <c r="B171" s="61" t="s">
        <v>256</v>
      </c>
      <c r="C171" s="60" cm="1">
        <f t="array" aca="1" ref="C171" ca="1">IF(ISNUMBER(_xll.VoseSimPercentile(Sold_70,0.1)),_xll.VoseSimPercentile(Sold_70,0.1),NA())</f>
        <v>113</v>
      </c>
      <c r="D171" s="60" cm="1">
        <f t="array" aca="1" ref="D171" ca="1">IF(ISNUMBER(_xll.VoseSimPercentile(Sold_70,0.5)),_xll.VoseSimPercentile(Sold_70,0.5),NA())</f>
        <v>129</v>
      </c>
      <c r="E171" s="60" cm="1">
        <f t="array" aca="1" ref="E171" ca="1">IF(ISNUMBER(_xll.VoseSimPercentile(Sold_70,0.9)),_xll.VoseSimPercentile(Sold_70,0.9),NA())</f>
        <v>179</v>
      </c>
      <c r="F171" s="60" cm="1">
        <f t="array" aca="1" ref="F171" ca="1">IF(ISNUMBER(_xll.VoseSimMean(Sold_70)),_xll.VoseSimMean(Sold_70),NA())</f>
        <v>136.17405870293516</v>
      </c>
    </row>
    <row r="172" spans="2:6" hidden="1" outlineLevel="1" x14ac:dyDescent="0.45">
      <c r="B172" s="61" t="s">
        <v>257</v>
      </c>
      <c r="C172" s="60" cm="1">
        <f t="array" aca="1" ref="C172" ca="1">IF(ISNUMBER(_xll.VoseSimPercentile(Sold_71,0.1)),_xll.VoseSimPercentile(Sold_71,0.1),NA())</f>
        <v>113</v>
      </c>
      <c r="D172" s="60" cm="1">
        <f t="array" aca="1" ref="D172" ca="1">IF(ISNUMBER(_xll.VoseSimPercentile(Sold_71,0.5)),_xll.VoseSimPercentile(Sold_71,0.5),NA())</f>
        <v>130</v>
      </c>
      <c r="E172" s="60" cm="1">
        <f t="array" aca="1" ref="E172" ca="1">IF(ISNUMBER(_xll.VoseSimPercentile(Sold_71,0.9)),_xll.VoseSimPercentile(Sold_71,0.9),NA())</f>
        <v>180</v>
      </c>
      <c r="F172" s="60" cm="1">
        <f t="array" aca="1" ref="F172" ca="1">IF(ISNUMBER(_xll.VoseSimMean(Sold_71)),_xll.VoseSimMean(Sold_71),NA())</f>
        <v>137.18985949297465</v>
      </c>
    </row>
    <row r="173" spans="2:6" hidden="1" outlineLevel="1" x14ac:dyDescent="0.45">
      <c r="B173" s="61" t="s">
        <v>258</v>
      </c>
      <c r="C173" s="60" cm="1">
        <f t="array" aca="1" ref="C173" ca="1">IF(ISNUMBER(_xll.VoseSimPercentile(Sold_72,0.1)),_xll.VoseSimPercentile(Sold_72,0.1),NA())</f>
        <v>114</v>
      </c>
      <c r="D173" s="60" cm="1">
        <f t="array" aca="1" ref="D173" ca="1">IF(ISNUMBER(_xll.VoseSimPercentile(Sold_72,0.5)),_xll.VoseSimPercentile(Sold_72,0.5),NA())</f>
        <v>131</v>
      </c>
      <c r="E173" s="60" cm="1">
        <f t="array" aca="1" ref="E173" ca="1">IF(ISNUMBER(_xll.VoseSimPercentile(Sold_72,0.9)),_xll.VoseSimPercentile(Sold_72,0.9),NA())</f>
        <v>181</v>
      </c>
      <c r="F173" s="60" cm="1">
        <f t="array" aca="1" ref="F173" ca="1">IF(ISNUMBER(_xll.VoseSimMean(Sold_72)),_xll.VoseSimMean(Sold_72),NA())</f>
        <v>138.07830391519576</v>
      </c>
    </row>
    <row r="174" spans="2:6" hidden="1" outlineLevel="1" x14ac:dyDescent="0.45">
      <c r="B174" s="61" t="s">
        <v>259</v>
      </c>
      <c r="C174" s="60" cm="1">
        <f t="array" aca="1" ref="C174" ca="1">IF(ISNUMBER(_xll.VoseSimPercentile(Sold_73,0.1)),_xll.VoseSimPercentile(Sold_73,0.1),NA())</f>
        <v>115</v>
      </c>
      <c r="D174" s="60" cm="1">
        <f t="array" aca="1" ref="D174" ca="1">IF(ISNUMBER(_xll.VoseSimPercentile(Sold_73,0.5)),_xll.VoseSimPercentile(Sold_73,0.5),NA())</f>
        <v>132</v>
      </c>
      <c r="E174" s="60" cm="1">
        <f t="array" aca="1" ref="E174" ca="1">IF(ISNUMBER(_xll.VoseSimPercentile(Sold_73,0.9)),_xll.VoseSimPercentile(Sold_73,0.9),NA())</f>
        <v>182</v>
      </c>
      <c r="F174" s="60" cm="1">
        <f t="array" aca="1" ref="F174" ca="1">IF(ISNUMBER(_xll.VoseSimMean(Sold_73)),_xll.VoseSimMean(Sold_73),NA())</f>
        <v>138.89584479223961</v>
      </c>
    </row>
    <row r="175" spans="2:6" hidden="1" outlineLevel="1" x14ac:dyDescent="0.45">
      <c r="B175" s="61" t="s">
        <v>260</v>
      </c>
      <c r="C175" s="60" cm="1">
        <f t="array" aca="1" ref="C175" ca="1">IF(ISNUMBER(_xll.VoseSimPercentile(Sold_74,0.1)),_xll.VoseSimPercentile(Sold_74,0.1),NA())</f>
        <v>116</v>
      </c>
      <c r="D175" s="60" cm="1">
        <f t="array" aca="1" ref="D175" ca="1">IF(ISNUMBER(_xll.VoseSimPercentile(Sold_74,0.5)),_xll.VoseSimPercentile(Sold_74,0.5),NA())</f>
        <v>132</v>
      </c>
      <c r="E175" s="60" cm="1">
        <f t="array" aca="1" ref="E175" ca="1">IF(ISNUMBER(_xll.VoseSimPercentile(Sold_74,0.9)),_xll.VoseSimPercentile(Sold_74,0.9),NA())</f>
        <v>184</v>
      </c>
      <c r="F175" s="60" cm="1">
        <f t="array" aca="1" ref="F175" ca="1">IF(ISNUMBER(_xll.VoseSimMean(Sold_74)),_xll.VoseSimMean(Sold_74),NA())</f>
        <v>139.82024101205062</v>
      </c>
    </row>
    <row r="176" spans="2:6" hidden="1" outlineLevel="1" x14ac:dyDescent="0.45">
      <c r="B176" s="61" t="s">
        <v>261</v>
      </c>
      <c r="C176" s="60" cm="1">
        <f t="array" aca="1" ref="C176" ca="1">IF(ISNUMBER(_xll.VoseSimPercentile(Sold_75,0.1)),_xll.VoseSimPercentile(Sold_75,0.1),NA())</f>
        <v>117</v>
      </c>
      <c r="D176" s="60" cm="1">
        <f t="array" aca="1" ref="D176" ca="1">IF(ISNUMBER(_xll.VoseSimPercentile(Sold_75,0.5)),_xll.VoseSimPercentile(Sold_75,0.5),NA())</f>
        <v>133</v>
      </c>
      <c r="E176" s="60" cm="1">
        <f t="array" aca="1" ref="E176" ca="1">IF(ISNUMBER(_xll.VoseSimPercentile(Sold_75,0.9)),_xll.VoseSimPercentile(Sold_75,0.9),NA())</f>
        <v>185</v>
      </c>
      <c r="F176" s="60" cm="1">
        <f t="array" aca="1" ref="F176" ca="1">IF(ISNUMBER(_xll.VoseSimMean(Sold_75)),_xll.VoseSimMean(Sold_75),NA())</f>
        <v>140.75753787689385</v>
      </c>
    </row>
    <row r="177" spans="2:6" hidden="1" outlineLevel="1" x14ac:dyDescent="0.45">
      <c r="B177" s="61" t="s">
        <v>262</v>
      </c>
      <c r="C177" s="60" cm="1">
        <f t="array" aca="1" ref="C177" ca="1">IF(ISNUMBER(_xll.VoseSimPercentile(Sold_76,0.1)),_xll.VoseSimPercentile(Sold_76,0.1),NA())</f>
        <v>118</v>
      </c>
      <c r="D177" s="60" cm="1">
        <f t="array" aca="1" ref="D177" ca="1">IF(ISNUMBER(_xll.VoseSimPercentile(Sold_76,0.5)),_xll.VoseSimPercentile(Sold_76,0.5),NA())</f>
        <v>134</v>
      </c>
      <c r="E177" s="60" cm="1">
        <f t="array" aca="1" ref="E177" ca="1">IF(ISNUMBER(_xll.VoseSimPercentile(Sold_76,0.9)),_xll.VoseSimPercentile(Sold_76,0.9),NA())</f>
        <v>187</v>
      </c>
      <c r="F177" s="60" cm="1">
        <f t="array" aca="1" ref="F177" ca="1">IF(ISNUMBER(_xll.VoseSimMean(Sold_76)),_xll.VoseSimMean(Sold_76),NA())</f>
        <v>141.91359567978398</v>
      </c>
    </row>
    <row r="178" spans="2:6" hidden="1" outlineLevel="1" x14ac:dyDescent="0.45">
      <c r="B178" s="61" t="s">
        <v>263</v>
      </c>
      <c r="C178" s="60" cm="1">
        <f t="array" aca="1" ref="C178" ca="1">IF(ISNUMBER(_xll.VoseSimPercentile(Sold_77,0.1)),_xll.VoseSimPercentile(Sold_77,0.1),NA())</f>
        <v>119</v>
      </c>
      <c r="D178" s="60" cm="1">
        <f t="array" aca="1" ref="D178" ca="1">IF(ISNUMBER(_xll.VoseSimPercentile(Sold_77,0.5)),_xll.VoseSimPercentile(Sold_77,0.5),NA())</f>
        <v>135</v>
      </c>
      <c r="E178" s="60" cm="1">
        <f t="array" aca="1" ref="E178" ca="1">IF(ISNUMBER(_xll.VoseSimPercentile(Sold_77,0.9)),_xll.VoseSimPercentile(Sold_77,0.9),NA())</f>
        <v>188</v>
      </c>
      <c r="F178" s="60" cm="1">
        <f t="array" aca="1" ref="F178" ca="1">IF(ISNUMBER(_xll.VoseSimMean(Sold_77)),_xll.VoseSimMean(Sold_77),NA())</f>
        <v>143.04535226761337</v>
      </c>
    </row>
    <row r="179" spans="2:6" hidden="1" outlineLevel="1" x14ac:dyDescent="0.45">
      <c r="B179" s="61" t="s">
        <v>264</v>
      </c>
      <c r="C179" s="60" cm="1">
        <f t="array" aca="1" ref="C179" ca="1">IF(ISNUMBER(_xll.VoseSimPercentile(Sold_78,0.1)),_xll.VoseSimPercentile(Sold_78,0.1),NA())</f>
        <v>119</v>
      </c>
      <c r="D179" s="60" cm="1">
        <f t="array" aca="1" ref="D179" ca="1">IF(ISNUMBER(_xll.VoseSimPercentile(Sold_78,0.5)),_xll.VoseSimPercentile(Sold_78,0.5),NA())</f>
        <v>136</v>
      </c>
      <c r="E179" s="60" cm="1">
        <f t="array" aca="1" ref="E179" ca="1">IF(ISNUMBER(_xll.VoseSimPercentile(Sold_78,0.9)),_xll.VoseSimPercentile(Sold_78,0.9),NA())</f>
        <v>190</v>
      </c>
      <c r="F179" s="60" cm="1">
        <f t="array" aca="1" ref="F179" ca="1">IF(ISNUMBER(_xll.VoseSimMean(Sold_78)),_xll.VoseSimMean(Sold_78),NA())</f>
        <v>143.92304615230762</v>
      </c>
    </row>
    <row r="180" spans="2:6" hidden="1" outlineLevel="1" x14ac:dyDescent="0.45">
      <c r="B180" s="61" t="s">
        <v>265</v>
      </c>
      <c r="C180" s="60" cm="1">
        <f t="array" aca="1" ref="C180" ca="1">IF(ISNUMBER(_xll.VoseSimPercentile(Sold_79,0.1)),_xll.VoseSimPercentile(Sold_79,0.1),NA())</f>
        <v>120</v>
      </c>
      <c r="D180" s="60" cm="1">
        <f t="array" aca="1" ref="D180" ca="1">IF(ISNUMBER(_xll.VoseSimPercentile(Sold_79,0.5)),_xll.VoseSimPercentile(Sold_79,0.5),NA())</f>
        <v>137</v>
      </c>
      <c r="E180" s="60" cm="1">
        <f t="array" aca="1" ref="E180" ca="1">IF(ISNUMBER(_xll.VoseSimPercentile(Sold_79,0.9)),_xll.VoseSimPercentile(Sold_79,0.9),NA())</f>
        <v>191</v>
      </c>
      <c r="F180" s="60" cm="1">
        <f t="array" aca="1" ref="F180" ca="1">IF(ISNUMBER(_xll.VoseSimMean(Sold_79)),_xll.VoseSimMean(Sold_79),NA())</f>
        <v>144.82739136956849</v>
      </c>
    </row>
    <row r="181" spans="2:6" hidden="1" outlineLevel="1" x14ac:dyDescent="0.45">
      <c r="B181" s="61" t="s">
        <v>266</v>
      </c>
      <c r="C181" s="60" cm="1">
        <f t="array" aca="1" ref="C181" ca="1">IF(ISNUMBER(_xll.VoseSimPercentile(Sold_80,0.1)),_xll.VoseSimPercentile(Sold_80,0.1),NA())</f>
        <v>121</v>
      </c>
      <c r="D181" s="60" cm="1">
        <f t="array" aca="1" ref="D181" ca="1">IF(ISNUMBER(_xll.VoseSimPercentile(Sold_80,0.5)),_xll.VoseSimPercentile(Sold_80,0.5),NA())</f>
        <v>138</v>
      </c>
      <c r="E181" s="60" cm="1">
        <f t="array" aca="1" ref="E181" ca="1">IF(ISNUMBER(_xll.VoseSimPercentile(Sold_80,0.9)),_xll.VoseSimPercentile(Sold_80,0.9),NA())</f>
        <v>191</v>
      </c>
      <c r="F181" s="60" cm="1">
        <f t="array" aca="1" ref="F181" ca="1">IF(ISNUMBER(_xll.VoseSimMean(Sold_80)),_xll.VoseSimMean(Sold_80),NA())</f>
        <v>145.81534076703835</v>
      </c>
    </row>
    <row r="182" spans="2:6" hidden="1" outlineLevel="1" x14ac:dyDescent="0.45">
      <c r="B182" s="61" t="s">
        <v>267</v>
      </c>
      <c r="C182" s="60" cm="1">
        <f t="array" aca="1" ref="C182" ca="1">IF(ISNUMBER(_xll.VoseSimPercentile(Sold_81,0.1)),_xll.VoseSimPercentile(Sold_81,0.1),NA())</f>
        <v>122</v>
      </c>
      <c r="D182" s="60" cm="1">
        <f t="array" aca="1" ref="D182" ca="1">IF(ISNUMBER(_xll.VoseSimPercentile(Sold_81,0.5)),_xll.VoseSimPercentile(Sold_81,0.5),NA())</f>
        <v>139</v>
      </c>
      <c r="E182" s="60" cm="1">
        <f t="array" aca="1" ref="E182" ca="1">IF(ISNUMBER(_xll.VoseSimPercentile(Sold_81,0.9)),_xll.VoseSimPercentile(Sold_81,0.9),NA())</f>
        <v>193</v>
      </c>
      <c r="F182" s="60" cm="1">
        <f t="array" aca="1" ref="F182" ca="1">IF(ISNUMBER(_xll.VoseSimMean(Sold_81)),_xll.VoseSimMean(Sold_81),NA())</f>
        <v>146.74973748687435</v>
      </c>
    </row>
    <row r="183" spans="2:6" hidden="1" outlineLevel="1" x14ac:dyDescent="0.45">
      <c r="B183" s="61" t="s">
        <v>268</v>
      </c>
      <c r="C183" s="60" cm="1">
        <f t="array" aca="1" ref="C183" ca="1">IF(ISNUMBER(_xll.VoseSimPercentile(Sold_82,0.1)),_xll.VoseSimPercentile(Sold_82,0.1),NA())</f>
        <v>122</v>
      </c>
      <c r="D183" s="60" cm="1">
        <f t="array" aca="1" ref="D183" ca="1">IF(ISNUMBER(_xll.VoseSimPercentile(Sold_82,0.5)),_xll.VoseSimPercentile(Sold_82,0.5),NA())</f>
        <v>140</v>
      </c>
      <c r="E183" s="60" cm="1">
        <f t="array" aca="1" ref="E183" ca="1">IF(ISNUMBER(_xll.VoseSimPercentile(Sold_82,0.9)),_xll.VoseSimPercentile(Sold_82,0.9),NA())</f>
        <v>195</v>
      </c>
      <c r="F183" s="60" cm="1">
        <f t="array" aca="1" ref="F183" ca="1">IF(ISNUMBER(_xll.VoseSimMean(Sold_82)),_xll.VoseSimMean(Sold_82),NA())</f>
        <v>147.72243612180608</v>
      </c>
    </row>
    <row r="184" spans="2:6" hidden="1" outlineLevel="1" x14ac:dyDescent="0.45">
      <c r="B184" s="61" t="s">
        <v>269</v>
      </c>
      <c r="C184" s="60" cm="1">
        <f t="array" aca="1" ref="C184" ca="1">IF(ISNUMBER(_xll.VoseSimPercentile(Sold_83,0.1)),_xll.VoseSimPercentile(Sold_83,0.1),NA())</f>
        <v>124</v>
      </c>
      <c r="D184" s="60" cm="1">
        <f t="array" aca="1" ref="D184" ca="1">IF(ISNUMBER(_xll.VoseSimPercentile(Sold_83,0.5)),_xll.VoseSimPercentile(Sold_83,0.5),NA())</f>
        <v>141</v>
      </c>
      <c r="E184" s="60" cm="1">
        <f t="array" aca="1" ref="E184" ca="1">IF(ISNUMBER(_xll.VoseSimPercentile(Sold_83,0.9)),_xll.VoseSimPercentile(Sold_83,0.9),NA())</f>
        <v>195</v>
      </c>
      <c r="F184" s="60" cm="1">
        <f t="array" aca="1" ref="F184" ca="1">IF(ISNUMBER(_xll.VoseSimMean(Sold_83)),_xll.VoseSimMean(Sold_83),NA())</f>
        <v>148.71968598429922</v>
      </c>
    </row>
    <row r="185" spans="2:6" hidden="1" outlineLevel="1" x14ac:dyDescent="0.45">
      <c r="B185" s="61" t="s">
        <v>270</v>
      </c>
      <c r="C185" s="60" cm="1">
        <f t="array" aca="1" ref="C185" ca="1">IF(ISNUMBER(_xll.VoseSimPercentile(Sold_84,0.1)),_xll.VoseSimPercentile(Sold_84,0.1),NA())</f>
        <v>124</v>
      </c>
      <c r="D185" s="60" cm="1">
        <f t="array" aca="1" ref="D185" ca="1">IF(ISNUMBER(_xll.VoseSimPercentile(Sold_84,0.5)),_xll.VoseSimPercentile(Sold_84,0.5),NA())</f>
        <v>142</v>
      </c>
      <c r="E185" s="60" cm="1">
        <f t="array" aca="1" ref="E185" ca="1">IF(ISNUMBER(_xll.VoseSimPercentile(Sold_84,0.9)),_xll.VoseSimPercentile(Sold_84,0.9),NA())</f>
        <v>197</v>
      </c>
      <c r="F185" s="60" cm="1">
        <f t="array" aca="1" ref="F185" ca="1">IF(ISNUMBER(_xll.VoseSimMean(Sold_84)),_xll.VoseSimMean(Sold_84),NA())</f>
        <v>149.81969098454923</v>
      </c>
    </row>
    <row r="186" spans="2:6" hidden="1" outlineLevel="1" x14ac:dyDescent="0.45">
      <c r="B186" s="61" t="s">
        <v>271</v>
      </c>
      <c r="C186" s="60" cm="1">
        <f t="array" aca="1" ref="C186" ca="1">IF(ISNUMBER(_xll.VoseSimPercentile(Sold_85,0.1)),_xll.VoseSimPercentile(Sold_85,0.1),NA())</f>
        <v>125</v>
      </c>
      <c r="D186" s="60" cm="1">
        <f t="array" aca="1" ref="D186" ca="1">IF(ISNUMBER(_xll.VoseSimPercentile(Sold_85,0.5)),_xll.VoseSimPercentile(Sold_85,0.5),NA())</f>
        <v>142</v>
      </c>
      <c r="E186" s="60" cm="1">
        <f t="array" aca="1" ref="E186" ca="1">IF(ISNUMBER(_xll.VoseSimPercentile(Sold_85,0.9)),_xll.VoseSimPercentile(Sold_85,0.9),NA())</f>
        <v>199</v>
      </c>
      <c r="F186" s="60" cm="1">
        <f t="array" aca="1" ref="F186" ca="1">IF(ISNUMBER(_xll.VoseSimMean(Sold_85)),_xll.VoseSimMean(Sold_85),NA())</f>
        <v>150.79203960198009</v>
      </c>
    </row>
    <row r="187" spans="2:6" hidden="1" outlineLevel="1" x14ac:dyDescent="0.45">
      <c r="B187" s="61" t="s">
        <v>272</v>
      </c>
      <c r="C187" s="60" cm="1">
        <f t="array" aca="1" ref="C187" ca="1">IF(ISNUMBER(_xll.VoseSimPercentile(Sold_86,0.1)),_xll.VoseSimPercentile(Sold_86,0.1),NA())</f>
        <v>126</v>
      </c>
      <c r="D187" s="60" cm="1">
        <f t="array" aca="1" ref="D187" ca="1">IF(ISNUMBER(_xll.VoseSimPercentile(Sold_86,0.5)),_xll.VoseSimPercentile(Sold_86,0.5),NA())</f>
        <v>144</v>
      </c>
      <c r="E187" s="60" cm="1">
        <f t="array" aca="1" ref="E187" ca="1">IF(ISNUMBER(_xll.VoseSimPercentile(Sold_86,0.9)),_xll.VoseSimPercentile(Sold_86,0.9),NA())</f>
        <v>200</v>
      </c>
      <c r="F187" s="60" cm="1">
        <f t="array" aca="1" ref="F187" ca="1">IF(ISNUMBER(_xll.VoseSimMean(Sold_86)),_xll.VoseSimMean(Sold_86),NA())</f>
        <v>151.79138956947847</v>
      </c>
    </row>
    <row r="188" spans="2:6" hidden="1" outlineLevel="1" x14ac:dyDescent="0.45">
      <c r="B188" s="61" t="s">
        <v>273</v>
      </c>
      <c r="C188" s="60" cm="1">
        <f t="array" aca="1" ref="C188" ca="1">IF(ISNUMBER(_xll.VoseSimPercentile(Sold_87,0.1)),_xll.VoseSimPercentile(Sold_87,0.1),NA())</f>
        <v>127</v>
      </c>
      <c r="D188" s="60" cm="1">
        <f t="array" aca="1" ref="D188" ca="1">IF(ISNUMBER(_xll.VoseSimPercentile(Sold_87,0.5)),_xll.VoseSimPercentile(Sold_87,0.5),NA())</f>
        <v>144</v>
      </c>
      <c r="E188" s="60" cm="1">
        <f t="array" aca="1" ref="E188" ca="1">IF(ISNUMBER(_xll.VoseSimPercentile(Sold_87,0.9)),_xll.VoseSimPercentile(Sold_87,0.9),NA())</f>
        <v>201</v>
      </c>
      <c r="F188" s="60" cm="1">
        <f t="array" aca="1" ref="F188" ca="1">IF(ISNUMBER(_xll.VoseSimMean(Sold_87)),_xll.VoseSimMean(Sold_87),NA())</f>
        <v>152.81109055452774</v>
      </c>
    </row>
    <row r="189" spans="2:6" hidden="1" outlineLevel="1" x14ac:dyDescent="0.45">
      <c r="B189" s="61" t="s">
        <v>274</v>
      </c>
      <c r="C189" s="60" cm="1">
        <f t="array" aca="1" ref="C189" ca="1">IF(ISNUMBER(_xll.VoseSimPercentile(Sold_88,0.1)),_xll.VoseSimPercentile(Sold_88,0.1),NA())</f>
        <v>128</v>
      </c>
      <c r="D189" s="60" cm="1">
        <f t="array" aca="1" ref="D189" ca="1">IF(ISNUMBER(_xll.VoseSimPercentile(Sold_88,0.5)),_xll.VoseSimPercentile(Sold_88,0.5),NA())</f>
        <v>145</v>
      </c>
      <c r="E189" s="60" cm="1">
        <f t="array" aca="1" ref="E189" ca="1">IF(ISNUMBER(_xll.VoseSimPercentile(Sold_88,0.9)),_xll.VoseSimPercentile(Sold_88,0.9),NA())</f>
        <v>203</v>
      </c>
      <c r="F189" s="60" cm="1">
        <f t="array" aca="1" ref="F189" ca="1">IF(ISNUMBER(_xll.VoseSimMean(Sold_88)),_xll.VoseSimMean(Sold_88),NA())</f>
        <v>153.884394219711</v>
      </c>
    </row>
    <row r="190" spans="2:6" hidden="1" outlineLevel="1" x14ac:dyDescent="0.45">
      <c r="B190" s="61" t="s">
        <v>275</v>
      </c>
      <c r="C190" s="60" cm="1">
        <f t="array" aca="1" ref="C190" ca="1">IF(ISNUMBER(_xll.VoseSimPercentile(Sold_89,0.1)),_xll.VoseSimPercentile(Sold_89,0.1),NA())</f>
        <v>129</v>
      </c>
      <c r="D190" s="60" cm="1">
        <f t="array" aca="1" ref="D190" ca="1">IF(ISNUMBER(_xll.VoseSimPercentile(Sold_89,0.5)),_xll.VoseSimPercentile(Sold_89,0.5),NA())</f>
        <v>146</v>
      </c>
      <c r="E190" s="60" cm="1">
        <f t="array" aca="1" ref="E190" ca="1">IF(ISNUMBER(_xll.VoseSimPercentile(Sold_89,0.9)),_xll.VoseSimPercentile(Sold_89,0.9),NA())</f>
        <v>204</v>
      </c>
      <c r="F190" s="60" cm="1">
        <f t="array" aca="1" ref="F190" ca="1">IF(ISNUMBER(_xll.VoseSimMean(Sold_89)),_xll.VoseSimMean(Sold_89),NA())</f>
        <v>154.88239411970599</v>
      </c>
    </row>
    <row r="191" spans="2:6" hidden="1" outlineLevel="1" x14ac:dyDescent="0.45">
      <c r="B191" s="61" t="s">
        <v>276</v>
      </c>
      <c r="C191" s="60" cm="1">
        <f t="array" aca="1" ref="C191" ca="1">IF(ISNUMBER(_xll.VoseSimPercentile(Sold_90,0.1)),_xll.VoseSimPercentile(Sold_90,0.1),NA())</f>
        <v>130</v>
      </c>
      <c r="D191" s="60" cm="1">
        <f t="array" aca="1" ref="D191" ca="1">IF(ISNUMBER(_xll.VoseSimPercentile(Sold_90,0.5)),_xll.VoseSimPercentile(Sold_90,0.5),NA())</f>
        <v>147</v>
      </c>
      <c r="E191" s="60" cm="1">
        <f t="array" aca="1" ref="E191" ca="1">IF(ISNUMBER(_xll.VoseSimPercentile(Sold_90,0.9)),_xll.VoseSimPercentile(Sold_90,0.9),NA())</f>
        <v>205</v>
      </c>
      <c r="F191" s="60" cm="1">
        <f t="array" aca="1" ref="F191" ca="1">IF(ISNUMBER(_xll.VoseSimMean(Sold_90)),_xll.VoseSimMean(Sold_90),NA())</f>
        <v>155.80229011450572</v>
      </c>
    </row>
    <row r="192" spans="2:6" hidden="1" outlineLevel="1" x14ac:dyDescent="0.45">
      <c r="B192" s="61" t="s">
        <v>277</v>
      </c>
      <c r="C192" s="60" cm="1">
        <f t="array" aca="1" ref="C192" ca="1">IF(ISNUMBER(_xll.VoseSimPercentile(Sold_91,0.1)),_xll.VoseSimPercentile(Sold_91,0.1),NA())</f>
        <v>131</v>
      </c>
      <c r="D192" s="60" cm="1">
        <f t="array" aca="1" ref="D192" ca="1">IF(ISNUMBER(_xll.VoseSimPercentile(Sold_91,0.5)),_xll.VoseSimPercentile(Sold_91,0.5),NA())</f>
        <v>148</v>
      </c>
      <c r="E192" s="60" cm="1">
        <f t="array" aca="1" ref="E192" ca="1">IF(ISNUMBER(_xll.VoseSimPercentile(Sold_91,0.9)),_xll.VoseSimPercentile(Sold_91,0.9),NA())</f>
        <v>206</v>
      </c>
      <c r="F192" s="60" cm="1">
        <f t="array" aca="1" ref="F192" ca="1">IF(ISNUMBER(_xll.VoseSimMean(Sold_91)),_xll.VoseSimMean(Sold_91),NA())</f>
        <v>156.58237911895594</v>
      </c>
    </row>
    <row r="193" spans="2:7" hidden="1" outlineLevel="1" x14ac:dyDescent="0.45">
      <c r="B193" s="61" t="s">
        <v>278</v>
      </c>
      <c r="C193" s="60" cm="1">
        <f t="array" aca="1" ref="C193" ca="1">IF(ISNUMBER(_xll.VoseSimPercentile(Sold_92,0.1)),_xll.VoseSimPercentile(Sold_92,0.1),NA())</f>
        <v>131</v>
      </c>
      <c r="D193" s="60" cm="1">
        <f t="array" aca="1" ref="D193" ca="1">IF(ISNUMBER(_xll.VoseSimPercentile(Sold_92,0.5)),_xll.VoseSimPercentile(Sold_92,0.5),NA())</f>
        <v>149</v>
      </c>
      <c r="E193" s="60" cm="1">
        <f t="array" aca="1" ref="E193" ca="1">IF(ISNUMBER(_xll.VoseSimPercentile(Sold_92,0.9)),_xll.VoseSimPercentile(Sold_92,0.9),NA())</f>
        <v>207</v>
      </c>
      <c r="F193" s="60" cm="1">
        <f t="array" aca="1" ref="F193" ca="1">IF(ISNUMBER(_xll.VoseSimMean(Sold_92)),_xll.VoseSimMean(Sold_92),NA())</f>
        <v>157.72168608430422</v>
      </c>
    </row>
    <row r="194" spans="2:7" hidden="1" outlineLevel="1" x14ac:dyDescent="0.45">
      <c r="B194" s="61" t="s">
        <v>279</v>
      </c>
      <c r="C194" s="60" cm="1">
        <f t="array" aca="1" ref="C194" ca="1">IF(ISNUMBER(_xll.VoseSimPercentile(Sold_93,0.1)),_xll.VoseSimPercentile(Sold_93,0.1),NA())</f>
        <v>132</v>
      </c>
      <c r="D194" s="60" cm="1">
        <f t="array" aca="1" ref="D194" ca="1">IF(ISNUMBER(_xll.VoseSimPercentile(Sold_93,0.5)),_xll.VoseSimPercentile(Sold_93,0.5),NA())</f>
        <v>150</v>
      </c>
      <c r="E194" s="60" cm="1">
        <f t="array" aca="1" ref="E194" ca="1">IF(ISNUMBER(_xll.VoseSimPercentile(Sold_93,0.9)),_xll.VoseSimPercentile(Sold_93,0.9),NA())</f>
        <v>209</v>
      </c>
      <c r="F194" s="60" cm="1">
        <f t="array" aca="1" ref="F194" ca="1">IF(ISNUMBER(_xll.VoseSimMean(Sold_93)),_xll.VoseSimMean(Sold_93),NA())</f>
        <v>158.61958097904895</v>
      </c>
    </row>
    <row r="195" spans="2:7" hidden="1" outlineLevel="1" x14ac:dyDescent="0.45">
      <c r="B195" s="61" t="s">
        <v>280</v>
      </c>
      <c r="C195" s="60" cm="1">
        <f t="array" aca="1" ref="C195" ca="1">IF(ISNUMBER(_xll.VoseSimPercentile(Sold_94,0.1)),_xll.VoseSimPercentile(Sold_94,0.1),NA())</f>
        <v>133</v>
      </c>
      <c r="D195" s="60" cm="1">
        <f t="array" aca="1" ref="D195" ca="1">IF(ISNUMBER(_xll.VoseSimPercentile(Sold_94,0.5)),_xll.VoseSimPercentile(Sold_94,0.5),NA())</f>
        <v>151</v>
      </c>
      <c r="E195" s="60" cm="1">
        <f t="array" aca="1" ref="E195" ca="1">IF(ISNUMBER(_xll.VoseSimPercentile(Sold_94,0.9)),_xll.VoseSimPercentile(Sold_94,0.9),NA())</f>
        <v>210</v>
      </c>
      <c r="F195" s="60" cm="1">
        <f t="array" aca="1" ref="F195" ca="1">IF(ISNUMBER(_xll.VoseSimMean(Sold_94)),_xll.VoseSimMean(Sold_94),NA())</f>
        <v>159.95814790739536</v>
      </c>
    </row>
    <row r="196" spans="2:7" hidden="1" outlineLevel="1" x14ac:dyDescent="0.45">
      <c r="B196" s="61" t="s">
        <v>281</v>
      </c>
      <c r="C196" s="60" cm="1">
        <f t="array" aca="1" ref="C196" ca="1">IF(ISNUMBER(_xll.VoseSimPercentile(Sold_95,0.1)),_xll.VoseSimPercentile(Sold_95,0.1),NA())</f>
        <v>134</v>
      </c>
      <c r="D196" s="60" cm="1">
        <f t="array" aca="1" ref="D196" ca="1">IF(ISNUMBER(_xll.VoseSimPercentile(Sold_95,0.5)),_xll.VoseSimPercentile(Sold_95,0.5),NA())</f>
        <v>152</v>
      </c>
      <c r="E196" s="60" cm="1">
        <f t="array" aca="1" ref="E196" ca="1">IF(ISNUMBER(_xll.VoseSimPercentile(Sold_95,0.9)),_xll.VoseSimPercentile(Sold_95,0.9),NA())</f>
        <v>212</v>
      </c>
      <c r="F196" s="60" cm="1">
        <f t="array" aca="1" ref="F196" ca="1">IF(ISNUMBER(_xll.VoseSimMean(Sold_95)),_xll.VoseSimMean(Sold_95),NA())</f>
        <v>160.87884394219711</v>
      </c>
    </row>
    <row r="197" spans="2:7" hidden="1" outlineLevel="1" x14ac:dyDescent="0.45">
      <c r="B197" s="61" t="s">
        <v>282</v>
      </c>
      <c r="C197" s="60" cm="1">
        <f t="array" aca="1" ref="C197" ca="1">IF(ISNUMBER(_xll.VoseSimPercentile(Sold_96,0.1)),_xll.VoseSimPercentile(Sold_96,0.1),NA())</f>
        <v>135</v>
      </c>
      <c r="D197" s="60" cm="1">
        <f t="array" aca="1" ref="D197" ca="1">IF(ISNUMBER(_xll.VoseSimPercentile(Sold_96,0.5)),_xll.VoseSimPercentile(Sold_96,0.5),NA())</f>
        <v>153</v>
      </c>
      <c r="E197" s="60" cm="1">
        <f t="array" aca="1" ref="E197" ca="1">IF(ISNUMBER(_xll.VoseSimPercentile(Sold_96,0.9)),_xll.VoseSimPercentile(Sold_96,0.9),NA())</f>
        <v>213</v>
      </c>
      <c r="F197" s="60" cm="1">
        <f t="array" aca="1" ref="F197" ca="1">IF(ISNUMBER(_xll.VoseSimMean(Sold_96)),_xll.VoseSimMean(Sold_96),NA())</f>
        <v>161.72048602430121</v>
      </c>
    </row>
    <row r="198" spans="2:7" hidden="1" outlineLevel="1" x14ac:dyDescent="0.45">
      <c r="B198" s="61" t="s">
        <v>283</v>
      </c>
      <c r="C198" s="60" cm="1">
        <f t="array" aca="1" ref="C198" ca="1">IF(ISNUMBER(_xll.VoseSimPercentile(Sold_97,0.1)),_xll.VoseSimPercentile(Sold_97,0.1),NA())</f>
        <v>136</v>
      </c>
      <c r="D198" s="60" cm="1">
        <f t="array" aca="1" ref="D198" ca="1">IF(ISNUMBER(_xll.VoseSimPercentile(Sold_97,0.5)),_xll.VoseSimPercentile(Sold_97,0.5),NA())</f>
        <v>154</v>
      </c>
      <c r="E198" s="60" cm="1">
        <f t="array" aca="1" ref="E198" ca="1">IF(ISNUMBER(_xll.VoseSimPercentile(Sold_97,0.9)),_xll.VoseSimPercentile(Sold_97,0.9),NA())</f>
        <v>214</v>
      </c>
      <c r="F198" s="60" cm="1">
        <f t="array" aca="1" ref="F198" ca="1">IF(ISNUMBER(_xll.VoseSimMean(Sold_97)),_xll.VoseSimMean(Sold_97),NA())</f>
        <v>162.74648732436623</v>
      </c>
    </row>
    <row r="199" spans="2:7" hidden="1" outlineLevel="1" x14ac:dyDescent="0.45">
      <c r="B199" s="61" t="s">
        <v>284</v>
      </c>
      <c r="C199" s="60" cm="1">
        <f t="array" aca="1" ref="C199" ca="1">IF(ISNUMBER(_xll.VoseSimPercentile(Sold_98,0.1)),_xll.VoseSimPercentile(Sold_98,0.1),NA())</f>
        <v>136</v>
      </c>
      <c r="D199" s="60" cm="1">
        <f t="array" aca="1" ref="D199" ca="1">IF(ISNUMBER(_xll.VoseSimPercentile(Sold_98,0.5)),_xll.VoseSimPercentile(Sold_98,0.5),NA())</f>
        <v>154</v>
      </c>
      <c r="E199" s="60" cm="1">
        <f t="array" aca="1" ref="E199" ca="1">IF(ISNUMBER(_xll.VoseSimPercentile(Sold_98,0.9)),_xll.VoseSimPercentile(Sold_98,0.9),NA())</f>
        <v>215</v>
      </c>
      <c r="F199" s="60" cm="1">
        <f t="array" aca="1" ref="F199" ca="1">IF(ISNUMBER(_xll.VoseSimMean(Sold_98)),_xll.VoseSimMean(Sold_98),NA())</f>
        <v>163.43707185359267</v>
      </c>
    </row>
    <row r="200" spans="2:7" hidden="1" outlineLevel="1" x14ac:dyDescent="0.45">
      <c r="B200" s="61" t="s">
        <v>285</v>
      </c>
      <c r="C200" s="60" cm="1">
        <f t="array" aca="1" ref="C200" ca="1">IF(ISNUMBER(_xll.VoseSimPercentile(Sold_99,0.1)),_xll.VoseSimPercentile(Sold_99,0.1),NA())</f>
        <v>137</v>
      </c>
      <c r="D200" s="60" cm="1">
        <f t="array" aca="1" ref="D200" ca="1">IF(ISNUMBER(_xll.VoseSimPercentile(Sold_99,0.5)),_xll.VoseSimPercentile(Sold_99,0.5),NA())</f>
        <v>156</v>
      </c>
      <c r="E200" s="60" cm="1">
        <f t="array" aca="1" ref="E200" ca="1">IF(ISNUMBER(_xll.VoseSimPercentile(Sold_99,0.9)),_xll.VoseSimPercentile(Sold_99,0.9),NA())</f>
        <v>217</v>
      </c>
      <c r="F200" s="60" cm="1">
        <f t="array" aca="1" ref="F200" ca="1">IF(ISNUMBER(_xll.VoseSimMean(Sold_99)),_xll.VoseSimMean(Sold_99),NA())</f>
        <v>164.73203660183009</v>
      </c>
    </row>
    <row r="201" spans="2:7" hidden="1" outlineLevel="1" x14ac:dyDescent="0.45">
      <c r="B201" s="61" t="s">
        <v>286</v>
      </c>
      <c r="C201" s="60" cm="1">
        <f t="array" aca="1" ref="C201" ca="1">IF(ISNUMBER(_xll.VoseSimPercentile(Sold_100,0.1)),_xll.VoseSimPercentile(Sold_100,0.1),NA())</f>
        <v>139</v>
      </c>
      <c r="D201" s="60" cm="1">
        <f t="array" aca="1" ref="D201" ca="1">IF(ISNUMBER(_xll.VoseSimPercentile(Sold_100,0.5)),_xll.VoseSimPercentile(Sold_100,0.5),NA())</f>
        <v>157</v>
      </c>
      <c r="E201" s="60" cm="1">
        <f t="array" aca="1" ref="E201" ca="1">IF(ISNUMBER(_xll.VoseSimPercentile(Sold_100,0.9)),_xll.VoseSimPercentile(Sold_100,0.9),NA())</f>
        <v>219</v>
      </c>
      <c r="F201" s="60" cm="1">
        <f t="array" aca="1" ref="F201" ca="1">IF(ISNUMBER(_xll.VoseSimMean(Sold_100)),_xll.VoseSimMean(Sold_100),NA())</f>
        <v>165.8546427321366</v>
      </c>
    </row>
    <row r="202" spans="2:7" hidden="1" outlineLevel="1" x14ac:dyDescent="0.45"/>
    <row r="203" spans="2:7" ht="18" hidden="1" customHeight="1" outlineLevel="1" x14ac:dyDescent="0.45">
      <c r="B203" s="23" t="s">
        <v>287</v>
      </c>
      <c r="C203" s="24" t="s">
        <v>142</v>
      </c>
      <c r="D203" s="5"/>
      <c r="E203" s="5"/>
      <c r="F203" s="5"/>
      <c r="G203" s="5"/>
    </row>
    <row r="204" spans="2:7" hidden="1" outlineLevel="1" x14ac:dyDescent="0.45">
      <c r="B204" s="62">
        <v>5.0000000000000001E-3</v>
      </c>
      <c r="C204" s="60" cm="1">
        <f t="array" aca="1" ref="C204" ca="1">IF(ISNUMBER(_xll.VoseSimPercentile(Units,0.005)),_xll.VoseSimPercentile(Units,0.005),NA())</f>
        <v>11188</v>
      </c>
    </row>
    <row r="205" spans="2:7" hidden="1" outlineLevel="1" x14ac:dyDescent="0.45">
      <c r="B205" s="62">
        <v>0.01</v>
      </c>
      <c r="C205" s="60" cm="1">
        <f t="array" aca="1" ref="C205" ca="1">IF(ISNUMBER(_xll.VoseSimPercentile(Units,0.01)),_xll.VoseSimPercentile(Units,0.01),NA())</f>
        <v>11233</v>
      </c>
    </row>
    <row r="206" spans="2:7" hidden="1" outlineLevel="1" x14ac:dyDescent="0.45">
      <c r="B206" s="62">
        <v>0.02</v>
      </c>
      <c r="C206" s="60" cm="1">
        <f t="array" aca="1" ref="C206" ca="1">IF(ISNUMBER(_xll.VoseSimPercentile(Units,0.02)),_xll.VoseSimPercentile(Units,0.02),NA())</f>
        <v>11275</v>
      </c>
    </row>
    <row r="207" spans="2:7" hidden="1" outlineLevel="1" x14ac:dyDescent="0.45">
      <c r="B207" s="62">
        <v>0.03</v>
      </c>
      <c r="C207" s="60" cm="1">
        <f t="array" aca="1" ref="C207" ca="1">IF(ISNUMBER(_xll.VoseSimPercentile(Units,0.03)),_xll.VoseSimPercentile(Units,0.03),NA())</f>
        <v>11302</v>
      </c>
    </row>
    <row r="208" spans="2:7" hidden="1" outlineLevel="1" x14ac:dyDescent="0.45">
      <c r="B208" s="62">
        <v>0.04</v>
      </c>
      <c r="C208" s="60" cm="1">
        <f t="array" aca="1" ref="C208" ca="1">IF(ISNUMBER(_xll.VoseSimPercentile(Units,0.04)),_xll.VoseSimPercentile(Units,0.04),NA())</f>
        <v>11326</v>
      </c>
    </row>
    <row r="209" spans="2:3" hidden="1" outlineLevel="1" x14ac:dyDescent="0.45">
      <c r="B209" s="62">
        <v>0.05</v>
      </c>
      <c r="C209" s="60" cm="1">
        <f t="array" aca="1" ref="C209" ca="1">IF(ISNUMBER(_xll.VoseSimPercentile(Units,0.05)),_xll.VoseSimPercentile(Units,0.05),NA())</f>
        <v>11347</v>
      </c>
    </row>
    <row r="210" spans="2:3" hidden="1" outlineLevel="1" x14ac:dyDescent="0.45">
      <c r="B210" s="62">
        <v>0.06</v>
      </c>
      <c r="C210" s="60" cm="1">
        <f t="array" aca="1" ref="C210" ca="1">IF(ISNUMBER(_xll.VoseSimPercentile(Units,0.06)),_xll.VoseSimPercentile(Units,0.06),NA())</f>
        <v>11366</v>
      </c>
    </row>
    <row r="211" spans="2:3" hidden="1" outlineLevel="1" x14ac:dyDescent="0.45">
      <c r="B211" s="62">
        <v>7.0000000000000007E-2</v>
      </c>
      <c r="C211" s="60" cm="1">
        <f t="array" aca="1" ref="C211" ca="1">IF(ISNUMBER(_xll.VoseSimPercentile(Units,0.07)),_xll.VoseSimPercentile(Units,0.07),NA())</f>
        <v>11386</v>
      </c>
    </row>
    <row r="212" spans="2:3" hidden="1" outlineLevel="1" x14ac:dyDescent="0.45">
      <c r="B212" s="62">
        <v>0.08</v>
      </c>
      <c r="C212" s="60" cm="1">
        <f t="array" aca="1" ref="C212" ca="1">IF(ISNUMBER(_xll.VoseSimPercentile(Units,0.08)),_xll.VoseSimPercentile(Units,0.08),NA())</f>
        <v>11402</v>
      </c>
    </row>
    <row r="213" spans="2:3" hidden="1" outlineLevel="1" x14ac:dyDescent="0.45">
      <c r="B213" s="62">
        <v>0.09</v>
      </c>
      <c r="C213" s="60" cm="1">
        <f t="array" aca="1" ref="C213" ca="1">IF(ISNUMBER(_xll.VoseSimPercentile(Units,0.09)),_xll.VoseSimPercentile(Units,0.09),NA())</f>
        <v>11418</v>
      </c>
    </row>
    <row r="214" spans="2:3" hidden="1" outlineLevel="1" x14ac:dyDescent="0.45">
      <c r="B214" s="62">
        <v>0.1</v>
      </c>
      <c r="C214" s="60" cm="1">
        <f t="array" aca="1" ref="C214" ca="1">IF(ISNUMBER(_xll.VoseSimPercentile(Units,0.1)),_xll.VoseSimPercentile(Units,0.1),NA())</f>
        <v>11433</v>
      </c>
    </row>
    <row r="215" spans="2:3" hidden="1" outlineLevel="1" x14ac:dyDescent="0.45">
      <c r="B215" s="62">
        <v>0.11</v>
      </c>
      <c r="C215" s="60" cm="1">
        <f t="array" aca="1" ref="C215" ca="1">IF(ISNUMBER(_xll.VoseSimPercentile(Units,0.11)),_xll.VoseSimPercentile(Units,0.11),NA())</f>
        <v>11446</v>
      </c>
    </row>
    <row r="216" spans="2:3" hidden="1" outlineLevel="1" x14ac:dyDescent="0.45">
      <c r="B216" s="62">
        <v>0.12</v>
      </c>
      <c r="C216" s="60" cm="1">
        <f t="array" aca="1" ref="C216" ca="1">IF(ISNUMBER(_xll.VoseSimPercentile(Units,0.12)),_xll.VoseSimPercentile(Units,0.12),NA())</f>
        <v>11463</v>
      </c>
    </row>
    <row r="217" spans="2:3" hidden="1" outlineLevel="1" x14ac:dyDescent="0.45">
      <c r="B217" s="62">
        <v>0.13</v>
      </c>
      <c r="C217" s="60" cm="1">
        <f t="array" aca="1" ref="C217" ca="1">IF(ISNUMBER(_xll.VoseSimPercentile(Units,0.13)),_xll.VoseSimPercentile(Units,0.13),NA())</f>
        <v>11476</v>
      </c>
    </row>
    <row r="218" spans="2:3" hidden="1" outlineLevel="1" x14ac:dyDescent="0.45">
      <c r="B218" s="62">
        <v>0.14000000000000001</v>
      </c>
      <c r="C218" s="60" cm="1">
        <f t="array" aca="1" ref="C218" ca="1">IF(ISNUMBER(_xll.VoseSimPercentile(Units,0.14)),_xll.VoseSimPercentile(Units,0.14),NA())</f>
        <v>11491</v>
      </c>
    </row>
    <row r="219" spans="2:3" hidden="1" outlineLevel="1" x14ac:dyDescent="0.45">
      <c r="B219" s="62">
        <v>0.15</v>
      </c>
      <c r="C219" s="60" cm="1">
        <f t="array" aca="1" ref="C219" ca="1">IF(ISNUMBER(_xll.VoseSimPercentile(Units,0.15)),_xll.VoseSimPercentile(Units,0.15),NA())</f>
        <v>11507</v>
      </c>
    </row>
    <row r="220" spans="2:3" hidden="1" outlineLevel="1" x14ac:dyDescent="0.45">
      <c r="B220" s="62">
        <v>0.16</v>
      </c>
      <c r="C220" s="60" cm="1">
        <f t="array" aca="1" ref="C220" ca="1">IF(ISNUMBER(_xll.VoseSimPercentile(Units,0.16)),_xll.VoseSimPercentile(Units,0.16),NA())</f>
        <v>11522</v>
      </c>
    </row>
    <row r="221" spans="2:3" hidden="1" outlineLevel="1" x14ac:dyDescent="0.45">
      <c r="B221" s="62">
        <v>0.17</v>
      </c>
      <c r="C221" s="60" cm="1">
        <f t="array" aca="1" ref="C221" ca="1">IF(ISNUMBER(_xll.VoseSimPercentile(Units,0.17)),_xll.VoseSimPercentile(Units,0.17),NA())</f>
        <v>11534</v>
      </c>
    </row>
    <row r="222" spans="2:3" hidden="1" outlineLevel="1" x14ac:dyDescent="0.45">
      <c r="B222" s="62">
        <v>0.18</v>
      </c>
      <c r="C222" s="60" cm="1">
        <f t="array" aca="1" ref="C222" ca="1">IF(ISNUMBER(_xll.VoseSimPercentile(Units,0.18)),_xll.VoseSimPercentile(Units,0.18),NA())</f>
        <v>11552</v>
      </c>
    </row>
    <row r="223" spans="2:3" hidden="1" outlineLevel="1" x14ac:dyDescent="0.45">
      <c r="B223" s="62">
        <v>0.19</v>
      </c>
      <c r="C223" s="60" cm="1">
        <f t="array" aca="1" ref="C223" ca="1">IF(ISNUMBER(_xll.VoseSimPercentile(Units,0.19)),_xll.VoseSimPercentile(Units,0.19),NA())</f>
        <v>11565</v>
      </c>
    </row>
    <row r="224" spans="2:3" hidden="1" outlineLevel="1" x14ac:dyDescent="0.45">
      <c r="B224" s="62">
        <v>0.2</v>
      </c>
      <c r="C224" s="60" cm="1">
        <f t="array" aca="1" ref="C224" ca="1">IF(ISNUMBER(_xll.VoseSimPercentile(Units,0.2)),_xll.VoseSimPercentile(Units,0.2),NA())</f>
        <v>11575</v>
      </c>
    </row>
    <row r="225" spans="2:3" hidden="1" outlineLevel="1" x14ac:dyDescent="0.45">
      <c r="B225" s="62">
        <v>0.21</v>
      </c>
      <c r="C225" s="60" cm="1">
        <f t="array" aca="1" ref="C225" ca="1">IF(ISNUMBER(_xll.VoseSimPercentile(Units,0.21)),_xll.VoseSimPercentile(Units,0.21),NA())</f>
        <v>11590</v>
      </c>
    </row>
    <row r="226" spans="2:3" hidden="1" outlineLevel="1" x14ac:dyDescent="0.45">
      <c r="B226" s="62">
        <v>0.22</v>
      </c>
      <c r="C226" s="60" cm="1">
        <f t="array" aca="1" ref="C226" ca="1">IF(ISNUMBER(_xll.VoseSimPercentile(Units,0.22)),_xll.VoseSimPercentile(Units,0.22),NA())</f>
        <v>11606</v>
      </c>
    </row>
    <row r="227" spans="2:3" hidden="1" outlineLevel="1" x14ac:dyDescent="0.45">
      <c r="B227" s="62">
        <v>0.23</v>
      </c>
      <c r="C227" s="60" cm="1">
        <f t="array" aca="1" ref="C227" ca="1">IF(ISNUMBER(_xll.VoseSimPercentile(Units,0.23)),_xll.VoseSimPercentile(Units,0.23),NA())</f>
        <v>11621</v>
      </c>
    </row>
    <row r="228" spans="2:3" hidden="1" outlineLevel="1" x14ac:dyDescent="0.45">
      <c r="B228" s="62">
        <v>0.24</v>
      </c>
      <c r="C228" s="60" cm="1">
        <f t="array" aca="1" ref="C228" ca="1">IF(ISNUMBER(_xll.VoseSimPercentile(Units,0.24)),_xll.VoseSimPercentile(Units,0.24),NA())</f>
        <v>11634</v>
      </c>
    </row>
    <row r="229" spans="2:3" hidden="1" outlineLevel="1" x14ac:dyDescent="0.45">
      <c r="B229" s="62">
        <v>0.25</v>
      </c>
      <c r="C229" s="60" cm="1">
        <f t="array" aca="1" ref="C229" ca="1">IF(ISNUMBER(_xll.VoseSimPercentile(Units,0.25)),_xll.VoseSimPercentile(Units,0.25),NA())</f>
        <v>11649</v>
      </c>
    </row>
    <row r="230" spans="2:3" hidden="1" outlineLevel="1" x14ac:dyDescent="0.45">
      <c r="B230" s="62">
        <v>0.26</v>
      </c>
      <c r="C230" s="60" cm="1">
        <f t="array" aca="1" ref="C230" ca="1">IF(ISNUMBER(_xll.VoseSimPercentile(Units,0.26)),_xll.VoseSimPercentile(Units,0.26),NA())</f>
        <v>11665</v>
      </c>
    </row>
    <row r="231" spans="2:3" hidden="1" outlineLevel="1" x14ac:dyDescent="0.45">
      <c r="B231" s="62">
        <v>0.27</v>
      </c>
      <c r="C231" s="60" cm="1">
        <f t="array" aca="1" ref="C231" ca="1">IF(ISNUMBER(_xll.VoseSimPercentile(Units,0.27)),_xll.VoseSimPercentile(Units,0.27),NA())</f>
        <v>11682</v>
      </c>
    </row>
    <row r="232" spans="2:3" hidden="1" outlineLevel="1" x14ac:dyDescent="0.45">
      <c r="B232" s="62">
        <v>0.28000000000000003</v>
      </c>
      <c r="C232" s="60" cm="1">
        <f t="array" aca="1" ref="C232" ca="1">IF(ISNUMBER(_xll.VoseSimPercentile(Units,0.28)),_xll.VoseSimPercentile(Units,0.28),NA())</f>
        <v>11695</v>
      </c>
    </row>
    <row r="233" spans="2:3" hidden="1" outlineLevel="1" x14ac:dyDescent="0.45">
      <c r="B233" s="62">
        <v>0.28999999999999998</v>
      </c>
      <c r="C233" s="60" cm="1">
        <f t="array" aca="1" ref="C233" ca="1">IF(ISNUMBER(_xll.VoseSimPercentile(Units,0.29)),_xll.VoseSimPercentile(Units,0.29),NA())</f>
        <v>11709</v>
      </c>
    </row>
    <row r="234" spans="2:3" hidden="1" outlineLevel="1" x14ac:dyDescent="0.45">
      <c r="B234" s="62">
        <v>0.3</v>
      </c>
      <c r="C234" s="60" cm="1">
        <f t="array" aca="1" ref="C234" ca="1">IF(ISNUMBER(_xll.VoseSimPercentile(Units,0.3)),_xll.VoseSimPercentile(Units,0.3),NA())</f>
        <v>11723</v>
      </c>
    </row>
    <row r="235" spans="2:3" hidden="1" outlineLevel="1" x14ac:dyDescent="0.45">
      <c r="B235" s="62">
        <v>0.31</v>
      </c>
      <c r="C235" s="60" cm="1">
        <f t="array" aca="1" ref="C235" ca="1">IF(ISNUMBER(_xll.VoseSimPercentile(Units,0.31)),_xll.VoseSimPercentile(Units,0.31),NA())</f>
        <v>11735</v>
      </c>
    </row>
    <row r="236" spans="2:3" hidden="1" outlineLevel="1" x14ac:dyDescent="0.45">
      <c r="B236" s="62">
        <v>0.32</v>
      </c>
      <c r="C236" s="60" cm="1">
        <f t="array" aca="1" ref="C236" ca="1">IF(ISNUMBER(_xll.VoseSimPercentile(Units,0.32)),_xll.VoseSimPercentile(Units,0.32),NA())</f>
        <v>11750</v>
      </c>
    </row>
    <row r="237" spans="2:3" hidden="1" outlineLevel="1" x14ac:dyDescent="0.45">
      <c r="B237" s="62">
        <v>0.33</v>
      </c>
      <c r="C237" s="60" cm="1">
        <f t="array" aca="1" ref="C237" ca="1">IF(ISNUMBER(_xll.VoseSimPercentile(Units,0.33)),_xll.VoseSimPercentile(Units,0.33),NA())</f>
        <v>11764</v>
      </c>
    </row>
    <row r="238" spans="2:3" hidden="1" outlineLevel="1" x14ac:dyDescent="0.45">
      <c r="B238" s="62">
        <v>0.34</v>
      </c>
      <c r="C238" s="60" cm="1">
        <f t="array" aca="1" ref="C238" ca="1">IF(ISNUMBER(_xll.VoseSimPercentile(Units,0.34)),_xll.VoseSimPercentile(Units,0.34),NA())</f>
        <v>11778</v>
      </c>
    </row>
    <row r="239" spans="2:3" hidden="1" outlineLevel="1" x14ac:dyDescent="0.45">
      <c r="B239" s="62">
        <v>0.35</v>
      </c>
      <c r="C239" s="60" cm="1">
        <f t="array" aca="1" ref="C239" ca="1">IF(ISNUMBER(_xll.VoseSimPercentile(Units,0.35)),_xll.VoseSimPercentile(Units,0.35),NA())</f>
        <v>11793</v>
      </c>
    </row>
    <row r="240" spans="2:3" hidden="1" outlineLevel="1" x14ac:dyDescent="0.45">
      <c r="B240" s="62">
        <v>0.36</v>
      </c>
      <c r="C240" s="60" cm="1">
        <f t="array" aca="1" ref="C240" ca="1">IF(ISNUMBER(_xll.VoseSimPercentile(Units,0.36)),_xll.VoseSimPercentile(Units,0.36),NA())</f>
        <v>11809</v>
      </c>
    </row>
    <row r="241" spans="2:3" hidden="1" outlineLevel="1" x14ac:dyDescent="0.45">
      <c r="B241" s="62">
        <v>0.37</v>
      </c>
      <c r="C241" s="60" cm="1">
        <f t="array" aca="1" ref="C241" ca="1">IF(ISNUMBER(_xll.VoseSimPercentile(Units,0.37)),_xll.VoseSimPercentile(Units,0.37),NA())</f>
        <v>11825</v>
      </c>
    </row>
    <row r="242" spans="2:3" hidden="1" outlineLevel="1" x14ac:dyDescent="0.45">
      <c r="B242" s="62">
        <v>0.38</v>
      </c>
      <c r="C242" s="60" cm="1">
        <f t="array" aca="1" ref="C242" ca="1">IF(ISNUMBER(_xll.VoseSimPercentile(Units,0.38)),_xll.VoseSimPercentile(Units,0.38),NA())</f>
        <v>11839</v>
      </c>
    </row>
    <row r="243" spans="2:3" hidden="1" outlineLevel="1" x14ac:dyDescent="0.45">
      <c r="B243" s="62">
        <v>0.39</v>
      </c>
      <c r="C243" s="60" cm="1">
        <f t="array" aca="1" ref="C243" ca="1">IF(ISNUMBER(_xll.VoseSimPercentile(Units,0.39)),_xll.VoseSimPercentile(Units,0.39),NA())</f>
        <v>11855</v>
      </c>
    </row>
    <row r="244" spans="2:3" hidden="1" outlineLevel="1" x14ac:dyDescent="0.45">
      <c r="B244" s="62">
        <v>0.4</v>
      </c>
      <c r="C244" s="60" cm="1">
        <f t="array" aca="1" ref="C244" ca="1">IF(ISNUMBER(_xll.VoseSimPercentile(Units,0.4)),_xll.VoseSimPercentile(Units,0.4),NA())</f>
        <v>11871</v>
      </c>
    </row>
    <row r="245" spans="2:3" hidden="1" outlineLevel="1" x14ac:dyDescent="0.45">
      <c r="B245" s="62">
        <v>0.41</v>
      </c>
      <c r="C245" s="60" cm="1">
        <f t="array" aca="1" ref="C245" ca="1">IF(ISNUMBER(_xll.VoseSimPercentile(Units,0.41)),_xll.VoseSimPercentile(Units,0.41),NA())</f>
        <v>11889</v>
      </c>
    </row>
    <row r="246" spans="2:3" hidden="1" outlineLevel="1" x14ac:dyDescent="0.45">
      <c r="B246" s="62">
        <v>0.42</v>
      </c>
      <c r="C246" s="60" cm="1">
        <f t="array" aca="1" ref="C246" ca="1">IF(ISNUMBER(_xll.VoseSimPercentile(Units,0.42)),_xll.VoseSimPercentile(Units,0.42),NA())</f>
        <v>11906</v>
      </c>
    </row>
    <row r="247" spans="2:3" hidden="1" outlineLevel="1" x14ac:dyDescent="0.45">
      <c r="B247" s="62">
        <v>0.43</v>
      </c>
      <c r="C247" s="60" cm="1">
        <f t="array" aca="1" ref="C247" ca="1">IF(ISNUMBER(_xll.VoseSimPercentile(Units,0.43)),_xll.VoseSimPercentile(Units,0.43),NA())</f>
        <v>11921</v>
      </c>
    </row>
    <row r="248" spans="2:3" hidden="1" outlineLevel="1" x14ac:dyDescent="0.45">
      <c r="B248" s="62">
        <v>0.44</v>
      </c>
      <c r="C248" s="60" cm="1">
        <f t="array" aca="1" ref="C248" ca="1">IF(ISNUMBER(_xll.VoseSimPercentile(Units,0.44)),_xll.VoseSimPercentile(Units,0.44),NA())</f>
        <v>11940</v>
      </c>
    </row>
    <row r="249" spans="2:3" hidden="1" outlineLevel="1" x14ac:dyDescent="0.45">
      <c r="B249" s="62">
        <v>0.45</v>
      </c>
      <c r="C249" s="60" cm="1">
        <f t="array" aca="1" ref="C249" ca="1">IF(ISNUMBER(_xll.VoseSimPercentile(Units,0.45)),_xll.VoseSimPercentile(Units,0.45),NA())</f>
        <v>11958</v>
      </c>
    </row>
    <row r="250" spans="2:3" hidden="1" outlineLevel="1" x14ac:dyDescent="0.45">
      <c r="B250" s="62">
        <v>0.46</v>
      </c>
      <c r="C250" s="60" cm="1">
        <f t="array" aca="1" ref="C250" ca="1">IF(ISNUMBER(_xll.VoseSimPercentile(Units,0.46)),_xll.VoseSimPercentile(Units,0.46),NA())</f>
        <v>11974</v>
      </c>
    </row>
    <row r="251" spans="2:3" hidden="1" outlineLevel="1" x14ac:dyDescent="0.45">
      <c r="B251" s="62">
        <v>0.47</v>
      </c>
      <c r="C251" s="60" cm="1">
        <f t="array" aca="1" ref="C251" ca="1">IF(ISNUMBER(_xll.VoseSimPercentile(Units,0.47)),_xll.VoseSimPercentile(Units,0.47),NA())</f>
        <v>11991</v>
      </c>
    </row>
    <row r="252" spans="2:3" hidden="1" outlineLevel="1" x14ac:dyDescent="0.45">
      <c r="B252" s="62">
        <v>0.48</v>
      </c>
      <c r="C252" s="60" cm="1">
        <f t="array" aca="1" ref="C252" ca="1">IF(ISNUMBER(_xll.VoseSimPercentile(Units,0.48)),_xll.VoseSimPercentile(Units,0.48),NA())</f>
        <v>12005</v>
      </c>
    </row>
    <row r="253" spans="2:3" hidden="1" outlineLevel="1" x14ac:dyDescent="0.45">
      <c r="B253" s="62">
        <v>0.49</v>
      </c>
      <c r="C253" s="60" cm="1">
        <f t="array" aca="1" ref="C253" ca="1">IF(ISNUMBER(_xll.VoseSimPercentile(Units,0.49)),_xll.VoseSimPercentile(Units,0.49),NA())</f>
        <v>12022</v>
      </c>
    </row>
    <row r="254" spans="2:3" hidden="1" outlineLevel="1" x14ac:dyDescent="0.45">
      <c r="B254" s="62">
        <v>0.5</v>
      </c>
      <c r="C254" s="60" cm="1">
        <f t="array" aca="1" ref="C254" ca="1">IF(ISNUMBER(_xll.VoseSimPercentile(Units,0.5)),_xll.VoseSimPercentile(Units,0.5),NA())</f>
        <v>12039</v>
      </c>
    </row>
    <row r="255" spans="2:3" hidden="1" outlineLevel="1" x14ac:dyDescent="0.45">
      <c r="B255" s="62">
        <v>0.51</v>
      </c>
      <c r="C255" s="60" cm="1">
        <f t="array" aca="1" ref="C255" ca="1">IF(ISNUMBER(_xll.VoseSimPercentile(Units,0.51)),_xll.VoseSimPercentile(Units,0.51),NA())</f>
        <v>12053</v>
      </c>
    </row>
    <row r="256" spans="2:3" hidden="1" outlineLevel="1" x14ac:dyDescent="0.45">
      <c r="B256" s="62">
        <v>0.52</v>
      </c>
      <c r="C256" s="60" cm="1">
        <f t="array" aca="1" ref="C256" ca="1">IF(ISNUMBER(_xll.VoseSimPercentile(Units,0.52)),_xll.VoseSimPercentile(Units,0.52),NA())</f>
        <v>12071</v>
      </c>
    </row>
    <row r="257" spans="2:3" hidden="1" outlineLevel="1" x14ac:dyDescent="0.45">
      <c r="B257" s="62">
        <v>0.53</v>
      </c>
      <c r="C257" s="60" cm="1">
        <f t="array" aca="1" ref="C257" ca="1">IF(ISNUMBER(_xll.VoseSimPercentile(Units,0.53)),_xll.VoseSimPercentile(Units,0.53),NA())</f>
        <v>12089</v>
      </c>
    </row>
    <row r="258" spans="2:3" hidden="1" outlineLevel="1" x14ac:dyDescent="0.45">
      <c r="B258" s="62">
        <v>0.54</v>
      </c>
      <c r="C258" s="60" cm="1">
        <f t="array" aca="1" ref="C258" ca="1">IF(ISNUMBER(_xll.VoseSimPercentile(Units,0.54)),_xll.VoseSimPercentile(Units,0.54),NA())</f>
        <v>12103</v>
      </c>
    </row>
    <row r="259" spans="2:3" hidden="1" outlineLevel="1" x14ac:dyDescent="0.45">
      <c r="B259" s="62">
        <v>0.55000000000000004</v>
      </c>
      <c r="C259" s="60" cm="1">
        <f t="array" aca="1" ref="C259" ca="1">IF(ISNUMBER(_xll.VoseSimPercentile(Units,0.55)),_xll.VoseSimPercentile(Units,0.55),NA())</f>
        <v>12119</v>
      </c>
    </row>
    <row r="260" spans="2:3" hidden="1" outlineLevel="1" x14ac:dyDescent="0.45">
      <c r="B260" s="62">
        <v>0.56000000000000005</v>
      </c>
      <c r="C260" s="60" cm="1">
        <f t="array" aca="1" ref="C260" ca="1">IF(ISNUMBER(_xll.VoseSimPercentile(Units,0.56)),_xll.VoseSimPercentile(Units,0.56),NA())</f>
        <v>12136</v>
      </c>
    </row>
    <row r="261" spans="2:3" hidden="1" outlineLevel="1" x14ac:dyDescent="0.45">
      <c r="B261" s="62">
        <v>0.56999999999999995</v>
      </c>
      <c r="C261" s="60" cm="1">
        <f t="array" aca="1" ref="C261" ca="1">IF(ISNUMBER(_xll.VoseSimPercentile(Units,0.57)),_xll.VoseSimPercentile(Units,0.57),NA())</f>
        <v>12153</v>
      </c>
    </row>
    <row r="262" spans="2:3" hidden="1" outlineLevel="1" x14ac:dyDescent="0.45">
      <c r="B262" s="62">
        <v>0.57999999999999996</v>
      </c>
      <c r="C262" s="60" cm="1">
        <f t="array" aca="1" ref="C262" ca="1">IF(ISNUMBER(_xll.VoseSimPercentile(Units,0.58)),_xll.VoseSimPercentile(Units,0.58),NA())</f>
        <v>12169</v>
      </c>
    </row>
    <row r="263" spans="2:3" hidden="1" outlineLevel="1" x14ac:dyDescent="0.45">
      <c r="B263" s="62">
        <v>0.59</v>
      </c>
      <c r="C263" s="60" cm="1">
        <f t="array" aca="1" ref="C263" ca="1">IF(ISNUMBER(_xll.VoseSimPercentile(Units,0.59)),_xll.VoseSimPercentile(Units,0.59),NA())</f>
        <v>12184</v>
      </c>
    </row>
    <row r="264" spans="2:3" hidden="1" outlineLevel="1" x14ac:dyDescent="0.45">
      <c r="B264" s="62">
        <v>0.6</v>
      </c>
      <c r="C264" s="60" cm="1">
        <f t="array" aca="1" ref="C264" ca="1">IF(ISNUMBER(_xll.VoseSimPercentile(Units,0.6)),_xll.VoseSimPercentile(Units,0.6),NA())</f>
        <v>12203</v>
      </c>
    </row>
    <row r="265" spans="2:3" hidden="1" outlineLevel="1" x14ac:dyDescent="0.45">
      <c r="B265" s="62">
        <v>0.61</v>
      </c>
      <c r="C265" s="60" cm="1">
        <f t="array" aca="1" ref="C265" ca="1">IF(ISNUMBER(_xll.VoseSimPercentile(Units,0.61)),_xll.VoseSimPercentile(Units,0.61),NA())</f>
        <v>12220</v>
      </c>
    </row>
    <row r="266" spans="2:3" hidden="1" outlineLevel="1" x14ac:dyDescent="0.45">
      <c r="B266" s="62">
        <v>0.62</v>
      </c>
      <c r="C266" s="60" cm="1">
        <f t="array" aca="1" ref="C266" ca="1">IF(ISNUMBER(_xll.VoseSimPercentile(Units,0.62)),_xll.VoseSimPercentile(Units,0.62),NA())</f>
        <v>12240</v>
      </c>
    </row>
    <row r="267" spans="2:3" hidden="1" outlineLevel="1" x14ac:dyDescent="0.45">
      <c r="B267" s="62">
        <v>0.63</v>
      </c>
      <c r="C267" s="60" cm="1">
        <f t="array" aca="1" ref="C267" ca="1">IF(ISNUMBER(_xll.VoseSimPercentile(Units,0.63)),_xll.VoseSimPercentile(Units,0.63),NA())</f>
        <v>12258</v>
      </c>
    </row>
    <row r="268" spans="2:3" hidden="1" outlineLevel="1" x14ac:dyDescent="0.45">
      <c r="B268" s="62">
        <v>0.64</v>
      </c>
      <c r="C268" s="60" cm="1">
        <f t="array" aca="1" ref="C268" ca="1">IF(ISNUMBER(_xll.VoseSimPercentile(Units,0.64)),_xll.VoseSimPercentile(Units,0.64),NA())</f>
        <v>12274</v>
      </c>
    </row>
    <row r="269" spans="2:3" hidden="1" outlineLevel="1" x14ac:dyDescent="0.45">
      <c r="B269" s="62">
        <v>0.65</v>
      </c>
      <c r="C269" s="60" cm="1">
        <f t="array" aca="1" ref="C269" ca="1">IF(ISNUMBER(_xll.VoseSimPercentile(Units,0.65)),_xll.VoseSimPercentile(Units,0.65),NA())</f>
        <v>12290</v>
      </c>
    </row>
    <row r="270" spans="2:3" hidden="1" outlineLevel="1" x14ac:dyDescent="0.45">
      <c r="B270" s="62">
        <v>0.66</v>
      </c>
      <c r="C270" s="60" cm="1">
        <f t="array" aca="1" ref="C270" ca="1">IF(ISNUMBER(_xll.VoseSimPercentile(Units,0.66)),_xll.VoseSimPercentile(Units,0.66),NA())</f>
        <v>12306</v>
      </c>
    </row>
    <row r="271" spans="2:3" hidden="1" outlineLevel="1" x14ac:dyDescent="0.45">
      <c r="B271" s="62">
        <v>0.67</v>
      </c>
      <c r="C271" s="60" cm="1">
        <f t="array" aca="1" ref="C271" ca="1">IF(ISNUMBER(_xll.VoseSimPercentile(Units,0.67)),_xll.VoseSimPercentile(Units,0.67),NA())</f>
        <v>12324</v>
      </c>
    </row>
    <row r="272" spans="2:3" hidden="1" outlineLevel="1" x14ac:dyDescent="0.45">
      <c r="B272" s="62">
        <v>0.68</v>
      </c>
      <c r="C272" s="60" cm="1">
        <f t="array" aca="1" ref="C272" ca="1">IF(ISNUMBER(_xll.VoseSimPercentile(Units,0.68)),_xll.VoseSimPercentile(Units,0.68),NA())</f>
        <v>12344</v>
      </c>
    </row>
    <row r="273" spans="2:3" hidden="1" outlineLevel="1" x14ac:dyDescent="0.45">
      <c r="B273" s="62">
        <v>0.69</v>
      </c>
      <c r="C273" s="60" cm="1">
        <f t="array" aca="1" ref="C273" ca="1">IF(ISNUMBER(_xll.VoseSimPercentile(Units,0.69)),_xll.VoseSimPercentile(Units,0.69),NA())</f>
        <v>12361</v>
      </c>
    </row>
    <row r="274" spans="2:3" hidden="1" outlineLevel="1" x14ac:dyDescent="0.45">
      <c r="B274" s="62">
        <v>0.7</v>
      </c>
      <c r="C274" s="60" cm="1">
        <f t="array" aca="1" ref="C274" ca="1">IF(ISNUMBER(_xll.VoseSimPercentile(Units,0.7)),_xll.VoseSimPercentile(Units,0.7),NA())</f>
        <v>12378</v>
      </c>
    </row>
    <row r="275" spans="2:3" hidden="1" outlineLevel="1" x14ac:dyDescent="0.45">
      <c r="B275" s="62">
        <v>0.71</v>
      </c>
      <c r="C275" s="60" cm="1">
        <f t="array" aca="1" ref="C275" ca="1">IF(ISNUMBER(_xll.VoseSimPercentile(Units,0.71)),_xll.VoseSimPercentile(Units,0.71),NA())</f>
        <v>12397</v>
      </c>
    </row>
    <row r="276" spans="2:3" hidden="1" outlineLevel="1" x14ac:dyDescent="0.45">
      <c r="B276" s="62">
        <v>0.72</v>
      </c>
      <c r="C276" s="60" cm="1">
        <f t="array" aca="1" ref="C276" ca="1">IF(ISNUMBER(_xll.VoseSimPercentile(Units,0.72)),_xll.VoseSimPercentile(Units,0.72),NA())</f>
        <v>12421</v>
      </c>
    </row>
    <row r="277" spans="2:3" hidden="1" outlineLevel="1" x14ac:dyDescent="0.45">
      <c r="B277" s="62">
        <v>0.73</v>
      </c>
      <c r="C277" s="60" cm="1">
        <f t="array" aca="1" ref="C277" ca="1">IF(ISNUMBER(_xll.VoseSimPercentile(Units,0.73)),_xll.VoseSimPercentile(Units,0.73),NA())</f>
        <v>12439</v>
      </c>
    </row>
    <row r="278" spans="2:3" hidden="1" outlineLevel="1" x14ac:dyDescent="0.45">
      <c r="B278" s="62">
        <v>0.74</v>
      </c>
      <c r="C278" s="60" cm="1">
        <f t="array" aca="1" ref="C278" ca="1">IF(ISNUMBER(_xll.VoseSimPercentile(Units,0.74)),_xll.VoseSimPercentile(Units,0.74),NA())</f>
        <v>12460</v>
      </c>
    </row>
    <row r="279" spans="2:3" hidden="1" outlineLevel="1" x14ac:dyDescent="0.45">
      <c r="B279" s="62">
        <v>0.75</v>
      </c>
      <c r="C279" s="60" cm="1">
        <f t="array" aca="1" ref="C279" ca="1">IF(ISNUMBER(_xll.VoseSimPercentile(Units,0.75)),_xll.VoseSimPercentile(Units,0.75),NA())</f>
        <v>12481</v>
      </c>
    </row>
    <row r="280" spans="2:3" hidden="1" outlineLevel="1" x14ac:dyDescent="0.45">
      <c r="B280" s="62">
        <v>0.76</v>
      </c>
      <c r="C280" s="60" cm="1">
        <f t="array" aca="1" ref="C280" ca="1">IF(ISNUMBER(_xll.VoseSimPercentile(Units,0.76)),_xll.VoseSimPercentile(Units,0.76),NA())</f>
        <v>12509</v>
      </c>
    </row>
    <row r="281" spans="2:3" hidden="1" outlineLevel="1" x14ac:dyDescent="0.45">
      <c r="B281" s="62">
        <v>0.77</v>
      </c>
      <c r="C281" s="60" cm="1">
        <f t="array" aca="1" ref="C281" ca="1">IF(ISNUMBER(_xll.VoseSimPercentile(Units,0.77)),_xll.VoseSimPercentile(Units,0.77),NA())</f>
        <v>12538</v>
      </c>
    </row>
    <row r="282" spans="2:3" hidden="1" outlineLevel="1" x14ac:dyDescent="0.45">
      <c r="B282" s="62">
        <v>0.78</v>
      </c>
      <c r="C282" s="60" cm="1">
        <f t="array" aca="1" ref="C282" ca="1">IF(ISNUMBER(_xll.VoseSimPercentile(Units,0.78)),_xll.VoseSimPercentile(Units,0.78),NA())</f>
        <v>12569</v>
      </c>
    </row>
    <row r="283" spans="2:3" hidden="1" outlineLevel="1" x14ac:dyDescent="0.45">
      <c r="B283" s="62">
        <v>0.79</v>
      </c>
      <c r="C283" s="60" cm="1">
        <f t="array" aca="1" ref="C283" ca="1">IF(ISNUMBER(_xll.VoseSimPercentile(Units,0.79)),_xll.VoseSimPercentile(Units,0.79),NA())</f>
        <v>12618</v>
      </c>
    </row>
    <row r="284" spans="2:3" hidden="1" outlineLevel="1" x14ac:dyDescent="0.45">
      <c r="B284" s="62">
        <v>0.8</v>
      </c>
      <c r="C284" s="60" cm="1">
        <f t="array" aca="1" ref="C284" ca="1">IF(ISNUMBER(_xll.VoseSimPercentile(Units,0.8)),_xll.VoseSimPercentile(Units,0.8),NA())</f>
        <v>12791</v>
      </c>
    </row>
    <row r="285" spans="2:3" hidden="1" outlineLevel="1" x14ac:dyDescent="0.45">
      <c r="B285" s="62">
        <v>0.81</v>
      </c>
      <c r="C285" s="60" cm="1">
        <f t="array" aca="1" ref="C285" ca="1">IF(ISNUMBER(_xll.VoseSimPercentile(Units,0.81)),_xll.VoseSimPercentile(Units,0.81),NA())</f>
        <v>15167</v>
      </c>
    </row>
    <row r="286" spans="2:3" hidden="1" outlineLevel="1" x14ac:dyDescent="0.45">
      <c r="B286" s="62">
        <v>0.82</v>
      </c>
      <c r="C286" s="60" cm="1">
        <f t="array" aca="1" ref="C286" ca="1">IF(ISNUMBER(_xll.VoseSimPercentile(Units,0.82)),_xll.VoseSimPercentile(Units,0.82),NA())</f>
        <v>15219</v>
      </c>
    </row>
    <row r="287" spans="2:3" hidden="1" outlineLevel="1" x14ac:dyDescent="0.45">
      <c r="B287" s="62">
        <v>0.83</v>
      </c>
      <c r="C287" s="60" cm="1">
        <f t="array" aca="1" ref="C287" ca="1">IF(ISNUMBER(_xll.VoseSimPercentile(Units,0.83)),_xll.VoseSimPercentile(Units,0.83),NA())</f>
        <v>15246</v>
      </c>
    </row>
    <row r="288" spans="2:3" hidden="1" outlineLevel="1" x14ac:dyDescent="0.45">
      <c r="B288" s="62">
        <v>0.84</v>
      </c>
      <c r="C288" s="60" cm="1">
        <f t="array" aca="1" ref="C288" ca="1">IF(ISNUMBER(_xll.VoseSimPercentile(Units,0.84)),_xll.VoseSimPercentile(Units,0.84),NA())</f>
        <v>15265</v>
      </c>
    </row>
    <row r="289" spans="2:3" hidden="1" outlineLevel="1" x14ac:dyDescent="0.45">
      <c r="B289" s="62">
        <v>0.85</v>
      </c>
      <c r="C289" s="60" cm="1">
        <f t="array" aca="1" ref="C289" ca="1">IF(ISNUMBER(_xll.VoseSimPercentile(Units,0.85)),_xll.VoseSimPercentile(Units,0.85),NA())</f>
        <v>15282</v>
      </c>
    </row>
    <row r="290" spans="2:3" hidden="1" outlineLevel="1" x14ac:dyDescent="0.45">
      <c r="B290" s="62">
        <v>0.86</v>
      </c>
      <c r="C290" s="60" cm="1">
        <f t="array" aca="1" ref="C290" ca="1">IF(ISNUMBER(_xll.VoseSimPercentile(Units,0.86)),_xll.VoseSimPercentile(Units,0.86),NA())</f>
        <v>15300</v>
      </c>
    </row>
    <row r="291" spans="2:3" hidden="1" outlineLevel="1" x14ac:dyDescent="0.45">
      <c r="B291" s="62">
        <v>0.87</v>
      </c>
      <c r="C291" s="60" cm="1">
        <f t="array" aca="1" ref="C291" ca="1">IF(ISNUMBER(_xll.VoseSimPercentile(Units,0.87)),_xll.VoseSimPercentile(Units,0.87),NA())</f>
        <v>15316</v>
      </c>
    </row>
    <row r="292" spans="2:3" hidden="1" outlineLevel="1" x14ac:dyDescent="0.45">
      <c r="B292" s="62">
        <v>0.88</v>
      </c>
      <c r="C292" s="60" cm="1">
        <f t="array" aca="1" ref="C292" ca="1">IF(ISNUMBER(_xll.VoseSimPercentile(Units,0.88)),_xll.VoseSimPercentile(Units,0.88),NA())</f>
        <v>15333</v>
      </c>
    </row>
    <row r="293" spans="2:3" hidden="1" outlineLevel="1" x14ac:dyDescent="0.45">
      <c r="B293" s="62">
        <v>0.89</v>
      </c>
      <c r="C293" s="60" cm="1">
        <f t="array" aca="1" ref="C293" ca="1">IF(ISNUMBER(_xll.VoseSimPercentile(Units,0.89)),_xll.VoseSimPercentile(Units,0.89),NA())</f>
        <v>15351</v>
      </c>
    </row>
    <row r="294" spans="2:3" hidden="1" outlineLevel="1" x14ac:dyDescent="0.45">
      <c r="B294" s="62">
        <v>0.9</v>
      </c>
      <c r="C294" s="60" cm="1">
        <f t="array" aca="1" ref="C294" ca="1">IF(ISNUMBER(_xll.VoseSimPercentile(Units,0.9)),_xll.VoseSimPercentile(Units,0.9),NA())</f>
        <v>15369</v>
      </c>
    </row>
    <row r="295" spans="2:3" hidden="1" outlineLevel="1" x14ac:dyDescent="0.45">
      <c r="B295" s="62">
        <v>0.91</v>
      </c>
      <c r="C295" s="60" cm="1">
        <f t="array" aca="1" ref="C295" ca="1">IF(ISNUMBER(_xll.VoseSimPercentile(Units,0.91)),_xll.VoseSimPercentile(Units,0.91),NA())</f>
        <v>15384</v>
      </c>
    </row>
    <row r="296" spans="2:3" hidden="1" outlineLevel="1" x14ac:dyDescent="0.45">
      <c r="B296" s="62">
        <v>0.92</v>
      </c>
      <c r="C296" s="60" cm="1">
        <f t="array" aca="1" ref="C296" ca="1">IF(ISNUMBER(_xll.VoseSimPercentile(Units,0.92)),_xll.VoseSimPercentile(Units,0.92),NA())</f>
        <v>15400</v>
      </c>
    </row>
    <row r="297" spans="2:3" hidden="1" outlineLevel="1" x14ac:dyDescent="0.45">
      <c r="B297" s="62">
        <v>0.93</v>
      </c>
      <c r="C297" s="60" cm="1">
        <f t="array" aca="1" ref="C297" ca="1">IF(ISNUMBER(_xll.VoseSimPercentile(Units,0.93)),_xll.VoseSimPercentile(Units,0.93),NA())</f>
        <v>15416</v>
      </c>
    </row>
    <row r="298" spans="2:3" hidden="1" outlineLevel="1" x14ac:dyDescent="0.45">
      <c r="B298" s="62">
        <v>0.94</v>
      </c>
      <c r="C298" s="60" cm="1">
        <f t="array" aca="1" ref="C298" ca="1">IF(ISNUMBER(_xll.VoseSimPercentile(Units,0.94)),_xll.VoseSimPercentile(Units,0.94),NA())</f>
        <v>15433</v>
      </c>
    </row>
    <row r="299" spans="2:3" hidden="1" outlineLevel="1" x14ac:dyDescent="0.45">
      <c r="B299" s="62">
        <v>0.95</v>
      </c>
      <c r="C299" s="60" cm="1">
        <f t="array" aca="1" ref="C299" ca="1">IF(ISNUMBER(_xll.VoseSimPercentile(Units,0.95)),_xll.VoseSimPercentile(Units,0.95),NA())</f>
        <v>15452</v>
      </c>
    </row>
    <row r="300" spans="2:3" hidden="1" outlineLevel="1" x14ac:dyDescent="0.45">
      <c r="B300" s="62">
        <v>0.96</v>
      </c>
      <c r="C300" s="60" cm="1">
        <f t="array" aca="1" ref="C300" ca="1">IF(ISNUMBER(_xll.VoseSimPercentile(Units,0.96)),_xll.VoseSimPercentile(Units,0.96),NA())</f>
        <v>15471</v>
      </c>
    </row>
    <row r="301" spans="2:3" hidden="1" outlineLevel="1" x14ac:dyDescent="0.45">
      <c r="B301" s="62">
        <v>0.97</v>
      </c>
      <c r="C301" s="60" cm="1">
        <f t="array" aca="1" ref="C301" ca="1">IF(ISNUMBER(_xll.VoseSimPercentile(Units,0.97)),_xll.VoseSimPercentile(Units,0.97),NA())</f>
        <v>15496</v>
      </c>
    </row>
    <row r="302" spans="2:3" hidden="1" outlineLevel="1" x14ac:dyDescent="0.45">
      <c r="B302" s="62">
        <v>0.98</v>
      </c>
      <c r="C302" s="60" cm="1">
        <f t="array" aca="1" ref="C302" ca="1">IF(ISNUMBER(_xll.VoseSimPercentile(Units,0.98)),_xll.VoseSimPercentile(Units,0.98),NA())</f>
        <v>15525</v>
      </c>
    </row>
    <row r="303" spans="2:3" hidden="1" outlineLevel="1" x14ac:dyDescent="0.45">
      <c r="B303" s="62">
        <v>0.99</v>
      </c>
      <c r="C303" s="60" cm="1">
        <f t="array" aca="1" ref="C303" ca="1">IF(ISNUMBER(_xll.VoseSimPercentile(Units,0.99)),_xll.VoseSimPercentile(Units,0.99),NA())</f>
        <v>15571</v>
      </c>
    </row>
    <row r="304" spans="2:3" hidden="1" outlineLevel="1" x14ac:dyDescent="0.45">
      <c r="B304" s="62">
        <v>0.995</v>
      </c>
      <c r="C304" s="60" cm="1">
        <f t="array" aca="1" ref="C304" ca="1">IF(ISNUMBER(_xll.VoseSimPercentile(Units,0.995)),_xll.VoseSimPercentile(Units,0.995),NA())</f>
        <v>15613</v>
      </c>
    </row>
    <row r="305" spans="2:7" hidden="1" outlineLevel="1" x14ac:dyDescent="0.45"/>
    <row r="306" spans="2:7" ht="18" hidden="1" customHeight="1" outlineLevel="1" x14ac:dyDescent="0.45">
      <c r="B306" s="23" t="s">
        <v>288</v>
      </c>
      <c r="C306" s="24" t="s">
        <v>289</v>
      </c>
      <c r="D306" s="24" t="s">
        <v>290</v>
      </c>
      <c r="E306" s="24" t="s">
        <v>291</v>
      </c>
      <c r="F306" s="24" t="s">
        <v>292</v>
      </c>
      <c r="G306" s="24" t="s">
        <v>293</v>
      </c>
    </row>
    <row r="307" spans="2:7" hidden="1" outlineLevel="1" x14ac:dyDescent="0.45">
      <c r="B307" s="63">
        <v>0</v>
      </c>
      <c r="C307" s="60">
        <f ca="1">IF(ISNUMBER($C$204),$C$204+($C$304-$C$204)*0/24,NA())</f>
        <v>11188</v>
      </c>
      <c r="D307" s="64">
        <f t="shared" ref="D307:D331" ca="1" si="2">IF(ISNUMBER(C307),MATCH(C307,$C$204:$C$304,1),NA())</f>
        <v>1</v>
      </c>
      <c r="E307" s="60">
        <f t="shared" ref="E307:E330" ca="1" si="3">IF(ISNUMBER(C307),(C307+C308)/2,NA())</f>
        <v>11280.1875</v>
      </c>
      <c r="F307" s="62">
        <f t="shared" ref="F307:F330" ca="1" si="4">IF(ISNUMBER(G308),G308-G307,NA())</f>
        <v>5.8187499999999996E-2</v>
      </c>
      <c r="G307" s="62" cm="1">
        <f t="array" aca="1" ref="G307" ca="1">IF(ISNUMBER(D307),IF(D307&gt;=101,INDEX($B$204:$B$304,101),INDEX($B$204:$B$304,D307)+(C307-INDEX($C$204:$C$304,D307))/MAX(0.000000000001,INDEX($C$204:$C$304,D307+1)-INDEX($C$204:$C$304,D307))*(INDEX($B$204:$B$304,D307+1)-INDEX($B$204:$B$304,D307))),NA())</f>
        <v>5.0000000000000001E-3</v>
      </c>
    </row>
    <row r="308" spans="2:7" hidden="1" outlineLevel="1" x14ac:dyDescent="0.45">
      <c r="B308" s="63">
        <v>1</v>
      </c>
      <c r="C308" s="60">
        <f ca="1">IF(ISNUMBER($C$204),$C$204+($C$304-$C$204)*1/24,NA())</f>
        <v>11372.375</v>
      </c>
      <c r="D308" s="64">
        <f t="shared" ca="1" si="2"/>
        <v>7</v>
      </c>
      <c r="E308" s="60">
        <f t="shared" ca="1" si="3"/>
        <v>11464.5625</v>
      </c>
      <c r="F308" s="62">
        <f t="shared" ca="1" si="4"/>
        <v>0.12046634615384615</v>
      </c>
      <c r="G308" s="62" cm="1">
        <f t="array" aca="1" ref="G308" ca="1">IF(ISNUMBER(D308),IF(D308&gt;=101,INDEX($B$204:$B$304,101),INDEX($B$204:$B$304,D308)+(C308-INDEX($C$204:$C$304,D308))/MAX(0.000000000001,INDEX($C$204:$C$304,D308+1)-INDEX($C$204:$C$304,D308))*(INDEX($B$204:$B$304,D308+1)-INDEX($B$204:$B$304,D308))),NA())</f>
        <v>6.3187499999999994E-2</v>
      </c>
    </row>
    <row r="309" spans="2:7" hidden="1" outlineLevel="1" x14ac:dyDescent="0.45">
      <c r="B309" s="63">
        <v>2</v>
      </c>
      <c r="C309" s="60">
        <f ca="1">IF(ISNUMBER($C$204),$C$204+($C$304-$C$204)*2/24,NA())</f>
        <v>11556.75</v>
      </c>
      <c r="D309" s="64">
        <f t="shared" ca="1" si="2"/>
        <v>19</v>
      </c>
      <c r="E309" s="60">
        <f t="shared" ca="1" si="3"/>
        <v>11648.9375</v>
      </c>
      <c r="F309" s="62">
        <f t="shared" ca="1" si="4"/>
        <v>0.13042948717948719</v>
      </c>
      <c r="G309" s="62" cm="1">
        <f t="array" aca="1" ref="G309" ca="1">IF(ISNUMBER(D309),IF(D309&gt;=101,INDEX($B$204:$B$304,101),INDEX($B$204:$B$304,D309)+(C309-INDEX($C$204:$C$304,D309))/MAX(0.000000000001,INDEX($C$204:$C$304,D309+1)-INDEX($C$204:$C$304,D309))*(INDEX($B$204:$B$304,D309+1)-INDEX($B$204:$B$304,D309))),NA())</f>
        <v>0.18365384615384614</v>
      </c>
    </row>
    <row r="310" spans="2:7" hidden="1" outlineLevel="1" x14ac:dyDescent="0.45">
      <c r="B310" s="63">
        <v>3</v>
      </c>
      <c r="C310" s="60">
        <f ca="1">IF(ISNUMBER($C$204),$C$204+($C$304-$C$204)*3/24,NA())</f>
        <v>11741.125</v>
      </c>
      <c r="D310" s="64">
        <f t="shared" ca="1" si="2"/>
        <v>32</v>
      </c>
      <c r="E310" s="60">
        <f t="shared" ca="1" si="3"/>
        <v>11833.3125</v>
      </c>
      <c r="F310" s="62">
        <f t="shared" ca="1" si="4"/>
        <v>0.11828508771929824</v>
      </c>
      <c r="G310" s="62" cm="1">
        <f t="array" aca="1" ref="G310" ca="1">IF(ISNUMBER(D310),IF(D310&gt;=101,INDEX($B$204:$B$304,101),INDEX($B$204:$B$304,D310)+(C310-INDEX($C$204:$C$304,D310))/MAX(0.000000000001,INDEX($C$204:$C$304,D310+1)-INDEX($C$204:$C$304,D310))*(INDEX($B$204:$B$304,D310+1)-INDEX($B$204:$B$304,D310))),NA())</f>
        <v>0.31408333333333333</v>
      </c>
    </row>
    <row r="311" spans="2:7" hidden="1" outlineLevel="1" x14ac:dyDescent="0.45">
      <c r="B311" s="63">
        <v>4</v>
      </c>
      <c r="C311" s="60">
        <f ca="1">IF(ISNUMBER($C$204),$C$204+($C$304-$C$204)*4/24,NA())</f>
        <v>11925.5</v>
      </c>
      <c r="D311" s="64">
        <f t="shared" ca="1" si="2"/>
        <v>44</v>
      </c>
      <c r="E311" s="60">
        <f t="shared" ca="1" si="3"/>
        <v>12017.6875</v>
      </c>
      <c r="F311" s="62">
        <f t="shared" ca="1" si="4"/>
        <v>0.11192845394736844</v>
      </c>
      <c r="G311" s="62" cm="1">
        <f t="array" aca="1" ref="G311" ca="1">IF(ISNUMBER(D311),IF(D311&gt;=101,INDEX($B$204:$B$304,101),INDEX($B$204:$B$304,D311)+(C311-INDEX($C$204:$C$304,D311))/MAX(0.000000000001,INDEX($C$204:$C$304,D311+1)-INDEX($C$204:$C$304,D311))*(INDEX($B$204:$B$304,D311+1)-INDEX($B$204:$B$304,D311))),NA())</f>
        <v>0.43236842105263157</v>
      </c>
    </row>
    <row r="312" spans="2:7" hidden="1" outlineLevel="1" x14ac:dyDescent="0.45">
      <c r="B312" s="63">
        <v>5</v>
      </c>
      <c r="C312" s="60">
        <f ca="1">IF(ISNUMBER($C$204),$C$204+($C$304-$C$204)*5/24,NA())</f>
        <v>12109.875</v>
      </c>
      <c r="D312" s="64">
        <f t="shared" ca="1" si="2"/>
        <v>55</v>
      </c>
      <c r="E312" s="60">
        <f t="shared" ca="1" si="3"/>
        <v>12202.0625</v>
      </c>
      <c r="F312" s="62">
        <f t="shared" ca="1" si="4"/>
        <v>0.10835937500000004</v>
      </c>
      <c r="G312" s="62" cm="1">
        <f t="array" aca="1" ref="G312" ca="1">IF(ISNUMBER(D312),IF(D312&gt;=101,INDEX($B$204:$B$304,101),INDEX($B$204:$B$304,D312)+(C312-INDEX($C$204:$C$304,D312))/MAX(0.000000000001,INDEX($C$204:$C$304,D312+1)-INDEX($C$204:$C$304,D312))*(INDEX($B$204:$B$304,D312+1)-INDEX($B$204:$B$304,D312))),NA())</f>
        <v>0.54429687500000001</v>
      </c>
    </row>
    <row r="313" spans="2:7" hidden="1" outlineLevel="1" x14ac:dyDescent="0.45">
      <c r="B313" s="63">
        <v>6</v>
      </c>
      <c r="C313" s="60">
        <f ca="1">IF(ISNUMBER($C$204),$C$204+($C$304-$C$204)*6/24,NA())</f>
        <v>12294.25</v>
      </c>
      <c r="D313" s="64">
        <f t="shared" ca="1" si="2"/>
        <v>66</v>
      </c>
      <c r="E313" s="60">
        <f t="shared" ca="1" si="3"/>
        <v>12386.4375</v>
      </c>
      <c r="F313" s="62">
        <f t="shared" ca="1" si="4"/>
        <v>9.6212797619047552E-2</v>
      </c>
      <c r="G313" s="62" cm="1">
        <f t="array" aca="1" ref="G313" ca="1">IF(ISNUMBER(D313),IF(D313&gt;=101,INDEX($B$204:$B$304,101),INDEX($B$204:$B$304,D313)+(C313-INDEX($C$204:$C$304,D313))/MAX(0.000000000001,INDEX($C$204:$C$304,D313+1)-INDEX($C$204:$C$304,D313))*(INDEX($B$204:$B$304,D313+1)-INDEX($B$204:$B$304,D313))),NA())</f>
        <v>0.65265625000000005</v>
      </c>
    </row>
    <row r="314" spans="2:7" hidden="1" outlineLevel="1" x14ac:dyDescent="0.45">
      <c r="B314" s="63">
        <v>7</v>
      </c>
      <c r="C314" s="60">
        <f ca="1">IF(ISNUMBER($C$204),$C$204+($C$304-$C$204)*7/24,NA())</f>
        <v>12478.625</v>
      </c>
      <c r="D314" s="64">
        <f t="shared" ca="1" si="2"/>
        <v>75</v>
      </c>
      <c r="E314" s="60">
        <f t="shared" ca="1" si="3"/>
        <v>12570.8125</v>
      </c>
      <c r="F314" s="62">
        <f t="shared" ca="1" si="4"/>
        <v>4.3732108450316609E-2</v>
      </c>
      <c r="G314" s="62" cm="1">
        <f t="array" aca="1" ref="G314" ca="1">IF(ISNUMBER(D314),IF(D314&gt;=101,INDEX($B$204:$B$304,101),INDEX($B$204:$B$304,D314)+(C314-INDEX($C$204:$C$304,D314))/MAX(0.000000000001,INDEX($C$204:$C$304,D314+1)-INDEX($C$204:$C$304,D314))*(INDEX($B$204:$B$304,D314+1)-INDEX($B$204:$B$304,D314))),NA())</f>
        <v>0.7488690476190476</v>
      </c>
    </row>
    <row r="315" spans="2:7" hidden="1" outlineLevel="1" x14ac:dyDescent="0.45">
      <c r="B315" s="63">
        <v>8</v>
      </c>
      <c r="C315" s="60">
        <f ca="1">IF(ISNUMBER($C$204),$C$204+($C$304-$C$204)*8/24,NA())</f>
        <v>12663</v>
      </c>
      <c r="D315" s="64">
        <f t="shared" ca="1" si="2"/>
        <v>80</v>
      </c>
      <c r="E315" s="60">
        <f t="shared" ca="1" si="3"/>
        <v>12755.1875</v>
      </c>
      <c r="F315" s="62">
        <f t="shared" ca="1" si="4"/>
        <v>7.6361124491544086E-3</v>
      </c>
      <c r="G315" s="62" cm="1">
        <f t="array" aca="1" ref="G315" ca="1">IF(ISNUMBER(D315),IF(D315&gt;=101,INDEX($B$204:$B$304,101),INDEX($B$204:$B$304,D315)+(C315-INDEX($C$204:$C$304,D315))/MAX(0.000000000001,INDEX($C$204:$C$304,D315+1)-INDEX($C$204:$C$304,D315))*(INDEX($B$204:$B$304,D315+1)-INDEX($B$204:$B$304,D315))),NA())</f>
        <v>0.79260115606936421</v>
      </c>
    </row>
    <row r="316" spans="2:7" hidden="1" outlineLevel="1" x14ac:dyDescent="0.45">
      <c r="B316" s="63">
        <v>9</v>
      </c>
      <c r="C316" s="60">
        <f ca="1">IF(ISNUMBER($C$204),$C$204+($C$304-$C$204)*9/24,NA())</f>
        <v>12847.375</v>
      </c>
      <c r="D316" s="64">
        <f t="shared" ca="1" si="2"/>
        <v>81</v>
      </c>
      <c r="E316" s="60">
        <f t="shared" ca="1" si="3"/>
        <v>12939.5625</v>
      </c>
      <c r="F316" s="62">
        <f t="shared" ca="1" si="4"/>
        <v>7.7598905723896827E-4</v>
      </c>
      <c r="G316" s="62" cm="1">
        <f t="array" aca="1" ref="G316" ca="1">IF(ISNUMBER(D316),IF(D316&gt;=101,INDEX($B$204:$B$304,101),INDEX($B$204:$B$304,D316)+(C316-INDEX($C$204:$C$304,D316))/MAX(0.000000000001,INDEX($C$204:$C$304,D316+1)-INDEX($C$204:$C$304,D316))*(INDEX($B$204:$B$304,D316+1)-INDEX($B$204:$B$304,D316))),NA())</f>
        <v>0.80023726851851862</v>
      </c>
    </row>
    <row r="317" spans="2:7" hidden="1" outlineLevel="1" x14ac:dyDescent="0.45">
      <c r="B317" s="63">
        <v>10</v>
      </c>
      <c r="C317" s="60">
        <f ca="1">IF(ISNUMBER($C$204),$C$204+($C$304-$C$204)*10/24,NA())</f>
        <v>13031.75</v>
      </c>
      <c r="D317" s="64">
        <f t="shared" ca="1" si="2"/>
        <v>81</v>
      </c>
      <c r="E317" s="60">
        <f t="shared" ca="1" si="3"/>
        <v>13123.9375</v>
      </c>
      <c r="F317" s="62">
        <f t="shared" ca="1" si="4"/>
        <v>7.7598905723907929E-4</v>
      </c>
      <c r="G317" s="62" cm="1">
        <f t="array" aca="1" ref="G317" ca="1">IF(ISNUMBER(D317),IF(D317&gt;=101,INDEX($B$204:$B$304,101),INDEX($B$204:$B$304,D317)+(C317-INDEX($C$204:$C$304,D317))/MAX(0.000000000001,INDEX($C$204:$C$304,D317+1)-INDEX($C$204:$C$304,D317))*(INDEX($B$204:$B$304,D317+1)-INDEX($B$204:$B$304,D317))),NA())</f>
        <v>0.80101325757575759</v>
      </c>
    </row>
    <row r="318" spans="2:7" hidden="1" outlineLevel="1" x14ac:dyDescent="0.45">
      <c r="B318" s="63">
        <v>11</v>
      </c>
      <c r="C318" s="60">
        <f ca="1">IF(ISNUMBER($C$204),$C$204+($C$304-$C$204)*11/24,NA())</f>
        <v>13216.125</v>
      </c>
      <c r="D318" s="64">
        <f t="shared" ca="1" si="2"/>
        <v>81</v>
      </c>
      <c r="E318" s="60">
        <f t="shared" ca="1" si="3"/>
        <v>13308.3125</v>
      </c>
      <c r="F318" s="62">
        <f t="shared" ca="1" si="4"/>
        <v>7.7598905723907929E-4</v>
      </c>
      <c r="G318" s="62" cm="1">
        <f t="array" aca="1" ref="G318" ca="1">IF(ISNUMBER(D318),IF(D318&gt;=101,INDEX($B$204:$B$304,101),INDEX($B$204:$B$304,D318)+(C318-INDEX($C$204:$C$304,D318))/MAX(0.000000000001,INDEX($C$204:$C$304,D318+1)-INDEX($C$204:$C$304,D318))*(INDEX($B$204:$B$304,D318+1)-INDEX($B$204:$B$304,D318))),NA())</f>
        <v>0.80178924663299667</v>
      </c>
    </row>
    <row r="319" spans="2:7" hidden="1" outlineLevel="1" x14ac:dyDescent="0.45">
      <c r="B319" s="63">
        <v>12</v>
      </c>
      <c r="C319" s="60">
        <f ca="1">IF(ISNUMBER($C$204),$C$204+($C$304-$C$204)*12/24,NA())</f>
        <v>13400.5</v>
      </c>
      <c r="D319" s="64">
        <f t="shared" ca="1" si="2"/>
        <v>81</v>
      </c>
      <c r="E319" s="60">
        <f t="shared" ca="1" si="3"/>
        <v>13492.6875</v>
      </c>
      <c r="F319" s="62">
        <f t="shared" ca="1" si="4"/>
        <v>7.7598905723907929E-4</v>
      </c>
      <c r="G319" s="62" cm="1">
        <f t="array" aca="1" ref="G319" ca="1">IF(ISNUMBER(D319),IF(D319&gt;=101,INDEX($B$204:$B$304,101),INDEX($B$204:$B$304,D319)+(C319-INDEX($C$204:$C$304,D319))/MAX(0.000000000001,INDEX($C$204:$C$304,D319+1)-INDEX($C$204:$C$304,D319))*(INDEX($B$204:$B$304,D319+1)-INDEX($B$204:$B$304,D319))),NA())</f>
        <v>0.80256523569023575</v>
      </c>
    </row>
    <row r="320" spans="2:7" hidden="1" outlineLevel="1" x14ac:dyDescent="0.45">
      <c r="B320" s="63">
        <v>13</v>
      </c>
      <c r="C320" s="60">
        <f ca="1">IF(ISNUMBER($C$204),$C$204+($C$304-$C$204)*13/24,NA())</f>
        <v>13584.875</v>
      </c>
      <c r="D320" s="64">
        <f t="shared" ca="1" si="2"/>
        <v>81</v>
      </c>
      <c r="E320" s="60">
        <f t="shared" ca="1" si="3"/>
        <v>13677.0625</v>
      </c>
      <c r="F320" s="62">
        <f t="shared" ca="1" si="4"/>
        <v>7.7598905723907929E-4</v>
      </c>
      <c r="G320" s="62" cm="1">
        <f t="array" aca="1" ref="G320" ca="1">IF(ISNUMBER(D320),IF(D320&gt;=101,INDEX($B$204:$B$304,101),INDEX($B$204:$B$304,D320)+(C320-INDEX($C$204:$C$304,D320))/MAX(0.000000000001,INDEX($C$204:$C$304,D320+1)-INDEX($C$204:$C$304,D320))*(INDEX($B$204:$B$304,D320+1)-INDEX($B$204:$B$304,D320))),NA())</f>
        <v>0.80334122474747482</v>
      </c>
    </row>
    <row r="321" spans="2:7" hidden="1" outlineLevel="1" x14ac:dyDescent="0.45">
      <c r="B321" s="63">
        <v>14</v>
      </c>
      <c r="C321" s="60">
        <f ca="1">IF(ISNUMBER($C$204),$C$204+($C$304-$C$204)*14/24,NA())</f>
        <v>13769.25</v>
      </c>
      <c r="D321" s="64">
        <f t="shared" ca="1" si="2"/>
        <v>81</v>
      </c>
      <c r="E321" s="60">
        <f t="shared" ca="1" si="3"/>
        <v>13861.4375</v>
      </c>
      <c r="F321" s="62">
        <f t="shared" ca="1" si="4"/>
        <v>7.7598905723896827E-4</v>
      </c>
      <c r="G321" s="62" cm="1">
        <f t="array" aca="1" ref="G321" ca="1">IF(ISNUMBER(D321),IF(D321&gt;=101,INDEX($B$204:$B$304,101),INDEX($B$204:$B$304,D321)+(C321-INDEX($C$204:$C$304,D321))/MAX(0.000000000001,INDEX($C$204:$C$304,D321+1)-INDEX($C$204:$C$304,D321))*(INDEX($B$204:$B$304,D321+1)-INDEX($B$204:$B$304,D321))),NA())</f>
        <v>0.8041172138047139</v>
      </c>
    </row>
    <row r="322" spans="2:7" hidden="1" outlineLevel="1" x14ac:dyDescent="0.45">
      <c r="B322" s="63">
        <v>15</v>
      </c>
      <c r="C322" s="60">
        <f ca="1">IF(ISNUMBER($C$204),$C$204+($C$304-$C$204)*15/24,NA())</f>
        <v>13953.625</v>
      </c>
      <c r="D322" s="64">
        <f t="shared" ca="1" si="2"/>
        <v>81</v>
      </c>
      <c r="E322" s="60">
        <f t="shared" ca="1" si="3"/>
        <v>14045.8125</v>
      </c>
      <c r="F322" s="62">
        <f t="shared" ca="1" si="4"/>
        <v>7.7598905723907929E-4</v>
      </c>
      <c r="G322" s="62" cm="1">
        <f t="array" aca="1" ref="G322" ca="1">IF(ISNUMBER(D322),IF(D322&gt;=101,INDEX($B$204:$B$304,101),INDEX($B$204:$B$304,D322)+(C322-INDEX($C$204:$C$304,D322))/MAX(0.000000000001,INDEX($C$204:$C$304,D322+1)-INDEX($C$204:$C$304,D322))*(INDEX($B$204:$B$304,D322+1)-INDEX($B$204:$B$304,D322))),NA())</f>
        <v>0.80489320286195287</v>
      </c>
    </row>
    <row r="323" spans="2:7" hidden="1" outlineLevel="1" x14ac:dyDescent="0.45">
      <c r="B323" s="63">
        <v>16</v>
      </c>
      <c r="C323" s="60">
        <f ca="1">IF(ISNUMBER($C$204),$C$204+($C$304-$C$204)*16/24,NA())</f>
        <v>14138</v>
      </c>
      <c r="D323" s="64">
        <f t="shared" ca="1" si="2"/>
        <v>81</v>
      </c>
      <c r="E323" s="60">
        <f t="shared" ca="1" si="3"/>
        <v>14230.1875</v>
      </c>
      <c r="F323" s="62">
        <f t="shared" ca="1" si="4"/>
        <v>7.7598905723907929E-4</v>
      </c>
      <c r="G323" s="62" cm="1">
        <f t="array" aca="1" ref="G323" ca="1">IF(ISNUMBER(D323),IF(D323&gt;=101,INDEX($B$204:$B$304,101),INDEX($B$204:$B$304,D323)+(C323-INDEX($C$204:$C$304,D323))/MAX(0.000000000001,INDEX($C$204:$C$304,D323+1)-INDEX($C$204:$C$304,D323))*(INDEX($B$204:$B$304,D323+1)-INDEX($B$204:$B$304,D323))),NA())</f>
        <v>0.80566919191919195</v>
      </c>
    </row>
    <row r="324" spans="2:7" hidden="1" outlineLevel="1" x14ac:dyDescent="0.45">
      <c r="B324" s="63">
        <v>17</v>
      </c>
      <c r="C324" s="60">
        <f ca="1">IF(ISNUMBER($C$204),$C$204+($C$304-$C$204)*17/24,NA())</f>
        <v>14322.375</v>
      </c>
      <c r="D324" s="64">
        <f t="shared" ca="1" si="2"/>
        <v>81</v>
      </c>
      <c r="E324" s="60">
        <f t="shared" ca="1" si="3"/>
        <v>14414.5625</v>
      </c>
      <c r="F324" s="62">
        <f t="shared" ca="1" si="4"/>
        <v>7.7598905723907929E-4</v>
      </c>
      <c r="G324" s="62" cm="1">
        <f t="array" aca="1" ref="G324" ca="1">IF(ISNUMBER(D324),IF(D324&gt;=101,INDEX($B$204:$B$304,101),INDEX($B$204:$B$304,D324)+(C324-INDEX($C$204:$C$304,D324))/MAX(0.000000000001,INDEX($C$204:$C$304,D324+1)-INDEX($C$204:$C$304,D324))*(INDEX($B$204:$B$304,D324+1)-INDEX($B$204:$B$304,D324))),NA())</f>
        <v>0.80644518097643103</v>
      </c>
    </row>
    <row r="325" spans="2:7" hidden="1" outlineLevel="1" x14ac:dyDescent="0.45">
      <c r="B325" s="63">
        <v>18</v>
      </c>
      <c r="C325" s="60">
        <f ca="1">IF(ISNUMBER($C$204),$C$204+($C$304-$C$204)*18/24,NA())</f>
        <v>14506.75</v>
      </c>
      <c r="D325" s="64">
        <f t="shared" ca="1" si="2"/>
        <v>81</v>
      </c>
      <c r="E325" s="60">
        <f t="shared" ca="1" si="3"/>
        <v>14598.9375</v>
      </c>
      <c r="F325" s="62">
        <f t="shared" ca="1" si="4"/>
        <v>7.7598905723907929E-4</v>
      </c>
      <c r="G325" s="62" cm="1">
        <f t="array" aca="1" ref="G325" ca="1">IF(ISNUMBER(D325),IF(D325&gt;=101,INDEX($B$204:$B$304,101),INDEX($B$204:$B$304,D325)+(C325-INDEX($C$204:$C$304,D325))/MAX(0.000000000001,INDEX($C$204:$C$304,D325+1)-INDEX($C$204:$C$304,D325))*(INDEX($B$204:$B$304,D325+1)-INDEX($B$204:$B$304,D325))),NA())</f>
        <v>0.80722117003367011</v>
      </c>
    </row>
    <row r="326" spans="2:7" hidden="1" outlineLevel="1" x14ac:dyDescent="0.45">
      <c r="B326" s="63">
        <v>19</v>
      </c>
      <c r="C326" s="60">
        <f ca="1">IF(ISNUMBER($C$204),$C$204+($C$304-$C$204)*19/24,NA())</f>
        <v>14691.125</v>
      </c>
      <c r="D326" s="64">
        <f t="shared" ca="1" si="2"/>
        <v>81</v>
      </c>
      <c r="E326" s="60">
        <f t="shared" ca="1" si="3"/>
        <v>14783.3125</v>
      </c>
      <c r="F326" s="62">
        <f t="shared" ca="1" si="4"/>
        <v>7.7598905723896827E-4</v>
      </c>
      <c r="G326" s="62" cm="1">
        <f t="array" aca="1" ref="G326" ca="1">IF(ISNUMBER(D326),IF(D326&gt;=101,INDEX($B$204:$B$304,101),INDEX($B$204:$B$304,D326)+(C326-INDEX($C$204:$C$304,D326))/MAX(0.000000000001,INDEX($C$204:$C$304,D326+1)-INDEX($C$204:$C$304,D326))*(INDEX($B$204:$B$304,D326+1)-INDEX($B$204:$B$304,D326))),NA())</f>
        <v>0.80799715909090919</v>
      </c>
    </row>
    <row r="327" spans="2:7" hidden="1" outlineLevel="1" x14ac:dyDescent="0.45">
      <c r="B327" s="63">
        <v>20</v>
      </c>
      <c r="C327" s="60">
        <f ca="1">IF(ISNUMBER($C$204),$C$204+($C$304-$C$204)*20/24,NA())</f>
        <v>14875.5</v>
      </c>
      <c r="D327" s="64">
        <f t="shared" ca="1" si="2"/>
        <v>81</v>
      </c>
      <c r="E327" s="60">
        <f t="shared" ca="1" si="3"/>
        <v>14967.6875</v>
      </c>
      <c r="F327" s="62">
        <f t="shared" ca="1" si="4"/>
        <v>7.7598905723907929E-4</v>
      </c>
      <c r="G327" s="62" cm="1">
        <f t="array" aca="1" ref="G327" ca="1">IF(ISNUMBER(D327),IF(D327&gt;=101,INDEX($B$204:$B$304,101),INDEX($B$204:$B$304,D327)+(C327-INDEX($C$204:$C$304,D327))/MAX(0.000000000001,INDEX($C$204:$C$304,D327+1)-INDEX($C$204:$C$304,D327))*(INDEX($B$204:$B$304,D327+1)-INDEX($B$204:$B$304,D327))),NA())</f>
        <v>0.80877314814814816</v>
      </c>
    </row>
    <row r="328" spans="2:7" hidden="1" outlineLevel="1" x14ac:dyDescent="0.45">
      <c r="B328" s="63">
        <v>21</v>
      </c>
      <c r="C328" s="60">
        <f ca="1">IF(ISNUMBER($C$204),$C$204+($C$304-$C$204)*21/24,NA())</f>
        <v>15059.875</v>
      </c>
      <c r="D328" s="64">
        <f t="shared" ca="1" si="2"/>
        <v>81</v>
      </c>
      <c r="E328" s="60">
        <f t="shared" ca="1" si="3"/>
        <v>15152.0625</v>
      </c>
      <c r="F328" s="62">
        <f t="shared" ca="1" si="4"/>
        <v>1.9802714646464548E-2</v>
      </c>
      <c r="G328" s="62" cm="1">
        <f t="array" aca="1" ref="G328" ca="1">IF(ISNUMBER(D328),IF(D328&gt;=101,INDEX($B$204:$B$304,101),INDEX($B$204:$B$304,D328)+(C328-INDEX($C$204:$C$304,D328))/MAX(0.000000000001,INDEX($C$204:$C$304,D328+1)-INDEX($C$204:$C$304,D328))*(INDEX($B$204:$B$304,D328+1)-INDEX($B$204:$B$304,D328))),NA())</f>
        <v>0.80954913720538724</v>
      </c>
    </row>
    <row r="329" spans="2:7" hidden="1" outlineLevel="1" x14ac:dyDescent="0.45">
      <c r="B329" s="63">
        <v>22</v>
      </c>
      <c r="C329" s="60">
        <f ca="1">IF(ISNUMBER($C$204),$C$204+($C$304-$C$204)*22/24,NA())</f>
        <v>15244.25</v>
      </c>
      <c r="D329" s="64">
        <f t="shared" ca="1" si="2"/>
        <v>83</v>
      </c>
      <c r="E329" s="60">
        <f t="shared" ca="1" si="3"/>
        <v>15336.4375</v>
      </c>
      <c r="F329" s="62">
        <f t="shared" ca="1" si="4"/>
        <v>0.10807461873638347</v>
      </c>
      <c r="G329" s="62" cm="1">
        <f t="array" aca="1" ref="G329" ca="1">IF(ISNUMBER(D329),IF(D329&gt;=101,INDEX($B$204:$B$304,101),INDEX($B$204:$B$304,D329)+(C329-INDEX($C$204:$C$304,D329))/MAX(0.000000000001,INDEX($C$204:$C$304,D329+1)-INDEX($C$204:$C$304,D329))*(INDEX($B$204:$B$304,D329+1)-INDEX($B$204:$B$304,D329))),NA())</f>
        <v>0.82935185185185178</v>
      </c>
    </row>
    <row r="330" spans="2:7" hidden="1" outlineLevel="1" x14ac:dyDescent="0.45">
      <c r="B330" s="63">
        <v>23</v>
      </c>
      <c r="C330" s="60">
        <f ca="1">IF(ISNUMBER($C$204),$C$204+($C$304-$C$204)*23/24,NA())</f>
        <v>15428.625</v>
      </c>
      <c r="D330" s="64">
        <f t="shared" ca="1" si="2"/>
        <v>94</v>
      </c>
      <c r="E330" s="60">
        <f t="shared" ca="1" si="3"/>
        <v>15520.8125</v>
      </c>
      <c r="F330" s="62">
        <f t="shared" ca="1" si="4"/>
        <v>5.7573529411764746E-2</v>
      </c>
      <c r="G330" s="62" cm="1">
        <f t="array" aca="1" ref="G330" ca="1">IF(ISNUMBER(D330),IF(D330&gt;=101,INDEX($B$204:$B$304,101),INDEX($B$204:$B$304,D330)+(C330-INDEX($C$204:$C$304,D330))/MAX(0.000000000001,INDEX($C$204:$C$304,D330+1)-INDEX($C$204:$C$304,D330))*(INDEX($B$204:$B$304,D330+1)-INDEX($B$204:$B$304,D330))),NA())</f>
        <v>0.93742647058823525</v>
      </c>
    </row>
    <row r="331" spans="2:7" hidden="1" outlineLevel="1" x14ac:dyDescent="0.45">
      <c r="B331" s="63">
        <v>24</v>
      </c>
      <c r="C331" s="60">
        <f ca="1">IF(ISNUMBER($C$204),$C$204+($C$304-$C$204)*24/24,NA())</f>
        <v>15613</v>
      </c>
      <c r="D331" s="64">
        <f t="shared" ca="1" si="2"/>
        <v>101</v>
      </c>
      <c r="G331" s="62" cm="1">
        <f t="array" aca="1" ref="G331" ca="1">IF(ISNUMBER(D331),IF(D331&gt;=101,INDEX($B$204:$B$304,101),INDEX($B$204:$B$304,D331)+(C331-INDEX($C$204:$C$304,D331))/MAX(0.000000000001,INDEX($C$204:$C$304,D331+1)-INDEX($C$204:$C$304,D331))*(INDEX($B$204:$B$304,D331+1)-INDEX($B$204:$B$304,D331))),NA())</f>
        <v>0.995</v>
      </c>
    </row>
  </sheetData>
  <mergeCells count="4">
    <mergeCell ref="B44:G44"/>
    <mergeCell ref="B43:G43"/>
    <mergeCell ref="B42:G42"/>
    <mergeCell ref="B41:G41"/>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02:F201">
    <cfRule type="expression" dxfId="2" priority="4">
      <formula>ISNA(C102)</formula>
    </cfRule>
  </conditionalFormatting>
  <conditionalFormatting sqref="C204:G331">
    <cfRule type="expression" dxfId="1" priority="5">
      <formula>ISNA($C$204)</formula>
    </cfRule>
  </conditionalFormatting>
  <conditionalFormatting sqref="D50:D99">
    <cfRule type="expression" dxfId="0" priority="3">
      <formula>ISNA(D50)</formula>
    </cfRule>
  </conditionalFormatting>
  <hyperlinks>
    <hyperlink ref="B4" location="'Months'!A1" display="◂  Month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1AC3F-50E6-4985-8F37-F5B98023ACC6}">
  <dimension ref="A1:B1"/>
  <sheetViews>
    <sheetView workbookViewId="0"/>
  </sheetViews>
  <sheetFormatPr defaultRowHeight="14.25" x14ac:dyDescent="0.45"/>
  <sheetData>
    <row r="1" spans="1:2" x14ac:dyDescent="0.45">
      <c r="A1" s="69" t="s">
        <v>294</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8A6F0-26D6-484F-A438-3DEB8783D77F}">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521D5-18D4-407B-AB9C-79034680E780}">
  <dimension ref="B3:B1052"/>
  <sheetViews>
    <sheetView workbookViewId="0"/>
  </sheetViews>
  <sheetFormatPr defaultRowHeight="14.25" x14ac:dyDescent="0.45"/>
  <sheetData>
    <row r="3" spans="2:2" x14ac:dyDescent="0.45">
      <c r="B3">
        <v>391</v>
      </c>
    </row>
    <row r="4" spans="2:2" x14ac:dyDescent="0.45">
      <c r="B4">
        <v>0</v>
      </c>
    </row>
    <row r="5" spans="2:2" x14ac:dyDescent="0.45">
      <c r="B5">
        <v>0</v>
      </c>
    </row>
    <row r="6" spans="2:2" x14ac:dyDescent="0.45">
      <c r="B6">
        <v>0</v>
      </c>
    </row>
    <row r="7" spans="2:2" x14ac:dyDescent="0.45">
      <c r="B7">
        <v>0</v>
      </c>
    </row>
    <row r="8" spans="2:2" x14ac:dyDescent="0.45">
      <c r="B8">
        <v>0</v>
      </c>
    </row>
    <row r="9" spans="2:2" x14ac:dyDescent="0.45">
      <c r="B9">
        <v>0</v>
      </c>
    </row>
    <row r="10" spans="2:2" x14ac:dyDescent="0.45">
      <c r="B10">
        <v>0</v>
      </c>
    </row>
    <row r="11" spans="2:2" x14ac:dyDescent="0.45">
      <c r="B11">
        <v>0</v>
      </c>
    </row>
    <row r="12" spans="2:2" x14ac:dyDescent="0.45">
      <c r="B12">
        <v>1609</v>
      </c>
    </row>
    <row r="13" spans="2:2" x14ac:dyDescent="0.45">
      <c r="B13">
        <v>265</v>
      </c>
    </row>
    <row r="14" spans="2:2" x14ac:dyDescent="0.45">
      <c r="B14">
        <v>205</v>
      </c>
    </row>
    <row r="15" spans="2:2" x14ac:dyDescent="0.45">
      <c r="B15">
        <v>202</v>
      </c>
    </row>
    <row r="16" spans="2:2" x14ac:dyDescent="0.45">
      <c r="B16">
        <v>169</v>
      </c>
    </row>
    <row r="17" spans="2:2" x14ac:dyDescent="0.45">
      <c r="B17">
        <v>226</v>
      </c>
    </row>
    <row r="18" spans="2:2" x14ac:dyDescent="0.45">
      <c r="B18">
        <v>176</v>
      </c>
    </row>
    <row r="19" spans="2:2" x14ac:dyDescent="0.45">
      <c r="B19">
        <v>174</v>
      </c>
    </row>
    <row r="20" spans="2:2" x14ac:dyDescent="0.45">
      <c r="B20">
        <v>185</v>
      </c>
    </row>
    <row r="21" spans="2:2" x14ac:dyDescent="0.45">
      <c r="B21">
        <v>196</v>
      </c>
    </row>
    <row r="22" spans="2:2" x14ac:dyDescent="0.45">
      <c r="B22">
        <v>202</v>
      </c>
    </row>
    <row r="23" spans="2:2" x14ac:dyDescent="0.45">
      <c r="B23">
        <v>10</v>
      </c>
    </row>
    <row r="24" spans="2:2" x14ac:dyDescent="0.45">
      <c r="B24">
        <v>38</v>
      </c>
    </row>
    <row r="25" spans="2:2" x14ac:dyDescent="0.45">
      <c r="B25">
        <v>171</v>
      </c>
    </row>
    <row r="26" spans="2:2" x14ac:dyDescent="0.45">
      <c r="B26">
        <v>418</v>
      </c>
    </row>
    <row r="27" spans="2:2" x14ac:dyDescent="0.45">
      <c r="B27">
        <v>489</v>
      </c>
    </row>
    <row r="28" spans="2:2" x14ac:dyDescent="0.45">
      <c r="B28">
        <v>443</v>
      </c>
    </row>
    <row r="29" spans="2:2" x14ac:dyDescent="0.45">
      <c r="B29">
        <v>310</v>
      </c>
    </row>
    <row r="30" spans="2:2" x14ac:dyDescent="0.45">
      <c r="B30">
        <v>92</v>
      </c>
    </row>
    <row r="31" spans="2:2" x14ac:dyDescent="0.45">
      <c r="B31">
        <v>22</v>
      </c>
    </row>
    <row r="32" spans="2:2" x14ac:dyDescent="0.45">
      <c r="B32">
        <v>7</v>
      </c>
    </row>
    <row r="33" spans="2:2" x14ac:dyDescent="0.45">
      <c r="B33">
        <v>1</v>
      </c>
    </row>
    <row r="34" spans="2:2" x14ac:dyDescent="0.45">
      <c r="B34">
        <v>4</v>
      </c>
    </row>
    <row r="35" spans="2:2" x14ac:dyDescent="0.45">
      <c r="B35">
        <v>48</v>
      </c>
    </row>
    <row r="36" spans="2:2" x14ac:dyDescent="0.45">
      <c r="B36">
        <v>200</v>
      </c>
    </row>
    <row r="37" spans="2:2" x14ac:dyDescent="0.45">
      <c r="B37">
        <v>520</v>
      </c>
    </row>
    <row r="38" spans="2:2" x14ac:dyDescent="0.45">
      <c r="B38">
        <v>556</v>
      </c>
    </row>
    <row r="39" spans="2:2" x14ac:dyDescent="0.45">
      <c r="B39">
        <v>415</v>
      </c>
    </row>
    <row r="40" spans="2:2" x14ac:dyDescent="0.45">
      <c r="B40">
        <v>185</v>
      </c>
    </row>
    <row r="41" spans="2:2" x14ac:dyDescent="0.45">
      <c r="B41">
        <v>62</v>
      </c>
    </row>
    <row r="42" spans="2:2" x14ac:dyDescent="0.45">
      <c r="B42">
        <v>9</v>
      </c>
    </row>
    <row r="43" spans="2:2" x14ac:dyDescent="0.45">
      <c r="B43">
        <v>21</v>
      </c>
    </row>
    <row r="44" spans="2:2" x14ac:dyDescent="0.45">
      <c r="B44">
        <v>116</v>
      </c>
    </row>
    <row r="45" spans="2:2" x14ac:dyDescent="0.45">
      <c r="B45">
        <v>346</v>
      </c>
    </row>
    <row r="46" spans="2:2" x14ac:dyDescent="0.45">
      <c r="B46">
        <v>555</v>
      </c>
    </row>
    <row r="47" spans="2:2" x14ac:dyDescent="0.45">
      <c r="B47">
        <v>544</v>
      </c>
    </row>
    <row r="48" spans="2:2" x14ac:dyDescent="0.45">
      <c r="B48">
        <v>284</v>
      </c>
    </row>
    <row r="49" spans="2:2" x14ac:dyDescent="0.45">
      <c r="B49">
        <v>105</v>
      </c>
    </row>
    <row r="50" spans="2:2" x14ac:dyDescent="0.45">
      <c r="B50">
        <v>26</v>
      </c>
    </row>
    <row r="51" spans="2:2" x14ac:dyDescent="0.45">
      <c r="B51">
        <v>2</v>
      </c>
    </row>
    <row r="52" spans="2:2" x14ac:dyDescent="0.45">
      <c r="B52">
        <v>1</v>
      </c>
    </row>
    <row r="53" spans="2:2" x14ac:dyDescent="0.45">
      <c r="B53">
        <v>10</v>
      </c>
    </row>
    <row r="54" spans="2:2" x14ac:dyDescent="0.45">
      <c r="B54">
        <v>77</v>
      </c>
    </row>
    <row r="55" spans="2:2" x14ac:dyDescent="0.45">
      <c r="B55">
        <v>264</v>
      </c>
    </row>
    <row r="56" spans="2:2" x14ac:dyDescent="0.45">
      <c r="B56">
        <v>582</v>
      </c>
    </row>
    <row r="57" spans="2:2" x14ac:dyDescent="0.45">
      <c r="B57">
        <v>539</v>
      </c>
    </row>
    <row r="58" spans="2:2" x14ac:dyDescent="0.45">
      <c r="B58">
        <v>349</v>
      </c>
    </row>
    <row r="59" spans="2:2" x14ac:dyDescent="0.45">
      <c r="B59">
        <v>140</v>
      </c>
    </row>
    <row r="60" spans="2:2" x14ac:dyDescent="0.45">
      <c r="B60">
        <v>32</v>
      </c>
    </row>
    <row r="61" spans="2:2" x14ac:dyDescent="0.45">
      <c r="B61">
        <v>5</v>
      </c>
    </row>
    <row r="62" spans="2:2" x14ac:dyDescent="0.45">
      <c r="B62">
        <v>2</v>
      </c>
    </row>
    <row r="63" spans="2:2" x14ac:dyDescent="0.45">
      <c r="B63">
        <v>2</v>
      </c>
    </row>
    <row r="64" spans="2:2" x14ac:dyDescent="0.45">
      <c r="B64">
        <v>6</v>
      </c>
    </row>
    <row r="65" spans="2:2" x14ac:dyDescent="0.45">
      <c r="B65">
        <v>62</v>
      </c>
    </row>
    <row r="66" spans="2:2" x14ac:dyDescent="0.45">
      <c r="B66">
        <v>257</v>
      </c>
    </row>
    <row r="67" spans="2:2" x14ac:dyDescent="0.45">
      <c r="B67">
        <v>570</v>
      </c>
    </row>
    <row r="68" spans="2:2" x14ac:dyDescent="0.45">
      <c r="B68">
        <v>536</v>
      </c>
    </row>
    <row r="69" spans="2:2" x14ac:dyDescent="0.45">
      <c r="B69">
        <v>360</v>
      </c>
    </row>
    <row r="70" spans="2:2" x14ac:dyDescent="0.45">
      <c r="B70">
        <v>164</v>
      </c>
    </row>
    <row r="71" spans="2:2" x14ac:dyDescent="0.45">
      <c r="B71">
        <v>36</v>
      </c>
    </row>
    <row r="72" spans="2:2" x14ac:dyDescent="0.45">
      <c r="B72">
        <v>7</v>
      </c>
    </row>
    <row r="73" spans="2:2" x14ac:dyDescent="0.45">
      <c r="B73">
        <v>10</v>
      </c>
    </row>
    <row r="74" spans="2:2" x14ac:dyDescent="0.45">
      <c r="B74">
        <v>64</v>
      </c>
    </row>
    <row r="75" spans="2:2" x14ac:dyDescent="0.45">
      <c r="B75">
        <v>171</v>
      </c>
    </row>
    <row r="76" spans="2:2" x14ac:dyDescent="0.45">
      <c r="B76">
        <v>429</v>
      </c>
    </row>
    <row r="77" spans="2:2" x14ac:dyDescent="0.45">
      <c r="B77">
        <v>475</v>
      </c>
    </row>
    <row r="78" spans="2:2" x14ac:dyDescent="0.45">
      <c r="B78">
        <v>422</v>
      </c>
    </row>
    <row r="79" spans="2:2" x14ac:dyDescent="0.45">
      <c r="B79">
        <v>281</v>
      </c>
    </row>
    <row r="80" spans="2:2" x14ac:dyDescent="0.45">
      <c r="B80">
        <v>110</v>
      </c>
    </row>
    <row r="81" spans="2:2" x14ac:dyDescent="0.45">
      <c r="B81">
        <v>31</v>
      </c>
    </row>
    <row r="82" spans="2:2" x14ac:dyDescent="0.45">
      <c r="B82">
        <v>7</v>
      </c>
    </row>
    <row r="83" spans="2:2" x14ac:dyDescent="0.45">
      <c r="B83">
        <v>2</v>
      </c>
    </row>
    <row r="84" spans="2:2" x14ac:dyDescent="0.45">
      <c r="B84">
        <v>21</v>
      </c>
    </row>
    <row r="85" spans="2:2" x14ac:dyDescent="0.45">
      <c r="B85">
        <v>111</v>
      </c>
    </row>
    <row r="86" spans="2:2" x14ac:dyDescent="0.45">
      <c r="B86">
        <v>306</v>
      </c>
    </row>
    <row r="87" spans="2:2" x14ac:dyDescent="0.45">
      <c r="B87">
        <v>520</v>
      </c>
    </row>
    <row r="88" spans="2:2" x14ac:dyDescent="0.45">
      <c r="B88">
        <v>558</v>
      </c>
    </row>
    <row r="89" spans="2:2" x14ac:dyDescent="0.45">
      <c r="B89">
        <v>303</v>
      </c>
    </row>
    <row r="90" spans="2:2" x14ac:dyDescent="0.45">
      <c r="B90">
        <v>132</v>
      </c>
    </row>
    <row r="91" spans="2:2" x14ac:dyDescent="0.45">
      <c r="B91">
        <v>39</v>
      </c>
    </row>
    <row r="92" spans="2:2" x14ac:dyDescent="0.45">
      <c r="B92">
        <v>8</v>
      </c>
    </row>
    <row r="93" spans="2:2" x14ac:dyDescent="0.45">
      <c r="B93">
        <v>3</v>
      </c>
    </row>
    <row r="94" spans="2:2" x14ac:dyDescent="0.45">
      <c r="B94">
        <v>40</v>
      </c>
    </row>
    <row r="95" spans="2:2" x14ac:dyDescent="0.45">
      <c r="B95">
        <v>157</v>
      </c>
    </row>
    <row r="96" spans="2:2" x14ac:dyDescent="0.45">
      <c r="B96">
        <v>400</v>
      </c>
    </row>
    <row r="97" spans="2:2" x14ac:dyDescent="0.45">
      <c r="B97">
        <v>534</v>
      </c>
    </row>
    <row r="98" spans="2:2" x14ac:dyDescent="0.45">
      <c r="B98">
        <v>463</v>
      </c>
    </row>
    <row r="99" spans="2:2" x14ac:dyDescent="0.45">
      <c r="B99">
        <v>289</v>
      </c>
    </row>
    <row r="100" spans="2:2" x14ac:dyDescent="0.45">
      <c r="B100">
        <v>97</v>
      </c>
    </row>
    <row r="101" spans="2:2" x14ac:dyDescent="0.45">
      <c r="B101">
        <v>13</v>
      </c>
    </row>
    <row r="102" spans="2:2" x14ac:dyDescent="0.45">
      <c r="B102">
        <v>4</v>
      </c>
    </row>
    <row r="103" spans="2:2" x14ac:dyDescent="0.45">
      <c r="B103">
        <v>9</v>
      </c>
    </row>
    <row r="104" spans="2:2" x14ac:dyDescent="0.45">
      <c r="B104">
        <v>45</v>
      </c>
    </row>
    <row r="105" spans="2:2" x14ac:dyDescent="0.45">
      <c r="B105">
        <v>192</v>
      </c>
    </row>
    <row r="106" spans="2:2" x14ac:dyDescent="0.45">
      <c r="B106">
        <v>421</v>
      </c>
    </row>
    <row r="107" spans="2:2" x14ac:dyDescent="0.45">
      <c r="B107">
        <v>544</v>
      </c>
    </row>
    <row r="108" spans="2:2" x14ac:dyDescent="0.45">
      <c r="B108">
        <v>370</v>
      </c>
    </row>
    <row r="109" spans="2:2" x14ac:dyDescent="0.45">
      <c r="B109">
        <v>291</v>
      </c>
    </row>
    <row r="110" spans="2:2" x14ac:dyDescent="0.45">
      <c r="B110">
        <v>100</v>
      </c>
    </row>
    <row r="111" spans="2:2" x14ac:dyDescent="0.45">
      <c r="B111">
        <v>20</v>
      </c>
    </row>
    <row r="112" spans="2:2" x14ac:dyDescent="0.45">
      <c r="B112">
        <v>8</v>
      </c>
    </row>
    <row r="113" spans="2:2" x14ac:dyDescent="0.45">
      <c r="B113">
        <v>4</v>
      </c>
    </row>
    <row r="114" spans="2:2" x14ac:dyDescent="0.45">
      <c r="B114">
        <v>10</v>
      </c>
    </row>
    <row r="115" spans="2:2" x14ac:dyDescent="0.45">
      <c r="B115">
        <v>62</v>
      </c>
    </row>
    <row r="116" spans="2:2" x14ac:dyDescent="0.45">
      <c r="B116">
        <v>272</v>
      </c>
    </row>
    <row r="117" spans="2:2" x14ac:dyDescent="0.45">
      <c r="B117">
        <v>472</v>
      </c>
    </row>
    <row r="118" spans="2:2" x14ac:dyDescent="0.45">
      <c r="B118">
        <v>538</v>
      </c>
    </row>
    <row r="119" spans="2:2" x14ac:dyDescent="0.45">
      <c r="B119">
        <v>417</v>
      </c>
    </row>
    <row r="120" spans="2:2" x14ac:dyDescent="0.45">
      <c r="B120">
        <v>167</v>
      </c>
    </row>
    <row r="121" spans="2:2" x14ac:dyDescent="0.45">
      <c r="B121">
        <v>41</v>
      </c>
    </row>
    <row r="122" spans="2:2" x14ac:dyDescent="0.45">
      <c r="B122">
        <v>17</v>
      </c>
    </row>
    <row r="123" spans="2:2" x14ac:dyDescent="0.45">
      <c r="B123">
        <v>1</v>
      </c>
    </row>
    <row r="124" spans="2:2" x14ac:dyDescent="0.45">
      <c r="B124">
        <v>4</v>
      </c>
    </row>
    <row r="125" spans="2:2" x14ac:dyDescent="0.45">
      <c r="B125">
        <v>36</v>
      </c>
    </row>
    <row r="126" spans="2:2" x14ac:dyDescent="0.45">
      <c r="B126">
        <v>141</v>
      </c>
    </row>
    <row r="127" spans="2:2" x14ac:dyDescent="0.45">
      <c r="B127">
        <v>425</v>
      </c>
    </row>
    <row r="128" spans="2:2" x14ac:dyDescent="0.45">
      <c r="B128">
        <v>537</v>
      </c>
    </row>
    <row r="129" spans="2:2" x14ac:dyDescent="0.45">
      <c r="B129">
        <v>444</v>
      </c>
    </row>
    <row r="130" spans="2:2" x14ac:dyDescent="0.45">
      <c r="B130">
        <v>283</v>
      </c>
    </row>
    <row r="131" spans="2:2" x14ac:dyDescent="0.45">
      <c r="B131">
        <v>92</v>
      </c>
    </row>
    <row r="132" spans="2:2" x14ac:dyDescent="0.45">
      <c r="B132">
        <v>37</v>
      </c>
    </row>
    <row r="133" spans="2:2" x14ac:dyDescent="0.45">
      <c r="B133">
        <v>20</v>
      </c>
    </row>
    <row r="134" spans="2:2" x14ac:dyDescent="0.45">
      <c r="B134">
        <v>90</v>
      </c>
    </row>
    <row r="135" spans="2:2" x14ac:dyDescent="0.45">
      <c r="B135">
        <v>257</v>
      </c>
    </row>
    <row r="136" spans="2:2" x14ac:dyDescent="0.45">
      <c r="B136">
        <v>534</v>
      </c>
    </row>
    <row r="137" spans="2:2" x14ac:dyDescent="0.45">
      <c r="B137">
        <v>580</v>
      </c>
    </row>
    <row r="138" spans="2:2" x14ac:dyDescent="0.45">
      <c r="B138">
        <v>342</v>
      </c>
    </row>
    <row r="139" spans="2:2" x14ac:dyDescent="0.45">
      <c r="B139">
        <v>137</v>
      </c>
    </row>
    <row r="140" spans="2:2" x14ac:dyDescent="0.45">
      <c r="B140">
        <v>32</v>
      </c>
    </row>
    <row r="141" spans="2:2" x14ac:dyDescent="0.45">
      <c r="B141">
        <v>7</v>
      </c>
    </row>
    <row r="142" spans="2:2" x14ac:dyDescent="0.45">
      <c r="B142">
        <v>1</v>
      </c>
    </row>
    <row r="143" spans="2:2" x14ac:dyDescent="0.45">
      <c r="B143">
        <v>17</v>
      </c>
    </row>
    <row r="144" spans="2:2" x14ac:dyDescent="0.45">
      <c r="B144">
        <v>61</v>
      </c>
    </row>
    <row r="145" spans="2:2" x14ac:dyDescent="0.45">
      <c r="B145">
        <v>207</v>
      </c>
    </row>
    <row r="146" spans="2:2" x14ac:dyDescent="0.45">
      <c r="B146">
        <v>477</v>
      </c>
    </row>
    <row r="147" spans="2:2" x14ac:dyDescent="0.45">
      <c r="B147">
        <v>516</v>
      </c>
    </row>
    <row r="148" spans="2:2" x14ac:dyDescent="0.45">
      <c r="B148">
        <v>404</v>
      </c>
    </row>
    <row r="149" spans="2:2" x14ac:dyDescent="0.45">
      <c r="B149">
        <v>214</v>
      </c>
    </row>
    <row r="150" spans="2:2" x14ac:dyDescent="0.45">
      <c r="B150">
        <v>81</v>
      </c>
    </row>
    <row r="151" spans="2:2" x14ac:dyDescent="0.45">
      <c r="B151">
        <v>20</v>
      </c>
    </row>
    <row r="152" spans="2:2" x14ac:dyDescent="0.45">
      <c r="B152">
        <v>3</v>
      </c>
    </row>
    <row r="153" spans="2:2" x14ac:dyDescent="0.45">
      <c r="B153">
        <v>2</v>
      </c>
    </row>
    <row r="154" spans="2:2" x14ac:dyDescent="0.45">
      <c r="B154">
        <v>14</v>
      </c>
    </row>
    <row r="155" spans="2:2" x14ac:dyDescent="0.45">
      <c r="B155">
        <v>116</v>
      </c>
    </row>
    <row r="156" spans="2:2" x14ac:dyDescent="0.45">
      <c r="B156">
        <v>330</v>
      </c>
    </row>
    <row r="157" spans="2:2" x14ac:dyDescent="0.45">
      <c r="B157">
        <v>613</v>
      </c>
    </row>
    <row r="158" spans="2:2" x14ac:dyDescent="0.45">
      <c r="B158">
        <v>455</v>
      </c>
    </row>
    <row r="159" spans="2:2" x14ac:dyDescent="0.45">
      <c r="B159">
        <v>312</v>
      </c>
    </row>
    <row r="160" spans="2:2" x14ac:dyDescent="0.45">
      <c r="B160">
        <v>121</v>
      </c>
    </row>
    <row r="161" spans="2:2" x14ac:dyDescent="0.45">
      <c r="B161">
        <v>29</v>
      </c>
    </row>
    <row r="162" spans="2:2" x14ac:dyDescent="0.45">
      <c r="B162">
        <v>8</v>
      </c>
    </row>
    <row r="163" spans="2:2" x14ac:dyDescent="0.45">
      <c r="B163">
        <v>4</v>
      </c>
    </row>
    <row r="164" spans="2:2" x14ac:dyDescent="0.45">
      <c r="B164">
        <v>30</v>
      </c>
    </row>
    <row r="165" spans="2:2" x14ac:dyDescent="0.45">
      <c r="B165">
        <v>143</v>
      </c>
    </row>
    <row r="166" spans="2:2" x14ac:dyDescent="0.45">
      <c r="B166">
        <v>370</v>
      </c>
    </row>
    <row r="167" spans="2:2" x14ac:dyDescent="0.45">
      <c r="B167">
        <v>623</v>
      </c>
    </row>
    <row r="168" spans="2:2" x14ac:dyDescent="0.45">
      <c r="B168">
        <v>512</v>
      </c>
    </row>
    <row r="169" spans="2:2" x14ac:dyDescent="0.45">
      <c r="B169">
        <v>231</v>
      </c>
    </row>
    <row r="170" spans="2:2" x14ac:dyDescent="0.45">
      <c r="B170">
        <v>71</v>
      </c>
    </row>
    <row r="171" spans="2:2" x14ac:dyDescent="0.45">
      <c r="B171">
        <v>14</v>
      </c>
    </row>
    <row r="172" spans="2:2" x14ac:dyDescent="0.45">
      <c r="B172">
        <v>2</v>
      </c>
    </row>
    <row r="173" spans="2:2" x14ac:dyDescent="0.45">
      <c r="B173">
        <v>4</v>
      </c>
    </row>
    <row r="174" spans="2:2" x14ac:dyDescent="0.45">
      <c r="B174">
        <v>35</v>
      </c>
    </row>
    <row r="175" spans="2:2" x14ac:dyDescent="0.45">
      <c r="B175">
        <v>133</v>
      </c>
    </row>
    <row r="176" spans="2:2" x14ac:dyDescent="0.45">
      <c r="B176">
        <v>340</v>
      </c>
    </row>
    <row r="177" spans="2:2" x14ac:dyDescent="0.45">
      <c r="B177">
        <v>488</v>
      </c>
    </row>
    <row r="178" spans="2:2" x14ac:dyDescent="0.45">
      <c r="B178">
        <v>440</v>
      </c>
    </row>
    <row r="179" spans="2:2" x14ac:dyDescent="0.45">
      <c r="B179">
        <v>364</v>
      </c>
    </row>
    <row r="180" spans="2:2" x14ac:dyDescent="0.45">
      <c r="B180">
        <v>157</v>
      </c>
    </row>
    <row r="181" spans="2:2" x14ac:dyDescent="0.45">
      <c r="B181">
        <v>34</v>
      </c>
    </row>
    <row r="182" spans="2:2" x14ac:dyDescent="0.45">
      <c r="B182">
        <v>5</v>
      </c>
    </row>
    <row r="183" spans="2:2" x14ac:dyDescent="0.45">
      <c r="B183">
        <v>3</v>
      </c>
    </row>
    <row r="184" spans="2:2" x14ac:dyDescent="0.45">
      <c r="B184">
        <v>19</v>
      </c>
    </row>
    <row r="185" spans="2:2" x14ac:dyDescent="0.45">
      <c r="B185">
        <v>153</v>
      </c>
    </row>
    <row r="186" spans="2:2" x14ac:dyDescent="0.45">
      <c r="B186">
        <v>440</v>
      </c>
    </row>
    <row r="187" spans="2:2" x14ac:dyDescent="0.45">
      <c r="B187">
        <v>582</v>
      </c>
    </row>
    <row r="188" spans="2:2" x14ac:dyDescent="0.45">
      <c r="B188">
        <v>483</v>
      </c>
    </row>
    <row r="189" spans="2:2" x14ac:dyDescent="0.45">
      <c r="B189">
        <v>230</v>
      </c>
    </row>
    <row r="190" spans="2:2" x14ac:dyDescent="0.45">
      <c r="B190">
        <v>69</v>
      </c>
    </row>
    <row r="191" spans="2:2" x14ac:dyDescent="0.45">
      <c r="B191">
        <v>18</v>
      </c>
    </row>
    <row r="192" spans="2:2" x14ac:dyDescent="0.45">
      <c r="B192">
        <v>3</v>
      </c>
    </row>
    <row r="193" spans="2:2" x14ac:dyDescent="0.45">
      <c r="B193">
        <v>4</v>
      </c>
    </row>
    <row r="194" spans="2:2" x14ac:dyDescent="0.45">
      <c r="B194">
        <v>28</v>
      </c>
    </row>
    <row r="195" spans="2:2" x14ac:dyDescent="0.45">
      <c r="B195">
        <v>150</v>
      </c>
    </row>
    <row r="196" spans="2:2" x14ac:dyDescent="0.45">
      <c r="B196">
        <v>350</v>
      </c>
    </row>
    <row r="197" spans="2:2" x14ac:dyDescent="0.45">
      <c r="B197">
        <v>502</v>
      </c>
    </row>
    <row r="198" spans="2:2" x14ac:dyDescent="0.45">
      <c r="B198">
        <v>475</v>
      </c>
    </row>
    <row r="199" spans="2:2" x14ac:dyDescent="0.45">
      <c r="B199">
        <v>309</v>
      </c>
    </row>
    <row r="200" spans="2:2" x14ac:dyDescent="0.45">
      <c r="B200">
        <v>134</v>
      </c>
    </row>
    <row r="201" spans="2:2" x14ac:dyDescent="0.45">
      <c r="B201">
        <v>37</v>
      </c>
    </row>
    <row r="202" spans="2:2" x14ac:dyDescent="0.45">
      <c r="B202">
        <v>11</v>
      </c>
    </row>
    <row r="203" spans="2:2" x14ac:dyDescent="0.45">
      <c r="B203">
        <v>9</v>
      </c>
    </row>
    <row r="204" spans="2:2" x14ac:dyDescent="0.45">
      <c r="B204">
        <v>52</v>
      </c>
    </row>
    <row r="205" spans="2:2" x14ac:dyDescent="0.45">
      <c r="B205">
        <v>158</v>
      </c>
    </row>
    <row r="206" spans="2:2" x14ac:dyDescent="0.45">
      <c r="B206">
        <v>319</v>
      </c>
    </row>
    <row r="207" spans="2:2" x14ac:dyDescent="0.45">
      <c r="B207">
        <v>520</v>
      </c>
    </row>
    <row r="208" spans="2:2" x14ac:dyDescent="0.45">
      <c r="B208">
        <v>390</v>
      </c>
    </row>
    <row r="209" spans="2:2" x14ac:dyDescent="0.45">
      <c r="B209">
        <v>349</v>
      </c>
    </row>
    <row r="210" spans="2:2" x14ac:dyDescent="0.45">
      <c r="B210">
        <v>148</v>
      </c>
    </row>
    <row r="211" spans="2:2" x14ac:dyDescent="0.45">
      <c r="B211">
        <v>44</v>
      </c>
    </row>
    <row r="212" spans="2:2" x14ac:dyDescent="0.45">
      <c r="B212">
        <v>11</v>
      </c>
    </row>
    <row r="213" spans="2:2" x14ac:dyDescent="0.45">
      <c r="B213">
        <v>6</v>
      </c>
    </row>
    <row r="214" spans="2:2" x14ac:dyDescent="0.45">
      <c r="B214">
        <v>9</v>
      </c>
    </row>
    <row r="215" spans="2:2" x14ac:dyDescent="0.45">
      <c r="B215">
        <v>26</v>
      </c>
    </row>
    <row r="216" spans="2:2" x14ac:dyDescent="0.45">
      <c r="B216">
        <v>43</v>
      </c>
    </row>
    <row r="217" spans="2:2" x14ac:dyDescent="0.45">
      <c r="B217">
        <v>256</v>
      </c>
    </row>
    <row r="218" spans="2:2" x14ac:dyDescent="0.45">
      <c r="B218">
        <v>539</v>
      </c>
    </row>
    <row r="219" spans="2:2" x14ac:dyDescent="0.45">
      <c r="B219">
        <v>606</v>
      </c>
    </row>
    <row r="220" spans="2:2" x14ac:dyDescent="0.45">
      <c r="B220">
        <v>402</v>
      </c>
    </row>
    <row r="221" spans="2:2" x14ac:dyDescent="0.45">
      <c r="B221">
        <v>95</v>
      </c>
    </row>
    <row r="222" spans="2:2" x14ac:dyDescent="0.45">
      <c r="B222">
        <v>18</v>
      </c>
    </row>
    <row r="223" spans="2:2" x14ac:dyDescent="0.45">
      <c r="B223">
        <v>15</v>
      </c>
    </row>
    <row r="224" spans="2:2" x14ac:dyDescent="0.45">
      <c r="B224">
        <v>26</v>
      </c>
    </row>
    <row r="225" spans="2:2" x14ac:dyDescent="0.45">
      <c r="B225">
        <v>49</v>
      </c>
    </row>
    <row r="226" spans="2:2" x14ac:dyDescent="0.45">
      <c r="B226">
        <v>96</v>
      </c>
    </row>
    <row r="227" spans="2:2" x14ac:dyDescent="0.45">
      <c r="B227">
        <v>233</v>
      </c>
    </row>
    <row r="228" spans="2:2" x14ac:dyDescent="0.45">
      <c r="B228">
        <v>471</v>
      </c>
    </row>
    <row r="229" spans="2:2" x14ac:dyDescent="0.45">
      <c r="B229">
        <v>593</v>
      </c>
    </row>
    <row r="230" spans="2:2" x14ac:dyDescent="0.45">
      <c r="B230">
        <v>346</v>
      </c>
    </row>
    <row r="231" spans="2:2" x14ac:dyDescent="0.45">
      <c r="B231">
        <v>129</v>
      </c>
    </row>
    <row r="232" spans="2:2" x14ac:dyDescent="0.45">
      <c r="B232">
        <v>42</v>
      </c>
    </row>
    <row r="233" spans="2:2" x14ac:dyDescent="0.45">
      <c r="B233">
        <v>17</v>
      </c>
    </row>
    <row r="234" spans="2:2" x14ac:dyDescent="0.45">
      <c r="B234">
        <v>51</v>
      </c>
    </row>
    <row r="235" spans="2:2" x14ac:dyDescent="0.45">
      <c r="B235">
        <v>69</v>
      </c>
    </row>
    <row r="236" spans="2:2" x14ac:dyDescent="0.45">
      <c r="B236">
        <v>105</v>
      </c>
    </row>
    <row r="237" spans="2:2" x14ac:dyDescent="0.45">
      <c r="B237">
        <v>364</v>
      </c>
    </row>
    <row r="238" spans="2:2" x14ac:dyDescent="0.45">
      <c r="B238">
        <v>623</v>
      </c>
    </row>
    <row r="239" spans="2:2" x14ac:dyDescent="0.45">
      <c r="B239">
        <v>529</v>
      </c>
    </row>
    <row r="240" spans="2:2" x14ac:dyDescent="0.45">
      <c r="B240">
        <v>194</v>
      </c>
    </row>
    <row r="241" spans="2:2" x14ac:dyDescent="0.45">
      <c r="B241">
        <v>43</v>
      </c>
    </row>
    <row r="242" spans="2:2" x14ac:dyDescent="0.45">
      <c r="B242">
        <v>5</v>
      </c>
    </row>
    <row r="243" spans="2:2" x14ac:dyDescent="0.45">
      <c r="B243">
        <v>40</v>
      </c>
    </row>
    <row r="244" spans="2:2" x14ac:dyDescent="0.45">
      <c r="B244">
        <v>80</v>
      </c>
    </row>
    <row r="245" spans="2:2" x14ac:dyDescent="0.45">
      <c r="B245">
        <v>90</v>
      </c>
    </row>
    <row r="246" spans="2:2" x14ac:dyDescent="0.45">
      <c r="B246">
        <v>109</v>
      </c>
    </row>
    <row r="247" spans="2:2" x14ac:dyDescent="0.45">
      <c r="B247">
        <v>358</v>
      </c>
    </row>
    <row r="248" spans="2:2" x14ac:dyDescent="0.45">
      <c r="B248">
        <v>501</v>
      </c>
    </row>
    <row r="249" spans="2:2" x14ac:dyDescent="0.45">
      <c r="B249">
        <v>498</v>
      </c>
    </row>
    <row r="250" spans="2:2" x14ac:dyDescent="0.45">
      <c r="B250">
        <v>239</v>
      </c>
    </row>
    <row r="251" spans="2:2" x14ac:dyDescent="0.45">
      <c r="B251">
        <v>71</v>
      </c>
    </row>
    <row r="252" spans="2:2" x14ac:dyDescent="0.45">
      <c r="B252">
        <v>14</v>
      </c>
    </row>
    <row r="253" spans="2:2" x14ac:dyDescent="0.45">
      <c r="B253">
        <v>25</v>
      </c>
    </row>
    <row r="254" spans="2:2" x14ac:dyDescent="0.45">
      <c r="B254">
        <v>93</v>
      </c>
    </row>
    <row r="255" spans="2:2" x14ac:dyDescent="0.45">
      <c r="B255">
        <v>119</v>
      </c>
    </row>
    <row r="256" spans="2:2" x14ac:dyDescent="0.45">
      <c r="B256">
        <v>144</v>
      </c>
    </row>
    <row r="257" spans="2:2" x14ac:dyDescent="0.45">
      <c r="B257">
        <v>480</v>
      </c>
    </row>
    <row r="258" spans="2:2" x14ac:dyDescent="0.45">
      <c r="B258">
        <v>613</v>
      </c>
    </row>
    <row r="259" spans="2:2" x14ac:dyDescent="0.45">
      <c r="B259">
        <v>409</v>
      </c>
    </row>
    <row r="260" spans="2:2" x14ac:dyDescent="0.45">
      <c r="B260">
        <v>100</v>
      </c>
    </row>
    <row r="261" spans="2:2" x14ac:dyDescent="0.45">
      <c r="B261">
        <v>16</v>
      </c>
    </row>
    <row r="262" spans="2:2" x14ac:dyDescent="0.45">
      <c r="B262">
        <v>1</v>
      </c>
    </row>
    <row r="263" spans="2:2" x14ac:dyDescent="0.45">
      <c r="B263">
        <v>7</v>
      </c>
    </row>
    <row r="264" spans="2:2" x14ac:dyDescent="0.45">
      <c r="B264">
        <v>63</v>
      </c>
    </row>
    <row r="265" spans="2:2" x14ac:dyDescent="0.45">
      <c r="B265">
        <v>130</v>
      </c>
    </row>
    <row r="266" spans="2:2" x14ac:dyDescent="0.45">
      <c r="B266">
        <v>116</v>
      </c>
    </row>
    <row r="267" spans="2:2" x14ac:dyDescent="0.45">
      <c r="B267">
        <v>181</v>
      </c>
    </row>
    <row r="268" spans="2:2" x14ac:dyDescent="0.45">
      <c r="B268">
        <v>401</v>
      </c>
    </row>
    <row r="269" spans="2:2" x14ac:dyDescent="0.45">
      <c r="B269">
        <v>619</v>
      </c>
    </row>
    <row r="270" spans="2:2" x14ac:dyDescent="0.45">
      <c r="B270">
        <v>362</v>
      </c>
    </row>
    <row r="271" spans="2:2" x14ac:dyDescent="0.45">
      <c r="B271">
        <v>108</v>
      </c>
    </row>
    <row r="272" spans="2:2" x14ac:dyDescent="0.45">
      <c r="B272">
        <v>13</v>
      </c>
    </row>
    <row r="273" spans="2:2" x14ac:dyDescent="0.45">
      <c r="B273">
        <v>25</v>
      </c>
    </row>
    <row r="274" spans="2:2" x14ac:dyDescent="0.45">
      <c r="B274">
        <v>117</v>
      </c>
    </row>
    <row r="275" spans="2:2" x14ac:dyDescent="0.45">
      <c r="B275">
        <v>133</v>
      </c>
    </row>
    <row r="276" spans="2:2" x14ac:dyDescent="0.45">
      <c r="B276">
        <v>136</v>
      </c>
    </row>
    <row r="277" spans="2:2" x14ac:dyDescent="0.45">
      <c r="B277">
        <v>210</v>
      </c>
    </row>
    <row r="278" spans="2:2" x14ac:dyDescent="0.45">
      <c r="B278">
        <v>478</v>
      </c>
    </row>
    <row r="279" spans="2:2" x14ac:dyDescent="0.45">
      <c r="B279">
        <v>554</v>
      </c>
    </row>
    <row r="280" spans="2:2" x14ac:dyDescent="0.45">
      <c r="B280">
        <v>259</v>
      </c>
    </row>
    <row r="281" spans="2:2" x14ac:dyDescent="0.45">
      <c r="B281">
        <v>78</v>
      </c>
    </row>
    <row r="282" spans="2:2" x14ac:dyDescent="0.45">
      <c r="B282">
        <v>10</v>
      </c>
    </row>
    <row r="283" spans="2:2" x14ac:dyDescent="0.45">
      <c r="B283">
        <v>18</v>
      </c>
    </row>
    <row r="284" spans="2:2" x14ac:dyDescent="0.45">
      <c r="B284">
        <v>115</v>
      </c>
    </row>
    <row r="285" spans="2:2" x14ac:dyDescent="0.45">
      <c r="B285">
        <v>205</v>
      </c>
    </row>
    <row r="286" spans="2:2" x14ac:dyDescent="0.45">
      <c r="B286">
        <v>133</v>
      </c>
    </row>
    <row r="287" spans="2:2" x14ac:dyDescent="0.45">
      <c r="B287">
        <v>245</v>
      </c>
    </row>
    <row r="288" spans="2:2" x14ac:dyDescent="0.45">
      <c r="B288">
        <v>588</v>
      </c>
    </row>
    <row r="289" spans="2:2" x14ac:dyDescent="0.45">
      <c r="B289">
        <v>486</v>
      </c>
    </row>
    <row r="290" spans="2:2" x14ac:dyDescent="0.45">
      <c r="B290">
        <v>173</v>
      </c>
    </row>
    <row r="291" spans="2:2" x14ac:dyDescent="0.45">
      <c r="B291">
        <v>33</v>
      </c>
    </row>
    <row r="292" spans="2:2" x14ac:dyDescent="0.45">
      <c r="B292">
        <v>4</v>
      </c>
    </row>
    <row r="293" spans="2:2" x14ac:dyDescent="0.45">
      <c r="B293">
        <v>21</v>
      </c>
    </row>
    <row r="294" spans="2:2" x14ac:dyDescent="0.45">
      <c r="B294">
        <v>126</v>
      </c>
    </row>
    <row r="295" spans="2:2" x14ac:dyDescent="0.45">
      <c r="B295">
        <v>187</v>
      </c>
    </row>
    <row r="296" spans="2:2" x14ac:dyDescent="0.45">
      <c r="B296">
        <v>147</v>
      </c>
    </row>
    <row r="297" spans="2:2" x14ac:dyDescent="0.45">
      <c r="B297">
        <v>191</v>
      </c>
    </row>
    <row r="298" spans="2:2" x14ac:dyDescent="0.45">
      <c r="B298">
        <v>392</v>
      </c>
    </row>
    <row r="299" spans="2:2" x14ac:dyDescent="0.45">
      <c r="B299">
        <v>515</v>
      </c>
    </row>
    <row r="300" spans="2:2" x14ac:dyDescent="0.45">
      <c r="B300">
        <v>317</v>
      </c>
    </row>
    <row r="301" spans="2:2" x14ac:dyDescent="0.45">
      <c r="B301">
        <v>87</v>
      </c>
    </row>
    <row r="302" spans="2:2" x14ac:dyDescent="0.45">
      <c r="B302">
        <v>17</v>
      </c>
    </row>
    <row r="303" spans="2:2" x14ac:dyDescent="0.45">
      <c r="B303">
        <v>36</v>
      </c>
    </row>
    <row r="304" spans="2:2" x14ac:dyDescent="0.45">
      <c r="B304">
        <v>161</v>
      </c>
    </row>
    <row r="305" spans="2:2" x14ac:dyDescent="0.45">
      <c r="B305">
        <v>222</v>
      </c>
    </row>
    <row r="306" spans="2:2" x14ac:dyDescent="0.45">
      <c r="B306">
        <v>139</v>
      </c>
    </row>
    <row r="307" spans="2:2" x14ac:dyDescent="0.45">
      <c r="B307">
        <v>193</v>
      </c>
    </row>
    <row r="308" spans="2:2" x14ac:dyDescent="0.45">
      <c r="B308">
        <v>367</v>
      </c>
    </row>
    <row r="309" spans="2:2" x14ac:dyDescent="0.45">
      <c r="B309">
        <v>509</v>
      </c>
    </row>
    <row r="310" spans="2:2" x14ac:dyDescent="0.45">
      <c r="B310">
        <v>259</v>
      </c>
    </row>
    <row r="311" spans="2:2" x14ac:dyDescent="0.45">
      <c r="B311">
        <v>96</v>
      </c>
    </row>
    <row r="312" spans="2:2" x14ac:dyDescent="0.45">
      <c r="B312">
        <v>18</v>
      </c>
    </row>
    <row r="313" spans="2:2" x14ac:dyDescent="0.45">
      <c r="B313">
        <v>28</v>
      </c>
    </row>
    <row r="314" spans="2:2" x14ac:dyDescent="0.45">
      <c r="B314">
        <v>120</v>
      </c>
    </row>
    <row r="315" spans="2:2" x14ac:dyDescent="0.45">
      <c r="B315">
        <v>241</v>
      </c>
    </row>
    <row r="316" spans="2:2" x14ac:dyDescent="0.45">
      <c r="B316">
        <v>182</v>
      </c>
    </row>
    <row r="317" spans="2:2" x14ac:dyDescent="0.45">
      <c r="B317">
        <v>185</v>
      </c>
    </row>
    <row r="318" spans="2:2" x14ac:dyDescent="0.45">
      <c r="B318">
        <v>394</v>
      </c>
    </row>
    <row r="319" spans="2:2" x14ac:dyDescent="0.45">
      <c r="B319">
        <v>526</v>
      </c>
    </row>
    <row r="320" spans="2:2" x14ac:dyDescent="0.45">
      <c r="B320">
        <v>238</v>
      </c>
    </row>
    <row r="321" spans="2:2" x14ac:dyDescent="0.45">
      <c r="B321">
        <v>79</v>
      </c>
    </row>
    <row r="322" spans="2:2" x14ac:dyDescent="0.45">
      <c r="B322">
        <v>7</v>
      </c>
    </row>
    <row r="323" spans="2:2" x14ac:dyDescent="0.45">
      <c r="B323">
        <v>21</v>
      </c>
    </row>
    <row r="324" spans="2:2" x14ac:dyDescent="0.45">
      <c r="B324">
        <v>124</v>
      </c>
    </row>
    <row r="325" spans="2:2" x14ac:dyDescent="0.45">
      <c r="B325">
        <v>297</v>
      </c>
    </row>
    <row r="326" spans="2:2" x14ac:dyDescent="0.45">
      <c r="B326">
        <v>202</v>
      </c>
    </row>
    <row r="327" spans="2:2" x14ac:dyDescent="0.45">
      <c r="B327">
        <v>212</v>
      </c>
    </row>
    <row r="328" spans="2:2" x14ac:dyDescent="0.45">
      <c r="B328">
        <v>430</v>
      </c>
    </row>
    <row r="329" spans="2:2" x14ac:dyDescent="0.45">
      <c r="B329">
        <v>463</v>
      </c>
    </row>
    <row r="330" spans="2:2" x14ac:dyDescent="0.45">
      <c r="B330">
        <v>204</v>
      </c>
    </row>
    <row r="331" spans="2:2" x14ac:dyDescent="0.45">
      <c r="B331">
        <v>41</v>
      </c>
    </row>
    <row r="332" spans="2:2" x14ac:dyDescent="0.45">
      <c r="B332">
        <v>6</v>
      </c>
    </row>
    <row r="333" spans="2:2" x14ac:dyDescent="0.45">
      <c r="B333">
        <v>11</v>
      </c>
    </row>
    <row r="334" spans="2:2" x14ac:dyDescent="0.45">
      <c r="B334">
        <v>65</v>
      </c>
    </row>
    <row r="335" spans="2:2" x14ac:dyDescent="0.45">
      <c r="B335">
        <v>292</v>
      </c>
    </row>
    <row r="336" spans="2:2" x14ac:dyDescent="0.45">
      <c r="B336">
        <v>242</v>
      </c>
    </row>
    <row r="337" spans="2:2" x14ac:dyDescent="0.45">
      <c r="B337">
        <v>183</v>
      </c>
    </row>
    <row r="338" spans="2:2" x14ac:dyDescent="0.45">
      <c r="B338">
        <v>370</v>
      </c>
    </row>
    <row r="339" spans="2:2" x14ac:dyDescent="0.45">
      <c r="B339">
        <v>505</v>
      </c>
    </row>
    <row r="340" spans="2:2" x14ac:dyDescent="0.45">
      <c r="B340">
        <v>263</v>
      </c>
    </row>
    <row r="341" spans="2:2" x14ac:dyDescent="0.45">
      <c r="B341">
        <v>59</v>
      </c>
    </row>
    <row r="342" spans="2:2" x14ac:dyDescent="0.45">
      <c r="B342">
        <v>10</v>
      </c>
    </row>
    <row r="343" spans="2:2" x14ac:dyDescent="0.45">
      <c r="B343">
        <v>22</v>
      </c>
    </row>
    <row r="344" spans="2:2" x14ac:dyDescent="0.45">
      <c r="B344">
        <v>126</v>
      </c>
    </row>
    <row r="345" spans="2:2" x14ac:dyDescent="0.45">
      <c r="B345">
        <v>331</v>
      </c>
    </row>
    <row r="346" spans="2:2" x14ac:dyDescent="0.45">
      <c r="B346">
        <v>228</v>
      </c>
    </row>
    <row r="347" spans="2:2" x14ac:dyDescent="0.45">
      <c r="B347">
        <v>172</v>
      </c>
    </row>
    <row r="348" spans="2:2" x14ac:dyDescent="0.45">
      <c r="B348">
        <v>347</v>
      </c>
    </row>
    <row r="349" spans="2:2" x14ac:dyDescent="0.45">
      <c r="B349">
        <v>429</v>
      </c>
    </row>
    <row r="350" spans="2:2" x14ac:dyDescent="0.45">
      <c r="B350">
        <v>267</v>
      </c>
    </row>
    <row r="351" spans="2:2" x14ac:dyDescent="0.45">
      <c r="B351">
        <v>67</v>
      </c>
    </row>
    <row r="352" spans="2:2" x14ac:dyDescent="0.45">
      <c r="B352">
        <v>11</v>
      </c>
    </row>
    <row r="353" spans="2:2" x14ac:dyDescent="0.45">
      <c r="B353">
        <v>32</v>
      </c>
    </row>
    <row r="354" spans="2:2" x14ac:dyDescent="0.45">
      <c r="B354">
        <v>211</v>
      </c>
    </row>
    <row r="355" spans="2:2" x14ac:dyDescent="0.45">
      <c r="B355">
        <v>296</v>
      </c>
    </row>
    <row r="356" spans="2:2" x14ac:dyDescent="0.45">
      <c r="B356">
        <v>215</v>
      </c>
    </row>
    <row r="357" spans="2:2" x14ac:dyDescent="0.45">
      <c r="B357">
        <v>155</v>
      </c>
    </row>
    <row r="358" spans="2:2" x14ac:dyDescent="0.45">
      <c r="B358">
        <v>303</v>
      </c>
    </row>
    <row r="359" spans="2:2" x14ac:dyDescent="0.45">
      <c r="B359">
        <v>388</v>
      </c>
    </row>
    <row r="360" spans="2:2" x14ac:dyDescent="0.45">
      <c r="B360">
        <v>275</v>
      </c>
    </row>
    <row r="361" spans="2:2" x14ac:dyDescent="0.45">
      <c r="B361">
        <v>101</v>
      </c>
    </row>
    <row r="362" spans="2:2" x14ac:dyDescent="0.45">
      <c r="B362">
        <v>24</v>
      </c>
    </row>
    <row r="363" spans="2:2" x14ac:dyDescent="0.45">
      <c r="B363">
        <v>32</v>
      </c>
    </row>
    <row r="364" spans="2:2" x14ac:dyDescent="0.45">
      <c r="B364">
        <v>213</v>
      </c>
    </row>
    <row r="365" spans="2:2" x14ac:dyDescent="0.45">
      <c r="B365">
        <v>351</v>
      </c>
    </row>
    <row r="366" spans="2:2" x14ac:dyDescent="0.45">
      <c r="B366">
        <v>231</v>
      </c>
    </row>
    <row r="367" spans="2:2" x14ac:dyDescent="0.45">
      <c r="B367">
        <v>164</v>
      </c>
    </row>
    <row r="368" spans="2:2" x14ac:dyDescent="0.45">
      <c r="B368">
        <v>274</v>
      </c>
    </row>
    <row r="369" spans="2:2" x14ac:dyDescent="0.45">
      <c r="B369">
        <v>415</v>
      </c>
    </row>
    <row r="370" spans="2:2" x14ac:dyDescent="0.45">
      <c r="B370">
        <v>220</v>
      </c>
    </row>
    <row r="371" spans="2:2" x14ac:dyDescent="0.45">
      <c r="B371">
        <v>90</v>
      </c>
    </row>
    <row r="372" spans="2:2" x14ac:dyDescent="0.45">
      <c r="B372">
        <v>10</v>
      </c>
    </row>
    <row r="373" spans="2:2" x14ac:dyDescent="0.45">
      <c r="B373">
        <v>9</v>
      </c>
    </row>
    <row r="374" spans="2:2" x14ac:dyDescent="0.45">
      <c r="B374">
        <v>170</v>
      </c>
    </row>
    <row r="375" spans="2:2" x14ac:dyDescent="0.45">
      <c r="B375">
        <v>484</v>
      </c>
    </row>
    <row r="376" spans="2:2" x14ac:dyDescent="0.45">
      <c r="B376">
        <v>254</v>
      </c>
    </row>
    <row r="377" spans="2:2" x14ac:dyDescent="0.45">
      <c r="B377">
        <v>212</v>
      </c>
    </row>
    <row r="378" spans="2:2" x14ac:dyDescent="0.45">
      <c r="B378">
        <v>448</v>
      </c>
    </row>
    <row r="379" spans="2:2" x14ac:dyDescent="0.45">
      <c r="B379">
        <v>346</v>
      </c>
    </row>
    <row r="380" spans="2:2" x14ac:dyDescent="0.45">
      <c r="B380">
        <v>73</v>
      </c>
    </row>
    <row r="381" spans="2:2" x14ac:dyDescent="0.45">
      <c r="B381">
        <v>3</v>
      </c>
    </row>
    <row r="382" spans="2:2" x14ac:dyDescent="0.45">
      <c r="B382">
        <v>1</v>
      </c>
    </row>
    <row r="383" spans="2:2" x14ac:dyDescent="0.45">
      <c r="B383">
        <v>35</v>
      </c>
    </row>
    <row r="384" spans="2:2" x14ac:dyDescent="0.45">
      <c r="B384">
        <v>272</v>
      </c>
    </row>
    <row r="385" spans="2:2" x14ac:dyDescent="0.45">
      <c r="B385">
        <v>413</v>
      </c>
    </row>
    <row r="386" spans="2:2" x14ac:dyDescent="0.45">
      <c r="B386">
        <v>212</v>
      </c>
    </row>
    <row r="387" spans="2:2" x14ac:dyDescent="0.45">
      <c r="B387">
        <v>157</v>
      </c>
    </row>
    <row r="388" spans="2:2" x14ac:dyDescent="0.45">
      <c r="B388">
        <v>360</v>
      </c>
    </row>
    <row r="389" spans="2:2" x14ac:dyDescent="0.45">
      <c r="B389">
        <v>353</v>
      </c>
    </row>
    <row r="390" spans="2:2" x14ac:dyDescent="0.45">
      <c r="B390">
        <v>162</v>
      </c>
    </row>
    <row r="391" spans="2:2" x14ac:dyDescent="0.45">
      <c r="B391">
        <v>31</v>
      </c>
    </row>
    <row r="392" spans="2:2" x14ac:dyDescent="0.45">
      <c r="B392">
        <v>5</v>
      </c>
    </row>
    <row r="393" spans="2:2" x14ac:dyDescent="0.45">
      <c r="B393">
        <v>17</v>
      </c>
    </row>
    <row r="394" spans="2:2" x14ac:dyDescent="0.45">
      <c r="B394">
        <v>155</v>
      </c>
    </row>
    <row r="395" spans="2:2" x14ac:dyDescent="0.45">
      <c r="B395">
        <v>366</v>
      </c>
    </row>
    <row r="396" spans="2:2" x14ac:dyDescent="0.45">
      <c r="B396">
        <v>356</v>
      </c>
    </row>
    <row r="397" spans="2:2" x14ac:dyDescent="0.45">
      <c r="B397">
        <v>155</v>
      </c>
    </row>
    <row r="398" spans="2:2" x14ac:dyDescent="0.45">
      <c r="B398">
        <v>210</v>
      </c>
    </row>
    <row r="399" spans="2:2" x14ac:dyDescent="0.45">
      <c r="B399">
        <v>344</v>
      </c>
    </row>
    <row r="400" spans="2:2" x14ac:dyDescent="0.45">
      <c r="B400">
        <v>273</v>
      </c>
    </row>
    <row r="401" spans="2:2" x14ac:dyDescent="0.45">
      <c r="B401">
        <v>92</v>
      </c>
    </row>
    <row r="402" spans="2:2" x14ac:dyDescent="0.45">
      <c r="B402">
        <v>32</v>
      </c>
    </row>
    <row r="403" spans="2:2" x14ac:dyDescent="0.45">
      <c r="B403">
        <v>19</v>
      </c>
    </row>
    <row r="404" spans="2:2" x14ac:dyDescent="0.45">
      <c r="B404">
        <v>184</v>
      </c>
    </row>
    <row r="405" spans="2:2" x14ac:dyDescent="0.45">
      <c r="B405">
        <v>480</v>
      </c>
    </row>
    <row r="406" spans="2:2" x14ac:dyDescent="0.45">
      <c r="B406">
        <v>330</v>
      </c>
    </row>
    <row r="407" spans="2:2" x14ac:dyDescent="0.45">
      <c r="B407">
        <v>165</v>
      </c>
    </row>
    <row r="408" spans="2:2" x14ac:dyDescent="0.45">
      <c r="B408">
        <v>329</v>
      </c>
    </row>
    <row r="409" spans="2:2" x14ac:dyDescent="0.45">
      <c r="B409">
        <v>329</v>
      </c>
    </row>
    <row r="410" spans="2:2" x14ac:dyDescent="0.45">
      <c r="B410">
        <v>133</v>
      </c>
    </row>
    <row r="411" spans="2:2" x14ac:dyDescent="0.45">
      <c r="B411">
        <v>30</v>
      </c>
    </row>
    <row r="412" spans="2:2" x14ac:dyDescent="0.45">
      <c r="B412">
        <v>1</v>
      </c>
    </row>
    <row r="413" spans="2:2" x14ac:dyDescent="0.45">
      <c r="B413">
        <v>7</v>
      </c>
    </row>
    <row r="414" spans="2:2" x14ac:dyDescent="0.45">
      <c r="B414">
        <v>80</v>
      </c>
    </row>
    <row r="415" spans="2:2" x14ac:dyDescent="0.45">
      <c r="B415">
        <v>356</v>
      </c>
    </row>
    <row r="416" spans="2:2" x14ac:dyDescent="0.45">
      <c r="B416">
        <v>445</v>
      </c>
    </row>
    <row r="417" spans="2:2" x14ac:dyDescent="0.45">
      <c r="B417">
        <v>214</v>
      </c>
    </row>
    <row r="418" spans="2:2" x14ac:dyDescent="0.45">
      <c r="B418">
        <v>185</v>
      </c>
    </row>
    <row r="419" spans="2:2" x14ac:dyDescent="0.45">
      <c r="B419">
        <v>281</v>
      </c>
    </row>
    <row r="420" spans="2:2" x14ac:dyDescent="0.45">
      <c r="B420">
        <v>305</v>
      </c>
    </row>
    <row r="421" spans="2:2" x14ac:dyDescent="0.45">
      <c r="B421">
        <v>108</v>
      </c>
    </row>
    <row r="422" spans="2:2" x14ac:dyDescent="0.45">
      <c r="B422">
        <v>19</v>
      </c>
    </row>
    <row r="423" spans="2:2" x14ac:dyDescent="0.45">
      <c r="B423">
        <v>37</v>
      </c>
    </row>
    <row r="424" spans="2:2" x14ac:dyDescent="0.45">
      <c r="B424">
        <v>221</v>
      </c>
    </row>
    <row r="425" spans="2:2" x14ac:dyDescent="0.45">
      <c r="B425">
        <v>502</v>
      </c>
    </row>
    <row r="426" spans="2:2" x14ac:dyDescent="0.45">
      <c r="B426">
        <v>313</v>
      </c>
    </row>
    <row r="427" spans="2:2" x14ac:dyDescent="0.45">
      <c r="B427">
        <v>125</v>
      </c>
    </row>
    <row r="428" spans="2:2" x14ac:dyDescent="0.45">
      <c r="B428">
        <v>215</v>
      </c>
    </row>
    <row r="429" spans="2:2" x14ac:dyDescent="0.45">
      <c r="B429">
        <v>298</v>
      </c>
    </row>
    <row r="430" spans="2:2" x14ac:dyDescent="0.45">
      <c r="B430">
        <v>203</v>
      </c>
    </row>
    <row r="431" spans="2:2" x14ac:dyDescent="0.45">
      <c r="B431">
        <v>78</v>
      </c>
    </row>
    <row r="432" spans="2:2" x14ac:dyDescent="0.45">
      <c r="B432">
        <v>8</v>
      </c>
    </row>
    <row r="433" spans="2:2" x14ac:dyDescent="0.45">
      <c r="B433">
        <v>10</v>
      </c>
    </row>
    <row r="434" spans="2:2" x14ac:dyDescent="0.45">
      <c r="B434">
        <v>148</v>
      </c>
    </row>
    <row r="435" spans="2:2" x14ac:dyDescent="0.45">
      <c r="B435">
        <v>429</v>
      </c>
    </row>
    <row r="436" spans="2:2" x14ac:dyDescent="0.45">
      <c r="B436">
        <v>422</v>
      </c>
    </row>
    <row r="437" spans="2:2" x14ac:dyDescent="0.45">
      <c r="B437">
        <v>197</v>
      </c>
    </row>
    <row r="438" spans="2:2" x14ac:dyDescent="0.45">
      <c r="B438">
        <v>181</v>
      </c>
    </row>
    <row r="439" spans="2:2" x14ac:dyDescent="0.45">
      <c r="B439">
        <v>252</v>
      </c>
    </row>
    <row r="440" spans="2:2" x14ac:dyDescent="0.45">
      <c r="B440">
        <v>245</v>
      </c>
    </row>
    <row r="441" spans="2:2" x14ac:dyDescent="0.45">
      <c r="B441">
        <v>97</v>
      </c>
    </row>
    <row r="442" spans="2:2" x14ac:dyDescent="0.45">
      <c r="B442">
        <v>19</v>
      </c>
    </row>
    <row r="443" spans="2:2" x14ac:dyDescent="0.45">
      <c r="B443">
        <v>28</v>
      </c>
    </row>
    <row r="444" spans="2:2" x14ac:dyDescent="0.45">
      <c r="B444">
        <v>228</v>
      </c>
    </row>
    <row r="445" spans="2:2" x14ac:dyDescent="0.45">
      <c r="B445">
        <v>508</v>
      </c>
    </row>
    <row r="446" spans="2:2" x14ac:dyDescent="0.45">
      <c r="B446">
        <v>390</v>
      </c>
    </row>
    <row r="447" spans="2:2" x14ac:dyDescent="0.45">
      <c r="B447">
        <v>124</v>
      </c>
    </row>
    <row r="448" spans="2:2" x14ac:dyDescent="0.45">
      <c r="B448">
        <v>183</v>
      </c>
    </row>
    <row r="449" spans="2:2" x14ac:dyDescent="0.45">
      <c r="B449">
        <v>306</v>
      </c>
    </row>
    <row r="450" spans="2:2" x14ac:dyDescent="0.45">
      <c r="B450">
        <v>171</v>
      </c>
    </row>
    <row r="451" spans="2:2" x14ac:dyDescent="0.45">
      <c r="B451">
        <v>49</v>
      </c>
    </row>
    <row r="452" spans="2:2" x14ac:dyDescent="0.45">
      <c r="B452">
        <v>13</v>
      </c>
    </row>
    <row r="453" spans="2:2" x14ac:dyDescent="0.45">
      <c r="B453">
        <v>43</v>
      </c>
    </row>
    <row r="454" spans="2:2" x14ac:dyDescent="0.45">
      <c r="B454">
        <v>285</v>
      </c>
    </row>
    <row r="455" spans="2:2" x14ac:dyDescent="0.45">
      <c r="B455">
        <v>482</v>
      </c>
    </row>
    <row r="456" spans="2:2" x14ac:dyDescent="0.45">
      <c r="B456">
        <v>391</v>
      </c>
    </row>
    <row r="457" spans="2:2" x14ac:dyDescent="0.45">
      <c r="B457">
        <v>136</v>
      </c>
    </row>
    <row r="458" spans="2:2" x14ac:dyDescent="0.45">
      <c r="B458">
        <v>151</v>
      </c>
    </row>
    <row r="459" spans="2:2" x14ac:dyDescent="0.45">
      <c r="B459">
        <v>261</v>
      </c>
    </row>
    <row r="460" spans="2:2" x14ac:dyDescent="0.45">
      <c r="B460">
        <v>191</v>
      </c>
    </row>
    <row r="461" spans="2:2" x14ac:dyDescent="0.45">
      <c r="B461">
        <v>48</v>
      </c>
    </row>
    <row r="462" spans="2:2" x14ac:dyDescent="0.45">
      <c r="B462">
        <v>12</v>
      </c>
    </row>
    <row r="463" spans="2:2" x14ac:dyDescent="0.45">
      <c r="B463">
        <v>12</v>
      </c>
    </row>
    <row r="464" spans="2:2" x14ac:dyDescent="0.45">
      <c r="B464">
        <v>171</v>
      </c>
    </row>
    <row r="465" spans="2:2" x14ac:dyDescent="0.45">
      <c r="B465">
        <v>569</v>
      </c>
    </row>
    <row r="466" spans="2:2" x14ac:dyDescent="0.45">
      <c r="B466">
        <v>430</v>
      </c>
    </row>
    <row r="467" spans="2:2" x14ac:dyDescent="0.45">
      <c r="B467">
        <v>171</v>
      </c>
    </row>
    <row r="468" spans="2:2" x14ac:dyDescent="0.45">
      <c r="B468">
        <v>138</v>
      </c>
    </row>
    <row r="469" spans="2:2" x14ac:dyDescent="0.45">
      <c r="B469">
        <v>241</v>
      </c>
    </row>
    <row r="470" spans="2:2" x14ac:dyDescent="0.45">
      <c r="B470">
        <v>194</v>
      </c>
    </row>
    <row r="471" spans="2:2" x14ac:dyDescent="0.45">
      <c r="B471">
        <v>69</v>
      </c>
    </row>
    <row r="472" spans="2:2" x14ac:dyDescent="0.45">
      <c r="B472">
        <v>5</v>
      </c>
    </row>
    <row r="473" spans="2:2" x14ac:dyDescent="0.45">
      <c r="B473">
        <v>24</v>
      </c>
    </row>
    <row r="474" spans="2:2" x14ac:dyDescent="0.45">
      <c r="B474">
        <v>232</v>
      </c>
    </row>
    <row r="475" spans="2:2" x14ac:dyDescent="0.45">
      <c r="B475">
        <v>556</v>
      </c>
    </row>
    <row r="476" spans="2:2" x14ac:dyDescent="0.45">
      <c r="B476">
        <v>441</v>
      </c>
    </row>
    <row r="477" spans="2:2" x14ac:dyDescent="0.45">
      <c r="B477">
        <v>153</v>
      </c>
    </row>
    <row r="478" spans="2:2" x14ac:dyDescent="0.45">
      <c r="B478">
        <v>112</v>
      </c>
    </row>
    <row r="479" spans="2:2" x14ac:dyDescent="0.45">
      <c r="B479">
        <v>199</v>
      </c>
    </row>
    <row r="480" spans="2:2" x14ac:dyDescent="0.45">
      <c r="B480">
        <v>187</v>
      </c>
    </row>
    <row r="481" spans="2:2" x14ac:dyDescent="0.45">
      <c r="B481">
        <v>83</v>
      </c>
    </row>
    <row r="482" spans="2:2" x14ac:dyDescent="0.45">
      <c r="B482">
        <v>13</v>
      </c>
    </row>
    <row r="483" spans="2:2" x14ac:dyDescent="0.45">
      <c r="B483">
        <v>42</v>
      </c>
    </row>
    <row r="484" spans="2:2" x14ac:dyDescent="0.45">
      <c r="B484">
        <v>322</v>
      </c>
    </row>
    <row r="485" spans="2:2" x14ac:dyDescent="0.45">
      <c r="B485">
        <v>617</v>
      </c>
    </row>
    <row r="486" spans="2:2" x14ac:dyDescent="0.45">
      <c r="B486">
        <v>375</v>
      </c>
    </row>
    <row r="487" spans="2:2" x14ac:dyDescent="0.45">
      <c r="B487">
        <v>113</v>
      </c>
    </row>
    <row r="488" spans="2:2" x14ac:dyDescent="0.45">
      <c r="B488">
        <v>144</v>
      </c>
    </row>
    <row r="489" spans="2:2" x14ac:dyDescent="0.45">
      <c r="B489">
        <v>194</v>
      </c>
    </row>
    <row r="490" spans="2:2" x14ac:dyDescent="0.45">
      <c r="B490">
        <v>129</v>
      </c>
    </row>
    <row r="491" spans="2:2" x14ac:dyDescent="0.45">
      <c r="B491">
        <v>57</v>
      </c>
    </row>
    <row r="492" spans="2:2" x14ac:dyDescent="0.45">
      <c r="B492">
        <v>7</v>
      </c>
    </row>
    <row r="493" spans="2:2" x14ac:dyDescent="0.45">
      <c r="B493">
        <v>24</v>
      </c>
    </row>
    <row r="494" spans="2:2" x14ac:dyDescent="0.45">
      <c r="B494">
        <v>191</v>
      </c>
    </row>
    <row r="495" spans="2:2" x14ac:dyDescent="0.45">
      <c r="B495">
        <v>622</v>
      </c>
    </row>
    <row r="496" spans="2:2" x14ac:dyDescent="0.45">
      <c r="B496">
        <v>502</v>
      </c>
    </row>
    <row r="497" spans="2:2" x14ac:dyDescent="0.45">
      <c r="B497">
        <v>164</v>
      </c>
    </row>
    <row r="498" spans="2:2" x14ac:dyDescent="0.45">
      <c r="B498">
        <v>105</v>
      </c>
    </row>
    <row r="499" spans="2:2" x14ac:dyDescent="0.45">
      <c r="B499">
        <v>162</v>
      </c>
    </row>
    <row r="500" spans="2:2" x14ac:dyDescent="0.45">
      <c r="B500">
        <v>153</v>
      </c>
    </row>
    <row r="501" spans="2:2" x14ac:dyDescent="0.45">
      <c r="B501">
        <v>63</v>
      </c>
    </row>
    <row r="502" spans="2:2" x14ac:dyDescent="0.45">
      <c r="B502">
        <v>14</v>
      </c>
    </row>
    <row r="503" spans="2:2" x14ac:dyDescent="0.45">
      <c r="B503">
        <v>18</v>
      </c>
    </row>
    <row r="504" spans="2:2" x14ac:dyDescent="0.45">
      <c r="B504">
        <v>185</v>
      </c>
    </row>
    <row r="505" spans="2:2" x14ac:dyDescent="0.45">
      <c r="B505">
        <v>599</v>
      </c>
    </row>
    <row r="506" spans="2:2" x14ac:dyDescent="0.45">
      <c r="B506">
        <v>539</v>
      </c>
    </row>
    <row r="507" spans="2:2" x14ac:dyDescent="0.45">
      <c r="B507">
        <v>202</v>
      </c>
    </row>
    <row r="508" spans="2:2" x14ac:dyDescent="0.45">
      <c r="B508">
        <v>103</v>
      </c>
    </row>
    <row r="509" spans="2:2" x14ac:dyDescent="0.45">
      <c r="B509">
        <v>158</v>
      </c>
    </row>
    <row r="510" spans="2:2" x14ac:dyDescent="0.45">
      <c r="B510">
        <v>130</v>
      </c>
    </row>
    <row r="511" spans="2:2" x14ac:dyDescent="0.45">
      <c r="B511">
        <v>55</v>
      </c>
    </row>
    <row r="512" spans="2:2" x14ac:dyDescent="0.45">
      <c r="B512">
        <v>11</v>
      </c>
    </row>
    <row r="513" spans="2:2" x14ac:dyDescent="0.45">
      <c r="B513">
        <v>62</v>
      </c>
    </row>
    <row r="514" spans="2:2" x14ac:dyDescent="0.45">
      <c r="B514">
        <v>369</v>
      </c>
    </row>
    <row r="515" spans="2:2" x14ac:dyDescent="0.45">
      <c r="B515">
        <v>661</v>
      </c>
    </row>
    <row r="516" spans="2:2" x14ac:dyDescent="0.45">
      <c r="B516">
        <v>403</v>
      </c>
    </row>
    <row r="517" spans="2:2" x14ac:dyDescent="0.45">
      <c r="B517">
        <v>120</v>
      </c>
    </row>
    <row r="518" spans="2:2" x14ac:dyDescent="0.45">
      <c r="B518">
        <v>61</v>
      </c>
    </row>
    <row r="519" spans="2:2" x14ac:dyDescent="0.45">
      <c r="B519">
        <v>146</v>
      </c>
    </row>
    <row r="520" spans="2:2" x14ac:dyDescent="0.45">
      <c r="B520">
        <v>119</v>
      </c>
    </row>
    <row r="521" spans="2:2" x14ac:dyDescent="0.45">
      <c r="B521">
        <v>44</v>
      </c>
    </row>
    <row r="522" spans="2:2" x14ac:dyDescent="0.45">
      <c r="B522">
        <v>15</v>
      </c>
    </row>
    <row r="523" spans="2:2" x14ac:dyDescent="0.45">
      <c r="B523">
        <v>53</v>
      </c>
    </row>
    <row r="524" spans="2:2" x14ac:dyDescent="0.45">
      <c r="B524">
        <v>367</v>
      </c>
    </row>
    <row r="525" spans="2:2" x14ac:dyDescent="0.45">
      <c r="B525">
        <v>616</v>
      </c>
    </row>
    <row r="526" spans="2:2" x14ac:dyDescent="0.45">
      <c r="B526">
        <v>467</v>
      </c>
    </row>
    <row r="527" spans="2:2" x14ac:dyDescent="0.45">
      <c r="B527">
        <v>121</v>
      </c>
    </row>
    <row r="528" spans="2:2" x14ac:dyDescent="0.45">
      <c r="B528">
        <v>97</v>
      </c>
    </row>
    <row r="529" spans="2:2" x14ac:dyDescent="0.45">
      <c r="B529">
        <v>127</v>
      </c>
    </row>
    <row r="530" spans="2:2" x14ac:dyDescent="0.45">
      <c r="B530">
        <v>106</v>
      </c>
    </row>
    <row r="531" spans="2:2" x14ac:dyDescent="0.45">
      <c r="B531">
        <v>41</v>
      </c>
    </row>
    <row r="532" spans="2:2" x14ac:dyDescent="0.45">
      <c r="B532">
        <v>5</v>
      </c>
    </row>
    <row r="533" spans="2:2" x14ac:dyDescent="0.45">
      <c r="B533">
        <v>33</v>
      </c>
    </row>
    <row r="534" spans="2:2" x14ac:dyDescent="0.45">
      <c r="B534">
        <v>306</v>
      </c>
    </row>
    <row r="535" spans="2:2" x14ac:dyDescent="0.45">
      <c r="B535">
        <v>746</v>
      </c>
    </row>
    <row r="536" spans="2:2" x14ac:dyDescent="0.45">
      <c r="B536">
        <v>442</v>
      </c>
    </row>
    <row r="537" spans="2:2" x14ac:dyDescent="0.45">
      <c r="B537">
        <v>118</v>
      </c>
    </row>
    <row r="538" spans="2:2" x14ac:dyDescent="0.45">
      <c r="B538">
        <v>94</v>
      </c>
    </row>
    <row r="539" spans="2:2" x14ac:dyDescent="0.45">
      <c r="B539">
        <v>142</v>
      </c>
    </row>
    <row r="540" spans="2:2" x14ac:dyDescent="0.45">
      <c r="B540">
        <v>95</v>
      </c>
    </row>
    <row r="541" spans="2:2" x14ac:dyDescent="0.45">
      <c r="B541">
        <v>20</v>
      </c>
    </row>
    <row r="542" spans="2:2" x14ac:dyDescent="0.45">
      <c r="B542">
        <v>4</v>
      </c>
    </row>
    <row r="543" spans="2:2" x14ac:dyDescent="0.45">
      <c r="B543">
        <v>46</v>
      </c>
    </row>
    <row r="544" spans="2:2" x14ac:dyDescent="0.45">
      <c r="B544">
        <v>334</v>
      </c>
    </row>
    <row r="545" spans="2:2" x14ac:dyDescent="0.45">
      <c r="B545">
        <v>658</v>
      </c>
    </row>
    <row r="546" spans="2:2" x14ac:dyDescent="0.45">
      <c r="B546">
        <v>476</v>
      </c>
    </row>
    <row r="547" spans="2:2" x14ac:dyDescent="0.45">
      <c r="B547">
        <v>110</v>
      </c>
    </row>
    <row r="548" spans="2:2" x14ac:dyDescent="0.45">
      <c r="B548">
        <v>84</v>
      </c>
    </row>
    <row r="549" spans="2:2" x14ac:dyDescent="0.45">
      <c r="B549">
        <v>135</v>
      </c>
    </row>
    <row r="550" spans="2:2" x14ac:dyDescent="0.45">
      <c r="B550">
        <v>116</v>
      </c>
    </row>
    <row r="551" spans="2:2" x14ac:dyDescent="0.45">
      <c r="B551">
        <v>35</v>
      </c>
    </row>
    <row r="552" spans="2:2" x14ac:dyDescent="0.45">
      <c r="B552">
        <v>6</v>
      </c>
    </row>
    <row r="553" spans="2:2" x14ac:dyDescent="0.45">
      <c r="B553">
        <v>48</v>
      </c>
    </row>
    <row r="554" spans="2:2" x14ac:dyDescent="0.45">
      <c r="B554">
        <v>383</v>
      </c>
    </row>
    <row r="555" spans="2:2" x14ac:dyDescent="0.45">
      <c r="B555">
        <v>679</v>
      </c>
    </row>
    <row r="556" spans="2:2" x14ac:dyDescent="0.45">
      <c r="B556">
        <v>410</v>
      </c>
    </row>
    <row r="557" spans="2:2" x14ac:dyDescent="0.45">
      <c r="B557">
        <v>119</v>
      </c>
    </row>
    <row r="558" spans="2:2" x14ac:dyDescent="0.45">
      <c r="B558">
        <v>90</v>
      </c>
    </row>
    <row r="559" spans="2:2" x14ac:dyDescent="0.45">
      <c r="B559">
        <v>150</v>
      </c>
    </row>
    <row r="560" spans="2:2" x14ac:dyDescent="0.45">
      <c r="B560">
        <v>95</v>
      </c>
    </row>
    <row r="561" spans="2:2" x14ac:dyDescent="0.45">
      <c r="B561">
        <v>19</v>
      </c>
    </row>
    <row r="562" spans="2:2" x14ac:dyDescent="0.45">
      <c r="B562">
        <v>7</v>
      </c>
    </row>
    <row r="563" spans="2:2" x14ac:dyDescent="0.45">
      <c r="B563">
        <v>8</v>
      </c>
    </row>
    <row r="564" spans="2:2" x14ac:dyDescent="0.45">
      <c r="B564">
        <v>128</v>
      </c>
    </row>
    <row r="565" spans="2:2" x14ac:dyDescent="0.45">
      <c r="B565">
        <v>557</v>
      </c>
    </row>
    <row r="566" spans="2:2" x14ac:dyDescent="0.45">
      <c r="B566">
        <v>676</v>
      </c>
    </row>
    <row r="567" spans="2:2" x14ac:dyDescent="0.45">
      <c r="B567">
        <v>230</v>
      </c>
    </row>
    <row r="568" spans="2:2" x14ac:dyDescent="0.45">
      <c r="B568">
        <v>78</v>
      </c>
    </row>
    <row r="569" spans="2:2" x14ac:dyDescent="0.45">
      <c r="B569">
        <v>162</v>
      </c>
    </row>
    <row r="570" spans="2:2" x14ac:dyDescent="0.45">
      <c r="B570">
        <v>99</v>
      </c>
    </row>
    <row r="571" spans="2:2" x14ac:dyDescent="0.45">
      <c r="B571">
        <v>53</v>
      </c>
    </row>
    <row r="572" spans="2:2" x14ac:dyDescent="0.45">
      <c r="B572">
        <v>9</v>
      </c>
    </row>
    <row r="573" spans="2:2" x14ac:dyDescent="0.45">
      <c r="B573">
        <v>60</v>
      </c>
    </row>
    <row r="574" spans="2:2" x14ac:dyDescent="0.45">
      <c r="B574">
        <v>381</v>
      </c>
    </row>
    <row r="575" spans="2:2" x14ac:dyDescent="0.45">
      <c r="B575">
        <v>696</v>
      </c>
    </row>
    <row r="576" spans="2:2" x14ac:dyDescent="0.45">
      <c r="B576">
        <v>384</v>
      </c>
    </row>
    <row r="577" spans="2:2" x14ac:dyDescent="0.45">
      <c r="B577">
        <v>113</v>
      </c>
    </row>
    <row r="578" spans="2:2" x14ac:dyDescent="0.45">
      <c r="B578">
        <v>108</v>
      </c>
    </row>
    <row r="579" spans="2:2" x14ac:dyDescent="0.45">
      <c r="B579">
        <v>133</v>
      </c>
    </row>
    <row r="580" spans="2:2" x14ac:dyDescent="0.45">
      <c r="B580">
        <v>97</v>
      </c>
    </row>
    <row r="581" spans="2:2" x14ac:dyDescent="0.45">
      <c r="B581">
        <v>22</v>
      </c>
    </row>
    <row r="582" spans="2:2" x14ac:dyDescent="0.45">
      <c r="B582">
        <v>6</v>
      </c>
    </row>
    <row r="583" spans="2:2" x14ac:dyDescent="0.45">
      <c r="B583">
        <v>19</v>
      </c>
    </row>
    <row r="584" spans="2:2" x14ac:dyDescent="0.45">
      <c r="B584">
        <v>236</v>
      </c>
    </row>
    <row r="585" spans="2:2" x14ac:dyDescent="0.45">
      <c r="B585">
        <v>617</v>
      </c>
    </row>
    <row r="586" spans="2:2" x14ac:dyDescent="0.45">
      <c r="B586">
        <v>586</v>
      </c>
    </row>
    <row r="587" spans="2:2" x14ac:dyDescent="0.45">
      <c r="B587">
        <v>156</v>
      </c>
    </row>
    <row r="588" spans="2:2" x14ac:dyDescent="0.45">
      <c r="B588">
        <v>89</v>
      </c>
    </row>
    <row r="589" spans="2:2" x14ac:dyDescent="0.45">
      <c r="B589">
        <v>126</v>
      </c>
    </row>
    <row r="590" spans="2:2" x14ac:dyDescent="0.45">
      <c r="B590">
        <v>126</v>
      </c>
    </row>
    <row r="591" spans="2:2" x14ac:dyDescent="0.45">
      <c r="B591">
        <v>38</v>
      </c>
    </row>
    <row r="592" spans="2:2" x14ac:dyDescent="0.45">
      <c r="B592">
        <v>7</v>
      </c>
    </row>
    <row r="593" spans="2:2" x14ac:dyDescent="0.45">
      <c r="B593">
        <v>19</v>
      </c>
    </row>
    <row r="594" spans="2:2" x14ac:dyDescent="0.45">
      <c r="B594">
        <v>215</v>
      </c>
    </row>
    <row r="595" spans="2:2" x14ac:dyDescent="0.45">
      <c r="B595">
        <v>654</v>
      </c>
    </row>
    <row r="596" spans="2:2" x14ac:dyDescent="0.45">
      <c r="B596">
        <v>520</v>
      </c>
    </row>
    <row r="597" spans="2:2" x14ac:dyDescent="0.45">
      <c r="B597">
        <v>184</v>
      </c>
    </row>
    <row r="598" spans="2:2" x14ac:dyDescent="0.45">
      <c r="B598">
        <v>74</v>
      </c>
    </row>
    <row r="599" spans="2:2" x14ac:dyDescent="0.45">
      <c r="B599">
        <v>96</v>
      </c>
    </row>
    <row r="600" spans="2:2" x14ac:dyDescent="0.45">
      <c r="B600">
        <v>146</v>
      </c>
    </row>
    <row r="601" spans="2:2" x14ac:dyDescent="0.45">
      <c r="B601">
        <v>75</v>
      </c>
    </row>
    <row r="602" spans="2:2" x14ac:dyDescent="0.45">
      <c r="B602">
        <v>17</v>
      </c>
    </row>
    <row r="603" spans="2:2" x14ac:dyDescent="0.45">
      <c r="B603">
        <v>43</v>
      </c>
    </row>
    <row r="604" spans="2:2" x14ac:dyDescent="0.45">
      <c r="B604">
        <v>281</v>
      </c>
    </row>
    <row r="605" spans="2:2" x14ac:dyDescent="0.45">
      <c r="B605">
        <v>669</v>
      </c>
    </row>
    <row r="606" spans="2:2" x14ac:dyDescent="0.45">
      <c r="B606">
        <v>461</v>
      </c>
    </row>
    <row r="607" spans="2:2" x14ac:dyDescent="0.45">
      <c r="B607">
        <v>164</v>
      </c>
    </row>
    <row r="608" spans="2:2" x14ac:dyDescent="0.45">
      <c r="B608">
        <v>57</v>
      </c>
    </row>
    <row r="609" spans="2:2" x14ac:dyDescent="0.45">
      <c r="B609">
        <v>118</v>
      </c>
    </row>
    <row r="610" spans="2:2" x14ac:dyDescent="0.45">
      <c r="B610">
        <v>133</v>
      </c>
    </row>
    <row r="611" spans="2:2" x14ac:dyDescent="0.45">
      <c r="B611">
        <v>57</v>
      </c>
    </row>
    <row r="612" spans="2:2" x14ac:dyDescent="0.45">
      <c r="B612">
        <v>17</v>
      </c>
    </row>
    <row r="613" spans="2:2" x14ac:dyDescent="0.45">
      <c r="B613">
        <v>39</v>
      </c>
    </row>
    <row r="614" spans="2:2" x14ac:dyDescent="0.45">
      <c r="B614">
        <v>311</v>
      </c>
    </row>
    <row r="615" spans="2:2" x14ac:dyDescent="0.45">
      <c r="B615">
        <v>635</v>
      </c>
    </row>
    <row r="616" spans="2:2" x14ac:dyDescent="0.45">
      <c r="B616">
        <v>494</v>
      </c>
    </row>
    <row r="617" spans="2:2" x14ac:dyDescent="0.45">
      <c r="B617">
        <v>135</v>
      </c>
    </row>
    <row r="618" spans="2:2" x14ac:dyDescent="0.45">
      <c r="B618">
        <v>78</v>
      </c>
    </row>
    <row r="619" spans="2:2" x14ac:dyDescent="0.45">
      <c r="B619">
        <v>129</v>
      </c>
    </row>
    <row r="620" spans="2:2" x14ac:dyDescent="0.45">
      <c r="B620">
        <v>117</v>
      </c>
    </row>
    <row r="621" spans="2:2" x14ac:dyDescent="0.45">
      <c r="B621">
        <v>48</v>
      </c>
    </row>
    <row r="622" spans="2:2" x14ac:dyDescent="0.45">
      <c r="B622">
        <v>14</v>
      </c>
    </row>
    <row r="623" spans="2:2" x14ac:dyDescent="0.45">
      <c r="B623">
        <v>10</v>
      </c>
    </row>
    <row r="624" spans="2:2" x14ac:dyDescent="0.45">
      <c r="B624">
        <v>121</v>
      </c>
    </row>
    <row r="625" spans="2:2" x14ac:dyDescent="0.45">
      <c r="B625">
        <v>516</v>
      </c>
    </row>
    <row r="626" spans="2:2" x14ac:dyDescent="0.45">
      <c r="B626">
        <v>672</v>
      </c>
    </row>
    <row r="627" spans="2:2" x14ac:dyDescent="0.45">
      <c r="B627">
        <v>267</v>
      </c>
    </row>
    <row r="628" spans="2:2" x14ac:dyDescent="0.45">
      <c r="B628">
        <v>82</v>
      </c>
    </row>
    <row r="629" spans="2:2" x14ac:dyDescent="0.45">
      <c r="B629">
        <v>122</v>
      </c>
    </row>
    <row r="630" spans="2:2" x14ac:dyDescent="0.45">
      <c r="B630">
        <v>144</v>
      </c>
    </row>
    <row r="631" spans="2:2" x14ac:dyDescent="0.45">
      <c r="B631">
        <v>56</v>
      </c>
    </row>
    <row r="632" spans="2:2" x14ac:dyDescent="0.45">
      <c r="B632">
        <v>10</v>
      </c>
    </row>
    <row r="633" spans="2:2" x14ac:dyDescent="0.45">
      <c r="B633">
        <v>59</v>
      </c>
    </row>
    <row r="634" spans="2:2" x14ac:dyDescent="0.45">
      <c r="B634">
        <v>384</v>
      </c>
    </row>
    <row r="635" spans="2:2" x14ac:dyDescent="0.45">
      <c r="B635">
        <v>693</v>
      </c>
    </row>
    <row r="636" spans="2:2" x14ac:dyDescent="0.45">
      <c r="B636">
        <v>369</v>
      </c>
    </row>
    <row r="637" spans="2:2" x14ac:dyDescent="0.45">
      <c r="B637">
        <v>111</v>
      </c>
    </row>
    <row r="638" spans="2:2" x14ac:dyDescent="0.45">
      <c r="B638">
        <v>81</v>
      </c>
    </row>
    <row r="639" spans="2:2" x14ac:dyDescent="0.45">
      <c r="B639">
        <v>142</v>
      </c>
    </row>
    <row r="640" spans="2:2" x14ac:dyDescent="0.45">
      <c r="B640">
        <v>112</v>
      </c>
    </row>
    <row r="641" spans="2:2" x14ac:dyDescent="0.45">
      <c r="B641">
        <v>39</v>
      </c>
    </row>
    <row r="642" spans="2:2" x14ac:dyDescent="0.45">
      <c r="B642">
        <v>10</v>
      </c>
    </row>
    <row r="643" spans="2:2" x14ac:dyDescent="0.45">
      <c r="B643">
        <v>17</v>
      </c>
    </row>
    <row r="644" spans="2:2" x14ac:dyDescent="0.45">
      <c r="B644">
        <v>259</v>
      </c>
    </row>
    <row r="645" spans="2:2" x14ac:dyDescent="0.45">
      <c r="B645">
        <v>639</v>
      </c>
    </row>
    <row r="646" spans="2:2" x14ac:dyDescent="0.45">
      <c r="B646">
        <v>555</v>
      </c>
    </row>
    <row r="647" spans="2:2" x14ac:dyDescent="0.45">
      <c r="B647">
        <v>143</v>
      </c>
    </row>
    <row r="648" spans="2:2" x14ac:dyDescent="0.45">
      <c r="B648">
        <v>77</v>
      </c>
    </row>
    <row r="649" spans="2:2" x14ac:dyDescent="0.45">
      <c r="B649">
        <v>119</v>
      </c>
    </row>
    <row r="650" spans="2:2" x14ac:dyDescent="0.45">
      <c r="B650">
        <v>139</v>
      </c>
    </row>
    <row r="651" spans="2:2" x14ac:dyDescent="0.45">
      <c r="B651">
        <v>44</v>
      </c>
    </row>
    <row r="652" spans="2:2" x14ac:dyDescent="0.45">
      <c r="B652">
        <v>8</v>
      </c>
    </row>
    <row r="653" spans="2:2" x14ac:dyDescent="0.45">
      <c r="B653">
        <v>78</v>
      </c>
    </row>
    <row r="654" spans="2:2" x14ac:dyDescent="0.45">
      <c r="B654">
        <v>448</v>
      </c>
    </row>
    <row r="655" spans="2:2" x14ac:dyDescent="0.45">
      <c r="B655">
        <v>712</v>
      </c>
    </row>
    <row r="656" spans="2:2" x14ac:dyDescent="0.45">
      <c r="B656">
        <v>320</v>
      </c>
    </row>
    <row r="657" spans="2:2" x14ac:dyDescent="0.45">
      <c r="B657">
        <v>84</v>
      </c>
    </row>
    <row r="658" spans="2:2" x14ac:dyDescent="0.45">
      <c r="B658">
        <v>104</v>
      </c>
    </row>
    <row r="659" spans="2:2" x14ac:dyDescent="0.45">
      <c r="B659">
        <v>150</v>
      </c>
    </row>
    <row r="660" spans="2:2" x14ac:dyDescent="0.45">
      <c r="B660">
        <v>81</v>
      </c>
    </row>
    <row r="661" spans="2:2" x14ac:dyDescent="0.45">
      <c r="B661">
        <v>22</v>
      </c>
    </row>
    <row r="662" spans="2:2" x14ac:dyDescent="0.45">
      <c r="B662">
        <v>1</v>
      </c>
    </row>
    <row r="663" spans="2:2" x14ac:dyDescent="0.45">
      <c r="B663">
        <v>8</v>
      </c>
    </row>
    <row r="664" spans="2:2" x14ac:dyDescent="0.45">
      <c r="B664">
        <v>153</v>
      </c>
    </row>
    <row r="665" spans="2:2" x14ac:dyDescent="0.45">
      <c r="B665">
        <v>554</v>
      </c>
    </row>
    <row r="666" spans="2:2" x14ac:dyDescent="0.45">
      <c r="B666">
        <v>614</v>
      </c>
    </row>
    <row r="667" spans="2:2" x14ac:dyDescent="0.45">
      <c r="B667">
        <v>256</v>
      </c>
    </row>
    <row r="668" spans="2:2" x14ac:dyDescent="0.45">
      <c r="B668">
        <v>73</v>
      </c>
    </row>
    <row r="669" spans="2:2" x14ac:dyDescent="0.45">
      <c r="B669">
        <v>116</v>
      </c>
    </row>
    <row r="670" spans="2:2" x14ac:dyDescent="0.45">
      <c r="B670">
        <v>135</v>
      </c>
    </row>
    <row r="671" spans="2:2" x14ac:dyDescent="0.45">
      <c r="B671">
        <v>74</v>
      </c>
    </row>
    <row r="672" spans="2:2" x14ac:dyDescent="0.45">
      <c r="B672">
        <v>17</v>
      </c>
    </row>
    <row r="673" spans="2:2" x14ac:dyDescent="0.45">
      <c r="B673">
        <v>44</v>
      </c>
    </row>
    <row r="674" spans="2:2" x14ac:dyDescent="0.45">
      <c r="B674">
        <v>330</v>
      </c>
    </row>
    <row r="675" spans="2:2" x14ac:dyDescent="0.45">
      <c r="B675">
        <v>723</v>
      </c>
    </row>
    <row r="676" spans="2:2" x14ac:dyDescent="0.45">
      <c r="B676">
        <v>428</v>
      </c>
    </row>
    <row r="677" spans="2:2" x14ac:dyDescent="0.45">
      <c r="B677">
        <v>100</v>
      </c>
    </row>
    <row r="678" spans="2:2" x14ac:dyDescent="0.45">
      <c r="B678">
        <v>90</v>
      </c>
    </row>
    <row r="679" spans="2:2" x14ac:dyDescent="0.45">
      <c r="B679">
        <v>151</v>
      </c>
    </row>
    <row r="680" spans="2:2" x14ac:dyDescent="0.45">
      <c r="B680">
        <v>103</v>
      </c>
    </row>
    <row r="681" spans="2:2" x14ac:dyDescent="0.45">
      <c r="B681">
        <v>25</v>
      </c>
    </row>
    <row r="682" spans="2:2" x14ac:dyDescent="0.45">
      <c r="B682">
        <v>6</v>
      </c>
    </row>
    <row r="683" spans="2:2" x14ac:dyDescent="0.45">
      <c r="B683">
        <v>19</v>
      </c>
    </row>
    <row r="684" spans="2:2" x14ac:dyDescent="0.45">
      <c r="B684">
        <v>326</v>
      </c>
    </row>
    <row r="685" spans="2:2" x14ac:dyDescent="0.45">
      <c r="B685">
        <v>755</v>
      </c>
    </row>
    <row r="686" spans="2:2" x14ac:dyDescent="0.45">
      <c r="B686">
        <v>419</v>
      </c>
    </row>
    <row r="687" spans="2:2" x14ac:dyDescent="0.45">
      <c r="B687">
        <v>105</v>
      </c>
    </row>
    <row r="688" spans="2:2" x14ac:dyDescent="0.45">
      <c r="B688">
        <v>111</v>
      </c>
    </row>
    <row r="689" spans="2:2" x14ac:dyDescent="0.45">
      <c r="B689">
        <v>146</v>
      </c>
    </row>
    <row r="690" spans="2:2" x14ac:dyDescent="0.45">
      <c r="B690">
        <v>93</v>
      </c>
    </row>
    <row r="691" spans="2:2" x14ac:dyDescent="0.45">
      <c r="B691">
        <v>22</v>
      </c>
    </row>
    <row r="692" spans="2:2" x14ac:dyDescent="0.45">
      <c r="B692">
        <v>4</v>
      </c>
    </row>
    <row r="693" spans="2:2" x14ac:dyDescent="0.45">
      <c r="B693">
        <v>40</v>
      </c>
    </row>
    <row r="694" spans="2:2" x14ac:dyDescent="0.45">
      <c r="B694">
        <v>325</v>
      </c>
    </row>
    <row r="695" spans="2:2" x14ac:dyDescent="0.45">
      <c r="B695">
        <v>685</v>
      </c>
    </row>
    <row r="696" spans="2:2" x14ac:dyDescent="0.45">
      <c r="B696">
        <v>453</v>
      </c>
    </row>
    <row r="697" spans="2:2" x14ac:dyDescent="0.45">
      <c r="B697">
        <v>118</v>
      </c>
    </row>
    <row r="698" spans="2:2" x14ac:dyDescent="0.45">
      <c r="B698">
        <v>90</v>
      </c>
    </row>
    <row r="699" spans="2:2" x14ac:dyDescent="0.45">
      <c r="B699">
        <v>141</v>
      </c>
    </row>
    <row r="700" spans="2:2" x14ac:dyDescent="0.45">
      <c r="B700">
        <v>105</v>
      </c>
    </row>
    <row r="701" spans="2:2" x14ac:dyDescent="0.45">
      <c r="B701">
        <v>35</v>
      </c>
    </row>
    <row r="702" spans="2:2" x14ac:dyDescent="0.45">
      <c r="B702">
        <v>8</v>
      </c>
    </row>
    <row r="703" spans="2:2" x14ac:dyDescent="0.45">
      <c r="B703">
        <v>51</v>
      </c>
    </row>
    <row r="704" spans="2:2" x14ac:dyDescent="0.45">
      <c r="B704">
        <v>337</v>
      </c>
    </row>
    <row r="705" spans="2:2" x14ac:dyDescent="0.45">
      <c r="B705">
        <v>697</v>
      </c>
    </row>
    <row r="706" spans="2:2" x14ac:dyDescent="0.45">
      <c r="B706">
        <v>447</v>
      </c>
    </row>
    <row r="707" spans="2:2" x14ac:dyDescent="0.45">
      <c r="B707">
        <v>95</v>
      </c>
    </row>
    <row r="708" spans="2:2" x14ac:dyDescent="0.45">
      <c r="B708">
        <v>90</v>
      </c>
    </row>
    <row r="709" spans="2:2" x14ac:dyDescent="0.45">
      <c r="B709">
        <v>142</v>
      </c>
    </row>
    <row r="710" spans="2:2" x14ac:dyDescent="0.45">
      <c r="B710">
        <v>95</v>
      </c>
    </row>
    <row r="711" spans="2:2" x14ac:dyDescent="0.45">
      <c r="B711">
        <v>37</v>
      </c>
    </row>
    <row r="712" spans="2:2" x14ac:dyDescent="0.45">
      <c r="B712">
        <v>9</v>
      </c>
    </row>
    <row r="713" spans="2:2" x14ac:dyDescent="0.45">
      <c r="B713">
        <v>93</v>
      </c>
    </row>
    <row r="714" spans="2:2" x14ac:dyDescent="0.45">
      <c r="B714">
        <v>475</v>
      </c>
    </row>
    <row r="715" spans="2:2" x14ac:dyDescent="0.45">
      <c r="B715">
        <v>648</v>
      </c>
    </row>
    <row r="716" spans="2:2" x14ac:dyDescent="0.45">
      <c r="B716">
        <v>352</v>
      </c>
    </row>
    <row r="717" spans="2:2" x14ac:dyDescent="0.45">
      <c r="B717">
        <v>66</v>
      </c>
    </row>
    <row r="718" spans="2:2" x14ac:dyDescent="0.45">
      <c r="B718">
        <v>108</v>
      </c>
    </row>
    <row r="719" spans="2:2" x14ac:dyDescent="0.45">
      <c r="B719">
        <v>152</v>
      </c>
    </row>
    <row r="720" spans="2:2" x14ac:dyDescent="0.45">
      <c r="B720">
        <v>85</v>
      </c>
    </row>
    <row r="721" spans="2:2" x14ac:dyDescent="0.45">
      <c r="B721">
        <v>18</v>
      </c>
    </row>
    <row r="722" spans="2:2" x14ac:dyDescent="0.45">
      <c r="B722">
        <v>3</v>
      </c>
    </row>
    <row r="723" spans="2:2" x14ac:dyDescent="0.45">
      <c r="B723">
        <v>9</v>
      </c>
    </row>
    <row r="724" spans="2:2" x14ac:dyDescent="0.45">
      <c r="B724">
        <v>231</v>
      </c>
    </row>
    <row r="725" spans="2:2" x14ac:dyDescent="0.45">
      <c r="B725">
        <v>736</v>
      </c>
    </row>
    <row r="726" spans="2:2" x14ac:dyDescent="0.45">
      <c r="B726">
        <v>518</v>
      </c>
    </row>
    <row r="727" spans="2:2" x14ac:dyDescent="0.45">
      <c r="B727">
        <v>121</v>
      </c>
    </row>
    <row r="728" spans="2:2" x14ac:dyDescent="0.45">
      <c r="B728">
        <v>80</v>
      </c>
    </row>
    <row r="729" spans="2:2" x14ac:dyDescent="0.45">
      <c r="B729">
        <v>154</v>
      </c>
    </row>
    <row r="730" spans="2:2" x14ac:dyDescent="0.45">
      <c r="B730">
        <v>104</v>
      </c>
    </row>
    <row r="731" spans="2:2" x14ac:dyDescent="0.45">
      <c r="B731">
        <v>42</v>
      </c>
    </row>
    <row r="732" spans="2:2" x14ac:dyDescent="0.45">
      <c r="B732">
        <v>5</v>
      </c>
    </row>
    <row r="733" spans="2:2" x14ac:dyDescent="0.45">
      <c r="B733">
        <v>43</v>
      </c>
    </row>
    <row r="734" spans="2:2" x14ac:dyDescent="0.45">
      <c r="B734">
        <v>277</v>
      </c>
    </row>
    <row r="735" spans="2:2" x14ac:dyDescent="0.45">
      <c r="B735">
        <v>680</v>
      </c>
    </row>
    <row r="736" spans="2:2" x14ac:dyDescent="0.45">
      <c r="B736">
        <v>508</v>
      </c>
    </row>
    <row r="737" spans="2:2" x14ac:dyDescent="0.45">
      <c r="B737">
        <v>114</v>
      </c>
    </row>
    <row r="738" spans="2:2" x14ac:dyDescent="0.45">
      <c r="B738">
        <v>86</v>
      </c>
    </row>
    <row r="739" spans="2:2" x14ac:dyDescent="0.45">
      <c r="B739">
        <v>163</v>
      </c>
    </row>
    <row r="740" spans="2:2" x14ac:dyDescent="0.45">
      <c r="B740">
        <v>82</v>
      </c>
    </row>
    <row r="741" spans="2:2" x14ac:dyDescent="0.45">
      <c r="B741">
        <v>40</v>
      </c>
    </row>
    <row r="742" spans="2:2" x14ac:dyDescent="0.45">
      <c r="B742">
        <v>7</v>
      </c>
    </row>
    <row r="743" spans="2:2" x14ac:dyDescent="0.45">
      <c r="B743">
        <v>54</v>
      </c>
    </row>
    <row r="744" spans="2:2" x14ac:dyDescent="0.45">
      <c r="B744">
        <v>429</v>
      </c>
    </row>
    <row r="745" spans="2:2" x14ac:dyDescent="0.45">
      <c r="B745">
        <v>656</v>
      </c>
    </row>
    <row r="746" spans="2:2" x14ac:dyDescent="0.45">
      <c r="B746">
        <v>405</v>
      </c>
    </row>
    <row r="747" spans="2:2" x14ac:dyDescent="0.45">
      <c r="B747">
        <v>79</v>
      </c>
    </row>
    <row r="748" spans="2:2" x14ac:dyDescent="0.45">
      <c r="B748">
        <v>108</v>
      </c>
    </row>
    <row r="749" spans="2:2" x14ac:dyDescent="0.45">
      <c r="B749">
        <v>144</v>
      </c>
    </row>
    <row r="750" spans="2:2" x14ac:dyDescent="0.45">
      <c r="B750">
        <v>89</v>
      </c>
    </row>
    <row r="751" spans="2:2" x14ac:dyDescent="0.45">
      <c r="B751">
        <v>30</v>
      </c>
    </row>
    <row r="752" spans="2:2" x14ac:dyDescent="0.45">
      <c r="B752">
        <v>6</v>
      </c>
    </row>
    <row r="753" spans="2:2" x14ac:dyDescent="0.45">
      <c r="B753">
        <v>44</v>
      </c>
    </row>
    <row r="754" spans="2:2" x14ac:dyDescent="0.45">
      <c r="B754">
        <v>330</v>
      </c>
    </row>
    <row r="755" spans="2:2" x14ac:dyDescent="0.45">
      <c r="B755">
        <v>680</v>
      </c>
    </row>
    <row r="756" spans="2:2" x14ac:dyDescent="0.45">
      <c r="B756">
        <v>446</v>
      </c>
    </row>
    <row r="757" spans="2:2" x14ac:dyDescent="0.45">
      <c r="B757">
        <v>114</v>
      </c>
    </row>
    <row r="758" spans="2:2" x14ac:dyDescent="0.45">
      <c r="B758">
        <v>59</v>
      </c>
    </row>
    <row r="759" spans="2:2" x14ac:dyDescent="0.45">
      <c r="B759">
        <v>107</v>
      </c>
    </row>
    <row r="760" spans="2:2" x14ac:dyDescent="0.45">
      <c r="B760">
        <v>135</v>
      </c>
    </row>
    <row r="761" spans="2:2" x14ac:dyDescent="0.45">
      <c r="B761">
        <v>60</v>
      </c>
    </row>
    <row r="762" spans="2:2" x14ac:dyDescent="0.45">
      <c r="B762">
        <v>25</v>
      </c>
    </row>
    <row r="763" spans="2:2" x14ac:dyDescent="0.45">
      <c r="B763">
        <v>13</v>
      </c>
    </row>
    <row r="764" spans="2:2" x14ac:dyDescent="0.45">
      <c r="B764">
        <v>187</v>
      </c>
    </row>
    <row r="765" spans="2:2" x14ac:dyDescent="0.45">
      <c r="B765">
        <v>627</v>
      </c>
    </row>
    <row r="766" spans="2:2" x14ac:dyDescent="0.45">
      <c r="B766">
        <v>581</v>
      </c>
    </row>
    <row r="767" spans="2:2" x14ac:dyDescent="0.45">
      <c r="B767">
        <v>178</v>
      </c>
    </row>
    <row r="768" spans="2:2" x14ac:dyDescent="0.45">
      <c r="B768">
        <v>62</v>
      </c>
    </row>
    <row r="769" spans="2:2" x14ac:dyDescent="0.45">
      <c r="B769">
        <v>110</v>
      </c>
    </row>
    <row r="770" spans="2:2" x14ac:dyDescent="0.45">
      <c r="B770">
        <v>151</v>
      </c>
    </row>
    <row r="771" spans="2:2" x14ac:dyDescent="0.45">
      <c r="B771">
        <v>70</v>
      </c>
    </row>
    <row r="772" spans="2:2" x14ac:dyDescent="0.45">
      <c r="B772">
        <v>21</v>
      </c>
    </row>
    <row r="773" spans="2:2" x14ac:dyDescent="0.45">
      <c r="B773">
        <v>6</v>
      </c>
    </row>
    <row r="774" spans="2:2" x14ac:dyDescent="0.45">
      <c r="B774">
        <v>163</v>
      </c>
    </row>
    <row r="775" spans="2:2" x14ac:dyDescent="0.45">
      <c r="B775">
        <v>617</v>
      </c>
    </row>
    <row r="776" spans="2:2" x14ac:dyDescent="0.45">
      <c r="B776">
        <v>656</v>
      </c>
    </row>
    <row r="777" spans="2:2" x14ac:dyDescent="0.45">
      <c r="B777">
        <v>152</v>
      </c>
    </row>
    <row r="778" spans="2:2" x14ac:dyDescent="0.45">
      <c r="B778">
        <v>70</v>
      </c>
    </row>
    <row r="779" spans="2:2" x14ac:dyDescent="0.45">
      <c r="B779">
        <v>145</v>
      </c>
    </row>
    <row r="780" spans="2:2" x14ac:dyDescent="0.45">
      <c r="B780">
        <v>122</v>
      </c>
    </row>
    <row r="781" spans="2:2" x14ac:dyDescent="0.45">
      <c r="B781">
        <v>61</v>
      </c>
    </row>
    <row r="782" spans="2:2" x14ac:dyDescent="0.45">
      <c r="B782">
        <v>8</v>
      </c>
    </row>
    <row r="783" spans="2:2" x14ac:dyDescent="0.45">
      <c r="B783">
        <v>56</v>
      </c>
    </row>
    <row r="784" spans="2:2" x14ac:dyDescent="0.45">
      <c r="B784">
        <v>395</v>
      </c>
    </row>
    <row r="785" spans="2:2" x14ac:dyDescent="0.45">
      <c r="B785">
        <v>709</v>
      </c>
    </row>
    <row r="786" spans="2:2" x14ac:dyDescent="0.45">
      <c r="B786">
        <v>368</v>
      </c>
    </row>
    <row r="787" spans="2:2" x14ac:dyDescent="0.45">
      <c r="B787">
        <v>92</v>
      </c>
    </row>
    <row r="788" spans="2:2" x14ac:dyDescent="0.45">
      <c r="B788">
        <v>72</v>
      </c>
    </row>
    <row r="789" spans="2:2" x14ac:dyDescent="0.45">
      <c r="B789">
        <v>132</v>
      </c>
    </row>
    <row r="790" spans="2:2" x14ac:dyDescent="0.45">
      <c r="B790">
        <v>125</v>
      </c>
    </row>
    <row r="791" spans="2:2" x14ac:dyDescent="0.45">
      <c r="B791">
        <v>42</v>
      </c>
    </row>
    <row r="792" spans="2:2" x14ac:dyDescent="0.45">
      <c r="B792">
        <v>9</v>
      </c>
    </row>
    <row r="793" spans="2:2" x14ac:dyDescent="0.45">
      <c r="B793">
        <v>18</v>
      </c>
    </row>
    <row r="794" spans="2:2" x14ac:dyDescent="0.45">
      <c r="B794">
        <v>195</v>
      </c>
    </row>
    <row r="795" spans="2:2" x14ac:dyDescent="0.45">
      <c r="B795">
        <v>684</v>
      </c>
    </row>
    <row r="796" spans="2:2" x14ac:dyDescent="0.45">
      <c r="B796">
        <v>582</v>
      </c>
    </row>
    <row r="797" spans="2:2" x14ac:dyDescent="0.45">
      <c r="B797">
        <v>135</v>
      </c>
    </row>
    <row r="798" spans="2:2" x14ac:dyDescent="0.45">
      <c r="B798">
        <v>68</v>
      </c>
    </row>
    <row r="799" spans="2:2" x14ac:dyDescent="0.45">
      <c r="B799">
        <v>145</v>
      </c>
    </row>
    <row r="800" spans="2:2" x14ac:dyDescent="0.45">
      <c r="B800">
        <v>140</v>
      </c>
    </row>
    <row r="801" spans="2:2" x14ac:dyDescent="0.45">
      <c r="B801">
        <v>25</v>
      </c>
    </row>
    <row r="802" spans="2:2" x14ac:dyDescent="0.45">
      <c r="B802">
        <v>8</v>
      </c>
    </row>
    <row r="803" spans="2:2" x14ac:dyDescent="0.45">
      <c r="B803">
        <v>20</v>
      </c>
    </row>
    <row r="804" spans="2:2" x14ac:dyDescent="0.45">
      <c r="B804">
        <v>235</v>
      </c>
    </row>
    <row r="805" spans="2:2" x14ac:dyDescent="0.45">
      <c r="B805">
        <v>662</v>
      </c>
    </row>
    <row r="806" spans="2:2" x14ac:dyDescent="0.45">
      <c r="B806">
        <v>573</v>
      </c>
    </row>
    <row r="807" spans="2:2" x14ac:dyDescent="0.45">
      <c r="B807">
        <v>116</v>
      </c>
    </row>
    <row r="808" spans="2:2" x14ac:dyDescent="0.45">
      <c r="B808">
        <v>59</v>
      </c>
    </row>
    <row r="809" spans="2:2" x14ac:dyDescent="0.45">
      <c r="B809">
        <v>139</v>
      </c>
    </row>
    <row r="810" spans="2:2" x14ac:dyDescent="0.45">
      <c r="B810">
        <v>135</v>
      </c>
    </row>
    <row r="811" spans="2:2" x14ac:dyDescent="0.45">
      <c r="B811">
        <v>51</v>
      </c>
    </row>
    <row r="812" spans="2:2" x14ac:dyDescent="0.45">
      <c r="B812">
        <v>10</v>
      </c>
    </row>
    <row r="813" spans="2:2" x14ac:dyDescent="0.45">
      <c r="B813">
        <v>25</v>
      </c>
    </row>
    <row r="814" spans="2:2" x14ac:dyDescent="0.45">
      <c r="B814">
        <v>276</v>
      </c>
    </row>
    <row r="815" spans="2:2" x14ac:dyDescent="0.45">
      <c r="B815">
        <v>745</v>
      </c>
    </row>
    <row r="816" spans="2:2" x14ac:dyDescent="0.45">
      <c r="B816">
        <v>437</v>
      </c>
    </row>
    <row r="817" spans="2:2" x14ac:dyDescent="0.45">
      <c r="B817">
        <v>126</v>
      </c>
    </row>
    <row r="818" spans="2:2" x14ac:dyDescent="0.45">
      <c r="B818">
        <v>86</v>
      </c>
    </row>
    <row r="819" spans="2:2" x14ac:dyDescent="0.45">
      <c r="B819">
        <v>130</v>
      </c>
    </row>
    <row r="820" spans="2:2" x14ac:dyDescent="0.45">
      <c r="B820">
        <v>116</v>
      </c>
    </row>
    <row r="821" spans="2:2" x14ac:dyDescent="0.45">
      <c r="B821">
        <v>53</v>
      </c>
    </row>
    <row r="822" spans="2:2" x14ac:dyDescent="0.45">
      <c r="B822">
        <v>6</v>
      </c>
    </row>
    <row r="823" spans="2:2" x14ac:dyDescent="0.45">
      <c r="B823">
        <v>22</v>
      </c>
    </row>
    <row r="824" spans="2:2" x14ac:dyDescent="0.45">
      <c r="B824">
        <v>281</v>
      </c>
    </row>
    <row r="825" spans="2:2" x14ac:dyDescent="0.45">
      <c r="B825">
        <v>696</v>
      </c>
    </row>
    <row r="826" spans="2:2" x14ac:dyDescent="0.45">
      <c r="B826">
        <v>512</v>
      </c>
    </row>
    <row r="827" spans="2:2" x14ac:dyDescent="0.45">
      <c r="B827">
        <v>99</v>
      </c>
    </row>
    <row r="828" spans="2:2" x14ac:dyDescent="0.45">
      <c r="B828">
        <v>60</v>
      </c>
    </row>
    <row r="829" spans="2:2" x14ac:dyDescent="0.45">
      <c r="B829">
        <v>138</v>
      </c>
    </row>
    <row r="830" spans="2:2" x14ac:dyDescent="0.45">
      <c r="B830">
        <v>119</v>
      </c>
    </row>
    <row r="831" spans="2:2" x14ac:dyDescent="0.45">
      <c r="B831">
        <v>66</v>
      </c>
    </row>
    <row r="832" spans="2:2" x14ac:dyDescent="0.45">
      <c r="B832">
        <v>7</v>
      </c>
    </row>
    <row r="833" spans="2:2" x14ac:dyDescent="0.45">
      <c r="B833">
        <v>39</v>
      </c>
    </row>
    <row r="834" spans="2:2" x14ac:dyDescent="0.45">
      <c r="B834">
        <v>336</v>
      </c>
    </row>
    <row r="835" spans="2:2" x14ac:dyDescent="0.45">
      <c r="B835">
        <v>714</v>
      </c>
    </row>
    <row r="836" spans="2:2" x14ac:dyDescent="0.45">
      <c r="B836">
        <v>446</v>
      </c>
    </row>
    <row r="837" spans="2:2" x14ac:dyDescent="0.45">
      <c r="B837">
        <v>80</v>
      </c>
    </row>
    <row r="838" spans="2:2" x14ac:dyDescent="0.45">
      <c r="B838">
        <v>84</v>
      </c>
    </row>
    <row r="839" spans="2:2" x14ac:dyDescent="0.45">
      <c r="B839">
        <v>130</v>
      </c>
    </row>
    <row r="840" spans="2:2" x14ac:dyDescent="0.45">
      <c r="B840">
        <v>122</v>
      </c>
    </row>
    <row r="841" spans="2:2" x14ac:dyDescent="0.45">
      <c r="B841">
        <v>37</v>
      </c>
    </row>
    <row r="842" spans="2:2" x14ac:dyDescent="0.45">
      <c r="B842">
        <v>12</v>
      </c>
    </row>
    <row r="843" spans="2:2" x14ac:dyDescent="0.45">
      <c r="B843">
        <v>51</v>
      </c>
    </row>
    <row r="844" spans="2:2" x14ac:dyDescent="0.45">
      <c r="B844">
        <v>423</v>
      </c>
    </row>
    <row r="845" spans="2:2" x14ac:dyDescent="0.45">
      <c r="B845">
        <v>719</v>
      </c>
    </row>
    <row r="846" spans="2:2" x14ac:dyDescent="0.45">
      <c r="B846">
        <v>366</v>
      </c>
    </row>
    <row r="847" spans="2:2" x14ac:dyDescent="0.45">
      <c r="B847">
        <v>68</v>
      </c>
    </row>
    <row r="848" spans="2:2" x14ac:dyDescent="0.45">
      <c r="B848">
        <v>86</v>
      </c>
    </row>
    <row r="849" spans="2:2" x14ac:dyDescent="0.45">
      <c r="B849">
        <v>167</v>
      </c>
    </row>
    <row r="850" spans="2:2" x14ac:dyDescent="0.45">
      <c r="B850">
        <v>91</v>
      </c>
    </row>
    <row r="851" spans="2:2" x14ac:dyDescent="0.45">
      <c r="B851">
        <v>26</v>
      </c>
    </row>
    <row r="852" spans="2:2" x14ac:dyDescent="0.45">
      <c r="B852">
        <v>3</v>
      </c>
    </row>
    <row r="853" spans="2:2" x14ac:dyDescent="0.45">
      <c r="B853">
        <v>90</v>
      </c>
    </row>
    <row r="854" spans="2:2" x14ac:dyDescent="0.45">
      <c r="B854">
        <v>471</v>
      </c>
    </row>
    <row r="855" spans="2:2" x14ac:dyDescent="0.45">
      <c r="B855">
        <v>677</v>
      </c>
    </row>
    <row r="856" spans="2:2" x14ac:dyDescent="0.45">
      <c r="B856">
        <v>325</v>
      </c>
    </row>
    <row r="857" spans="2:2" x14ac:dyDescent="0.45">
      <c r="B857">
        <v>58</v>
      </c>
    </row>
    <row r="858" spans="2:2" x14ac:dyDescent="0.45">
      <c r="B858">
        <v>87</v>
      </c>
    </row>
    <row r="859" spans="2:2" x14ac:dyDescent="0.45">
      <c r="B859">
        <v>125</v>
      </c>
    </row>
    <row r="860" spans="2:2" x14ac:dyDescent="0.45">
      <c r="B860">
        <v>116</v>
      </c>
    </row>
    <row r="861" spans="2:2" x14ac:dyDescent="0.45">
      <c r="B861">
        <v>41</v>
      </c>
    </row>
    <row r="862" spans="2:2" x14ac:dyDescent="0.45">
      <c r="B862">
        <v>10</v>
      </c>
    </row>
    <row r="863" spans="2:2" x14ac:dyDescent="0.45">
      <c r="B863">
        <v>9</v>
      </c>
    </row>
    <row r="864" spans="2:2" x14ac:dyDescent="0.45">
      <c r="B864">
        <v>169</v>
      </c>
    </row>
    <row r="865" spans="2:2" x14ac:dyDescent="0.45">
      <c r="B865">
        <v>629</v>
      </c>
    </row>
    <row r="866" spans="2:2" x14ac:dyDescent="0.45">
      <c r="B866">
        <v>609</v>
      </c>
    </row>
    <row r="867" spans="2:2" x14ac:dyDescent="0.45">
      <c r="B867">
        <v>183</v>
      </c>
    </row>
    <row r="868" spans="2:2" x14ac:dyDescent="0.45">
      <c r="B868">
        <v>50</v>
      </c>
    </row>
    <row r="869" spans="2:2" x14ac:dyDescent="0.45">
      <c r="B869">
        <v>136</v>
      </c>
    </row>
    <row r="870" spans="2:2" x14ac:dyDescent="0.45">
      <c r="B870">
        <v>145</v>
      </c>
    </row>
    <row r="871" spans="2:2" x14ac:dyDescent="0.45">
      <c r="B871">
        <v>57</v>
      </c>
    </row>
    <row r="872" spans="2:2" x14ac:dyDescent="0.45">
      <c r="B872">
        <v>13</v>
      </c>
    </row>
    <row r="873" spans="2:2" x14ac:dyDescent="0.45">
      <c r="B873">
        <v>24</v>
      </c>
    </row>
    <row r="874" spans="2:2" x14ac:dyDescent="0.45">
      <c r="B874">
        <v>209</v>
      </c>
    </row>
    <row r="875" spans="2:2" x14ac:dyDescent="0.45">
      <c r="B875">
        <v>700</v>
      </c>
    </row>
    <row r="876" spans="2:2" x14ac:dyDescent="0.45">
      <c r="B876">
        <v>581</v>
      </c>
    </row>
    <row r="877" spans="2:2" x14ac:dyDescent="0.45">
      <c r="B877">
        <v>98</v>
      </c>
    </row>
    <row r="878" spans="2:2" x14ac:dyDescent="0.45">
      <c r="B878">
        <v>74</v>
      </c>
    </row>
    <row r="879" spans="2:2" x14ac:dyDescent="0.45">
      <c r="B879">
        <v>149</v>
      </c>
    </row>
    <row r="880" spans="2:2" x14ac:dyDescent="0.45">
      <c r="B880">
        <v>123</v>
      </c>
    </row>
    <row r="881" spans="2:2" x14ac:dyDescent="0.45">
      <c r="B881">
        <v>35</v>
      </c>
    </row>
    <row r="882" spans="2:2" x14ac:dyDescent="0.45">
      <c r="B882">
        <v>7</v>
      </c>
    </row>
    <row r="883" spans="2:2" x14ac:dyDescent="0.45">
      <c r="B883">
        <v>38</v>
      </c>
    </row>
    <row r="884" spans="2:2" x14ac:dyDescent="0.45">
      <c r="B884">
        <v>394</v>
      </c>
    </row>
    <row r="885" spans="2:2" x14ac:dyDescent="0.45">
      <c r="B885">
        <v>705</v>
      </c>
    </row>
    <row r="886" spans="2:2" x14ac:dyDescent="0.45">
      <c r="B886">
        <v>381</v>
      </c>
    </row>
    <row r="887" spans="2:2" x14ac:dyDescent="0.45">
      <c r="B887">
        <v>100</v>
      </c>
    </row>
    <row r="888" spans="2:2" x14ac:dyDescent="0.45">
      <c r="B888">
        <v>69</v>
      </c>
    </row>
    <row r="889" spans="2:2" x14ac:dyDescent="0.45">
      <c r="B889">
        <v>133</v>
      </c>
    </row>
    <row r="890" spans="2:2" x14ac:dyDescent="0.45">
      <c r="B890">
        <v>125</v>
      </c>
    </row>
    <row r="891" spans="2:2" x14ac:dyDescent="0.45">
      <c r="B891">
        <v>48</v>
      </c>
    </row>
    <row r="892" spans="2:2" x14ac:dyDescent="0.45">
      <c r="B892">
        <v>7</v>
      </c>
    </row>
    <row r="893" spans="2:2" x14ac:dyDescent="0.45">
      <c r="B893">
        <v>45</v>
      </c>
    </row>
    <row r="894" spans="2:2" x14ac:dyDescent="0.45">
      <c r="B894">
        <v>298</v>
      </c>
    </row>
    <row r="895" spans="2:2" x14ac:dyDescent="0.45">
      <c r="B895">
        <v>667</v>
      </c>
    </row>
    <row r="896" spans="2:2" x14ac:dyDescent="0.45">
      <c r="B896">
        <v>492</v>
      </c>
    </row>
    <row r="897" spans="2:2" x14ac:dyDescent="0.45">
      <c r="B897">
        <v>107</v>
      </c>
    </row>
    <row r="898" spans="2:2" x14ac:dyDescent="0.45">
      <c r="B898">
        <v>50</v>
      </c>
    </row>
    <row r="899" spans="2:2" x14ac:dyDescent="0.45">
      <c r="B899">
        <v>123</v>
      </c>
    </row>
    <row r="900" spans="2:2" x14ac:dyDescent="0.45">
      <c r="B900">
        <v>130</v>
      </c>
    </row>
    <row r="901" spans="2:2" x14ac:dyDescent="0.45">
      <c r="B901">
        <v>75</v>
      </c>
    </row>
    <row r="902" spans="2:2" x14ac:dyDescent="0.45">
      <c r="B902">
        <v>13</v>
      </c>
    </row>
    <row r="903" spans="2:2" x14ac:dyDescent="0.45">
      <c r="B903">
        <v>12</v>
      </c>
    </row>
    <row r="904" spans="2:2" x14ac:dyDescent="0.45">
      <c r="B904">
        <v>182</v>
      </c>
    </row>
    <row r="905" spans="2:2" x14ac:dyDescent="0.45">
      <c r="B905">
        <v>622</v>
      </c>
    </row>
    <row r="906" spans="2:2" x14ac:dyDescent="0.45">
      <c r="B906">
        <v>623</v>
      </c>
    </row>
    <row r="907" spans="2:2" x14ac:dyDescent="0.45">
      <c r="B907">
        <v>167</v>
      </c>
    </row>
    <row r="908" spans="2:2" x14ac:dyDescent="0.45">
      <c r="B908">
        <v>47</v>
      </c>
    </row>
    <row r="909" spans="2:2" x14ac:dyDescent="0.45">
      <c r="B909">
        <v>120</v>
      </c>
    </row>
    <row r="910" spans="2:2" x14ac:dyDescent="0.45">
      <c r="B910">
        <v>145</v>
      </c>
    </row>
    <row r="911" spans="2:2" x14ac:dyDescent="0.45">
      <c r="B911">
        <v>67</v>
      </c>
    </row>
    <row r="912" spans="2:2" x14ac:dyDescent="0.45">
      <c r="B912">
        <v>15</v>
      </c>
    </row>
    <row r="913" spans="2:2" x14ac:dyDescent="0.45">
      <c r="B913">
        <v>25</v>
      </c>
    </row>
    <row r="914" spans="2:2" x14ac:dyDescent="0.45">
      <c r="B914">
        <v>319</v>
      </c>
    </row>
    <row r="915" spans="2:2" x14ac:dyDescent="0.45">
      <c r="B915">
        <v>748</v>
      </c>
    </row>
    <row r="916" spans="2:2" x14ac:dyDescent="0.45">
      <c r="B916">
        <v>446</v>
      </c>
    </row>
    <row r="917" spans="2:2" x14ac:dyDescent="0.45">
      <c r="B917">
        <v>85</v>
      </c>
    </row>
    <row r="918" spans="2:2" x14ac:dyDescent="0.45">
      <c r="B918">
        <v>52</v>
      </c>
    </row>
    <row r="919" spans="2:2" x14ac:dyDescent="0.45">
      <c r="B919">
        <v>153</v>
      </c>
    </row>
    <row r="920" spans="2:2" x14ac:dyDescent="0.45">
      <c r="B920">
        <v>127</v>
      </c>
    </row>
    <row r="921" spans="2:2" x14ac:dyDescent="0.45">
      <c r="B921">
        <v>38</v>
      </c>
    </row>
    <row r="922" spans="2:2" x14ac:dyDescent="0.45">
      <c r="B922">
        <v>7</v>
      </c>
    </row>
    <row r="923" spans="2:2" x14ac:dyDescent="0.45">
      <c r="B923">
        <v>16</v>
      </c>
    </row>
    <row r="924" spans="2:2" x14ac:dyDescent="0.45">
      <c r="B924">
        <v>227</v>
      </c>
    </row>
    <row r="925" spans="2:2" x14ac:dyDescent="0.45">
      <c r="B925">
        <v>643</v>
      </c>
    </row>
    <row r="926" spans="2:2" x14ac:dyDescent="0.45">
      <c r="B926">
        <v>584</v>
      </c>
    </row>
    <row r="927" spans="2:2" x14ac:dyDescent="0.45">
      <c r="B927">
        <v>133</v>
      </c>
    </row>
    <row r="928" spans="2:2" x14ac:dyDescent="0.45">
      <c r="B928">
        <v>51</v>
      </c>
    </row>
    <row r="929" spans="2:2" x14ac:dyDescent="0.45">
      <c r="B929">
        <v>148</v>
      </c>
    </row>
    <row r="930" spans="2:2" x14ac:dyDescent="0.45">
      <c r="B930">
        <v>136</v>
      </c>
    </row>
    <row r="931" spans="2:2" x14ac:dyDescent="0.45">
      <c r="B931">
        <v>53</v>
      </c>
    </row>
    <row r="932" spans="2:2" x14ac:dyDescent="0.45">
      <c r="B932">
        <v>9</v>
      </c>
    </row>
    <row r="933" spans="2:2" x14ac:dyDescent="0.45">
      <c r="B933">
        <v>66</v>
      </c>
    </row>
    <row r="934" spans="2:2" x14ac:dyDescent="0.45">
      <c r="B934">
        <v>460</v>
      </c>
    </row>
    <row r="935" spans="2:2" x14ac:dyDescent="0.45">
      <c r="B935">
        <v>690</v>
      </c>
    </row>
    <row r="936" spans="2:2" x14ac:dyDescent="0.45">
      <c r="B936">
        <v>353</v>
      </c>
    </row>
    <row r="937" spans="2:2" x14ac:dyDescent="0.45">
      <c r="B937">
        <v>60</v>
      </c>
    </row>
    <row r="938" spans="2:2" x14ac:dyDescent="0.45">
      <c r="B938">
        <v>87</v>
      </c>
    </row>
    <row r="939" spans="2:2" x14ac:dyDescent="0.45">
      <c r="B939">
        <v>134</v>
      </c>
    </row>
    <row r="940" spans="2:2" x14ac:dyDescent="0.45">
      <c r="B940">
        <v>113</v>
      </c>
    </row>
    <row r="941" spans="2:2" x14ac:dyDescent="0.45">
      <c r="B941">
        <v>34</v>
      </c>
    </row>
    <row r="942" spans="2:2" x14ac:dyDescent="0.45">
      <c r="B942">
        <v>3</v>
      </c>
    </row>
    <row r="943" spans="2:2" x14ac:dyDescent="0.45">
      <c r="B943">
        <v>21</v>
      </c>
    </row>
    <row r="944" spans="2:2" x14ac:dyDescent="0.45">
      <c r="B944">
        <v>283</v>
      </c>
    </row>
    <row r="945" spans="2:2" x14ac:dyDescent="0.45">
      <c r="B945">
        <v>728</v>
      </c>
    </row>
    <row r="946" spans="2:2" x14ac:dyDescent="0.45">
      <c r="B946">
        <v>499</v>
      </c>
    </row>
    <row r="947" spans="2:2" x14ac:dyDescent="0.45">
      <c r="B947">
        <v>84</v>
      </c>
    </row>
    <row r="948" spans="2:2" x14ac:dyDescent="0.45">
      <c r="B948">
        <v>60</v>
      </c>
    </row>
    <row r="949" spans="2:2" x14ac:dyDescent="0.45">
      <c r="B949">
        <v>166</v>
      </c>
    </row>
    <row r="950" spans="2:2" x14ac:dyDescent="0.45">
      <c r="B950">
        <v>121</v>
      </c>
    </row>
    <row r="951" spans="2:2" x14ac:dyDescent="0.45">
      <c r="B951">
        <v>35</v>
      </c>
    </row>
    <row r="952" spans="2:2" x14ac:dyDescent="0.45">
      <c r="B952">
        <v>3</v>
      </c>
    </row>
    <row r="953" spans="2:2" x14ac:dyDescent="0.45">
      <c r="B953">
        <v>51</v>
      </c>
    </row>
    <row r="954" spans="2:2" x14ac:dyDescent="0.45">
      <c r="B954">
        <v>433</v>
      </c>
    </row>
    <row r="955" spans="2:2" x14ac:dyDescent="0.45">
      <c r="B955">
        <v>757</v>
      </c>
    </row>
    <row r="956" spans="2:2" x14ac:dyDescent="0.45">
      <c r="B956">
        <v>324</v>
      </c>
    </row>
    <row r="957" spans="2:2" x14ac:dyDescent="0.45">
      <c r="B957">
        <v>61</v>
      </c>
    </row>
    <row r="958" spans="2:2" x14ac:dyDescent="0.45">
      <c r="B958">
        <v>107</v>
      </c>
    </row>
    <row r="959" spans="2:2" x14ac:dyDescent="0.45">
      <c r="B959">
        <v>158</v>
      </c>
    </row>
    <row r="960" spans="2:2" x14ac:dyDescent="0.45">
      <c r="B960">
        <v>91</v>
      </c>
    </row>
    <row r="961" spans="2:2" x14ac:dyDescent="0.45">
      <c r="B961">
        <v>15</v>
      </c>
    </row>
    <row r="962" spans="2:2" x14ac:dyDescent="0.45">
      <c r="B962">
        <v>3</v>
      </c>
    </row>
    <row r="963" spans="2:2" x14ac:dyDescent="0.45">
      <c r="B963">
        <v>55</v>
      </c>
    </row>
    <row r="964" spans="2:2" x14ac:dyDescent="0.45">
      <c r="B964">
        <v>446</v>
      </c>
    </row>
    <row r="965" spans="2:2" x14ac:dyDescent="0.45">
      <c r="B965">
        <v>663</v>
      </c>
    </row>
    <row r="966" spans="2:2" x14ac:dyDescent="0.45">
      <c r="B966">
        <v>397</v>
      </c>
    </row>
    <row r="967" spans="2:2" x14ac:dyDescent="0.45">
      <c r="B967">
        <v>62</v>
      </c>
    </row>
    <row r="968" spans="2:2" x14ac:dyDescent="0.45">
      <c r="B968">
        <v>61</v>
      </c>
    </row>
    <row r="969" spans="2:2" x14ac:dyDescent="0.45">
      <c r="B969">
        <v>147</v>
      </c>
    </row>
    <row r="970" spans="2:2" x14ac:dyDescent="0.45">
      <c r="B970">
        <v>116</v>
      </c>
    </row>
    <row r="971" spans="2:2" x14ac:dyDescent="0.45">
      <c r="B971">
        <v>46</v>
      </c>
    </row>
    <row r="972" spans="2:2" x14ac:dyDescent="0.45">
      <c r="B972">
        <v>7</v>
      </c>
    </row>
    <row r="973" spans="2:2" x14ac:dyDescent="0.45">
      <c r="B973">
        <v>13</v>
      </c>
    </row>
    <row r="974" spans="2:2" x14ac:dyDescent="0.45">
      <c r="B974">
        <v>261</v>
      </c>
    </row>
    <row r="975" spans="2:2" x14ac:dyDescent="0.45">
      <c r="B975">
        <v>706</v>
      </c>
    </row>
    <row r="976" spans="2:2" x14ac:dyDescent="0.45">
      <c r="B976">
        <v>519</v>
      </c>
    </row>
    <row r="977" spans="2:2" x14ac:dyDescent="0.45">
      <c r="B977">
        <v>108</v>
      </c>
    </row>
    <row r="978" spans="2:2" x14ac:dyDescent="0.45">
      <c r="B978">
        <v>61</v>
      </c>
    </row>
    <row r="979" spans="2:2" x14ac:dyDescent="0.45">
      <c r="B979">
        <v>139</v>
      </c>
    </row>
    <row r="980" spans="2:2" x14ac:dyDescent="0.45">
      <c r="B980">
        <v>133</v>
      </c>
    </row>
    <row r="981" spans="2:2" x14ac:dyDescent="0.45">
      <c r="B981">
        <v>55</v>
      </c>
    </row>
    <row r="982" spans="2:2" x14ac:dyDescent="0.45">
      <c r="B982">
        <v>5</v>
      </c>
    </row>
    <row r="983" spans="2:2" x14ac:dyDescent="0.45">
      <c r="B983">
        <v>4</v>
      </c>
    </row>
    <row r="984" spans="2:2" x14ac:dyDescent="0.45">
      <c r="B984">
        <v>155</v>
      </c>
    </row>
    <row r="985" spans="2:2" x14ac:dyDescent="0.45">
      <c r="B985">
        <v>678</v>
      </c>
    </row>
    <row r="986" spans="2:2" x14ac:dyDescent="0.45">
      <c r="B986">
        <v>641</v>
      </c>
    </row>
    <row r="987" spans="2:2" x14ac:dyDescent="0.45">
      <c r="B987">
        <v>130</v>
      </c>
    </row>
    <row r="988" spans="2:2" x14ac:dyDescent="0.45">
      <c r="B988">
        <v>57</v>
      </c>
    </row>
    <row r="989" spans="2:2" x14ac:dyDescent="0.45">
      <c r="B989">
        <v>146</v>
      </c>
    </row>
    <row r="990" spans="2:2" x14ac:dyDescent="0.45">
      <c r="B990">
        <v>138</v>
      </c>
    </row>
    <row r="991" spans="2:2" x14ac:dyDescent="0.45">
      <c r="B991">
        <v>46</v>
      </c>
    </row>
    <row r="992" spans="2:2" x14ac:dyDescent="0.45">
      <c r="B992">
        <v>5</v>
      </c>
    </row>
    <row r="993" spans="2:2" x14ac:dyDescent="0.45">
      <c r="B993">
        <v>61</v>
      </c>
    </row>
    <row r="994" spans="2:2" x14ac:dyDescent="0.45">
      <c r="B994">
        <v>352</v>
      </c>
    </row>
    <row r="995" spans="2:2" x14ac:dyDescent="0.45">
      <c r="B995">
        <v>752</v>
      </c>
    </row>
    <row r="996" spans="2:2" x14ac:dyDescent="0.45">
      <c r="B996">
        <v>357</v>
      </c>
    </row>
    <row r="997" spans="2:2" x14ac:dyDescent="0.45">
      <c r="B997">
        <v>99</v>
      </c>
    </row>
    <row r="998" spans="2:2" x14ac:dyDescent="0.45">
      <c r="B998">
        <v>56</v>
      </c>
    </row>
    <row r="999" spans="2:2" x14ac:dyDescent="0.45">
      <c r="B999">
        <v>116</v>
      </c>
    </row>
    <row r="1000" spans="2:2" x14ac:dyDescent="0.45">
      <c r="B1000">
        <v>144</v>
      </c>
    </row>
    <row r="1001" spans="2:2" x14ac:dyDescent="0.45">
      <c r="B1001">
        <v>50</v>
      </c>
    </row>
    <row r="1002" spans="2:2" x14ac:dyDescent="0.45">
      <c r="B1002">
        <v>13</v>
      </c>
    </row>
    <row r="1003" spans="2:2" x14ac:dyDescent="0.45">
      <c r="B1003">
        <v>56</v>
      </c>
    </row>
    <row r="1004" spans="2:2" x14ac:dyDescent="0.45">
      <c r="B1004">
        <v>368</v>
      </c>
    </row>
    <row r="1005" spans="2:2" x14ac:dyDescent="0.45">
      <c r="B1005">
        <v>715</v>
      </c>
    </row>
    <row r="1006" spans="2:2" x14ac:dyDescent="0.45">
      <c r="B1006">
        <v>398</v>
      </c>
    </row>
    <row r="1007" spans="2:2" x14ac:dyDescent="0.45">
      <c r="B1007">
        <v>72</v>
      </c>
    </row>
    <row r="1008" spans="2:2" x14ac:dyDescent="0.45">
      <c r="B1008">
        <v>55</v>
      </c>
    </row>
    <row r="1009" spans="2:2" x14ac:dyDescent="0.45">
      <c r="B1009">
        <v>114</v>
      </c>
    </row>
    <row r="1010" spans="2:2" x14ac:dyDescent="0.45">
      <c r="B1010">
        <v>132</v>
      </c>
    </row>
    <row r="1011" spans="2:2" x14ac:dyDescent="0.45">
      <c r="B1011">
        <v>76</v>
      </c>
    </row>
    <row r="1012" spans="2:2" x14ac:dyDescent="0.45">
      <c r="B1012">
        <v>14</v>
      </c>
    </row>
    <row r="1013" spans="2:2" x14ac:dyDescent="0.45">
      <c r="B1013">
        <v>41</v>
      </c>
    </row>
    <row r="1014" spans="2:2" x14ac:dyDescent="0.45">
      <c r="B1014">
        <v>392</v>
      </c>
    </row>
    <row r="1015" spans="2:2" x14ac:dyDescent="0.45">
      <c r="B1015">
        <v>753</v>
      </c>
    </row>
    <row r="1016" spans="2:2" x14ac:dyDescent="0.45">
      <c r="B1016">
        <v>374</v>
      </c>
    </row>
    <row r="1017" spans="2:2" x14ac:dyDescent="0.45">
      <c r="B1017">
        <v>61</v>
      </c>
    </row>
    <row r="1018" spans="2:2" x14ac:dyDescent="0.45">
      <c r="B1018">
        <v>84</v>
      </c>
    </row>
    <row r="1019" spans="2:2" x14ac:dyDescent="0.45">
      <c r="B1019">
        <v>168</v>
      </c>
    </row>
    <row r="1020" spans="2:2" x14ac:dyDescent="0.45">
      <c r="B1020">
        <v>104</v>
      </c>
    </row>
    <row r="1021" spans="2:2" x14ac:dyDescent="0.45">
      <c r="B1021">
        <v>22</v>
      </c>
    </row>
    <row r="1022" spans="2:2" x14ac:dyDescent="0.45">
      <c r="B1022">
        <v>1</v>
      </c>
    </row>
    <row r="1023" spans="2:2" x14ac:dyDescent="0.45">
      <c r="B1023">
        <v>293</v>
      </c>
    </row>
    <row r="1024" spans="2:2" x14ac:dyDescent="0.45">
      <c r="B1024">
        <v>622</v>
      </c>
    </row>
    <row r="1025" spans="2:2" x14ac:dyDescent="0.45">
      <c r="B1025">
        <v>545</v>
      </c>
    </row>
    <row r="1026" spans="2:2" x14ac:dyDescent="0.45">
      <c r="B1026">
        <v>149</v>
      </c>
    </row>
    <row r="1027" spans="2:2" x14ac:dyDescent="0.45">
      <c r="B1027">
        <v>0</v>
      </c>
    </row>
    <row r="1028" spans="2:2" x14ac:dyDescent="0.45">
      <c r="B1028">
        <v>0</v>
      </c>
    </row>
    <row r="1029" spans="2:2" x14ac:dyDescent="0.45">
      <c r="B1029">
        <v>0</v>
      </c>
    </row>
    <row r="1030" spans="2:2" x14ac:dyDescent="0.45">
      <c r="B1030">
        <v>0</v>
      </c>
    </row>
    <row r="1031" spans="2:2" x14ac:dyDescent="0.45">
      <c r="B1031">
        <v>80</v>
      </c>
    </row>
    <row r="1032" spans="2:2" x14ac:dyDescent="0.45">
      <c r="B1032">
        <v>311</v>
      </c>
    </row>
    <row r="1033" spans="2:2" x14ac:dyDescent="0.45">
      <c r="B1033">
        <v>391</v>
      </c>
    </row>
    <row r="1034" spans="2:2" x14ac:dyDescent="0.45">
      <c r="B1034">
        <v>0</v>
      </c>
    </row>
    <row r="1035" spans="2:2" x14ac:dyDescent="0.45">
      <c r="B1035">
        <v>0</v>
      </c>
    </row>
    <row r="1036" spans="2:2" x14ac:dyDescent="0.45">
      <c r="B1036">
        <v>0</v>
      </c>
    </row>
    <row r="1037" spans="2:2" x14ac:dyDescent="0.45">
      <c r="B1037">
        <v>0</v>
      </c>
    </row>
    <row r="1038" spans="2:2" x14ac:dyDescent="0.45">
      <c r="B1038">
        <v>0</v>
      </c>
    </row>
    <row r="1039" spans="2:2" x14ac:dyDescent="0.45">
      <c r="B1039">
        <v>0</v>
      </c>
    </row>
    <row r="1040" spans="2:2" x14ac:dyDescent="0.45">
      <c r="B1040">
        <v>468</v>
      </c>
    </row>
    <row r="1041" spans="2:2" x14ac:dyDescent="0.45">
      <c r="B1041">
        <v>494</v>
      </c>
    </row>
    <row r="1042" spans="2:2" x14ac:dyDescent="0.45">
      <c r="B1042">
        <v>647</v>
      </c>
    </row>
    <row r="1043" spans="2:2" x14ac:dyDescent="0.45">
      <c r="B1043">
        <v>391</v>
      </c>
    </row>
    <row r="1044" spans="2:2" x14ac:dyDescent="0.45">
      <c r="B1044">
        <v>0</v>
      </c>
    </row>
    <row r="1045" spans="2:2" x14ac:dyDescent="0.45">
      <c r="B1045">
        <v>0</v>
      </c>
    </row>
    <row r="1046" spans="2:2" x14ac:dyDescent="0.45">
      <c r="B1046">
        <v>0</v>
      </c>
    </row>
    <row r="1047" spans="2:2" x14ac:dyDescent="0.45">
      <c r="B1047">
        <v>0</v>
      </c>
    </row>
    <row r="1048" spans="2:2" x14ac:dyDescent="0.45">
      <c r="B1048">
        <v>0</v>
      </c>
    </row>
    <row r="1049" spans="2:2" x14ac:dyDescent="0.45">
      <c r="B1049">
        <v>0</v>
      </c>
    </row>
    <row r="1050" spans="2:2" x14ac:dyDescent="0.45">
      <c r="B1050">
        <v>468</v>
      </c>
    </row>
    <row r="1051" spans="2:2" x14ac:dyDescent="0.45">
      <c r="B1051">
        <v>494</v>
      </c>
    </row>
    <row r="1052" spans="2:2" x14ac:dyDescent="0.45">
      <c r="B1052">
        <v>647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9F8D01B1-83AB-4CDA-BA2D-5EEB0AE02D0C}">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220</vt:i4>
      </vt:variant>
    </vt:vector>
  </HeadingPairs>
  <TitlesOfParts>
    <vt:vector size="227" baseType="lpstr">
      <vt:lpstr>About</vt:lpstr>
      <vt:lpstr>Inputs</vt:lpstr>
      <vt:lpstr>Months</vt:lpstr>
      <vt:lpstr>Results</vt:lpstr>
      <vt:lpstr>ModelRiskDSN</vt:lpstr>
      <vt:lpstr>ModelRiskSYS1</vt:lpstr>
      <vt:lpstr>ModelRiskCharts</vt:lpstr>
      <vt:lpstr>Checks</vt:lpstr>
      <vt:lpstr>DelayValue</vt:lpstr>
      <vt:lpstr>Earliest</vt:lpstr>
      <vt:lpstr>Enters</vt:lpstr>
      <vt:lpstr>EntryMonth</vt:lpstr>
      <vt:lpstr>ExpAfter_1</vt:lpstr>
      <vt:lpstr>ExpAfter_10</vt:lpstr>
      <vt:lpstr>ExpAfter_100</vt:lpstr>
      <vt:lpstr>ExpAfter_11</vt:lpstr>
      <vt:lpstr>ExpAfter_12</vt:lpstr>
      <vt:lpstr>ExpAfter_13</vt:lpstr>
      <vt:lpstr>ExpAfter_14</vt:lpstr>
      <vt:lpstr>ExpAfter_15</vt:lpstr>
      <vt:lpstr>ExpAfter_16</vt:lpstr>
      <vt:lpstr>ExpAfter_17</vt:lpstr>
      <vt:lpstr>ExpAfter_18</vt:lpstr>
      <vt:lpstr>ExpAfter_19</vt:lpstr>
      <vt:lpstr>ExpAfter_2</vt:lpstr>
      <vt:lpstr>ExpAfter_20</vt:lpstr>
      <vt:lpstr>ExpAfter_21</vt:lpstr>
      <vt:lpstr>ExpAfter_22</vt:lpstr>
      <vt:lpstr>ExpAfter_23</vt:lpstr>
      <vt:lpstr>ExpAfter_24</vt:lpstr>
      <vt:lpstr>ExpAfter_25</vt:lpstr>
      <vt:lpstr>ExpAfter_26</vt:lpstr>
      <vt:lpstr>ExpAfter_27</vt:lpstr>
      <vt:lpstr>ExpAfter_28</vt:lpstr>
      <vt:lpstr>ExpAfter_29</vt:lpstr>
      <vt:lpstr>ExpAfter_3</vt:lpstr>
      <vt:lpstr>ExpAfter_30</vt:lpstr>
      <vt:lpstr>ExpAfter_31</vt:lpstr>
      <vt:lpstr>ExpAfter_32</vt:lpstr>
      <vt:lpstr>ExpAfter_33</vt:lpstr>
      <vt:lpstr>ExpAfter_34</vt:lpstr>
      <vt:lpstr>ExpAfter_35</vt:lpstr>
      <vt:lpstr>ExpAfter_36</vt:lpstr>
      <vt:lpstr>ExpAfter_37</vt:lpstr>
      <vt:lpstr>ExpAfter_38</vt:lpstr>
      <vt:lpstr>ExpAfter_39</vt:lpstr>
      <vt:lpstr>ExpAfter_4</vt:lpstr>
      <vt:lpstr>ExpAfter_40</vt:lpstr>
      <vt:lpstr>ExpAfter_41</vt:lpstr>
      <vt:lpstr>ExpAfter_42</vt:lpstr>
      <vt:lpstr>ExpAfter_43</vt:lpstr>
      <vt:lpstr>ExpAfter_44</vt:lpstr>
      <vt:lpstr>ExpAfter_45</vt:lpstr>
      <vt:lpstr>ExpAfter_46</vt:lpstr>
      <vt:lpstr>ExpAfter_47</vt:lpstr>
      <vt:lpstr>ExpAfter_48</vt:lpstr>
      <vt:lpstr>ExpAfter_49</vt:lpstr>
      <vt:lpstr>ExpAfter_5</vt:lpstr>
      <vt:lpstr>ExpAfter_50</vt:lpstr>
      <vt:lpstr>ExpAfter_51</vt:lpstr>
      <vt:lpstr>ExpAfter_52</vt:lpstr>
      <vt:lpstr>ExpAfter_53</vt:lpstr>
      <vt:lpstr>ExpAfter_54</vt:lpstr>
      <vt:lpstr>ExpAfter_55</vt:lpstr>
      <vt:lpstr>ExpAfter_56</vt:lpstr>
      <vt:lpstr>ExpAfter_57</vt:lpstr>
      <vt:lpstr>ExpAfter_58</vt:lpstr>
      <vt:lpstr>ExpAfter_59</vt:lpstr>
      <vt:lpstr>ExpAfter_6</vt:lpstr>
      <vt:lpstr>ExpAfter_60</vt:lpstr>
      <vt:lpstr>ExpAfter_61</vt:lpstr>
      <vt:lpstr>ExpAfter_62</vt:lpstr>
      <vt:lpstr>ExpAfter_63</vt:lpstr>
      <vt:lpstr>ExpAfter_64</vt:lpstr>
      <vt:lpstr>ExpAfter_65</vt:lpstr>
      <vt:lpstr>ExpAfter_66</vt:lpstr>
      <vt:lpstr>ExpAfter_67</vt:lpstr>
      <vt:lpstr>ExpAfter_68</vt:lpstr>
      <vt:lpstr>ExpAfter_69</vt:lpstr>
      <vt:lpstr>ExpAfter_7</vt:lpstr>
      <vt:lpstr>ExpAfter_70</vt:lpstr>
      <vt:lpstr>ExpAfter_71</vt:lpstr>
      <vt:lpstr>ExpAfter_72</vt:lpstr>
      <vt:lpstr>ExpAfter_73</vt:lpstr>
      <vt:lpstr>ExpAfter_74</vt:lpstr>
      <vt:lpstr>ExpAfter_75</vt:lpstr>
      <vt:lpstr>ExpAfter_76</vt:lpstr>
      <vt:lpstr>ExpAfter_77</vt:lpstr>
      <vt:lpstr>ExpAfter_78</vt:lpstr>
      <vt:lpstr>ExpAfter_79</vt:lpstr>
      <vt:lpstr>ExpAfter_8</vt:lpstr>
      <vt:lpstr>ExpAfter_80</vt:lpstr>
      <vt:lpstr>ExpAfter_81</vt:lpstr>
      <vt:lpstr>ExpAfter_82</vt:lpstr>
      <vt:lpstr>ExpAfter_83</vt:lpstr>
      <vt:lpstr>ExpAfter_84</vt:lpstr>
      <vt:lpstr>ExpAfter_85</vt:lpstr>
      <vt:lpstr>ExpAfter_86</vt:lpstr>
      <vt:lpstr>ExpAfter_87</vt:lpstr>
      <vt:lpstr>ExpAfter_88</vt:lpstr>
      <vt:lpstr>ExpAfter_89</vt:lpstr>
      <vt:lpstr>ExpAfter_9</vt:lpstr>
      <vt:lpstr>ExpAfter_90</vt:lpstr>
      <vt:lpstr>ExpAfter_91</vt:lpstr>
      <vt:lpstr>ExpAfter_92</vt:lpstr>
      <vt:lpstr>ExpAfter_93</vt:lpstr>
      <vt:lpstr>ExpAfter_94</vt:lpstr>
      <vt:lpstr>ExpAfter_95</vt:lpstr>
      <vt:lpstr>ExpAfter_96</vt:lpstr>
      <vt:lpstr>ExpAfter_97</vt:lpstr>
      <vt:lpstr>ExpAfter_98</vt:lpstr>
      <vt:lpstr>ExpAfter_99</vt:lpstr>
      <vt:lpstr>ExpNoComp</vt:lpstr>
      <vt:lpstr>ExpSales</vt:lpstr>
      <vt:lpstr>Growth</vt:lpstr>
      <vt:lpstr>Latest</vt:lpstr>
      <vt:lpstr>Lost</vt:lpstr>
      <vt:lpstr>Margin</vt:lpstr>
      <vt:lpstr>MarginLost</vt:lpstr>
      <vt:lpstr>NoEntry</vt:lpstr>
      <vt:lpstr>PEnter</vt:lpstr>
      <vt:lpstr>Results!Print_Area</vt:lpstr>
      <vt:lpstr>Inputs!Print_Titles</vt:lpstr>
      <vt:lpstr>Results!Print_Titles</vt:lpstr>
      <vt:lpstr>Sales0</vt:lpstr>
      <vt:lpstr>Share</vt:lpstr>
      <vt:lpstr>Sold_1</vt:lpstr>
      <vt:lpstr>Sold_10</vt:lpstr>
      <vt:lpstr>Sold_100</vt:lpstr>
      <vt:lpstr>Sold_11</vt:lpstr>
      <vt:lpstr>Sold_12</vt:lpstr>
      <vt:lpstr>Sold_13</vt:lpstr>
      <vt:lpstr>Sold_14</vt:lpstr>
      <vt:lpstr>Sold_15</vt:lpstr>
      <vt:lpstr>Sold_16</vt:lpstr>
      <vt:lpstr>Sold_17</vt:lpstr>
      <vt:lpstr>Sold_18</vt:lpstr>
      <vt:lpstr>Sold_19</vt:lpstr>
      <vt:lpstr>Sold_2</vt:lpstr>
      <vt:lpstr>Sold_20</vt:lpstr>
      <vt:lpstr>Sold_21</vt:lpstr>
      <vt:lpstr>Sold_22</vt:lpstr>
      <vt:lpstr>Sold_23</vt:lpstr>
      <vt:lpstr>Sold_24</vt:lpstr>
      <vt:lpstr>Sold_25</vt:lpstr>
      <vt:lpstr>Sold_26</vt:lpstr>
      <vt:lpstr>Sold_27</vt:lpstr>
      <vt:lpstr>Sold_28</vt:lpstr>
      <vt:lpstr>Sold_29</vt:lpstr>
      <vt:lpstr>Sold_3</vt:lpstr>
      <vt:lpstr>Sold_30</vt:lpstr>
      <vt:lpstr>Sold_31</vt:lpstr>
      <vt:lpstr>Sold_32</vt:lpstr>
      <vt:lpstr>Sold_33</vt:lpstr>
      <vt:lpstr>Sold_34</vt:lpstr>
      <vt:lpstr>Sold_35</vt:lpstr>
      <vt:lpstr>Sold_36</vt:lpstr>
      <vt:lpstr>Sold_37</vt:lpstr>
      <vt:lpstr>Sold_38</vt:lpstr>
      <vt:lpstr>Sold_39</vt:lpstr>
      <vt:lpstr>Sold_4</vt:lpstr>
      <vt:lpstr>Sold_40</vt:lpstr>
      <vt:lpstr>Sold_41</vt:lpstr>
      <vt:lpstr>Sold_42</vt:lpstr>
      <vt:lpstr>Sold_43</vt:lpstr>
      <vt:lpstr>Sold_44</vt:lpstr>
      <vt:lpstr>Sold_45</vt:lpstr>
      <vt:lpstr>Sold_46</vt:lpstr>
      <vt:lpstr>Sold_47</vt:lpstr>
      <vt:lpstr>Sold_48</vt:lpstr>
      <vt:lpstr>Sold_49</vt:lpstr>
      <vt:lpstr>Sold_5</vt:lpstr>
      <vt:lpstr>Sold_50</vt:lpstr>
      <vt:lpstr>Sold_51</vt:lpstr>
      <vt:lpstr>Sold_52</vt:lpstr>
      <vt:lpstr>Sold_53</vt:lpstr>
      <vt:lpstr>Sold_54</vt:lpstr>
      <vt:lpstr>Sold_55</vt:lpstr>
      <vt:lpstr>Sold_56</vt:lpstr>
      <vt:lpstr>Sold_57</vt:lpstr>
      <vt:lpstr>Sold_58</vt:lpstr>
      <vt:lpstr>Sold_59</vt:lpstr>
      <vt:lpstr>Sold_6</vt:lpstr>
      <vt:lpstr>Sold_60</vt:lpstr>
      <vt:lpstr>Sold_61</vt:lpstr>
      <vt:lpstr>Sold_62</vt:lpstr>
      <vt:lpstr>Sold_63</vt:lpstr>
      <vt:lpstr>Sold_64</vt:lpstr>
      <vt:lpstr>Sold_65</vt:lpstr>
      <vt:lpstr>Sold_66</vt:lpstr>
      <vt:lpstr>Sold_67</vt:lpstr>
      <vt:lpstr>Sold_68</vt:lpstr>
      <vt:lpstr>Sold_69</vt:lpstr>
      <vt:lpstr>Sold_7</vt:lpstr>
      <vt:lpstr>Sold_70</vt:lpstr>
      <vt:lpstr>Sold_71</vt:lpstr>
      <vt:lpstr>Sold_72</vt:lpstr>
      <vt:lpstr>Sold_73</vt:lpstr>
      <vt:lpstr>Sold_74</vt:lpstr>
      <vt:lpstr>Sold_75</vt:lpstr>
      <vt:lpstr>Sold_76</vt:lpstr>
      <vt:lpstr>Sold_77</vt:lpstr>
      <vt:lpstr>Sold_78</vt:lpstr>
      <vt:lpstr>Sold_79</vt:lpstr>
      <vt:lpstr>Sold_8</vt:lpstr>
      <vt:lpstr>Sold_80</vt:lpstr>
      <vt:lpstr>Sold_81</vt:lpstr>
      <vt:lpstr>Sold_82</vt:lpstr>
      <vt:lpstr>Sold_83</vt:lpstr>
      <vt:lpstr>Sold_84</vt:lpstr>
      <vt:lpstr>Sold_85</vt:lpstr>
      <vt:lpstr>Sold_86</vt:lpstr>
      <vt:lpstr>Sold_87</vt:lpstr>
      <vt:lpstr>Sold_88</vt:lpstr>
      <vt:lpstr>Sold_89</vt:lpstr>
      <vt:lpstr>Sold_9</vt:lpstr>
      <vt:lpstr>Sold_90</vt:lpstr>
      <vt:lpstr>Sold_91</vt:lpstr>
      <vt:lpstr>Sold_92</vt:lpstr>
      <vt:lpstr>Sold_93</vt:lpstr>
      <vt:lpstr>Sold_94</vt:lpstr>
      <vt:lpstr>Sold_95</vt:lpstr>
      <vt:lpstr>Sold_96</vt:lpstr>
      <vt:lpstr>Sold_97</vt:lpstr>
      <vt:lpstr>Sold_98</vt:lpstr>
      <vt:lpstr>Sold_99</vt:lpstr>
      <vt:lpstr>Units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GU-12 Random Sales with a Competitor That May Enter</dc:title>
  <dc:subject>ModelRisk industry example library — General use</dc:subject>
  <dc:creator>Vose Software</dc:creator>
  <cp:keywords>ModelRisk; Monte Carlo; General use</cp:keywords>
  <dc:description>Monthly sales with a competitor that may enter: units lost, the chance it never comes, and the value of delaying it.</dc:description>
  <cp:lastModifiedBy>Timour Koupeev</cp:lastModifiedBy>
  <cp:lastPrinted>2026-10-07T13:44:41Z</cp:lastPrinted>
  <dcterms:created xsi:type="dcterms:W3CDTF">2026-10-07T13:42:28Z</dcterms:created>
  <dcterms:modified xsi:type="dcterms:W3CDTF">2026-10-07T13:44:47Z</dcterms:modified>
</cp:coreProperties>
</file>